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170" windowWidth="20700" windowHeight="4680" tabRatio="949"/>
  </bookViews>
  <sheets>
    <sheet name="1_bezr." sheetId="1" r:id="rId1"/>
    <sheet name="1_sort" sheetId="14" r:id="rId2"/>
    <sheet name="2_kob." sheetId="10" r:id="rId3"/>
    <sheet name="2_sort" sheetId="15" r:id="rId4"/>
    <sheet name="3_s.bezr.Polska" sheetId="8" r:id="rId5"/>
    <sheet name="3_sort" sheetId="16" r:id="rId6"/>
    <sheet name="4_s.bezr.pow." sheetId="13" r:id="rId7"/>
    <sheet name="4_sort" sheetId="17" r:id="rId8"/>
    <sheet name="5_bezr. na wsi" sheetId="2" r:id="rId9"/>
    <sheet name="5_sort" sheetId="18" r:id="rId10"/>
    <sheet name="6_długot." sheetId="3" r:id="rId11"/>
    <sheet name="6_sort" sheetId="19" r:id="rId12"/>
    <sheet name="7_do 30 r.ż." sheetId="4" r:id="rId13"/>
    <sheet name="7_sort" sheetId="20" r:id="rId14"/>
    <sheet name="8_pow. 50 r.ż." sheetId="5" r:id="rId15"/>
    <sheet name="8_sort" sheetId="21" r:id="rId16"/>
    <sheet name="9_oferty p." sheetId="6" r:id="rId17"/>
    <sheet name="9_sort" sheetId="22" r:id="rId18"/>
    <sheet name="10_oferty s." sheetId="11" r:id="rId19"/>
    <sheet name="10_sort" sheetId="23" r:id="rId20"/>
  </sheets>
  <calcPr calcId="145621"/>
</workbook>
</file>

<file path=xl/calcChain.xml><?xml version="1.0" encoding="utf-8"?>
<calcChain xmlns="http://schemas.openxmlformats.org/spreadsheetml/2006/main">
  <c r="E12" i="13" l="1"/>
  <c r="C28" i="1" l="1"/>
  <c r="G10" i="2" l="1"/>
  <c r="B19" i="16" l="1"/>
  <c r="D28" i="6" l="1"/>
  <c r="E27" i="10" l="1"/>
  <c r="F28" i="3" l="1"/>
  <c r="D28" i="3"/>
  <c r="C28" i="3"/>
  <c r="F28" i="6"/>
  <c r="C28" i="6"/>
  <c r="C24" i="2" l="1"/>
  <c r="C28" i="4" l="1"/>
  <c r="B30" i="17" l="1"/>
  <c r="B15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4" i="17"/>
  <c r="B13" i="17"/>
  <c r="B12" i="17"/>
  <c r="B11" i="17"/>
  <c r="B10" i="17"/>
  <c r="B9" i="17"/>
  <c r="B8" i="17"/>
  <c r="B7" i="17"/>
  <c r="B6" i="17"/>
  <c r="B5" i="17"/>
  <c r="B4" i="17"/>
  <c r="G5" i="17" l="1"/>
  <c r="G4" i="17"/>
  <c r="E30" i="17"/>
  <c r="C6" i="17"/>
  <c r="C10" i="17"/>
  <c r="C14" i="17"/>
  <c r="C18" i="17"/>
  <c r="C22" i="17"/>
  <c r="C26" i="17"/>
  <c r="C30" i="17"/>
  <c r="D7" i="17"/>
  <c r="D11" i="17"/>
  <c r="D15" i="17"/>
  <c r="D19" i="17"/>
  <c r="D23" i="17"/>
  <c r="D27" i="17"/>
  <c r="E4" i="17"/>
  <c r="E8" i="17"/>
  <c r="E12" i="17"/>
  <c r="E16" i="17"/>
  <c r="E20" i="17"/>
  <c r="E24" i="17"/>
  <c r="E28" i="17"/>
  <c r="G8" i="17"/>
  <c r="G12" i="17"/>
  <c r="G16" i="17"/>
  <c r="G20" i="17"/>
  <c r="G24" i="17"/>
  <c r="G28" i="17"/>
  <c r="G30" i="17"/>
  <c r="C7" i="17"/>
  <c r="C11" i="17"/>
  <c r="C15" i="17"/>
  <c r="C19" i="17"/>
  <c r="C23" i="17"/>
  <c r="C27" i="17"/>
  <c r="D4" i="17"/>
  <c r="D8" i="17"/>
  <c r="D12" i="17"/>
  <c r="D16" i="17"/>
  <c r="D20" i="17"/>
  <c r="D24" i="17"/>
  <c r="D28" i="17"/>
  <c r="E5" i="17"/>
  <c r="E9" i="17"/>
  <c r="E13" i="17"/>
  <c r="E17" i="17"/>
  <c r="E21" i="17"/>
  <c r="E25" i="17"/>
  <c r="E29" i="17"/>
  <c r="G9" i="17"/>
  <c r="G13" i="17"/>
  <c r="G17" i="17"/>
  <c r="G21" i="17"/>
  <c r="G25" i="17"/>
  <c r="G29" i="17"/>
  <c r="C4" i="17"/>
  <c r="C8" i="17"/>
  <c r="C12" i="17"/>
  <c r="C16" i="17"/>
  <c r="C20" i="17"/>
  <c r="C24" i="17"/>
  <c r="C28" i="17"/>
  <c r="D5" i="17"/>
  <c r="D9" i="17"/>
  <c r="D13" i="17"/>
  <c r="D17" i="17"/>
  <c r="D21" i="17"/>
  <c r="D25" i="17"/>
  <c r="D29" i="17"/>
  <c r="E6" i="17"/>
  <c r="E10" i="17"/>
  <c r="E14" i="17"/>
  <c r="E18" i="17"/>
  <c r="E22" i="17"/>
  <c r="E26" i="17"/>
  <c r="G6" i="17"/>
  <c r="G10" i="17"/>
  <c r="G14" i="17"/>
  <c r="G18" i="17"/>
  <c r="G22" i="17"/>
  <c r="G26" i="17"/>
  <c r="C5" i="17"/>
  <c r="C9" i="17"/>
  <c r="C13" i="17"/>
  <c r="C17" i="17"/>
  <c r="C21" i="17"/>
  <c r="C25" i="17"/>
  <c r="C29" i="17"/>
  <c r="D6" i="17"/>
  <c r="D10" i="17"/>
  <c r="D14" i="17"/>
  <c r="D18" i="17"/>
  <c r="D22" i="17"/>
  <c r="D26" i="17"/>
  <c r="D30" i="17"/>
  <c r="E7" i="17"/>
  <c r="E11" i="17"/>
  <c r="E15" i="17"/>
  <c r="E19" i="17"/>
  <c r="E23" i="17"/>
  <c r="E27" i="17"/>
  <c r="G7" i="17"/>
  <c r="G11" i="17"/>
  <c r="G15" i="17"/>
  <c r="G19" i="17"/>
  <c r="G23" i="17"/>
  <c r="G27" i="17"/>
  <c r="D28" i="1"/>
  <c r="F24" i="2" l="1"/>
  <c r="G27" i="10" l="1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28" i="10"/>
  <c r="C28" i="10"/>
  <c r="D28" i="10"/>
  <c r="E28" i="10" l="1"/>
  <c r="G28" i="10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F29" i="17"/>
  <c r="E11" i="13"/>
  <c r="E10" i="13"/>
  <c r="E9" i="13"/>
  <c r="E8" i="13"/>
  <c r="E7" i="13"/>
  <c r="E6" i="13"/>
  <c r="E5" i="13"/>
  <c r="F27" i="17" s="1"/>
  <c r="E4" i="13"/>
  <c r="E3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H30" i="17" s="1"/>
  <c r="G11" i="13"/>
  <c r="G10" i="13"/>
  <c r="G9" i="13"/>
  <c r="G8" i="13"/>
  <c r="G7" i="13"/>
  <c r="G6" i="13"/>
  <c r="G5" i="13"/>
  <c r="H27" i="17" s="1"/>
  <c r="G4" i="13"/>
  <c r="G3" i="13"/>
  <c r="H26" i="17" l="1"/>
  <c r="H29" i="17"/>
  <c r="F13" i="17"/>
  <c r="F24" i="17"/>
  <c r="H4" i="17"/>
  <c r="H9" i="17"/>
  <c r="H5" i="17"/>
  <c r="H21" i="17"/>
  <c r="F20" i="17"/>
  <c r="H20" i="17"/>
  <c r="H22" i="17"/>
  <c r="H18" i="17"/>
  <c r="H14" i="17"/>
  <c r="F18" i="17"/>
  <c r="H7" i="17"/>
  <c r="F28" i="17"/>
  <c r="F12" i="17"/>
  <c r="H28" i="17"/>
  <c r="F4" i="17"/>
  <c r="H25" i="17"/>
  <c r="F25" i="17"/>
  <c r="F10" i="17"/>
  <c r="H10" i="17"/>
  <c r="F21" i="17"/>
  <c r="F9" i="17"/>
  <c r="H11" i="17"/>
  <c r="H6" i="17"/>
  <c r="F30" i="17"/>
  <c r="H15" i="17"/>
  <c r="H12" i="17"/>
  <c r="H16" i="17"/>
  <c r="H17" i="17"/>
  <c r="F19" i="17"/>
  <c r="F23" i="17"/>
  <c r="F8" i="17"/>
  <c r="H19" i="17"/>
  <c r="H23" i="17"/>
  <c r="H8" i="17"/>
  <c r="F22" i="17"/>
  <c r="F26" i="17"/>
  <c r="H13" i="17"/>
  <c r="H24" i="17"/>
  <c r="F14" i="17"/>
  <c r="F11" i="17"/>
  <c r="F17" i="17"/>
  <c r="F6" i="17"/>
  <c r="F15" i="17"/>
  <c r="F16" i="17"/>
  <c r="F7" i="17"/>
  <c r="F5" i="17"/>
  <c r="B20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G4" i="16" l="1"/>
  <c r="D10" i="16"/>
  <c r="H9" i="16"/>
  <c r="F4" i="16"/>
  <c r="D17" i="16"/>
  <c r="H5" i="16"/>
  <c r="F11" i="16"/>
  <c r="H20" i="16"/>
  <c r="D9" i="16"/>
  <c r="H17" i="16"/>
  <c r="E8" i="16"/>
  <c r="E16" i="16"/>
  <c r="F19" i="16"/>
  <c r="G10" i="16"/>
  <c r="G18" i="16"/>
  <c r="H13" i="16"/>
  <c r="C9" i="16"/>
  <c r="D18" i="16"/>
  <c r="E9" i="16"/>
  <c r="E17" i="16"/>
  <c r="F8" i="16"/>
  <c r="F16" i="16"/>
  <c r="F20" i="16"/>
  <c r="G11" i="16"/>
  <c r="G15" i="16"/>
  <c r="G19" i="16"/>
  <c r="H10" i="16"/>
  <c r="H14" i="16"/>
  <c r="H18" i="16"/>
  <c r="D7" i="16"/>
  <c r="D11" i="16"/>
  <c r="D15" i="16"/>
  <c r="D19" i="16"/>
  <c r="E6" i="16"/>
  <c r="E10" i="16"/>
  <c r="E14" i="16"/>
  <c r="E18" i="16"/>
  <c r="F5" i="16"/>
  <c r="F9" i="16"/>
  <c r="F13" i="16"/>
  <c r="F17" i="16"/>
  <c r="G8" i="16"/>
  <c r="G12" i="16"/>
  <c r="G16" i="16"/>
  <c r="G20" i="16"/>
  <c r="H7" i="16"/>
  <c r="H11" i="16"/>
  <c r="H15" i="16"/>
  <c r="H19" i="16"/>
  <c r="D5" i="16"/>
  <c r="D13" i="16"/>
  <c r="E4" i="16"/>
  <c r="E12" i="16"/>
  <c r="E20" i="16"/>
  <c r="F7" i="16"/>
  <c r="F15" i="16"/>
  <c r="G6" i="16"/>
  <c r="G14" i="16"/>
  <c r="D6" i="16"/>
  <c r="D14" i="16"/>
  <c r="E5" i="16"/>
  <c r="E13" i="16"/>
  <c r="F12" i="16"/>
  <c r="G7" i="16"/>
  <c r="H6" i="16"/>
  <c r="C14" i="16"/>
  <c r="D4" i="16"/>
  <c r="D8" i="16"/>
  <c r="D12" i="16"/>
  <c r="D16" i="16"/>
  <c r="D20" i="16"/>
  <c r="E7" i="16"/>
  <c r="E11" i="16"/>
  <c r="E15" i="16"/>
  <c r="E19" i="16"/>
  <c r="F6" i="16"/>
  <c r="F10" i="16"/>
  <c r="F14" i="16"/>
  <c r="F18" i="16"/>
  <c r="G5" i="16"/>
  <c r="G9" i="16"/>
  <c r="G13" i="16"/>
  <c r="G17" i="16"/>
  <c r="H4" i="16"/>
  <c r="H8" i="16"/>
  <c r="H12" i="16"/>
  <c r="H16" i="16"/>
  <c r="C17" i="16"/>
  <c r="C10" i="16"/>
  <c r="C18" i="16"/>
  <c r="C7" i="16"/>
  <c r="C11" i="16"/>
  <c r="C15" i="16"/>
  <c r="C19" i="16"/>
  <c r="C5" i="16"/>
  <c r="C13" i="16"/>
  <c r="C20" i="16"/>
  <c r="C6" i="16"/>
  <c r="C4" i="16"/>
  <c r="C8" i="16"/>
  <c r="C12" i="16"/>
  <c r="C16" i="16"/>
  <c r="H3" i="23"/>
  <c r="G3" i="23"/>
  <c r="F3" i="23"/>
  <c r="E3" i="23"/>
  <c r="D3" i="23"/>
  <c r="C3" i="23"/>
  <c r="H3" i="22"/>
  <c r="G3" i="22"/>
  <c r="F3" i="22"/>
  <c r="E3" i="22"/>
  <c r="D3" i="22"/>
  <c r="C3" i="22"/>
  <c r="H3" i="21"/>
  <c r="G3" i="21"/>
  <c r="F3" i="21"/>
  <c r="E3" i="21"/>
  <c r="D3" i="21"/>
  <c r="C3" i="21"/>
  <c r="H3" i="20"/>
  <c r="G3" i="20"/>
  <c r="F3" i="20"/>
  <c r="E3" i="20"/>
  <c r="D3" i="20"/>
  <c r="C3" i="20"/>
  <c r="H3" i="19"/>
  <c r="G3" i="19"/>
  <c r="F3" i="19"/>
  <c r="E3" i="19"/>
  <c r="D3" i="19"/>
  <c r="C3" i="19"/>
  <c r="H3" i="17"/>
  <c r="G3" i="17"/>
  <c r="F3" i="17"/>
  <c r="E3" i="17"/>
  <c r="D3" i="17"/>
  <c r="C3" i="17"/>
  <c r="H3" i="16"/>
  <c r="G3" i="16"/>
  <c r="F3" i="16"/>
  <c r="E3" i="16"/>
  <c r="D3" i="16"/>
  <c r="C3" i="16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H3" i="18"/>
  <c r="G3" i="18"/>
  <c r="F3" i="18"/>
  <c r="E3" i="18"/>
  <c r="D3" i="18"/>
  <c r="C3" i="18"/>
  <c r="H3" i="15"/>
  <c r="G3" i="15"/>
  <c r="F3" i="15"/>
  <c r="E3" i="15"/>
  <c r="D3" i="15"/>
  <c r="C3" i="15"/>
  <c r="H3" i="14"/>
  <c r="G3" i="14"/>
  <c r="F3" i="14"/>
  <c r="E3" i="14"/>
  <c r="D3" i="14"/>
  <c r="C3" i="14"/>
  <c r="D26" i="15" l="1"/>
  <c r="D22" i="15"/>
  <c r="D18" i="15"/>
  <c r="D14" i="15"/>
  <c r="D10" i="15"/>
  <c r="D6" i="15"/>
  <c r="D29" i="15"/>
  <c r="D21" i="15"/>
  <c r="D13" i="15"/>
  <c r="D5" i="15"/>
  <c r="D27" i="15"/>
  <c r="D23" i="15"/>
  <c r="D19" i="15"/>
  <c r="D15" i="15"/>
  <c r="D11" i="15"/>
  <c r="D7" i="15"/>
  <c r="D25" i="15"/>
  <c r="D17" i="15"/>
  <c r="D9" i="15"/>
  <c r="D20" i="15"/>
  <c r="D4" i="15"/>
  <c r="D16" i="15"/>
  <c r="D28" i="15"/>
  <c r="D12" i="15"/>
  <c r="D24" i="15"/>
  <c r="D8" i="15"/>
  <c r="E4" i="15"/>
  <c r="H5" i="15"/>
  <c r="F29" i="15"/>
  <c r="G29" i="15"/>
  <c r="F5" i="15"/>
  <c r="C4" i="15"/>
  <c r="G4" i="15"/>
  <c r="E6" i="15"/>
  <c r="F7" i="15"/>
  <c r="C8" i="15"/>
  <c r="G8" i="15"/>
  <c r="H9" i="15"/>
  <c r="E10" i="15"/>
  <c r="F11" i="15"/>
  <c r="C12" i="15"/>
  <c r="G12" i="15"/>
  <c r="H13" i="15"/>
  <c r="E14" i="15"/>
  <c r="F15" i="15"/>
  <c r="C16" i="15"/>
  <c r="G16" i="15"/>
  <c r="H17" i="15"/>
  <c r="E18" i="15"/>
  <c r="F19" i="15"/>
  <c r="C20" i="15"/>
  <c r="G20" i="15"/>
  <c r="H21" i="15"/>
  <c r="E22" i="15"/>
  <c r="F23" i="15"/>
  <c r="C24" i="15"/>
  <c r="G24" i="15"/>
  <c r="H25" i="15"/>
  <c r="E26" i="15"/>
  <c r="F27" i="15"/>
  <c r="C28" i="15"/>
  <c r="G28" i="15"/>
  <c r="H29" i="15"/>
  <c r="H4" i="15"/>
  <c r="E5" i="15"/>
  <c r="F6" i="15"/>
  <c r="C7" i="15"/>
  <c r="G7" i="15"/>
  <c r="H8" i="15"/>
  <c r="E9" i="15"/>
  <c r="F10" i="15"/>
  <c r="C11" i="15"/>
  <c r="G11" i="15"/>
  <c r="H12" i="15"/>
  <c r="E13" i="15"/>
  <c r="F14" i="15"/>
  <c r="C15" i="15"/>
  <c r="G15" i="15"/>
  <c r="H16" i="15"/>
  <c r="E17" i="15"/>
  <c r="F18" i="15"/>
  <c r="C19" i="15"/>
  <c r="G19" i="15"/>
  <c r="H20" i="15"/>
  <c r="E21" i="15"/>
  <c r="F22" i="15"/>
  <c r="C23" i="15"/>
  <c r="G23" i="15"/>
  <c r="H24" i="15"/>
  <c r="E25" i="15"/>
  <c r="F26" i="15"/>
  <c r="C27" i="15"/>
  <c r="G27" i="15"/>
  <c r="H28" i="15"/>
  <c r="E29" i="15"/>
  <c r="C6" i="15"/>
  <c r="G6" i="15"/>
  <c r="H7" i="15"/>
  <c r="E8" i="15"/>
  <c r="F9" i="15"/>
  <c r="C10" i="15"/>
  <c r="G10" i="15"/>
  <c r="H11" i="15"/>
  <c r="E12" i="15"/>
  <c r="F13" i="15"/>
  <c r="C14" i="15"/>
  <c r="G14" i="15"/>
  <c r="H15" i="15"/>
  <c r="E16" i="15"/>
  <c r="F17" i="15"/>
  <c r="C18" i="15"/>
  <c r="G18" i="15"/>
  <c r="H19" i="15"/>
  <c r="E20" i="15"/>
  <c r="F21" i="15"/>
  <c r="C22" i="15"/>
  <c r="G22" i="15"/>
  <c r="H23" i="15"/>
  <c r="E24" i="15"/>
  <c r="F25" i="15"/>
  <c r="C26" i="15"/>
  <c r="G26" i="15"/>
  <c r="H27" i="15"/>
  <c r="E28" i="15"/>
  <c r="F4" i="15"/>
  <c r="C5" i="15"/>
  <c r="G5" i="15"/>
  <c r="H6" i="15"/>
  <c r="E7" i="15"/>
  <c r="F8" i="15"/>
  <c r="C9" i="15"/>
  <c r="G9" i="15"/>
  <c r="H10" i="15"/>
  <c r="E11" i="15"/>
  <c r="F12" i="15"/>
  <c r="C13" i="15"/>
  <c r="G13" i="15"/>
  <c r="H14" i="15"/>
  <c r="E15" i="15"/>
  <c r="F16" i="15"/>
  <c r="C17" i="15"/>
  <c r="G17" i="15"/>
  <c r="H18" i="15"/>
  <c r="E19" i="15"/>
  <c r="F20" i="15"/>
  <c r="C21" i="15"/>
  <c r="G21" i="15"/>
  <c r="H22" i="15"/>
  <c r="E23" i="15"/>
  <c r="F24" i="15"/>
  <c r="C25" i="15"/>
  <c r="G25" i="15"/>
  <c r="H26" i="15"/>
  <c r="E27" i="15"/>
  <c r="F28" i="15"/>
  <c r="C29" i="15"/>
  <c r="D24" i="2" l="1"/>
  <c r="F28" i="1"/>
  <c r="B4" i="14"/>
  <c r="B29" i="19" l="1"/>
  <c r="B25" i="19"/>
  <c r="B21" i="19"/>
  <c r="B17" i="19"/>
  <c r="B13" i="19"/>
  <c r="B9" i="19"/>
  <c r="B5" i="19"/>
  <c r="B28" i="19"/>
  <c r="B24" i="19"/>
  <c r="B20" i="19"/>
  <c r="B16" i="19"/>
  <c r="B12" i="19"/>
  <c r="B8" i="19"/>
  <c r="B27" i="19"/>
  <c r="B23" i="19"/>
  <c r="B19" i="19"/>
  <c r="B15" i="19"/>
  <c r="B11" i="19"/>
  <c r="B7" i="19"/>
  <c r="B26" i="19"/>
  <c r="B22" i="19"/>
  <c r="B18" i="19"/>
  <c r="B14" i="19"/>
  <c r="B10" i="19"/>
  <c r="B6" i="19"/>
  <c r="B4" i="19"/>
  <c r="B23" i="18"/>
  <c r="B19" i="18"/>
  <c r="B15" i="18"/>
  <c r="B11" i="18"/>
  <c r="B7" i="18"/>
  <c r="B22" i="18"/>
  <c r="B18" i="18"/>
  <c r="B14" i="18"/>
  <c r="B10" i="18"/>
  <c r="B6" i="18"/>
  <c r="B4" i="18"/>
  <c r="B25" i="18"/>
  <c r="B21" i="18"/>
  <c r="B17" i="18"/>
  <c r="B13" i="18"/>
  <c r="B9" i="18"/>
  <c r="B5" i="18"/>
  <c r="B24" i="18"/>
  <c r="B20" i="18"/>
  <c r="B16" i="18"/>
  <c r="B12" i="18"/>
  <c r="B8" i="18"/>
  <c r="B27" i="14"/>
  <c r="B23" i="14"/>
  <c r="B19" i="14"/>
  <c r="B15" i="14"/>
  <c r="B11" i="14"/>
  <c r="B7" i="14"/>
  <c r="B26" i="14"/>
  <c r="B22" i="14"/>
  <c r="B18" i="14"/>
  <c r="B14" i="14"/>
  <c r="B10" i="14"/>
  <c r="B6" i="14"/>
  <c r="B16" i="14"/>
  <c r="B8" i="14"/>
  <c r="B29" i="14"/>
  <c r="B25" i="14"/>
  <c r="B21" i="14"/>
  <c r="B17" i="14"/>
  <c r="B13" i="14"/>
  <c r="B9" i="14"/>
  <c r="B5" i="14"/>
  <c r="B28" i="14"/>
  <c r="B24" i="14"/>
  <c r="B20" i="14"/>
  <c r="B12" i="14"/>
  <c r="E28" i="1"/>
  <c r="G28" i="1"/>
  <c r="D4" i="14" l="1"/>
  <c r="G4" i="14"/>
  <c r="D28" i="14"/>
  <c r="D24" i="14"/>
  <c r="D20" i="14"/>
  <c r="D16" i="14"/>
  <c r="D12" i="14"/>
  <c r="D8" i="14"/>
  <c r="D23" i="14"/>
  <c r="D15" i="14"/>
  <c r="D7" i="14"/>
  <c r="D29" i="14"/>
  <c r="D25" i="14"/>
  <c r="D21" i="14"/>
  <c r="D17" i="14"/>
  <c r="D13" i="14"/>
  <c r="D9" i="14"/>
  <c r="D5" i="14"/>
  <c r="D27" i="14"/>
  <c r="D19" i="14"/>
  <c r="D11" i="14"/>
  <c r="D22" i="14"/>
  <c r="D18" i="14"/>
  <c r="D14" i="14"/>
  <c r="D26" i="14"/>
  <c r="D10" i="14"/>
  <c r="D6" i="14"/>
  <c r="D26" i="19"/>
  <c r="D22" i="19"/>
  <c r="D18" i="19"/>
  <c r="D14" i="19"/>
  <c r="D10" i="19"/>
  <c r="D6" i="19"/>
  <c r="D29" i="19"/>
  <c r="D21" i="19"/>
  <c r="D13" i="19"/>
  <c r="D5" i="19"/>
  <c r="D27" i="19"/>
  <c r="D23" i="19"/>
  <c r="D19" i="19"/>
  <c r="D15" i="19"/>
  <c r="D11" i="19"/>
  <c r="D7" i="19"/>
  <c r="D25" i="19"/>
  <c r="D17" i="19"/>
  <c r="D9" i="19"/>
  <c r="D20" i="19"/>
  <c r="D4" i="19"/>
  <c r="D16" i="19"/>
  <c r="D28" i="19"/>
  <c r="D12" i="19"/>
  <c r="D24" i="19"/>
  <c r="D8" i="19"/>
  <c r="D24" i="18"/>
  <c r="D20" i="18"/>
  <c r="D16" i="18"/>
  <c r="D12" i="18"/>
  <c r="D8" i="18"/>
  <c r="D4" i="18"/>
  <c r="D19" i="18"/>
  <c r="D11" i="18"/>
  <c r="D25" i="18"/>
  <c r="D21" i="18"/>
  <c r="D17" i="18"/>
  <c r="D13" i="18"/>
  <c r="D9" i="18"/>
  <c r="D5" i="18"/>
  <c r="D23" i="18"/>
  <c r="D15" i="18"/>
  <c r="D7" i="18"/>
  <c r="D14" i="18"/>
  <c r="D10" i="18"/>
  <c r="D22" i="18"/>
  <c r="D6" i="18"/>
  <c r="D18" i="18"/>
  <c r="C6" i="19"/>
  <c r="G19" i="19"/>
  <c r="C27" i="19"/>
  <c r="G18" i="19"/>
  <c r="C5" i="19"/>
  <c r="E7" i="19"/>
  <c r="C13" i="19"/>
  <c r="E15" i="19"/>
  <c r="C21" i="19"/>
  <c r="E23" i="19"/>
  <c r="C29" i="19"/>
  <c r="E5" i="19"/>
  <c r="C15" i="19"/>
  <c r="E17" i="19"/>
  <c r="G23" i="19"/>
  <c r="G22" i="19"/>
  <c r="G4" i="19"/>
  <c r="G12" i="19"/>
  <c r="G20" i="19"/>
  <c r="G28" i="19"/>
  <c r="E24" i="19"/>
  <c r="C10" i="19"/>
  <c r="E12" i="19"/>
  <c r="C26" i="19"/>
  <c r="E28" i="19"/>
  <c r="G5" i="19"/>
  <c r="G13" i="19"/>
  <c r="G21" i="19"/>
  <c r="G29" i="19"/>
  <c r="C7" i="19"/>
  <c r="E9" i="19"/>
  <c r="G15" i="19"/>
  <c r="E25" i="19"/>
  <c r="C14" i="19"/>
  <c r="E16" i="19"/>
  <c r="C8" i="19"/>
  <c r="E10" i="19"/>
  <c r="C16" i="19"/>
  <c r="E18" i="19"/>
  <c r="C24" i="19"/>
  <c r="E26" i="19"/>
  <c r="G6" i="19"/>
  <c r="C11" i="19"/>
  <c r="E13" i="19"/>
  <c r="E29" i="19"/>
  <c r="G10" i="19"/>
  <c r="G26" i="19"/>
  <c r="C9" i="19"/>
  <c r="E11" i="19"/>
  <c r="C17" i="19"/>
  <c r="E19" i="19"/>
  <c r="C25" i="19"/>
  <c r="E27" i="19"/>
  <c r="G7" i="19"/>
  <c r="G14" i="19"/>
  <c r="G8" i="19"/>
  <c r="G16" i="19"/>
  <c r="G24" i="19"/>
  <c r="G11" i="19"/>
  <c r="C19" i="19"/>
  <c r="E21" i="19"/>
  <c r="E4" i="19"/>
  <c r="C18" i="19"/>
  <c r="E20" i="19"/>
  <c r="G9" i="19"/>
  <c r="G17" i="19"/>
  <c r="G25" i="19"/>
  <c r="C23" i="19"/>
  <c r="G27" i="19"/>
  <c r="E8" i="19"/>
  <c r="C22" i="19"/>
  <c r="C4" i="19"/>
  <c r="E6" i="19"/>
  <c r="C12" i="19"/>
  <c r="E14" i="19"/>
  <c r="C20" i="19"/>
  <c r="E22" i="19"/>
  <c r="C28" i="19"/>
  <c r="C4" i="18"/>
  <c r="C8" i="18"/>
  <c r="E10" i="18"/>
  <c r="C16" i="18"/>
  <c r="E18" i="18"/>
  <c r="C24" i="18"/>
  <c r="C7" i="18"/>
  <c r="E9" i="18"/>
  <c r="C15" i="18"/>
  <c r="E17" i="18"/>
  <c r="C23" i="18"/>
  <c r="E25" i="18"/>
  <c r="C10" i="18"/>
  <c r="E12" i="18"/>
  <c r="C18" i="18"/>
  <c r="E20" i="18"/>
  <c r="G9" i="18"/>
  <c r="G17" i="18"/>
  <c r="G25" i="18"/>
  <c r="G8" i="18"/>
  <c r="G16" i="18"/>
  <c r="G24" i="18"/>
  <c r="G7" i="18"/>
  <c r="G15" i="18"/>
  <c r="G23" i="18"/>
  <c r="G10" i="18"/>
  <c r="G18" i="18"/>
  <c r="C5" i="18"/>
  <c r="E7" i="18"/>
  <c r="C13" i="18"/>
  <c r="E15" i="18"/>
  <c r="C21" i="18"/>
  <c r="E23" i="18"/>
  <c r="E4" i="18"/>
  <c r="E6" i="18"/>
  <c r="C12" i="18"/>
  <c r="E14" i="18"/>
  <c r="C20" i="18"/>
  <c r="E22" i="18"/>
  <c r="E5" i="18"/>
  <c r="C11" i="18"/>
  <c r="E13" i="18"/>
  <c r="C19" i="18"/>
  <c r="E21" i="18"/>
  <c r="C6" i="18"/>
  <c r="E8" i="18"/>
  <c r="C14" i="18"/>
  <c r="E16" i="18"/>
  <c r="C22" i="18"/>
  <c r="E24" i="18"/>
  <c r="G5" i="18"/>
  <c r="G13" i="18"/>
  <c r="G21" i="18"/>
  <c r="G4" i="18"/>
  <c r="G12" i="18"/>
  <c r="G20" i="18"/>
  <c r="G11" i="18"/>
  <c r="G19" i="18"/>
  <c r="G6" i="18"/>
  <c r="G14" i="18"/>
  <c r="G22" i="18"/>
  <c r="C9" i="18"/>
  <c r="E11" i="18"/>
  <c r="C17" i="18"/>
  <c r="E19" i="18"/>
  <c r="C25" i="18"/>
  <c r="E23" i="14"/>
  <c r="G23" i="14"/>
  <c r="E12" i="14"/>
  <c r="E28" i="14"/>
  <c r="G8" i="14"/>
  <c r="G24" i="14"/>
  <c r="E15" i="14"/>
  <c r="G27" i="14"/>
  <c r="G15" i="14"/>
  <c r="E21" i="14"/>
  <c r="G17" i="14"/>
  <c r="C4" i="14"/>
  <c r="E18" i="14"/>
  <c r="G14" i="14"/>
  <c r="C25" i="14"/>
  <c r="C27" i="14"/>
  <c r="C13" i="14"/>
  <c r="C10" i="14"/>
  <c r="C26" i="14"/>
  <c r="C19" i="14"/>
  <c r="E16" i="14"/>
  <c r="G12" i="14"/>
  <c r="G28" i="14"/>
  <c r="E27" i="14"/>
  <c r="E5" i="14"/>
  <c r="G19" i="14"/>
  <c r="E29" i="14"/>
  <c r="G21" i="14"/>
  <c r="E6" i="14"/>
  <c r="E22" i="14"/>
  <c r="G18" i="14"/>
  <c r="C8" i="14"/>
  <c r="C12" i="14"/>
  <c r="C21" i="14"/>
  <c r="C7" i="14"/>
  <c r="E4" i="14"/>
  <c r="E20" i="14"/>
  <c r="G16" i="14"/>
  <c r="E13" i="14"/>
  <c r="G9" i="14"/>
  <c r="E11" i="14"/>
  <c r="E9" i="14"/>
  <c r="G5" i="14"/>
  <c r="G29" i="14"/>
  <c r="E10" i="14"/>
  <c r="E26" i="14"/>
  <c r="G6" i="14"/>
  <c r="G22" i="14"/>
  <c r="C9" i="14"/>
  <c r="C16" i="14"/>
  <c r="C20" i="14"/>
  <c r="C29" i="14"/>
  <c r="C18" i="14"/>
  <c r="C11" i="14"/>
  <c r="E7" i="14"/>
  <c r="G11" i="14"/>
  <c r="H29" i="14"/>
  <c r="E8" i="14"/>
  <c r="E24" i="14"/>
  <c r="G20" i="14"/>
  <c r="G7" i="14"/>
  <c r="E25" i="14"/>
  <c r="G25" i="14"/>
  <c r="E19" i="14"/>
  <c r="F29" i="14"/>
  <c r="E17" i="14"/>
  <c r="G13" i="14"/>
  <c r="E14" i="14"/>
  <c r="G10" i="14"/>
  <c r="G26" i="14"/>
  <c r="C17" i="14"/>
  <c r="C24" i="14"/>
  <c r="C28" i="14"/>
  <c r="C6" i="14"/>
  <c r="C22" i="14"/>
  <c r="C15" i="14"/>
  <c r="C14" i="14"/>
  <c r="C23" i="14"/>
  <c r="C5" i="14"/>
  <c r="F29" i="11"/>
  <c r="D29" i="11"/>
  <c r="C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G6" i="11"/>
  <c r="E6" i="11"/>
  <c r="G5" i="11"/>
  <c r="E5" i="11"/>
  <c r="G4" i="11"/>
  <c r="E4" i="11"/>
  <c r="B27" i="23" l="1"/>
  <c r="B23" i="23"/>
  <c r="B19" i="23"/>
  <c r="B15" i="23"/>
  <c r="B11" i="23"/>
  <c r="B7" i="23"/>
  <c r="B26" i="23"/>
  <c r="B22" i="23"/>
  <c r="B18" i="23"/>
  <c r="B14" i="23"/>
  <c r="B10" i="23"/>
  <c r="B6" i="23"/>
  <c r="B29" i="23"/>
  <c r="B25" i="23"/>
  <c r="B21" i="23"/>
  <c r="B17" i="23"/>
  <c r="B13" i="23"/>
  <c r="B9" i="23"/>
  <c r="B5" i="23"/>
  <c r="B28" i="23"/>
  <c r="B24" i="23"/>
  <c r="B20" i="23"/>
  <c r="B16" i="23"/>
  <c r="B12" i="23"/>
  <c r="B8" i="23"/>
  <c r="B4" i="23"/>
  <c r="E29" i="11"/>
  <c r="G29" i="11"/>
  <c r="D28" i="5"/>
  <c r="D29" i="23" l="1"/>
  <c r="D25" i="23"/>
  <c r="D21" i="23"/>
  <c r="D17" i="23"/>
  <c r="D13" i="23"/>
  <c r="D9" i="23"/>
  <c r="D5" i="23"/>
  <c r="D24" i="23"/>
  <c r="D20" i="23"/>
  <c r="D16" i="23"/>
  <c r="D12" i="23"/>
  <c r="D8" i="23"/>
  <c r="D4" i="23"/>
  <c r="D19" i="23"/>
  <c r="D15" i="23"/>
  <c r="D28" i="23"/>
  <c r="D27" i="23"/>
  <c r="D26" i="23"/>
  <c r="D22" i="23"/>
  <c r="D18" i="23"/>
  <c r="D14" i="23"/>
  <c r="D10" i="23"/>
  <c r="D6" i="23"/>
  <c r="D23" i="23"/>
  <c r="D11" i="23"/>
  <c r="D7" i="23"/>
  <c r="G5" i="23"/>
  <c r="F8" i="23"/>
  <c r="C25" i="23"/>
  <c r="E27" i="23"/>
  <c r="C8" i="23"/>
  <c r="H13" i="23"/>
  <c r="G24" i="23"/>
  <c r="F27" i="23"/>
  <c r="E5" i="23"/>
  <c r="C11" i="23"/>
  <c r="E13" i="23"/>
  <c r="C19" i="23"/>
  <c r="E21" i="23"/>
  <c r="C27" i="23"/>
  <c r="E29" i="23"/>
  <c r="H10" i="23"/>
  <c r="G13" i="23"/>
  <c r="F20" i="23"/>
  <c r="H22" i="23"/>
  <c r="G4" i="23"/>
  <c r="G8" i="23"/>
  <c r="F11" i="23"/>
  <c r="C20" i="23"/>
  <c r="E22" i="23"/>
  <c r="E4" i="23"/>
  <c r="C10" i="23"/>
  <c r="E12" i="23"/>
  <c r="C18" i="23"/>
  <c r="E20" i="23"/>
  <c r="C26" i="23"/>
  <c r="E28" i="23"/>
  <c r="F29" i="23"/>
  <c r="F16" i="23"/>
  <c r="H18" i="23"/>
  <c r="G25" i="23"/>
  <c r="F28" i="23"/>
  <c r="C12" i="23"/>
  <c r="E14" i="23"/>
  <c r="H29" i="23"/>
  <c r="F6" i="23"/>
  <c r="H8" i="23"/>
  <c r="G11" i="23"/>
  <c r="F14" i="23"/>
  <c r="H16" i="23"/>
  <c r="G19" i="23"/>
  <c r="F22" i="23"/>
  <c r="H24" i="23"/>
  <c r="G27" i="23"/>
  <c r="C9" i="23"/>
  <c r="E11" i="23"/>
  <c r="C21" i="23"/>
  <c r="E23" i="23"/>
  <c r="F15" i="23"/>
  <c r="H17" i="23"/>
  <c r="G20" i="23"/>
  <c r="C28" i="23"/>
  <c r="F5" i="23"/>
  <c r="H7" i="23"/>
  <c r="G10" i="23"/>
  <c r="F13" i="23"/>
  <c r="H15" i="23"/>
  <c r="G18" i="23"/>
  <c r="F21" i="23"/>
  <c r="H23" i="23"/>
  <c r="G26" i="23"/>
  <c r="H11" i="23"/>
  <c r="H19" i="23"/>
  <c r="G22" i="23"/>
  <c r="H27" i="23"/>
  <c r="F4" i="23"/>
  <c r="H6" i="23"/>
  <c r="C17" i="23"/>
  <c r="E19" i="23"/>
  <c r="G29" i="23"/>
  <c r="G12" i="23"/>
  <c r="F23" i="23"/>
  <c r="H25" i="23"/>
  <c r="C7" i="23"/>
  <c r="E9" i="23"/>
  <c r="C15" i="23"/>
  <c r="E17" i="23"/>
  <c r="C23" i="23"/>
  <c r="E25" i="23"/>
  <c r="G9" i="23"/>
  <c r="F12" i="23"/>
  <c r="H14" i="23"/>
  <c r="G21" i="23"/>
  <c r="C29" i="23"/>
  <c r="H5" i="23"/>
  <c r="H9" i="23"/>
  <c r="C16" i="23"/>
  <c r="E18" i="23"/>
  <c r="G28" i="23"/>
  <c r="C6" i="23"/>
  <c r="E8" i="23"/>
  <c r="C14" i="23"/>
  <c r="E16" i="23"/>
  <c r="C22" i="23"/>
  <c r="E24" i="23"/>
  <c r="C5" i="23"/>
  <c r="E7" i="23"/>
  <c r="G17" i="23"/>
  <c r="F24" i="23"/>
  <c r="H26" i="23"/>
  <c r="F7" i="23"/>
  <c r="C24" i="23"/>
  <c r="E26" i="23"/>
  <c r="H4" i="23"/>
  <c r="G7" i="23"/>
  <c r="F10" i="23"/>
  <c r="H12" i="23"/>
  <c r="G15" i="23"/>
  <c r="F18" i="23"/>
  <c r="H20" i="23"/>
  <c r="G23" i="23"/>
  <c r="F26" i="23"/>
  <c r="H28" i="23"/>
  <c r="C13" i="23"/>
  <c r="E15" i="23"/>
  <c r="C4" i="23"/>
  <c r="E6" i="23"/>
  <c r="E10" i="23"/>
  <c r="G16" i="23"/>
  <c r="F19" i="23"/>
  <c r="H21" i="23"/>
  <c r="G6" i="23"/>
  <c r="F9" i="23"/>
  <c r="G14" i="23"/>
  <c r="F17" i="23"/>
  <c r="F25" i="23"/>
  <c r="F28" i="5" l="1"/>
  <c r="J4" i="10" l="1"/>
  <c r="J3" i="10"/>
  <c r="D28" i="4"/>
  <c r="F28" i="4"/>
  <c r="C28" i="5"/>
  <c r="B27" i="21" l="1"/>
  <c r="B23" i="21"/>
  <c r="B19" i="21"/>
  <c r="B15" i="21"/>
  <c r="B11" i="21"/>
  <c r="B7" i="21"/>
  <c r="B26" i="21"/>
  <c r="B22" i="21"/>
  <c r="B18" i="21"/>
  <c r="B14" i="21"/>
  <c r="B10" i="21"/>
  <c r="B6" i="21"/>
  <c r="B29" i="21"/>
  <c r="B25" i="21"/>
  <c r="B21" i="21"/>
  <c r="B17" i="21"/>
  <c r="B13" i="21"/>
  <c r="B9" i="21"/>
  <c r="B5" i="21"/>
  <c r="B28" i="21"/>
  <c r="B24" i="21"/>
  <c r="B20" i="21"/>
  <c r="B16" i="21"/>
  <c r="B12" i="21"/>
  <c r="B8" i="21"/>
  <c r="B4" i="21"/>
  <c r="B27" i="20"/>
  <c r="B23" i="20"/>
  <c r="B19" i="20"/>
  <c r="B15" i="20"/>
  <c r="B11" i="20"/>
  <c r="B7" i="20"/>
  <c r="B26" i="20"/>
  <c r="B22" i="20"/>
  <c r="B18" i="20"/>
  <c r="B14" i="20"/>
  <c r="B10" i="20"/>
  <c r="B6" i="20"/>
  <c r="B29" i="20"/>
  <c r="B25" i="20"/>
  <c r="B21" i="20"/>
  <c r="B17" i="20"/>
  <c r="B13" i="20"/>
  <c r="B9" i="20"/>
  <c r="B5" i="20"/>
  <c r="B28" i="20"/>
  <c r="B24" i="20"/>
  <c r="B20" i="20"/>
  <c r="B16" i="20"/>
  <c r="B12" i="20"/>
  <c r="B8" i="20"/>
  <c r="B4" i="20"/>
  <c r="D29" i="21" l="1"/>
  <c r="D25" i="21"/>
  <c r="D21" i="21"/>
  <c r="D17" i="21"/>
  <c r="D13" i="21"/>
  <c r="D9" i="21"/>
  <c r="D5" i="21"/>
  <c r="D28" i="21"/>
  <c r="D20" i="21"/>
  <c r="D12" i="21"/>
  <c r="D26" i="21"/>
  <c r="D22" i="21"/>
  <c r="D18" i="21"/>
  <c r="D14" i="21"/>
  <c r="D10" i="21"/>
  <c r="D6" i="21"/>
  <c r="D24" i="21"/>
  <c r="D16" i="21"/>
  <c r="D8" i="21"/>
  <c r="D4" i="21"/>
  <c r="D15" i="21"/>
  <c r="D27" i="21"/>
  <c r="D11" i="21"/>
  <c r="D23" i="21"/>
  <c r="D7" i="21"/>
  <c r="D19" i="21"/>
  <c r="D28" i="20"/>
  <c r="D24" i="20"/>
  <c r="D20" i="20"/>
  <c r="D16" i="20"/>
  <c r="D12" i="20"/>
  <c r="D8" i="20"/>
  <c r="D4" i="20"/>
  <c r="D27" i="20"/>
  <c r="D19" i="20"/>
  <c r="D11" i="20"/>
  <c r="D29" i="20"/>
  <c r="D25" i="20"/>
  <c r="D21" i="20"/>
  <c r="D17" i="20"/>
  <c r="D13" i="20"/>
  <c r="D9" i="20"/>
  <c r="D5" i="20"/>
  <c r="D23" i="20"/>
  <c r="D15" i="20"/>
  <c r="D7" i="20"/>
  <c r="D26" i="20"/>
  <c r="D10" i="20"/>
  <c r="D22" i="20"/>
  <c r="D6" i="20"/>
  <c r="D18" i="20"/>
  <c r="G29" i="20"/>
  <c r="D14" i="20"/>
  <c r="E5" i="21"/>
  <c r="E20" i="21"/>
  <c r="C11" i="21"/>
  <c r="E13" i="21"/>
  <c r="C23" i="21"/>
  <c r="G27" i="21"/>
  <c r="G14" i="21"/>
  <c r="G26" i="21"/>
  <c r="C9" i="21"/>
  <c r="E11" i="21"/>
  <c r="C17" i="21"/>
  <c r="E19" i="21"/>
  <c r="C25" i="21"/>
  <c r="E27" i="21"/>
  <c r="C19" i="21"/>
  <c r="E21" i="21"/>
  <c r="C18" i="21"/>
  <c r="C4" i="21"/>
  <c r="E6" i="21"/>
  <c r="C12" i="21"/>
  <c r="E14" i="21"/>
  <c r="C20" i="21"/>
  <c r="E22" i="21"/>
  <c r="C28" i="21"/>
  <c r="E4" i="21"/>
  <c r="G11" i="21"/>
  <c r="G23" i="21"/>
  <c r="E29" i="21"/>
  <c r="C22" i="21"/>
  <c r="E24" i="21"/>
  <c r="G9" i="21"/>
  <c r="G17" i="21"/>
  <c r="G25" i="21"/>
  <c r="G19" i="21"/>
  <c r="C27" i="21"/>
  <c r="C10" i="21"/>
  <c r="E12" i="21"/>
  <c r="G18" i="21"/>
  <c r="G4" i="21"/>
  <c r="G12" i="21"/>
  <c r="G20" i="21"/>
  <c r="G28" i="21"/>
  <c r="C15" i="21"/>
  <c r="E17" i="21"/>
  <c r="E25" i="21"/>
  <c r="C6" i="21"/>
  <c r="E8" i="21"/>
  <c r="G22" i="21"/>
  <c r="C5" i="21"/>
  <c r="E7" i="21"/>
  <c r="C13" i="21"/>
  <c r="E15" i="21"/>
  <c r="C21" i="21"/>
  <c r="E23" i="21"/>
  <c r="C29" i="21"/>
  <c r="C7" i="21"/>
  <c r="E9" i="21"/>
  <c r="G10" i="21"/>
  <c r="C8" i="21"/>
  <c r="E10" i="21"/>
  <c r="C16" i="21"/>
  <c r="E18" i="21"/>
  <c r="C24" i="21"/>
  <c r="E26" i="21"/>
  <c r="G15" i="21"/>
  <c r="G6" i="21"/>
  <c r="C14" i="21"/>
  <c r="E16" i="21"/>
  <c r="C26" i="21"/>
  <c r="E28" i="21"/>
  <c r="G5" i="21"/>
  <c r="G13" i="21"/>
  <c r="G21" i="21"/>
  <c r="G29" i="21"/>
  <c r="G7" i="21"/>
  <c r="G8" i="21"/>
  <c r="G16" i="21"/>
  <c r="G24" i="21"/>
  <c r="C7" i="20"/>
  <c r="E9" i="20"/>
  <c r="C15" i="20"/>
  <c r="E17" i="20"/>
  <c r="C23" i="20"/>
  <c r="E25" i="20"/>
  <c r="G10" i="20"/>
  <c r="G18" i="20"/>
  <c r="G26" i="20"/>
  <c r="C9" i="20"/>
  <c r="E11" i="20"/>
  <c r="C17" i="20"/>
  <c r="E19" i="20"/>
  <c r="C25" i="20"/>
  <c r="E27" i="20"/>
  <c r="C4" i="20"/>
  <c r="E6" i="20"/>
  <c r="C12" i="20"/>
  <c r="E14" i="20"/>
  <c r="C20" i="20"/>
  <c r="E22" i="20"/>
  <c r="C28" i="20"/>
  <c r="G7" i="20"/>
  <c r="G15" i="20"/>
  <c r="G23" i="20"/>
  <c r="C6" i="20"/>
  <c r="E8" i="20"/>
  <c r="C14" i="20"/>
  <c r="E16" i="20"/>
  <c r="C22" i="20"/>
  <c r="E24" i="20"/>
  <c r="G9" i="20"/>
  <c r="G17" i="20"/>
  <c r="G25" i="20"/>
  <c r="G4" i="20"/>
  <c r="G12" i="20"/>
  <c r="G20" i="20"/>
  <c r="G28" i="20"/>
  <c r="E5" i="20"/>
  <c r="C11" i="20"/>
  <c r="E13" i="20"/>
  <c r="C19" i="20"/>
  <c r="E21" i="20"/>
  <c r="C27" i="20"/>
  <c r="E29" i="20"/>
  <c r="G6" i="20"/>
  <c r="G14" i="20"/>
  <c r="G22" i="20"/>
  <c r="C5" i="20"/>
  <c r="E7" i="20"/>
  <c r="C13" i="20"/>
  <c r="E15" i="20"/>
  <c r="C21" i="20"/>
  <c r="E23" i="20"/>
  <c r="C29" i="20"/>
  <c r="C8" i="20"/>
  <c r="E10" i="20"/>
  <c r="C16" i="20"/>
  <c r="E18" i="20"/>
  <c r="C24" i="20"/>
  <c r="E26" i="20"/>
  <c r="G11" i="20"/>
  <c r="G19" i="20"/>
  <c r="G27" i="20"/>
  <c r="E4" i="20"/>
  <c r="C10" i="20"/>
  <c r="E12" i="20"/>
  <c r="C18" i="20"/>
  <c r="E20" i="20"/>
  <c r="C26" i="20"/>
  <c r="E28" i="20"/>
  <c r="G5" i="20"/>
  <c r="G13" i="20"/>
  <c r="G21" i="20"/>
  <c r="G8" i="20"/>
  <c r="G16" i="20"/>
  <c r="G24" i="20"/>
  <c r="K23" i="2"/>
  <c r="K10" i="2"/>
  <c r="J2" i="2"/>
  <c r="J2" i="10"/>
  <c r="G4" i="1" l="1"/>
  <c r="H24" i="14" s="1"/>
  <c r="G3" i="1"/>
  <c r="H5" i="14" s="1"/>
  <c r="E5" i="1"/>
  <c r="E4" i="1"/>
  <c r="F24" i="14" s="1"/>
  <c r="E3" i="1"/>
  <c r="F5" i="14" s="1"/>
  <c r="G27" i="6" l="1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27" i="5"/>
  <c r="G26" i="5"/>
  <c r="H28" i="21" s="1"/>
  <c r="G25" i="5"/>
  <c r="G24" i="5"/>
  <c r="G23" i="5"/>
  <c r="H7" i="21" s="1"/>
  <c r="G22" i="5"/>
  <c r="G21" i="5"/>
  <c r="G20" i="5"/>
  <c r="G19" i="5"/>
  <c r="H27" i="21" s="1"/>
  <c r="G18" i="5"/>
  <c r="G17" i="5"/>
  <c r="G16" i="5"/>
  <c r="G15" i="5"/>
  <c r="G14" i="5"/>
  <c r="G13" i="5"/>
  <c r="G12" i="5"/>
  <c r="G11" i="5"/>
  <c r="G10" i="5"/>
  <c r="G9" i="5"/>
  <c r="G8" i="5"/>
  <c r="H9" i="21" s="1"/>
  <c r="G7" i="5"/>
  <c r="H25" i="21" s="1"/>
  <c r="G6" i="5"/>
  <c r="H26" i="21" s="1"/>
  <c r="G5" i="5"/>
  <c r="G4" i="5"/>
  <c r="H24" i="21" s="1"/>
  <c r="G3" i="5"/>
  <c r="H5" i="21" s="1"/>
  <c r="E27" i="5"/>
  <c r="E26" i="5"/>
  <c r="F28" i="21" s="1"/>
  <c r="E25" i="5"/>
  <c r="E24" i="5"/>
  <c r="E23" i="5"/>
  <c r="E22" i="5"/>
  <c r="E21" i="5"/>
  <c r="E20" i="5"/>
  <c r="E19" i="5"/>
  <c r="F27" i="21" s="1"/>
  <c r="E18" i="5"/>
  <c r="E17" i="5"/>
  <c r="E16" i="5"/>
  <c r="E15" i="5"/>
  <c r="E14" i="5"/>
  <c r="E13" i="5"/>
  <c r="E12" i="5"/>
  <c r="E11" i="5"/>
  <c r="E10" i="5"/>
  <c r="E9" i="5"/>
  <c r="E8" i="5"/>
  <c r="F9" i="21" s="1"/>
  <c r="E7" i="5"/>
  <c r="F25" i="21" s="1"/>
  <c r="E6" i="5"/>
  <c r="F26" i="21" s="1"/>
  <c r="E5" i="5"/>
  <c r="E4" i="5"/>
  <c r="F24" i="21" s="1"/>
  <c r="E3" i="5"/>
  <c r="F5" i="21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27" i="20" s="1"/>
  <c r="G5" i="4"/>
  <c r="G4" i="4"/>
  <c r="G3" i="4"/>
  <c r="H6" i="20" s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F25" i="20" s="1"/>
  <c r="E6" i="4"/>
  <c r="E5" i="4"/>
  <c r="E4" i="4"/>
  <c r="E3" i="4"/>
  <c r="F6" i="20" s="1"/>
  <c r="G22" i="3"/>
  <c r="G27" i="3"/>
  <c r="G26" i="3"/>
  <c r="H28" i="19" s="1"/>
  <c r="G25" i="3"/>
  <c r="G24" i="3"/>
  <c r="G23" i="3"/>
  <c r="H7" i="19" s="1"/>
  <c r="G21" i="3"/>
  <c r="G20" i="3"/>
  <c r="G19" i="3"/>
  <c r="H27" i="19" s="1"/>
  <c r="G18" i="3"/>
  <c r="G17" i="3"/>
  <c r="H23" i="19" s="1"/>
  <c r="G16" i="3"/>
  <c r="G15" i="3"/>
  <c r="G14" i="3"/>
  <c r="G13" i="3"/>
  <c r="G12" i="3"/>
  <c r="G11" i="3"/>
  <c r="H19" i="19" s="1"/>
  <c r="G10" i="3"/>
  <c r="G9" i="3"/>
  <c r="H8" i="19" s="1"/>
  <c r="G8" i="3"/>
  <c r="G7" i="3"/>
  <c r="H25" i="19" s="1"/>
  <c r="G6" i="3"/>
  <c r="G5" i="3"/>
  <c r="G4" i="3"/>
  <c r="H24" i="19" s="1"/>
  <c r="G3" i="3"/>
  <c r="E27" i="3"/>
  <c r="E26" i="3"/>
  <c r="F28" i="19" s="1"/>
  <c r="E25" i="3"/>
  <c r="E24" i="3"/>
  <c r="E23" i="3"/>
  <c r="F7" i="19" s="1"/>
  <c r="E22" i="3"/>
  <c r="E21" i="3"/>
  <c r="E20" i="3"/>
  <c r="E19" i="3"/>
  <c r="F27" i="19" s="1"/>
  <c r="E18" i="3"/>
  <c r="E17" i="3"/>
  <c r="F23" i="19" s="1"/>
  <c r="E16" i="3"/>
  <c r="E15" i="3"/>
  <c r="E14" i="3"/>
  <c r="E13" i="3"/>
  <c r="E12" i="3"/>
  <c r="E11" i="3"/>
  <c r="E10" i="3"/>
  <c r="F12" i="19" s="1"/>
  <c r="E9" i="3"/>
  <c r="E8" i="3"/>
  <c r="F9" i="19" s="1"/>
  <c r="E7" i="3"/>
  <c r="E6" i="3"/>
  <c r="F26" i="19" s="1"/>
  <c r="E5" i="3"/>
  <c r="E4" i="3"/>
  <c r="F24" i="19" s="1"/>
  <c r="E3" i="3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J26" i="2"/>
  <c r="J25" i="2"/>
  <c r="G27" i="1"/>
  <c r="H6" i="14" s="1"/>
  <c r="G26" i="1"/>
  <c r="H28" i="14" s="1"/>
  <c r="G25" i="1"/>
  <c r="G24" i="1"/>
  <c r="H4" i="14" s="1"/>
  <c r="G23" i="1"/>
  <c r="E27" i="1"/>
  <c r="F6" i="14" s="1"/>
  <c r="G22" i="1"/>
  <c r="G21" i="1"/>
  <c r="H12" i="14" s="1"/>
  <c r="G20" i="1"/>
  <c r="G19" i="1"/>
  <c r="H27" i="14" s="1"/>
  <c r="G18" i="1"/>
  <c r="G17" i="1"/>
  <c r="G16" i="1"/>
  <c r="G15" i="1"/>
  <c r="G14" i="1"/>
  <c r="G13" i="1"/>
  <c r="G12" i="1"/>
  <c r="G11" i="1"/>
  <c r="G10" i="1"/>
  <c r="G9" i="1"/>
  <c r="G8" i="1"/>
  <c r="G7" i="1"/>
  <c r="H25" i="14" s="1"/>
  <c r="G6" i="1"/>
  <c r="H26" i="14" s="1"/>
  <c r="G5" i="1"/>
  <c r="E26" i="1"/>
  <c r="F28" i="14" s="1"/>
  <c r="E25" i="1"/>
  <c r="E24" i="1"/>
  <c r="F4" i="14" s="1"/>
  <c r="E23" i="1"/>
  <c r="E22" i="1"/>
  <c r="E21" i="1"/>
  <c r="F12" i="14" s="1"/>
  <c r="E20" i="1"/>
  <c r="E19" i="1"/>
  <c r="F27" i="14" s="1"/>
  <c r="E18" i="1"/>
  <c r="E17" i="1"/>
  <c r="E16" i="1"/>
  <c r="E15" i="1"/>
  <c r="E14" i="1"/>
  <c r="F16" i="14" s="1"/>
  <c r="E13" i="1"/>
  <c r="E12" i="1"/>
  <c r="E11" i="1"/>
  <c r="E10" i="1"/>
  <c r="E9" i="1"/>
  <c r="E8" i="1"/>
  <c r="E7" i="1"/>
  <c r="F25" i="14" s="1"/>
  <c r="E6" i="1"/>
  <c r="F26" i="14" s="1"/>
  <c r="F25" i="19" l="1"/>
  <c r="F19" i="19"/>
  <c r="H26" i="19"/>
  <c r="F8" i="19"/>
  <c r="H9" i="19"/>
  <c r="F7" i="21"/>
  <c r="F6" i="21"/>
  <c r="H8" i="21"/>
  <c r="H6" i="21"/>
  <c r="H12" i="19"/>
  <c r="F8" i="21"/>
  <c r="F18" i="19"/>
  <c r="H18" i="19"/>
  <c r="F15" i="19"/>
  <c r="H11" i="19"/>
  <c r="F11" i="19"/>
  <c r="H15" i="19"/>
  <c r="F13" i="20"/>
  <c r="F10" i="21"/>
  <c r="H10" i="21"/>
  <c r="F11" i="21"/>
  <c r="H11" i="21"/>
  <c r="H20" i="19"/>
  <c r="H23" i="14"/>
  <c r="E28" i="6"/>
  <c r="F16" i="20"/>
  <c r="F27" i="20"/>
  <c r="F26" i="20"/>
  <c r="H13" i="20"/>
  <c r="F5" i="20"/>
  <c r="H26" i="20"/>
  <c r="H25" i="20"/>
  <c r="H5" i="20"/>
  <c r="F6" i="19"/>
  <c r="E28" i="3"/>
  <c r="F20" i="19"/>
  <c r="H21" i="19"/>
  <c r="F23" i="14"/>
  <c r="G28" i="6"/>
  <c r="G28" i="3"/>
  <c r="H11" i="14"/>
  <c r="F11" i="14"/>
  <c r="F17" i="20"/>
  <c r="H21" i="18"/>
  <c r="F12" i="18"/>
  <c r="F16" i="18"/>
  <c r="F18" i="18"/>
  <c r="F5" i="18"/>
  <c r="H23" i="18"/>
  <c r="H6" i="18"/>
  <c r="F20" i="18"/>
  <c r="F23" i="18"/>
  <c r="F6" i="18"/>
  <c r="H22" i="18"/>
  <c r="H15" i="18"/>
  <c r="H24" i="18"/>
  <c r="F10" i="20"/>
  <c r="F19" i="18"/>
  <c r="H12" i="18"/>
  <c r="H16" i="18"/>
  <c r="H18" i="18"/>
  <c r="H5" i="18"/>
  <c r="F22" i="18"/>
  <c r="F15" i="18"/>
  <c r="F24" i="18"/>
  <c r="H20" i="18"/>
  <c r="H14" i="18"/>
  <c r="H19" i="18"/>
  <c r="F14" i="18"/>
  <c r="F21" i="18"/>
  <c r="H21" i="21"/>
  <c r="H17" i="21"/>
  <c r="H22" i="14"/>
  <c r="H7" i="14"/>
  <c r="F13" i="18"/>
  <c r="H13" i="18"/>
  <c r="F22" i="14"/>
  <c r="F7" i="14"/>
  <c r="F8" i="20"/>
  <c r="H7" i="20"/>
  <c r="H17" i="19"/>
  <c r="F16" i="19"/>
  <c r="H16" i="21"/>
  <c r="F17" i="21"/>
  <c r="F23" i="21"/>
  <c r="H12" i="21"/>
  <c r="F16" i="21"/>
  <c r="F7" i="20"/>
  <c r="H16" i="19"/>
  <c r="H5" i="19"/>
  <c r="F17" i="19"/>
  <c r="H7" i="18"/>
  <c r="F7" i="18"/>
  <c r="F19" i="14"/>
  <c r="H13" i="14"/>
  <c r="F14" i="14"/>
  <c r="F21" i="19"/>
  <c r="F10" i="18"/>
  <c r="F10" i="14"/>
  <c r="H14" i="20"/>
  <c r="F15" i="20"/>
  <c r="H23" i="21"/>
  <c r="H11" i="20"/>
  <c r="F24" i="20"/>
  <c r="H21" i="20"/>
  <c r="H20" i="20"/>
  <c r="H16" i="20"/>
  <c r="F10" i="19"/>
  <c r="H22" i="19"/>
  <c r="H10" i="19"/>
  <c r="F22" i="19"/>
  <c r="H10" i="18"/>
  <c r="F11" i="18"/>
  <c r="H11" i="18"/>
  <c r="F9" i="18"/>
  <c r="H9" i="18"/>
  <c r="H16" i="14"/>
  <c r="F18" i="14"/>
  <c r="F15" i="14"/>
  <c r="H19" i="14"/>
  <c r="H10" i="14"/>
  <c r="H14" i="21"/>
  <c r="F15" i="21"/>
  <c r="H15" i="20"/>
  <c r="F14" i="20"/>
  <c r="H15" i="14"/>
  <c r="H17" i="14"/>
  <c r="F14" i="21"/>
  <c r="F20" i="21"/>
  <c r="H15" i="21"/>
  <c r="H20" i="21"/>
  <c r="H12" i="20"/>
  <c r="F12" i="20"/>
  <c r="H13" i="19"/>
  <c r="F17" i="18"/>
  <c r="H8" i="18"/>
  <c r="F8" i="18"/>
  <c r="H17" i="18"/>
  <c r="F17" i="14"/>
  <c r="H14" i="14"/>
  <c r="H18" i="14"/>
  <c r="F13" i="14"/>
  <c r="F22" i="21"/>
  <c r="F13" i="21"/>
  <c r="F18" i="21"/>
  <c r="F22" i="20"/>
  <c r="H9" i="20"/>
  <c r="H18" i="20"/>
  <c r="H23" i="20"/>
  <c r="F14" i="19"/>
  <c r="F8" i="14"/>
  <c r="F21" i="14"/>
  <c r="F5" i="19"/>
  <c r="H6" i="19"/>
  <c r="F13" i="19"/>
  <c r="H14" i="19"/>
  <c r="F23" i="20"/>
  <c r="F9" i="20"/>
  <c r="F18" i="20"/>
  <c r="F19" i="20"/>
  <c r="H8" i="20"/>
  <c r="H17" i="20"/>
  <c r="H24" i="20"/>
  <c r="H10" i="20"/>
  <c r="H19" i="20"/>
  <c r="F21" i="20"/>
  <c r="F11" i="20"/>
  <c r="F20" i="20"/>
  <c r="H22" i="20"/>
  <c r="H19" i="21"/>
  <c r="H18" i="21"/>
  <c r="F19" i="21"/>
  <c r="F12" i="21"/>
  <c r="F21" i="21"/>
  <c r="H22" i="21"/>
  <c r="H13" i="21"/>
  <c r="H9" i="14"/>
  <c r="H20" i="14"/>
  <c r="F9" i="14"/>
  <c r="F20" i="14"/>
  <c r="H8" i="14"/>
  <c r="H21" i="14"/>
  <c r="G24" i="2"/>
  <c r="E24" i="2"/>
  <c r="E28" i="4"/>
  <c r="F28" i="20" s="1"/>
  <c r="E28" i="5"/>
  <c r="G28" i="5"/>
  <c r="G28" i="4"/>
  <c r="H28" i="20" s="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F4" i="21" l="1"/>
  <c r="F29" i="21"/>
  <c r="H4" i="21"/>
  <c r="H29" i="21"/>
  <c r="H4" i="19"/>
  <c r="H29" i="19"/>
  <c r="F4" i="19"/>
  <c r="F29" i="19"/>
  <c r="H4" i="18"/>
  <c r="H25" i="18"/>
  <c r="F4" i="18"/>
  <c r="F25" i="18"/>
  <c r="F4" i="20"/>
  <c r="F29" i="20"/>
  <c r="H4" i="20"/>
  <c r="H29" i="20"/>
  <c r="L4" i="10"/>
  <c r="L8" i="10"/>
  <c r="L12" i="10"/>
  <c r="L16" i="10"/>
  <c r="L20" i="10"/>
  <c r="L24" i="10"/>
  <c r="L5" i="10"/>
  <c r="L9" i="10"/>
  <c r="L13" i="10"/>
  <c r="L17" i="10"/>
  <c r="L21" i="10"/>
  <c r="L25" i="10"/>
  <c r="L6" i="10"/>
  <c r="L10" i="10"/>
  <c r="L14" i="10"/>
  <c r="L18" i="10"/>
  <c r="L22" i="10"/>
  <c r="L26" i="10"/>
  <c r="L3" i="10"/>
  <c r="L7" i="10"/>
  <c r="L11" i="10"/>
  <c r="L15" i="10"/>
  <c r="L19" i="10"/>
  <c r="L23" i="10"/>
  <c r="L27" i="10"/>
  <c r="K28" i="10"/>
  <c r="J28" i="10"/>
  <c r="L28" i="10" l="1"/>
  <c r="B27" i="22" l="1"/>
  <c r="B23" i="22"/>
  <c r="B19" i="22"/>
  <c r="B15" i="22"/>
  <c r="B11" i="22"/>
  <c r="B7" i="22"/>
  <c r="B26" i="22"/>
  <c r="B22" i="22"/>
  <c r="B18" i="22"/>
  <c r="B14" i="22"/>
  <c r="B10" i="22"/>
  <c r="B6" i="22"/>
  <c r="B29" i="22"/>
  <c r="B25" i="22"/>
  <c r="B21" i="22"/>
  <c r="B17" i="22"/>
  <c r="B13" i="22"/>
  <c r="B9" i="22"/>
  <c r="B5" i="22"/>
  <c r="B28" i="22"/>
  <c r="B24" i="22"/>
  <c r="B20" i="22"/>
  <c r="B16" i="22"/>
  <c r="B12" i="22"/>
  <c r="B8" i="22"/>
  <c r="B4" i="22"/>
  <c r="K3" i="2"/>
  <c r="D27" i="22" l="1"/>
  <c r="D23" i="22"/>
  <c r="D19" i="22"/>
  <c r="D15" i="22"/>
  <c r="D11" i="22"/>
  <c r="D7" i="22"/>
  <c r="D26" i="22"/>
  <c r="D18" i="22"/>
  <c r="D14" i="22"/>
  <c r="D10" i="22"/>
  <c r="D29" i="22"/>
  <c r="D25" i="22"/>
  <c r="D28" i="22"/>
  <c r="D24" i="22"/>
  <c r="D20" i="22"/>
  <c r="D16" i="22"/>
  <c r="D12" i="22"/>
  <c r="D8" i="22"/>
  <c r="D4" i="22"/>
  <c r="D22" i="22"/>
  <c r="D6" i="22"/>
  <c r="D21" i="22"/>
  <c r="D5" i="22"/>
  <c r="D17" i="22"/>
  <c r="D13" i="22"/>
  <c r="D9" i="22"/>
  <c r="E24" i="22"/>
  <c r="F6" i="22"/>
  <c r="H8" i="22"/>
  <c r="C23" i="22"/>
  <c r="E25" i="22"/>
  <c r="E29" i="22"/>
  <c r="G6" i="22"/>
  <c r="F9" i="22"/>
  <c r="G18" i="22"/>
  <c r="F25" i="22"/>
  <c r="H27" i="22"/>
  <c r="C5" i="22"/>
  <c r="E7" i="22"/>
  <c r="C13" i="22"/>
  <c r="E15" i="22"/>
  <c r="C21" i="22"/>
  <c r="E23" i="22"/>
  <c r="C29" i="22"/>
  <c r="G11" i="22"/>
  <c r="G15" i="22"/>
  <c r="F18" i="22"/>
  <c r="H20" i="22"/>
  <c r="F21" i="22"/>
  <c r="H23" i="22"/>
  <c r="H5" i="22"/>
  <c r="G8" i="22"/>
  <c r="F11" i="22"/>
  <c r="H13" i="22"/>
  <c r="G16" i="22"/>
  <c r="F19" i="22"/>
  <c r="H21" i="22"/>
  <c r="G24" i="22"/>
  <c r="F27" i="22"/>
  <c r="H29" i="22"/>
  <c r="C7" i="22"/>
  <c r="E9" i="22"/>
  <c r="G23" i="22"/>
  <c r="F26" i="22"/>
  <c r="E4" i="22"/>
  <c r="G10" i="22"/>
  <c r="C26" i="22"/>
  <c r="E28" i="22"/>
  <c r="G5" i="22"/>
  <c r="F8" i="22"/>
  <c r="H10" i="22"/>
  <c r="G13" i="22"/>
  <c r="F16" i="22"/>
  <c r="H18" i="22"/>
  <c r="G21" i="22"/>
  <c r="F24" i="22"/>
  <c r="H26" i="22"/>
  <c r="G29" i="22"/>
  <c r="E13" i="22"/>
  <c r="C19" i="22"/>
  <c r="E21" i="22"/>
  <c r="F13" i="22"/>
  <c r="H15" i="22"/>
  <c r="C22" i="22"/>
  <c r="C4" i="22"/>
  <c r="E6" i="22"/>
  <c r="C12" i="22"/>
  <c r="E14" i="22"/>
  <c r="C20" i="22"/>
  <c r="E22" i="22"/>
  <c r="C28" i="22"/>
  <c r="H4" i="22"/>
  <c r="H28" i="22"/>
  <c r="G7" i="22"/>
  <c r="F10" i="22"/>
  <c r="G27" i="22"/>
  <c r="F5" i="22"/>
  <c r="H7" i="22"/>
  <c r="H11" i="22"/>
  <c r="H19" i="22"/>
  <c r="G26" i="22"/>
  <c r="F29" i="22"/>
  <c r="C9" i="22"/>
  <c r="E11" i="22"/>
  <c r="C17" i="22"/>
  <c r="E19" i="22"/>
  <c r="C25" i="22"/>
  <c r="E27" i="22"/>
  <c r="E5" i="22"/>
  <c r="F14" i="22"/>
  <c r="H16" i="22"/>
  <c r="G19" i="22"/>
  <c r="C27" i="22"/>
  <c r="C14" i="22"/>
  <c r="E16" i="22"/>
  <c r="G22" i="22"/>
  <c r="G4" i="22"/>
  <c r="F7" i="22"/>
  <c r="H9" i="22"/>
  <c r="G12" i="22"/>
  <c r="F15" i="22"/>
  <c r="H17" i="22"/>
  <c r="G20" i="22"/>
  <c r="F23" i="22"/>
  <c r="H25" i="22"/>
  <c r="G28" i="22"/>
  <c r="E12" i="22"/>
  <c r="H12" i="22"/>
  <c r="F22" i="22"/>
  <c r="H24" i="22"/>
  <c r="C6" i="22"/>
  <c r="E8" i="22"/>
  <c r="C18" i="22"/>
  <c r="E20" i="22"/>
  <c r="F4" i="22"/>
  <c r="H6" i="22"/>
  <c r="G9" i="22"/>
  <c r="F12" i="22"/>
  <c r="H14" i="22"/>
  <c r="G17" i="22"/>
  <c r="F20" i="22"/>
  <c r="H22" i="22"/>
  <c r="G25" i="22"/>
  <c r="F28" i="22"/>
  <c r="C11" i="22"/>
  <c r="C15" i="22"/>
  <c r="E17" i="22"/>
  <c r="C10" i="22"/>
  <c r="G14" i="22"/>
  <c r="F17" i="22"/>
  <c r="C8" i="22"/>
  <c r="E10" i="22"/>
  <c r="C16" i="22"/>
  <c r="E18" i="22"/>
  <c r="C24" i="22"/>
  <c r="E26" i="22"/>
  <c r="K2" i="2"/>
  <c r="J3" i="2" l="1"/>
  <c r="L3" i="2" s="1"/>
  <c r="K22" i="2" l="1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28" i="2" l="1"/>
  <c r="J27" i="2"/>
  <c r="J24" i="2"/>
  <c r="J23" i="2"/>
  <c r="L23" i="2" s="1"/>
  <c r="J22" i="2"/>
  <c r="L22" i="2" s="1"/>
  <c r="J21" i="2"/>
  <c r="L21" i="2" s="1"/>
  <c r="J20" i="2"/>
  <c r="L20" i="2" s="1"/>
  <c r="J19" i="2"/>
  <c r="L19" i="2" s="1"/>
  <c r="J18" i="2"/>
  <c r="L18" i="2" s="1"/>
  <c r="J17" i="2"/>
  <c r="L17" i="2" s="1"/>
  <c r="J16" i="2"/>
  <c r="L16" i="2" s="1"/>
  <c r="J15" i="2"/>
  <c r="L15" i="2" s="1"/>
  <c r="J14" i="2"/>
  <c r="L14" i="2" s="1"/>
  <c r="J13" i="2"/>
  <c r="L13" i="2" s="1"/>
  <c r="J12" i="2"/>
  <c r="L12" i="2" s="1"/>
  <c r="J11" i="2"/>
  <c r="L11" i="2" s="1"/>
  <c r="J10" i="2"/>
  <c r="L10" i="2" s="1"/>
  <c r="J9" i="2"/>
  <c r="L9" i="2" s="1"/>
  <c r="J8" i="2"/>
  <c r="L8" i="2" s="1"/>
  <c r="J7" i="2"/>
  <c r="L7" i="2" s="1"/>
  <c r="J6" i="2"/>
  <c r="L6" i="2" s="1"/>
  <c r="J5" i="2"/>
  <c r="L5" i="2" s="1"/>
  <c r="J4" i="2"/>
  <c r="L4" i="2" s="1"/>
  <c r="J28" i="2" l="1"/>
  <c r="L28" i="2" s="1"/>
</calcChain>
</file>

<file path=xl/sharedStrings.xml><?xml version="1.0" encoding="utf-8"?>
<sst xmlns="http://schemas.openxmlformats.org/spreadsheetml/2006/main" count="409" uniqueCount="124">
  <si>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</si>
  <si>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</si>
  <si>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</si>
  <si>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</si>
  <si>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</si>
  <si>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</si>
  <si>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</si>
  <si>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</si>
  <si>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</si>
  <si>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</si>
  <si>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</si>
  <si>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</si>
  <si>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</si>
  <si>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</si>
  <si>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</si>
  <si>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</si>
  <si>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</si>
  <si>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</si>
  <si>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</si>
  <si>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</si>
  <si>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 xml:space="preserve">tarnobrzeski </t>
  </si>
  <si>
    <t>Krosno</t>
  </si>
  <si>
    <t>Przemyśl</t>
  </si>
  <si>
    <t>Rzeszów</t>
  </si>
  <si>
    <t>Tarnobrzeg</t>
  </si>
  <si>
    <t>województwo</t>
  </si>
  <si>
    <t>wzrost/spadek do analogicznego okresu ubr.</t>
  </si>
  <si>
    <t>powiaty</t>
  </si>
  <si>
    <t>wzrost/spadek do poprzedniego  miesiąca</t>
  </si>
  <si>
    <t>---</t>
  </si>
  <si>
    <t>% w stos. do ogółem bezrobotnych</t>
  </si>
  <si>
    <t>Oferty pracy (wolne miejsca pracy i miejsca aktywizacji zawodowej) wg powiatów</t>
  </si>
  <si>
    <t>Liczba bezrobotnych zamieszkłaych na wsi w województwie podkarpackim</t>
  </si>
  <si>
    <t>Liczba bezrobotnych w województwie podkarpackim wg powiatów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</si>
  <si>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</si>
  <si>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</si>
  <si>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</si>
  <si>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</si>
  <si>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</si>
  <si>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</si>
  <si>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</si>
  <si>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</si>
  <si>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</si>
  <si>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</si>
  <si>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</si>
  <si>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</si>
  <si>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</si>
  <si>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</si>
  <si>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</si>
  <si>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</si>
  <si>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</si>
  <si>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</si>
  <si>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</si>
  <si>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</si>
  <si>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</si>
  <si>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</si>
  <si>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</si>
  <si>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</t>
  </si>
  <si>
    <t>Powiat leski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</si>
  <si>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</si>
  <si>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</si>
  <si>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</si>
  <si>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</si>
  <si>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</si>
  <si>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</si>
  <si>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</si>
  <si>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</si>
  <si>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</si>
  <si>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</si>
  <si>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</si>
  <si>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</si>
  <si>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</si>
  <si>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m.Krosno</t>
  </si>
  <si>
    <t>Powiat m.Przemyśl</t>
  </si>
  <si>
    <t>Powiat m.Rzeszów</t>
  </si>
  <si>
    <t>Powiat m.Tarnobrzeg</t>
  </si>
  <si>
    <t>wzrost/spadek do poprzedniego miesiąca (pkt. proc.)</t>
  </si>
  <si>
    <t>wzrost/spadek do analogicznego okresu ubr. (pkt. proc.)</t>
  </si>
  <si>
    <t>wzrost/spadek do miesiąca poprzedniego</t>
  </si>
  <si>
    <t>w tym: kobiety</t>
  </si>
  <si>
    <t>Liczba bezrobotnych powyżej 12 miesięcy* - będących w szczególnej sytuacji na rynku pracy</t>
  </si>
  <si>
    <t>%</t>
  </si>
  <si>
    <t>Bezrobotne kobiety zarejestrowane w PUP w woj. podkarpackim</t>
  </si>
  <si>
    <t>wzrost lub spadek do poprzedniego miesiąca (pkt. proc.)</t>
  </si>
  <si>
    <t>wzrost lub spadek do analogicznego okresu ubr. (pkt. proc.)</t>
  </si>
  <si>
    <t>Liczba bezrobotnych do 30 roku życia - w szczególnej sytuacji na rynku pracy</t>
  </si>
  <si>
    <t>Liczba bezrobotnych powyżej 50 roku życia - w szczególnej sytuacji na rynku pracy</t>
  </si>
  <si>
    <r>
      <t xml:space="preserve">* </t>
    </r>
    <r>
      <rPr>
        <b/>
        <sz val="8"/>
        <color theme="1"/>
        <rFont val="Times New Roman"/>
        <family val="1"/>
        <charset val="238"/>
      </rPr>
      <t>Bezrobotni długotrwale</t>
    </r>
    <r>
      <rPr>
        <sz val="8"/>
        <color theme="1"/>
        <rFont val="Times New Roman"/>
        <family val="1"/>
        <charset val="238"/>
      </rPr>
      <t xml:space="preserve"> - w okresie ostatnich dwóch lat. Definicja zawarta w ustawie o promocji zatrudnienia i instytucjach rynku pracy.</t>
    </r>
  </si>
  <si>
    <t>Bezrobotne kobiety zarejestrowane w PUP c.d.</t>
  </si>
  <si>
    <t>Liczba bezrobotnych zamieszkłaych na wsi c.d.</t>
  </si>
  <si>
    <t>Oferty pracy subsydiowanej (subsydiowane wolne miejsca pracy i miejsca aktywizacji zawodowej) wg powiatów</t>
  </si>
  <si>
    <t>lokata</t>
  </si>
  <si>
    <t>Stopa bezrobocia rejestrowanego - wg województw</t>
  </si>
  <si>
    <t>Stopa bezrobocia rejestrowanego - wg powiatów w województwie podkarpackim</t>
  </si>
  <si>
    <t>Liczba bezrobotnych powyżej 12 miesięcy* - w szczególnej sytuacji na rynku pracy</t>
  </si>
  <si>
    <t>** GUS, BDL http://www.stat.gov.pl</t>
  </si>
  <si>
    <t>Oferty pracy subsydiowanej wg powiatów</t>
  </si>
  <si>
    <t>(subsydiowane wolne miejsca pracy i miejsca aktywizacji zawodowej)</t>
  </si>
  <si>
    <t>liczba bezrobotnych ogółem stan na 31 V '21 r.</t>
  </si>
  <si>
    <t>liczba bezrobotnych kobiet stan na 31 V '21 r.</t>
  </si>
  <si>
    <t>Stopa bezrobocia stan na 31 V '21 r. (w%) **</t>
  </si>
  <si>
    <t>liczba bezrobotnych zam. na wsi stan na 31 V '21 r.</t>
  </si>
  <si>
    <t>liczba bezrobotnych do 30 r. ż. stan na 31 V '21 r.</t>
  </si>
  <si>
    <t>liczba bezrobotnych 50+ stan na 31 V '21 r.</t>
  </si>
  <si>
    <t>liczba ofert w V '21 r.</t>
  </si>
  <si>
    <t>liczba bezrobotnych ogółem stan na 30 VI '20 r.</t>
  </si>
  <si>
    <t>liczba bezrobotnych ogółem stan na 30 VI '21 r.</t>
  </si>
  <si>
    <t>liczba bezrobotnych kobiet stan na 30 VI '20 r.</t>
  </si>
  <si>
    <t>liczba bezrobotnych kobiet stan na 30 VI '21 r.</t>
  </si>
  <si>
    <t>Stopa bezrobocia stan na 31 V '21 r.(%) **</t>
  </si>
  <si>
    <t>Stopa bezrobocia stan na 30 VI '20 r. (w%) **</t>
  </si>
  <si>
    <t>Stopa bezrobocia stan na 30 VI '21 r. (%) **</t>
  </si>
  <si>
    <t>Stopa bezrobocia stan na 30 VI '21 r. (w%) **</t>
  </si>
  <si>
    <t>liczba bezrobotnych zam. na wsi stan na 30 VI '20 r.</t>
  </si>
  <si>
    <t>liczba bezrobotnych zam. na wsi stan na 30 VI '21 r.</t>
  </si>
  <si>
    <t>liczba bezrobotnych pow. 12 m-cy,  stan na 30 VI '20 r.</t>
  </si>
  <si>
    <t>liczba bezrobotnych pow. 12 m-cy stan na 31 V  '21 r.</t>
  </si>
  <si>
    <t>liczba bezrobotnych pow. 12 m-cy stan na 30 VI '21 r.</t>
  </si>
  <si>
    <t>liczba bezrobotnych do 30 r. ż. stan na 30 VI '20 r.</t>
  </si>
  <si>
    <t>liczba bezrobotnych do 30 r. ż. stan na 30 VI '21 r.</t>
  </si>
  <si>
    <t>liczba bezrobotnych 50+ stan na 30 VI '20 r.</t>
  </si>
  <si>
    <t>liczba bezrobotnych 50+ stan na 30 VI '21 r.</t>
  </si>
  <si>
    <t>liczba ofert w VI '20 r.</t>
  </si>
  <si>
    <t>liczba ofert w VI '21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</si>
</sst>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rgb="FF00000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Cambria"/>
      <family val="1"/>
      <charset val="238"/>
      <scheme val="major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Arial Black"/>
      <family val="2"/>
      <charset val="238"/>
    </font>
    <font>
      <sz val="11"/>
      <color theme="1"/>
      <name val="Webdings"/>
      <family val="1"/>
      <charset val="2"/>
    </font>
    <font>
      <b/>
      <sz val="12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rgb="FF41AAC3"/>
        <bgColor theme="7" tint="0.79998168889431442"/>
      </patternFill>
    </fill>
    <fill>
      <patternFill patternType="solid">
        <fgColor theme="7" tint="0.59999389629810485"/>
        <bgColor indexed="64"/>
      </patternFill>
    </fill>
    <fill>
      <patternFill patternType="lightGray">
        <fgColor rgb="FF41AAC3"/>
        <bgColor theme="7" tint="0.59999389629810485"/>
      </patternFill>
    </fill>
    <fill>
      <patternFill patternType="solid">
        <fgColor rgb="FFEFECF4"/>
        <bgColor indexed="64"/>
      </patternFill>
    </fill>
    <fill>
      <patternFill patternType="lightGray">
        <fgColor rgb="FF41AAC3"/>
        <bgColor rgb="FFEFECF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right" vertical="center"/>
    </xf>
  </cellStyleXfs>
  <cellXfs count="94">
    <xf numFmtId="0" fontId="0" fillId="0" borderId="0" xfId="0"/>
    <xf numFmtId="0" fontId="0" fillId="2" borderId="0" xfId="0" applyFill="1"/>
    <xf numFmtId="3" fontId="0" fillId="2" borderId="0" xfId="0" applyNumberFormat="1" applyFill="1"/>
    <xf numFmtId="3" fontId="0" fillId="2" borderId="0" xfId="0" applyNumberFormat="1" applyFill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15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15" fontId="10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3" fontId="7" fillId="2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2" fillId="3" borderId="1" xfId="0" applyFont="1" applyFill="1" applyBorder="1"/>
    <xf numFmtId="3" fontId="8" fillId="3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164" fontId="7" fillId="2" borderId="0" xfId="0" applyNumberFormat="1" applyFont="1" applyFill="1"/>
    <xf numFmtId="3" fontId="8" fillId="4" borderId="1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/>
    </xf>
    <xf numFmtId="164" fontId="7" fillId="2" borderId="1" xfId="0" quotePrefix="1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8" fillId="5" borderId="1" xfId="0" applyFont="1" applyFill="1" applyBorder="1" applyAlignment="1">
      <alignment horizontal="left"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/>
    <xf numFmtId="164" fontId="8" fillId="5" borderId="1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center"/>
    </xf>
    <xf numFmtId="0" fontId="12" fillId="7" borderId="1" xfId="0" applyFont="1" applyFill="1" applyBorder="1"/>
    <xf numFmtId="3" fontId="8" fillId="7" borderId="1" xfId="0" applyNumberFormat="1" applyFont="1" applyFill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0" fillId="2" borderId="1" xfId="0" applyNumberFormat="1" applyFont="1" applyFill="1" applyBorder="1"/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16" fillId="2" borderId="0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8" fillId="0" borderId="1" xfId="0" applyFont="1" applyFill="1" applyBorder="1"/>
    <xf numFmtId="164" fontId="18" fillId="0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165" fontId="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8" fillId="2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S7" xfId="1"/>
  </cellStyles>
  <dxfs count="0"/>
  <tableStyles count="0" defaultTableStyle="TableStyleMedium2" defaultPivotStyle="PivotStyleLight16"/>
  <colors>
    <mruColors>
      <color rgb="FF41AAC3"/>
      <color rgb="FFCCFFCC"/>
      <color rgb="FFD9FFD9"/>
      <color rgb="FF0000FF"/>
      <color rgb="FFEFECF4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Liczba bezrobotnych w województwie podkarpackim wg powiatów</a:t>
            </a:r>
          </a:p>
        </c:rich>
      </c:tx>
      <c:layout>
        <c:manualLayout>
          <c:xMode val="edge"/>
          <c:yMode val="edge"/>
          <c:x val="0.21175836008271273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'1_sort'!$B$1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'1_sort'!$C$4:$C$28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leski</c:v>
                </c:pt>
                <c:pt idx="4">
                  <c:v>tarnobrzeski </c:v>
                </c:pt>
                <c:pt idx="5">
                  <c:v>kolbuszowski</c:v>
                </c:pt>
                <c:pt idx="6">
                  <c:v>lubaczowski</c:v>
                </c:pt>
                <c:pt idx="7">
                  <c:v>krośnieński</c:v>
                </c:pt>
                <c:pt idx="8">
                  <c:v>stalowowolski</c:v>
                </c:pt>
                <c:pt idx="9">
                  <c:v>sanocki</c:v>
                </c:pt>
                <c:pt idx="10">
                  <c:v>Przemyśl</c:v>
                </c:pt>
                <c:pt idx="11">
                  <c:v>dębicki</c:v>
                </c:pt>
                <c:pt idx="12">
                  <c:v>mielecki</c:v>
                </c:pt>
                <c:pt idx="13">
                  <c:v>ropczycko-sędziszowski</c:v>
                </c:pt>
                <c:pt idx="14">
                  <c:v>łańcucki</c:v>
                </c:pt>
                <c:pt idx="15">
                  <c:v>niżański</c:v>
                </c:pt>
                <c:pt idx="16">
                  <c:v>przemyski</c:v>
                </c:pt>
                <c:pt idx="17">
                  <c:v>strzyżowski</c:v>
                </c:pt>
                <c:pt idx="18">
                  <c:v>leżajski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jasielski</c:v>
                </c:pt>
                <c:pt idx="22">
                  <c:v>jarosławski</c:v>
                </c:pt>
                <c:pt idx="23">
                  <c:v>rzeszowski</c:v>
                </c:pt>
                <c:pt idx="24">
                  <c:v>Rzeszów</c:v>
                </c:pt>
              </c:strCache>
            </c:strRef>
          </c:cat>
          <c:val>
            <c:numRef>
              <c:f>'1_sort'!$D$4:$D$28</c:f>
              <c:numCache>
                <c:formatCode>#,##0</c:formatCode>
                <c:ptCount val="25"/>
                <c:pt idx="0">
                  <c:v>846</c:v>
                </c:pt>
                <c:pt idx="1">
                  <c:v>1157</c:v>
                </c:pt>
                <c:pt idx="2">
                  <c:v>1480</c:v>
                </c:pt>
                <c:pt idx="3">
                  <c:v>1602</c:v>
                </c:pt>
                <c:pt idx="4">
                  <c:v>1643</c:v>
                </c:pt>
                <c:pt idx="5">
                  <c:v>1850</c:v>
                </c:pt>
                <c:pt idx="6">
                  <c:v>1965</c:v>
                </c:pt>
                <c:pt idx="7">
                  <c:v>2267</c:v>
                </c:pt>
                <c:pt idx="8">
                  <c:v>2398</c:v>
                </c:pt>
                <c:pt idx="9">
                  <c:v>2679</c:v>
                </c:pt>
                <c:pt idx="10">
                  <c:v>2986</c:v>
                </c:pt>
                <c:pt idx="11">
                  <c:v>3035</c:v>
                </c:pt>
                <c:pt idx="12">
                  <c:v>3173</c:v>
                </c:pt>
                <c:pt idx="13">
                  <c:v>3413</c:v>
                </c:pt>
                <c:pt idx="14">
                  <c:v>3419</c:v>
                </c:pt>
                <c:pt idx="15">
                  <c:v>3484</c:v>
                </c:pt>
                <c:pt idx="16">
                  <c:v>3536</c:v>
                </c:pt>
                <c:pt idx="17">
                  <c:v>3573</c:v>
                </c:pt>
                <c:pt idx="18">
                  <c:v>3722</c:v>
                </c:pt>
                <c:pt idx="19">
                  <c:v>3789</c:v>
                </c:pt>
                <c:pt idx="20">
                  <c:v>4057</c:v>
                </c:pt>
                <c:pt idx="21">
                  <c:v>5581</c:v>
                </c:pt>
                <c:pt idx="22">
                  <c:v>5829</c:v>
                </c:pt>
                <c:pt idx="23">
                  <c:v>6285</c:v>
                </c:pt>
                <c:pt idx="24">
                  <c:v>7175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89457152"/>
        <c:axId val="189458688"/>
      </c:barChart>
      <c:catAx>
        <c:axId val="18945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89458688"/>
        <c:crosses val="autoZero"/>
        <c:auto val="1"/>
        <c:lblAlgn val="ctr"/>
        <c:lblOffset val="100"/>
        <c:noMultiLvlLbl val="0"/>
      </c:catAx>
      <c:valAx>
        <c:axId val="18945868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8945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US" sz="1100"/>
              <a:t>Oferty pracy subsydiowanej (subsydiowane wolne miejsca pracy i miejsca aktywizacji zawodowej) wg powiatów</a:t>
            </a:r>
          </a:p>
        </c:rich>
      </c:tx>
      <c:layout>
        <c:manualLayout>
          <c:xMode val="edge"/>
          <c:yMode val="edge"/>
          <c:x val="0.1985750938141545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'10_sort'!$B$1</c:f>
              <c:strCache>
                <c:ptCount val="1"/>
                <c:pt idx="0">
                  <c:v>Oferty pracy subsydiowanej (subsydiowane wolne miejsca pracy i miejsca aktywizacji zawodowej) wg powiatów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'10_sort'!$C$4:$C$28</c:f>
              <c:strCache>
                <c:ptCount val="25"/>
                <c:pt idx="0">
                  <c:v>leski</c:v>
                </c:pt>
                <c:pt idx="1">
                  <c:v>bieszczadzki</c:v>
                </c:pt>
                <c:pt idx="2">
                  <c:v>przemyski</c:v>
                </c:pt>
                <c:pt idx="3">
                  <c:v>Tarnobrzeg</c:v>
                </c:pt>
                <c:pt idx="4">
                  <c:v>tarnobrzeski </c:v>
                </c:pt>
                <c:pt idx="5">
                  <c:v>krośnieński</c:v>
                </c:pt>
                <c:pt idx="6">
                  <c:v>Krosno</c:v>
                </c:pt>
                <c:pt idx="7">
                  <c:v>dębicki</c:v>
                </c:pt>
                <c:pt idx="8">
                  <c:v>lubaczowski</c:v>
                </c:pt>
                <c:pt idx="9">
                  <c:v>stalowowolski</c:v>
                </c:pt>
                <c:pt idx="10">
                  <c:v>strzyżowski</c:v>
                </c:pt>
                <c:pt idx="11">
                  <c:v>Przemyśl</c:v>
                </c:pt>
                <c:pt idx="12">
                  <c:v>sanocki</c:v>
                </c:pt>
                <c:pt idx="13">
                  <c:v>ropczycko-sędziszowski</c:v>
                </c:pt>
                <c:pt idx="14">
                  <c:v>łańcucki</c:v>
                </c:pt>
                <c:pt idx="15">
                  <c:v>rzeszowski</c:v>
                </c:pt>
                <c:pt idx="16">
                  <c:v>kolbuszowski</c:v>
                </c:pt>
                <c:pt idx="17">
                  <c:v>brzozowski</c:v>
                </c:pt>
                <c:pt idx="18">
                  <c:v>niżański</c:v>
                </c:pt>
                <c:pt idx="19">
                  <c:v>przeworski</c:v>
                </c:pt>
                <c:pt idx="20">
                  <c:v>Rzeszów</c:v>
                </c:pt>
                <c:pt idx="21">
                  <c:v>leżajski</c:v>
                </c:pt>
                <c:pt idx="22">
                  <c:v>jasielski</c:v>
                </c:pt>
                <c:pt idx="23">
                  <c:v>mielecki</c:v>
                </c:pt>
                <c:pt idx="24">
                  <c:v>jarosławski</c:v>
                </c:pt>
              </c:strCache>
            </c:strRef>
          </c:cat>
          <c:val>
            <c:numRef>
              <c:f>'10_sort'!$D$4:$D$28</c:f>
              <c:numCache>
                <c:formatCode>#,##0</c:formatCode>
                <c:ptCount val="25"/>
                <c:pt idx="0" formatCode="General">
                  <c:v>13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27</c:v>
                </c:pt>
                <c:pt idx="5">
                  <c:v>30</c:v>
                </c:pt>
                <c:pt idx="6">
                  <c:v>36</c:v>
                </c:pt>
                <c:pt idx="7">
                  <c:v>49</c:v>
                </c:pt>
                <c:pt idx="8">
                  <c:v>56</c:v>
                </c:pt>
                <c:pt idx="9">
                  <c:v>56</c:v>
                </c:pt>
                <c:pt idx="10">
                  <c:v>58</c:v>
                </c:pt>
                <c:pt idx="11">
                  <c:v>58</c:v>
                </c:pt>
                <c:pt idx="12">
                  <c:v>59</c:v>
                </c:pt>
                <c:pt idx="13">
                  <c:v>61</c:v>
                </c:pt>
                <c:pt idx="14">
                  <c:v>62</c:v>
                </c:pt>
                <c:pt idx="15">
                  <c:v>65</c:v>
                </c:pt>
                <c:pt idx="16">
                  <c:v>73</c:v>
                </c:pt>
                <c:pt idx="17">
                  <c:v>74</c:v>
                </c:pt>
                <c:pt idx="18">
                  <c:v>83</c:v>
                </c:pt>
                <c:pt idx="19">
                  <c:v>89</c:v>
                </c:pt>
                <c:pt idx="20">
                  <c:v>90</c:v>
                </c:pt>
                <c:pt idx="21">
                  <c:v>106</c:v>
                </c:pt>
                <c:pt idx="22">
                  <c:v>114</c:v>
                </c:pt>
                <c:pt idx="23">
                  <c:v>115</c:v>
                </c:pt>
                <c:pt idx="24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90680064"/>
        <c:axId val="192299776"/>
      </c:barChart>
      <c:catAx>
        <c:axId val="19068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2299776"/>
        <c:crosses val="autoZero"/>
        <c:auto val="1"/>
        <c:lblAlgn val="ctr"/>
        <c:lblOffset val="100"/>
        <c:noMultiLvlLbl val="0"/>
      </c:catAx>
      <c:valAx>
        <c:axId val="19229977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068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Bezrobotne kobiety zarejestrowane w PUP w woj. podkarpackim</a:t>
            </a:r>
          </a:p>
        </c:rich>
      </c:tx>
      <c:layout>
        <c:manualLayout>
          <c:xMode val="edge"/>
          <c:yMode val="edge"/>
          <c:x val="0.2156363544471164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'2_sort'!$B$1:$C$1</c:f>
              <c:strCache>
                <c:ptCount val="1"/>
                <c:pt idx="0">
                  <c:v>Bezrobotne kobiety zarejestrowane w PUP w woj. podkarpackim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'2_sort'!$C$4:$C$28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leski</c:v>
                </c:pt>
                <c:pt idx="3">
                  <c:v>Tarnobrzeg</c:v>
                </c:pt>
                <c:pt idx="4">
                  <c:v>tarnobrzeski </c:v>
                </c:pt>
                <c:pt idx="5">
                  <c:v>lubaczowski</c:v>
                </c:pt>
                <c:pt idx="6">
                  <c:v>kolbuszowski</c:v>
                </c:pt>
                <c:pt idx="7">
                  <c:v>krośnieński</c:v>
                </c:pt>
                <c:pt idx="8">
                  <c:v>stalowowolski</c:v>
                </c:pt>
                <c:pt idx="9">
                  <c:v>sanocki</c:v>
                </c:pt>
                <c:pt idx="10">
                  <c:v>Przemyśl</c:v>
                </c:pt>
                <c:pt idx="11">
                  <c:v>łańcucki</c:v>
                </c:pt>
                <c:pt idx="12">
                  <c:v>mielecki</c:v>
                </c:pt>
                <c:pt idx="13">
                  <c:v>niżański</c:v>
                </c:pt>
                <c:pt idx="14">
                  <c:v>ropczycko-sędziszowski</c:v>
                </c:pt>
                <c:pt idx="15">
                  <c:v>przemyski</c:v>
                </c:pt>
                <c:pt idx="16">
                  <c:v>dębicki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jasielski</c:v>
                </c:pt>
                <c:pt idx="23">
                  <c:v>rzeszowski</c:v>
                </c:pt>
                <c:pt idx="24">
                  <c:v>Rzeszów</c:v>
                </c:pt>
              </c:strCache>
            </c:strRef>
          </c:cat>
          <c:val>
            <c:numRef>
              <c:f>'2_sort'!$D$4:$D$28</c:f>
              <c:numCache>
                <c:formatCode>#,##0</c:formatCode>
                <c:ptCount val="25"/>
                <c:pt idx="0" formatCode="General">
                  <c:v>438</c:v>
                </c:pt>
                <c:pt idx="1">
                  <c:v>606</c:v>
                </c:pt>
                <c:pt idx="2">
                  <c:v>737</c:v>
                </c:pt>
                <c:pt idx="3">
                  <c:v>770</c:v>
                </c:pt>
                <c:pt idx="4">
                  <c:v>859</c:v>
                </c:pt>
                <c:pt idx="5">
                  <c:v>939</c:v>
                </c:pt>
                <c:pt idx="6">
                  <c:v>1008</c:v>
                </c:pt>
                <c:pt idx="7">
                  <c:v>1300</c:v>
                </c:pt>
                <c:pt idx="8">
                  <c:v>1333</c:v>
                </c:pt>
                <c:pt idx="9">
                  <c:v>1388</c:v>
                </c:pt>
                <c:pt idx="10">
                  <c:v>1514</c:v>
                </c:pt>
                <c:pt idx="11">
                  <c:v>1708</c:v>
                </c:pt>
                <c:pt idx="12">
                  <c:v>1723</c:v>
                </c:pt>
                <c:pt idx="13">
                  <c:v>1825</c:v>
                </c:pt>
                <c:pt idx="14">
                  <c:v>1855</c:v>
                </c:pt>
                <c:pt idx="15">
                  <c:v>1866</c:v>
                </c:pt>
                <c:pt idx="16">
                  <c:v>1879</c:v>
                </c:pt>
                <c:pt idx="17">
                  <c:v>1925</c:v>
                </c:pt>
                <c:pt idx="18">
                  <c:v>1955</c:v>
                </c:pt>
                <c:pt idx="19">
                  <c:v>2203</c:v>
                </c:pt>
                <c:pt idx="20">
                  <c:v>2207</c:v>
                </c:pt>
                <c:pt idx="21">
                  <c:v>3085</c:v>
                </c:pt>
                <c:pt idx="22">
                  <c:v>3207</c:v>
                </c:pt>
                <c:pt idx="23">
                  <c:v>3231</c:v>
                </c:pt>
                <c:pt idx="24">
                  <c:v>3681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90462976"/>
        <c:axId val="190493440"/>
      </c:barChart>
      <c:catAx>
        <c:axId val="19046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0493440"/>
        <c:crosses val="autoZero"/>
        <c:auto val="1"/>
        <c:lblAlgn val="ctr"/>
        <c:lblOffset val="100"/>
        <c:noMultiLvlLbl val="0"/>
      </c:catAx>
      <c:valAx>
        <c:axId val="190493440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046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województw</a:t>
            </a:r>
          </a:p>
        </c:rich>
      </c:tx>
      <c:layout>
        <c:manualLayout>
          <c:xMode val="edge"/>
          <c:yMode val="edge"/>
          <c:x val="0.27654538642851895"/>
          <c:y val="3.4742370126544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'3_sort'!$B$1</c:f>
              <c:strCache>
                <c:ptCount val="1"/>
                <c:pt idx="0">
                  <c:v>Stopa bezrobocia rejestrowanego - wg województw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'3_sort'!$C$4:$C$20</c:f>
              <c:strCache>
                <c:ptCount val="17"/>
                <c:pt idx="0">
                  <c:v>WIELKOPOLSKIE</c:v>
                </c:pt>
                <c:pt idx="1">
                  <c:v>ŚLĄSKIE</c:v>
                </c:pt>
                <c:pt idx="2">
                  <c:v>MAZOWIECKIE</c:v>
                </c:pt>
                <c:pt idx="3">
                  <c:v>MAŁOPOLSKIE</c:v>
                </c:pt>
                <c:pt idx="4">
                  <c:v>DOLNOŚLĄSKIE</c:v>
                </c:pt>
                <c:pt idx="5">
                  <c:v>LUBUSKIE</c:v>
                </c:pt>
                <c:pt idx="6">
                  <c:v>POMORSKIE</c:v>
                </c:pt>
                <c:pt idx="7">
                  <c:v>POLSKA</c:v>
                </c:pt>
                <c:pt idx="8">
                  <c:v>ŁÓDZKIE</c:v>
                </c:pt>
                <c:pt idx="9">
                  <c:v>OPOLSKIE</c:v>
                </c:pt>
                <c:pt idx="10">
                  <c:v>PODLASKIE</c:v>
                </c:pt>
                <c:pt idx="11">
                  <c:v>LUBELSKIE</c:v>
                </c:pt>
                <c:pt idx="12">
                  <c:v>ZACHODNIOPOMORSKIE</c:v>
                </c:pt>
                <c:pt idx="13">
                  <c:v>ŚWIĘTOKRZYSKIE</c:v>
                </c:pt>
                <c:pt idx="14">
                  <c:v>KUJAWSKO-POMORSKIE</c:v>
                </c:pt>
                <c:pt idx="15">
                  <c:v>PODKARPACKIE</c:v>
                </c:pt>
                <c:pt idx="16">
                  <c:v>WARMIŃSKO-MAZURSKIE</c:v>
                </c:pt>
              </c:strCache>
            </c:strRef>
          </c:cat>
          <c:val>
            <c:numRef>
              <c:f>'3_sort'!$D$4:$D$20</c:f>
              <c:numCache>
                <c:formatCode>0.0</c:formatCode>
                <c:ptCount val="17"/>
                <c:pt idx="0">
                  <c:v>3.5</c:v>
                </c:pt>
                <c:pt idx="1">
                  <c:v>4.8</c:v>
                </c:pt>
                <c:pt idx="2">
                  <c:v>5</c:v>
                </c:pt>
                <c:pt idx="3">
                  <c:v>5.0999999999999996</c:v>
                </c:pt>
                <c:pt idx="4">
                  <c:v>5.4</c:v>
                </c:pt>
                <c:pt idx="5">
                  <c:v>5.7</c:v>
                </c:pt>
                <c:pt idx="6">
                  <c:v>5.8</c:v>
                </c:pt>
                <c:pt idx="7">
                  <c:v>5.9</c:v>
                </c:pt>
                <c:pt idx="8">
                  <c:v>6.1</c:v>
                </c:pt>
                <c:pt idx="9">
                  <c:v>6.4</c:v>
                </c:pt>
                <c:pt idx="10">
                  <c:v>7.5</c:v>
                </c:pt>
                <c:pt idx="11">
                  <c:v>7.7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8.5</c:v>
                </c:pt>
                <c:pt idx="16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91116800"/>
        <c:axId val="191118336"/>
      </c:barChart>
      <c:catAx>
        <c:axId val="19111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118336"/>
        <c:crosses val="autoZero"/>
        <c:auto val="1"/>
        <c:lblAlgn val="ctr"/>
        <c:lblOffset val="100"/>
        <c:noMultiLvlLbl val="0"/>
      </c:catAx>
      <c:valAx>
        <c:axId val="19111833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crossAx val="19111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powiatów w województwie podkarpackim</a:t>
            </a:r>
          </a:p>
        </c:rich>
      </c:tx>
      <c:layout>
        <c:manualLayout>
          <c:xMode val="edge"/>
          <c:yMode val="edge"/>
          <c:x val="0.20793711049897332"/>
          <c:y val="2.50674317138041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'4_sort'!$B$1</c:f>
              <c:strCache>
                <c:ptCount val="1"/>
                <c:pt idx="0">
                  <c:v>Stopa bezrobocia rejestrowanego - wg powiatów w województwie podkarpackim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'4_sort'!$C$4:$C$30</c:f>
              <c:strCache>
                <c:ptCount val="27"/>
                <c:pt idx="0">
                  <c:v>Powiat m.Krosno</c:v>
                </c:pt>
                <c:pt idx="1">
                  <c:v>Powiat mielecki</c:v>
                </c:pt>
                <c:pt idx="2">
                  <c:v>Powiat dębicki</c:v>
                </c:pt>
                <c:pt idx="3">
                  <c:v>Powiat stalowowolski</c:v>
                </c:pt>
                <c:pt idx="4">
                  <c:v>Powiat m.Rzeszów</c:v>
                </c:pt>
                <c:pt idx="5">
                  <c:v>POLSKA</c:v>
                </c:pt>
                <c:pt idx="6">
                  <c:v>Powiat krośnieński</c:v>
                </c:pt>
                <c:pt idx="7">
                  <c:v>Powiat sanocki</c:v>
                </c:pt>
                <c:pt idx="8">
                  <c:v>Powiat tarnobrzeski</c:v>
                </c:pt>
                <c:pt idx="9">
                  <c:v>Powiat kolbuszowski</c:v>
                </c:pt>
                <c:pt idx="10">
                  <c:v>Powiat lubaczowski</c:v>
                </c:pt>
                <c:pt idx="11">
                  <c:v>Powiat rzeszowski</c:v>
                </c:pt>
                <c:pt idx="12">
                  <c:v>PODKARPACKIE</c:v>
                </c:pt>
                <c:pt idx="13">
                  <c:v>Powiat m.Tarnobrzeg</c:v>
                </c:pt>
                <c:pt idx="14">
                  <c:v>Powiat jasielski</c:v>
                </c:pt>
                <c:pt idx="15">
                  <c:v>Powiat łańcucki</c:v>
                </c:pt>
                <c:pt idx="16">
                  <c:v>Powiat m.Przemyśl</c:v>
                </c:pt>
                <c:pt idx="17">
                  <c:v>Powiat jarosławski</c:v>
                </c:pt>
                <c:pt idx="18">
                  <c:v>Powiat przeworski</c:v>
                </c:pt>
                <c:pt idx="19">
                  <c:v>Powiat ropczycko-sędziszowski</c:v>
                </c:pt>
                <c:pt idx="20">
                  <c:v>Powiat przemyski</c:v>
                </c:pt>
                <c:pt idx="21">
                  <c:v>Powiat strzyżowski</c:v>
                </c:pt>
                <c:pt idx="22">
                  <c:v>Powiat bieszczadzki</c:v>
                </c:pt>
                <c:pt idx="23">
                  <c:v>Powiat leżajski</c:v>
                </c:pt>
                <c:pt idx="24">
                  <c:v>Powiat leski</c:v>
                </c:pt>
                <c:pt idx="25">
                  <c:v>Powiat brzozowski</c:v>
                </c:pt>
                <c:pt idx="26">
                  <c:v>Powiat niżański</c:v>
                </c:pt>
              </c:strCache>
            </c:strRef>
          </c:cat>
          <c:val>
            <c:numRef>
              <c:f>'4_sort'!$D$4:$D$30</c:f>
              <c:numCache>
                <c:formatCode>0.0</c:formatCode>
                <c:ptCount val="27"/>
                <c:pt idx="0">
                  <c:v>2.8</c:v>
                </c:pt>
                <c:pt idx="1">
                  <c:v>4.8</c:v>
                </c:pt>
                <c:pt idx="2">
                  <c:v>4.9000000000000004</c:v>
                </c:pt>
                <c:pt idx="3">
                  <c:v>5.4</c:v>
                </c:pt>
                <c:pt idx="4">
                  <c:v>5.5</c:v>
                </c:pt>
                <c:pt idx="5">
                  <c:v>5.9</c:v>
                </c:pt>
                <c:pt idx="6">
                  <c:v>6.3</c:v>
                </c:pt>
                <c:pt idx="7">
                  <c:v>6.4</c:v>
                </c:pt>
                <c:pt idx="8">
                  <c:v>7</c:v>
                </c:pt>
                <c:pt idx="9">
                  <c:v>7.6</c:v>
                </c:pt>
                <c:pt idx="10">
                  <c:v>8.4</c:v>
                </c:pt>
                <c:pt idx="11">
                  <c:v>8.4</c:v>
                </c:pt>
                <c:pt idx="12">
                  <c:v>8.5</c:v>
                </c:pt>
                <c:pt idx="13">
                  <c:v>8.5</c:v>
                </c:pt>
                <c:pt idx="14">
                  <c:v>10.5</c:v>
                </c:pt>
                <c:pt idx="15">
                  <c:v>10.5</c:v>
                </c:pt>
                <c:pt idx="16">
                  <c:v>10.9</c:v>
                </c:pt>
                <c:pt idx="17">
                  <c:v>11.1</c:v>
                </c:pt>
                <c:pt idx="18">
                  <c:v>11.3</c:v>
                </c:pt>
                <c:pt idx="19">
                  <c:v>11.7</c:v>
                </c:pt>
                <c:pt idx="20">
                  <c:v>12.7</c:v>
                </c:pt>
                <c:pt idx="21">
                  <c:v>13.4</c:v>
                </c:pt>
                <c:pt idx="22">
                  <c:v>13.5</c:v>
                </c:pt>
                <c:pt idx="23">
                  <c:v>13.5</c:v>
                </c:pt>
                <c:pt idx="24">
                  <c:v>14.2</c:v>
                </c:pt>
                <c:pt idx="25">
                  <c:v>14.5</c:v>
                </c:pt>
                <c:pt idx="26" formatCode="General">
                  <c:v>15.4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88920192"/>
        <c:axId val="188921728"/>
      </c:barChart>
      <c:catAx>
        <c:axId val="188920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88921728"/>
        <c:crosses val="autoZero"/>
        <c:auto val="1"/>
        <c:lblAlgn val="ctr"/>
        <c:lblOffset val="100"/>
        <c:noMultiLvlLbl val="0"/>
      </c:catAx>
      <c:valAx>
        <c:axId val="18892172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8892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Liczba bezrobotnych zamieszkłaych na wsi w województwie podkarpackim</a:t>
            </a:r>
          </a:p>
        </c:rich>
      </c:tx>
      <c:layout>
        <c:manualLayout>
          <c:xMode val="edge"/>
          <c:yMode val="edge"/>
          <c:x val="0.21828165654422299"/>
          <c:y val="3.1268089259862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'5_sort'!$B$1</c:f>
              <c:strCache>
                <c:ptCount val="1"/>
                <c:pt idx="0">
                  <c:v>Liczba bezrobotnych zamieszkłaych na wsi w województwie podkarpackim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'5_sort'!$C$4:$C$24</c:f>
              <c:strCache>
                <c:ptCount val="21"/>
                <c:pt idx="0">
                  <c:v>bieszczadzki</c:v>
                </c:pt>
                <c:pt idx="1">
                  <c:v>stalowowolski</c:v>
                </c:pt>
                <c:pt idx="2">
                  <c:v>lubaczowski</c:v>
                </c:pt>
                <c:pt idx="3">
                  <c:v>leski</c:v>
                </c:pt>
                <c:pt idx="4">
                  <c:v>tarnobrzeski </c:v>
                </c:pt>
                <c:pt idx="5">
                  <c:v>sanocki</c:v>
                </c:pt>
                <c:pt idx="6">
                  <c:v>mielecki</c:v>
                </c:pt>
                <c:pt idx="7">
                  <c:v>kolbuszowski</c:v>
                </c:pt>
                <c:pt idx="8">
                  <c:v>dębicki</c:v>
                </c:pt>
                <c:pt idx="9">
                  <c:v>krośnieński</c:v>
                </c:pt>
                <c:pt idx="10">
                  <c:v>ropczycko-sędziszowski</c:v>
                </c:pt>
                <c:pt idx="11">
                  <c:v>niżański</c:v>
                </c:pt>
                <c:pt idx="12">
                  <c:v>łańcucki</c:v>
                </c:pt>
                <c:pt idx="13">
                  <c:v>przeworski</c:v>
                </c:pt>
                <c:pt idx="14">
                  <c:v>leżajski</c:v>
                </c:pt>
                <c:pt idx="15">
                  <c:v>strzyżowski</c:v>
                </c:pt>
                <c:pt idx="16">
                  <c:v>przemyski</c:v>
                </c:pt>
                <c:pt idx="17">
                  <c:v>jarosławski</c:v>
                </c:pt>
                <c:pt idx="18">
                  <c:v>brzozowski</c:v>
                </c:pt>
                <c:pt idx="19">
                  <c:v>jasielski</c:v>
                </c:pt>
                <c:pt idx="20">
                  <c:v>rzeszowski</c:v>
                </c:pt>
              </c:strCache>
            </c:strRef>
          </c:cat>
          <c:val>
            <c:numRef>
              <c:f>'5_sort'!$D$4:$D$24</c:f>
              <c:numCache>
                <c:formatCode>#,##0</c:formatCode>
                <c:ptCount val="21"/>
                <c:pt idx="0" formatCode="General">
                  <c:v>712</c:v>
                </c:pt>
                <c:pt idx="1">
                  <c:v>940</c:v>
                </c:pt>
                <c:pt idx="2">
                  <c:v>1261</c:v>
                </c:pt>
                <c:pt idx="3">
                  <c:v>1311</c:v>
                </c:pt>
                <c:pt idx="4">
                  <c:v>1327</c:v>
                </c:pt>
                <c:pt idx="5">
                  <c:v>1524</c:v>
                </c:pt>
                <c:pt idx="6">
                  <c:v>1564</c:v>
                </c:pt>
                <c:pt idx="7">
                  <c:v>1613</c:v>
                </c:pt>
                <c:pt idx="8">
                  <c:v>1797</c:v>
                </c:pt>
                <c:pt idx="9">
                  <c:v>2023</c:v>
                </c:pt>
                <c:pt idx="10">
                  <c:v>2150</c:v>
                </c:pt>
                <c:pt idx="11">
                  <c:v>2272</c:v>
                </c:pt>
                <c:pt idx="12">
                  <c:v>2711</c:v>
                </c:pt>
                <c:pt idx="13">
                  <c:v>2829</c:v>
                </c:pt>
                <c:pt idx="14">
                  <c:v>2839</c:v>
                </c:pt>
                <c:pt idx="15">
                  <c:v>3172</c:v>
                </c:pt>
                <c:pt idx="16">
                  <c:v>3504</c:v>
                </c:pt>
                <c:pt idx="17">
                  <c:v>3616</c:v>
                </c:pt>
                <c:pt idx="18">
                  <c:v>3723</c:v>
                </c:pt>
                <c:pt idx="19">
                  <c:v>3870</c:v>
                </c:pt>
                <c:pt idx="20">
                  <c:v>5057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91066880"/>
        <c:axId val="191068416"/>
      </c:barChart>
      <c:catAx>
        <c:axId val="19106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068416"/>
        <c:crosses val="autoZero"/>
        <c:auto val="1"/>
        <c:lblAlgn val="ctr"/>
        <c:lblOffset val="100"/>
        <c:noMultiLvlLbl val="0"/>
      </c:catAx>
      <c:valAx>
        <c:axId val="19106841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06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110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12 m</a:t>
            </a:r>
            <a:r>
              <a:rPr lang="pl-PL" sz="1100"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cy</a:t>
            </a:r>
            <a:r>
              <a:rPr lang="pl-PL" sz="11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pl-PL" sz="1100">
                <a:latin typeface="Arial" panose="020B0604020202020204" pitchFamily="34" charset="0"/>
                <a:cs typeface="Arial" panose="020B0604020202020204" pitchFamily="34" charset="0"/>
              </a:rPr>
              <a:t> (w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szczególnej sytuacji na rynku pracy</a:t>
            </a:r>
            <a:r>
              <a:rPr lang="pl-PL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913578922446321"/>
          <c:y val="2.431971372182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'6_sort'!$B$1</c:f>
              <c:strCache>
                <c:ptCount val="1"/>
                <c:pt idx="0">
                  <c:v>Liczba bezrobotnych powyżej 12 miesięcy* - w szczególnej sytuacji na rynku pracy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'6_sort'!$C$4:$C$28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krośnieński</c:v>
                </c:pt>
                <c:pt idx="6">
                  <c:v>leski</c:v>
                </c:pt>
                <c:pt idx="7">
                  <c:v>lubaczowski</c:v>
                </c:pt>
                <c:pt idx="8">
                  <c:v>stalowowolski</c:v>
                </c:pt>
                <c:pt idx="9">
                  <c:v>sanocki</c:v>
                </c:pt>
                <c:pt idx="10">
                  <c:v>dębicki</c:v>
                </c:pt>
                <c:pt idx="11">
                  <c:v>mielecki</c:v>
                </c:pt>
                <c:pt idx="12">
                  <c:v>ropczycko-sędziszowski</c:v>
                </c:pt>
                <c:pt idx="13">
                  <c:v>Przemyśl</c:v>
                </c:pt>
                <c:pt idx="14">
                  <c:v>łańcucki</c:v>
                </c:pt>
                <c:pt idx="15">
                  <c:v>niżański</c:v>
                </c:pt>
                <c:pt idx="16">
                  <c:v>przemyski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jasielski</c:v>
                </c:pt>
                <c:pt idx="23">
                  <c:v>rzeszowski</c:v>
                </c:pt>
                <c:pt idx="24">
                  <c:v>Rzeszów</c:v>
                </c:pt>
              </c:strCache>
            </c:strRef>
          </c:cat>
          <c:val>
            <c:numRef>
              <c:f>'6_sort'!$D$4:$D$28</c:f>
              <c:numCache>
                <c:formatCode>#,##0</c:formatCode>
                <c:ptCount val="25"/>
                <c:pt idx="0" formatCode="General">
                  <c:v>385</c:v>
                </c:pt>
                <c:pt idx="1">
                  <c:v>771</c:v>
                </c:pt>
                <c:pt idx="2">
                  <c:v>786</c:v>
                </c:pt>
                <c:pt idx="3">
                  <c:v>880</c:v>
                </c:pt>
                <c:pt idx="4">
                  <c:v>965</c:v>
                </c:pt>
                <c:pt idx="5">
                  <c:v>1026</c:v>
                </c:pt>
                <c:pt idx="6">
                  <c:v>1046</c:v>
                </c:pt>
                <c:pt idx="7">
                  <c:v>1077</c:v>
                </c:pt>
                <c:pt idx="8">
                  <c:v>1119</c:v>
                </c:pt>
                <c:pt idx="9">
                  <c:v>1493</c:v>
                </c:pt>
                <c:pt idx="10">
                  <c:v>1515</c:v>
                </c:pt>
                <c:pt idx="11">
                  <c:v>1516</c:v>
                </c:pt>
                <c:pt idx="12">
                  <c:v>1975</c:v>
                </c:pt>
                <c:pt idx="13">
                  <c:v>2005</c:v>
                </c:pt>
                <c:pt idx="14">
                  <c:v>2023</c:v>
                </c:pt>
                <c:pt idx="15">
                  <c:v>2174</c:v>
                </c:pt>
                <c:pt idx="16">
                  <c:v>2218</c:v>
                </c:pt>
                <c:pt idx="17">
                  <c:v>2242</c:v>
                </c:pt>
                <c:pt idx="18">
                  <c:v>2367</c:v>
                </c:pt>
                <c:pt idx="19">
                  <c:v>2444</c:v>
                </c:pt>
                <c:pt idx="20">
                  <c:v>2703</c:v>
                </c:pt>
                <c:pt idx="21">
                  <c:v>3598</c:v>
                </c:pt>
                <c:pt idx="22">
                  <c:v>3687</c:v>
                </c:pt>
                <c:pt idx="23">
                  <c:v>3919</c:v>
                </c:pt>
                <c:pt idx="24">
                  <c:v>4499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90630528"/>
        <c:axId val="190636416"/>
      </c:barChart>
      <c:catAx>
        <c:axId val="19063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0636416"/>
        <c:crosses val="autoZero"/>
        <c:auto val="1"/>
        <c:lblAlgn val="ctr"/>
        <c:lblOffset val="100"/>
        <c:noMultiLvlLbl val="0"/>
      </c:catAx>
      <c:valAx>
        <c:axId val="19063641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063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pl-PL" sz="1100" b="1">
                <a:latin typeface="Arial" panose="020B0604020202020204" pitchFamily="34" charset="0"/>
                <a:cs typeface="Arial" panose="020B0604020202020204" pitchFamily="34" charset="0"/>
              </a:rPr>
              <a:t>Liczba bezrobotnych do 30 roku życia (w szczególnej sytuacji na rynku pracy)</a:t>
            </a:r>
          </a:p>
        </c:rich>
      </c:tx>
      <c:layout>
        <c:manualLayout>
          <c:xMode val="edge"/>
          <c:yMode val="edge"/>
          <c:x val="0.21520272985784339"/>
          <c:y val="1.75527506043317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'7_sort'!$B$1</c:f>
              <c:strCache>
                <c:ptCount val="1"/>
                <c:pt idx="0">
                  <c:v>Liczba bezrobotnych do 30 roku życia - w szczególnej sytuacji na rynku pracy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'7_sort'!$C$4:$C$28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leski</c:v>
                </c:pt>
                <c:pt idx="5">
                  <c:v>lubaczowski</c:v>
                </c:pt>
                <c:pt idx="6">
                  <c:v>kolbuszowski</c:v>
                </c:pt>
                <c:pt idx="7">
                  <c:v>Przemyśl</c:v>
                </c:pt>
                <c:pt idx="8">
                  <c:v>krośnieński</c:v>
                </c:pt>
                <c:pt idx="9">
                  <c:v>sanocki</c:v>
                </c:pt>
                <c:pt idx="10">
                  <c:v>stalowowolski</c:v>
                </c:pt>
                <c:pt idx="11">
                  <c:v>mielecki</c:v>
                </c:pt>
                <c:pt idx="12">
                  <c:v>dębicki</c:v>
                </c:pt>
                <c:pt idx="13">
                  <c:v>łańcucki</c:v>
                </c:pt>
                <c:pt idx="14">
                  <c:v>strzyżowski</c:v>
                </c:pt>
                <c:pt idx="15">
                  <c:v>ropczycko-sędziszowski</c:v>
                </c:pt>
                <c:pt idx="16">
                  <c:v>niżański</c:v>
                </c:pt>
                <c:pt idx="17">
                  <c:v>przemyski</c:v>
                </c:pt>
                <c:pt idx="18">
                  <c:v>brzozowski</c:v>
                </c:pt>
                <c:pt idx="19">
                  <c:v>przeworski</c:v>
                </c:pt>
                <c:pt idx="20">
                  <c:v>leżajski</c:v>
                </c:pt>
                <c:pt idx="21">
                  <c:v>jasielski</c:v>
                </c:pt>
                <c:pt idx="22">
                  <c:v>Rzeszów</c:v>
                </c:pt>
                <c:pt idx="23">
                  <c:v>jarosławski</c:v>
                </c:pt>
                <c:pt idx="24">
                  <c:v>rzeszowski</c:v>
                </c:pt>
              </c:strCache>
            </c:strRef>
          </c:cat>
          <c:val>
            <c:numRef>
              <c:f>'7_sort'!$D$4:$D$28</c:f>
              <c:numCache>
                <c:formatCode>#,##0</c:formatCode>
                <c:ptCount val="25"/>
                <c:pt idx="0" formatCode="General">
                  <c:v>141</c:v>
                </c:pt>
                <c:pt idx="1">
                  <c:v>285</c:v>
                </c:pt>
                <c:pt idx="2">
                  <c:v>323</c:v>
                </c:pt>
                <c:pt idx="3">
                  <c:v>423</c:v>
                </c:pt>
                <c:pt idx="4">
                  <c:v>429</c:v>
                </c:pt>
                <c:pt idx="5">
                  <c:v>502</c:v>
                </c:pt>
                <c:pt idx="6">
                  <c:v>503</c:v>
                </c:pt>
                <c:pt idx="7">
                  <c:v>545</c:v>
                </c:pt>
                <c:pt idx="8">
                  <c:v>592</c:v>
                </c:pt>
                <c:pt idx="9">
                  <c:v>639</c:v>
                </c:pt>
                <c:pt idx="10">
                  <c:v>641</c:v>
                </c:pt>
                <c:pt idx="11">
                  <c:v>795</c:v>
                </c:pt>
                <c:pt idx="12">
                  <c:v>905</c:v>
                </c:pt>
                <c:pt idx="13">
                  <c:v>959</c:v>
                </c:pt>
                <c:pt idx="14">
                  <c:v>1002</c:v>
                </c:pt>
                <c:pt idx="15">
                  <c:v>1003</c:v>
                </c:pt>
                <c:pt idx="16">
                  <c:v>1024</c:v>
                </c:pt>
                <c:pt idx="17">
                  <c:v>1032</c:v>
                </c:pt>
                <c:pt idx="18">
                  <c:v>1053</c:v>
                </c:pt>
                <c:pt idx="19">
                  <c:v>1068</c:v>
                </c:pt>
                <c:pt idx="20">
                  <c:v>1087</c:v>
                </c:pt>
                <c:pt idx="21">
                  <c:v>1402</c:v>
                </c:pt>
                <c:pt idx="22">
                  <c:v>1479</c:v>
                </c:pt>
                <c:pt idx="23">
                  <c:v>1618</c:v>
                </c:pt>
                <c:pt idx="24">
                  <c:v>1830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91718528"/>
        <c:axId val="191720064"/>
      </c:barChart>
      <c:catAx>
        <c:axId val="19171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720064"/>
        <c:crosses val="autoZero"/>
        <c:auto val="1"/>
        <c:lblAlgn val="ctr"/>
        <c:lblOffset val="100"/>
        <c:noMultiLvlLbl val="0"/>
      </c:catAx>
      <c:valAx>
        <c:axId val="19172006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71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110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50 roku życia </a:t>
            </a:r>
            <a:r>
              <a:rPr lang="pl-PL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w szczególnej sytuacji na rynku pracy</a:t>
            </a:r>
            <a:r>
              <a:rPr lang="pl-PL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896317654550948"/>
          <c:y val="3.47423213998474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'8_sort'!$B$1</c:f>
              <c:strCache>
                <c:ptCount val="1"/>
                <c:pt idx="0">
                  <c:v>Liczba bezrobotnych powyżej 50 roku życia - w szczególnej sytuacji na rynku pracy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'8_sort'!$C$4:$C$28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leski</c:v>
                </c:pt>
                <c:pt idx="3">
                  <c:v>Tarnobrzeg</c:v>
                </c:pt>
                <c:pt idx="4">
                  <c:v>tarnobrzeski </c:v>
                </c:pt>
                <c:pt idx="5">
                  <c:v>kolbuszowski</c:v>
                </c:pt>
                <c:pt idx="6">
                  <c:v>lubaczowski</c:v>
                </c:pt>
                <c:pt idx="7">
                  <c:v>krośnieński</c:v>
                </c:pt>
                <c:pt idx="8">
                  <c:v>stalowowolski</c:v>
                </c:pt>
                <c:pt idx="9">
                  <c:v>sanocki</c:v>
                </c:pt>
                <c:pt idx="10">
                  <c:v>ropczycko-sędziszowski</c:v>
                </c:pt>
                <c:pt idx="11">
                  <c:v>dębicki</c:v>
                </c:pt>
                <c:pt idx="12">
                  <c:v>łańcucki</c:v>
                </c:pt>
                <c:pt idx="13">
                  <c:v>przeworski</c:v>
                </c:pt>
                <c:pt idx="14">
                  <c:v>mielecki</c:v>
                </c:pt>
                <c:pt idx="15">
                  <c:v>leżajski</c:v>
                </c:pt>
                <c:pt idx="16">
                  <c:v>przemyski</c:v>
                </c:pt>
                <c:pt idx="17">
                  <c:v>niżański</c:v>
                </c:pt>
                <c:pt idx="18">
                  <c:v>strzyżowski</c:v>
                </c:pt>
                <c:pt idx="19">
                  <c:v>Przemyśl</c:v>
                </c:pt>
                <c:pt idx="20">
                  <c:v>brzozowski</c:v>
                </c:pt>
                <c:pt idx="21">
                  <c:v>jasielski</c:v>
                </c:pt>
                <c:pt idx="22">
                  <c:v>jarosławski</c:v>
                </c:pt>
                <c:pt idx="23">
                  <c:v>rzeszowski</c:v>
                </c:pt>
                <c:pt idx="24">
                  <c:v>Rzeszów</c:v>
                </c:pt>
              </c:strCache>
            </c:strRef>
          </c:cat>
          <c:val>
            <c:numRef>
              <c:f>'8_sort'!$D$4:$D$28</c:f>
              <c:numCache>
                <c:formatCode>#,##0</c:formatCode>
                <c:ptCount val="25"/>
                <c:pt idx="0" formatCode="General">
                  <c:v>237</c:v>
                </c:pt>
                <c:pt idx="1">
                  <c:v>266</c:v>
                </c:pt>
                <c:pt idx="2">
                  <c:v>380</c:v>
                </c:pt>
                <c:pt idx="3">
                  <c:v>420</c:v>
                </c:pt>
                <c:pt idx="4">
                  <c:v>432</c:v>
                </c:pt>
                <c:pt idx="5">
                  <c:v>492</c:v>
                </c:pt>
                <c:pt idx="6">
                  <c:v>514</c:v>
                </c:pt>
                <c:pt idx="7">
                  <c:v>588</c:v>
                </c:pt>
                <c:pt idx="8">
                  <c:v>648</c:v>
                </c:pt>
                <c:pt idx="9">
                  <c:v>663</c:v>
                </c:pt>
                <c:pt idx="10">
                  <c:v>705</c:v>
                </c:pt>
                <c:pt idx="11">
                  <c:v>707</c:v>
                </c:pt>
                <c:pt idx="12">
                  <c:v>766</c:v>
                </c:pt>
                <c:pt idx="13">
                  <c:v>771</c:v>
                </c:pt>
                <c:pt idx="14">
                  <c:v>798</c:v>
                </c:pt>
                <c:pt idx="15">
                  <c:v>800</c:v>
                </c:pt>
                <c:pt idx="16">
                  <c:v>812</c:v>
                </c:pt>
                <c:pt idx="17">
                  <c:v>813</c:v>
                </c:pt>
                <c:pt idx="18">
                  <c:v>814</c:v>
                </c:pt>
                <c:pt idx="19">
                  <c:v>814</c:v>
                </c:pt>
                <c:pt idx="20">
                  <c:v>1011</c:v>
                </c:pt>
                <c:pt idx="21">
                  <c:v>1206</c:v>
                </c:pt>
                <c:pt idx="22">
                  <c:v>1316</c:v>
                </c:pt>
                <c:pt idx="23">
                  <c:v>1405</c:v>
                </c:pt>
                <c:pt idx="24">
                  <c:v>1794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91199104"/>
        <c:axId val="191200640"/>
      </c:barChart>
      <c:catAx>
        <c:axId val="19119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200640"/>
        <c:crosses val="autoZero"/>
        <c:auto val="1"/>
        <c:lblAlgn val="ctr"/>
        <c:lblOffset val="100"/>
        <c:noMultiLvlLbl val="0"/>
      </c:catAx>
      <c:valAx>
        <c:axId val="191200640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19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Oferty pracy (wolne miejsca pracy i miejsca aktywizacji zawodowej) wg powiatów</a:t>
            </a:r>
          </a:p>
        </c:rich>
      </c:tx>
      <c:layout>
        <c:manualLayout>
          <c:xMode val="edge"/>
          <c:yMode val="edge"/>
          <c:x val="0.22275687905710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'9_sort'!$B$1</c:f>
              <c:strCache>
                <c:ptCount val="1"/>
                <c:pt idx="0">
                  <c:v>Oferty pracy (wolne miejsca pracy i miejsca aktywizacji zawodowej) wg powiatów</c:v>
                </c:pt>
              </c:strCache>
            </c:strRef>
          </c:tx>
          <c:spPr>
            <a:solidFill>
              <a:srgbClr val="FFFF00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'9_sort'!$C$4:$C$28</c:f>
              <c:strCache>
                <c:ptCount val="25"/>
                <c:pt idx="0">
                  <c:v>przemyski</c:v>
                </c:pt>
                <c:pt idx="1">
                  <c:v>leski</c:v>
                </c:pt>
                <c:pt idx="2">
                  <c:v>bieszczadzki</c:v>
                </c:pt>
                <c:pt idx="3">
                  <c:v>brzozowski</c:v>
                </c:pt>
                <c:pt idx="4">
                  <c:v>lubaczowski</c:v>
                </c:pt>
                <c:pt idx="5">
                  <c:v>Krosno</c:v>
                </c:pt>
                <c:pt idx="6">
                  <c:v>Przemyśl</c:v>
                </c:pt>
                <c:pt idx="7">
                  <c:v>krośnieński</c:v>
                </c:pt>
                <c:pt idx="8">
                  <c:v>Tarnobrzeg</c:v>
                </c:pt>
                <c:pt idx="9">
                  <c:v>tarnobrzeski </c:v>
                </c:pt>
                <c:pt idx="10">
                  <c:v>stalowowolski</c:v>
                </c:pt>
                <c:pt idx="11">
                  <c:v>łańcucki</c:v>
                </c:pt>
                <c:pt idx="12">
                  <c:v>przeworski</c:v>
                </c:pt>
                <c:pt idx="13">
                  <c:v>niżański</c:v>
                </c:pt>
                <c:pt idx="14">
                  <c:v>jasielski</c:v>
                </c:pt>
                <c:pt idx="15">
                  <c:v>leżajski</c:v>
                </c:pt>
                <c:pt idx="16">
                  <c:v>strzyżowski</c:v>
                </c:pt>
                <c:pt idx="17">
                  <c:v>kolbuszowski</c:v>
                </c:pt>
                <c:pt idx="18">
                  <c:v>ropczycko-sędziszowski</c:v>
                </c:pt>
                <c:pt idx="19">
                  <c:v>rzeszowski</c:v>
                </c:pt>
                <c:pt idx="20">
                  <c:v>jarosławski</c:v>
                </c:pt>
                <c:pt idx="21">
                  <c:v>sanocki</c:v>
                </c:pt>
                <c:pt idx="22">
                  <c:v>dębicki</c:v>
                </c:pt>
                <c:pt idx="23">
                  <c:v>mielecki</c:v>
                </c:pt>
                <c:pt idx="24">
                  <c:v>Rzeszów</c:v>
                </c:pt>
              </c:strCache>
            </c:strRef>
          </c:cat>
          <c:val>
            <c:numRef>
              <c:f>'9_sort'!$D$4:$D$28</c:f>
              <c:numCache>
                <c:formatCode>#,##0</c:formatCode>
                <c:ptCount val="25"/>
                <c:pt idx="0" formatCode="General">
                  <c:v>37</c:v>
                </c:pt>
                <c:pt idx="1">
                  <c:v>47</c:v>
                </c:pt>
                <c:pt idx="2">
                  <c:v>56</c:v>
                </c:pt>
                <c:pt idx="3">
                  <c:v>81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91</c:v>
                </c:pt>
                <c:pt idx="8">
                  <c:v>105</c:v>
                </c:pt>
                <c:pt idx="9">
                  <c:v>112</c:v>
                </c:pt>
                <c:pt idx="10">
                  <c:v>125</c:v>
                </c:pt>
                <c:pt idx="11">
                  <c:v>130</c:v>
                </c:pt>
                <c:pt idx="12">
                  <c:v>137</c:v>
                </c:pt>
                <c:pt idx="13">
                  <c:v>149</c:v>
                </c:pt>
                <c:pt idx="14">
                  <c:v>156</c:v>
                </c:pt>
                <c:pt idx="15">
                  <c:v>158</c:v>
                </c:pt>
                <c:pt idx="16">
                  <c:v>163</c:v>
                </c:pt>
                <c:pt idx="17">
                  <c:v>164</c:v>
                </c:pt>
                <c:pt idx="18">
                  <c:v>166</c:v>
                </c:pt>
                <c:pt idx="19">
                  <c:v>227</c:v>
                </c:pt>
                <c:pt idx="20">
                  <c:v>235</c:v>
                </c:pt>
                <c:pt idx="21">
                  <c:v>269</c:v>
                </c:pt>
                <c:pt idx="22">
                  <c:v>311</c:v>
                </c:pt>
                <c:pt idx="23">
                  <c:v>605</c:v>
                </c:pt>
                <c:pt idx="24">
                  <c:v>790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91586688"/>
        <c:axId val="191588224"/>
      </c:barChart>
      <c:catAx>
        <c:axId val="19158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588224"/>
        <c:crosses val="autoZero"/>
        <c:auto val="1"/>
        <c:lblAlgn val="ctr"/>
        <c:lblOffset val="100"/>
        <c:noMultiLvlLbl val="0"/>
      </c:catAx>
      <c:valAx>
        <c:axId val="19158822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9158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188594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41275</xdr:colOff>
      <xdr:row>1</xdr:row>
      <xdr:rowOff>81491</xdr:rowOff>
    </xdr:from>
    <xdr:to>
      <xdr:col>19</xdr:col>
      <xdr:colOff>116418</xdr:colOff>
      <xdr:row>16</xdr:row>
      <xdr:rowOff>146050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908050</xdr:colOff>
      <xdr:row>2</xdr:row>
      <xdr:rowOff>92075</xdr:rowOff>
    </xdr:from>
    <xdr:to>
      <xdr:col>19</xdr:col>
      <xdr:colOff>19051</xdr:colOff>
      <xdr:row>19</xdr:row>
      <xdr:rowOff>128059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3" name="Schemat blokowy: scalanie 2"/>
        <xdr:cNvSpPr/>
      </xdr:nvSpPr>
      <xdr:spPr>
        <a:xfrm>
          <a:off x="228599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833438</xdr:colOff>
      <xdr:row>1</xdr:row>
      <xdr:rowOff>114300</xdr:rowOff>
    </xdr:from>
    <xdr:to>
      <xdr:col>18</xdr:col>
      <xdr:colOff>601400</xdr:colOff>
      <xdr:row>17</xdr:row>
      <xdr:rowOff>102659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21165</xdr:colOff>
      <xdr:row>1</xdr:row>
      <xdr:rowOff>210609</xdr:rowOff>
    </xdr:from>
    <xdr:to>
      <xdr:col>18</xdr:col>
      <xdr:colOff>153459</xdr:colOff>
      <xdr:row>18</xdr:row>
      <xdr:rowOff>8468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914400</xdr:colOff>
      <xdr:row>1</xdr:row>
      <xdr:rowOff>231775</xdr:rowOff>
    </xdr:from>
    <xdr:to>
      <xdr:col>17</xdr:col>
      <xdr:colOff>497416</xdr:colOff>
      <xdr:row>19</xdr:row>
      <xdr:rowOff>116417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796925</xdr:colOff>
      <xdr:row>1</xdr:row>
      <xdr:rowOff>222250</xdr:rowOff>
    </xdr:from>
    <xdr:to>
      <xdr:col>18</xdr:col>
      <xdr:colOff>578910</xdr:colOff>
      <xdr:row>18</xdr:row>
      <xdr:rowOff>14818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876301</xdr:colOff>
      <xdr:row>1</xdr:row>
      <xdr:rowOff>209550</xdr:rowOff>
    </xdr:from>
    <xdr:to>
      <xdr:col>18</xdr:col>
      <xdr:colOff>611718</xdr:colOff>
      <xdr:row>17</xdr:row>
      <xdr:rowOff>7409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795867</xdr:colOff>
      <xdr:row>2</xdr:row>
      <xdr:rowOff>30691</xdr:rowOff>
    </xdr:from>
    <xdr:to>
      <xdr:col>18</xdr:col>
      <xdr:colOff>498477</xdr:colOff>
      <xdr:row>17</xdr:row>
      <xdr:rowOff>66675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846667</xdr:colOff>
      <xdr:row>2</xdr:row>
      <xdr:rowOff>57150</xdr:rowOff>
    </xdr:from>
    <xdr:to>
      <xdr:col>18</xdr:col>
      <xdr:colOff>498476</xdr:colOff>
      <xdr:row>18</xdr:row>
      <xdr:rowOff>93134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1045633</xdr:colOff>
      <xdr:row>1</xdr:row>
      <xdr:rowOff>223309</xdr:rowOff>
    </xdr:from>
    <xdr:to>
      <xdr:col>19</xdr:col>
      <xdr:colOff>15876</xdr:colOff>
      <xdr:row>19</xdr:row>
      <xdr:rowOff>21168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G29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.5703125" style="13" customWidth="1"/>
    <col min="2" max="2" width="21.85546875" style="13" customWidth="1"/>
    <col min="3" max="4" width="14.42578125" style="13" customWidth="1"/>
    <col min="5" max="5" width="13.5703125" style="13" customWidth="1"/>
    <col min="6" max="6" width="14.7109375" style="13" customWidth="1"/>
    <col min="7" max="7" width="14.28515625" style="13" customWidth="1"/>
    <col min="8" max="8" width="6.28515625" style="13" customWidth="1"/>
    <col min="9" max="16384" width="9.140625" style="13"/>
  </cols>
  <sheetData>
    <row r="1" spans="2:7" ht="18.75" customHeight="1" x14ac:dyDescent="0.25">
      <c r="B1" s="75" t="s">
        <v>33</v>
      </c>
      <c r="C1" s="75"/>
      <c r="D1" s="75"/>
      <c r="E1" s="75"/>
      <c r="F1" s="75"/>
      <c r="G1" s="75"/>
    </row>
    <row r="2" spans="2:7" ht="60" x14ac:dyDescent="0.25">
      <c r="B2" s="20" t="s">
        <v>27</v>
      </c>
      <c r="C2" s="21" t="s">
        <v>106</v>
      </c>
      <c r="D2" s="22" t="s">
        <v>98</v>
      </c>
      <c r="E2" s="21" t="s">
        <v>78</v>
      </c>
      <c r="F2" s="22" t="s">
        <v>105</v>
      </c>
      <c r="G2" s="21" t="s">
        <v>26</v>
      </c>
    </row>
    <row r="3" spans="2:7" x14ac:dyDescent="0.25">
      <c r="B3" s="23" t="s">
        <v>0</v>
      </c>
      <c r="C3" s="24">
        <v>1157</v>
      </c>
      <c r="D3" s="25">
        <v>1204</v>
      </c>
      <c r="E3" s="24">
        <f>SUM(C3)-D3</f>
        <v>-47</v>
      </c>
      <c r="F3" s="25">
        <v>1256</v>
      </c>
      <c r="G3" s="24">
        <f>SUM(C3)-F3</f>
        <v>-99</v>
      </c>
    </row>
    <row r="4" spans="2:7" x14ac:dyDescent="0.25">
      <c r="B4" s="23" t="s">
        <v>1</v>
      </c>
      <c r="C4" s="24">
        <v>4057</v>
      </c>
      <c r="D4" s="25">
        <v>4172</v>
      </c>
      <c r="E4" s="24">
        <f>SUM(C4)-D4</f>
        <v>-115</v>
      </c>
      <c r="F4" s="25">
        <v>4406</v>
      </c>
      <c r="G4" s="24">
        <f>SUM(C4)-F4</f>
        <v>-349</v>
      </c>
    </row>
    <row r="5" spans="2:7" x14ac:dyDescent="0.25">
      <c r="B5" s="23" t="s">
        <v>2</v>
      </c>
      <c r="C5" s="24">
        <v>3035</v>
      </c>
      <c r="D5" s="25">
        <v>3172</v>
      </c>
      <c r="E5" s="24">
        <f>SUM(C5)-D5</f>
        <v>-137</v>
      </c>
      <c r="F5" s="25">
        <v>3515</v>
      </c>
      <c r="G5" s="24">
        <f t="shared" ref="G5:G27" si="0">SUM(C5)-F5</f>
        <v>-480</v>
      </c>
    </row>
    <row r="6" spans="2:7" x14ac:dyDescent="0.25">
      <c r="B6" s="23" t="s">
        <v>3</v>
      </c>
      <c r="C6" s="24">
        <v>5829</v>
      </c>
      <c r="D6" s="25">
        <v>6030</v>
      </c>
      <c r="E6" s="24">
        <f t="shared" ref="E6:E27" si="1">SUM(C6)-D6</f>
        <v>-201</v>
      </c>
      <c r="F6" s="25">
        <v>5960</v>
      </c>
      <c r="G6" s="24">
        <f t="shared" si="0"/>
        <v>-131</v>
      </c>
    </row>
    <row r="7" spans="2:7" x14ac:dyDescent="0.25">
      <c r="B7" s="23" t="s">
        <v>4</v>
      </c>
      <c r="C7" s="24">
        <v>5581</v>
      </c>
      <c r="D7" s="25">
        <v>5642</v>
      </c>
      <c r="E7" s="24">
        <f t="shared" si="1"/>
        <v>-61</v>
      </c>
      <c r="F7" s="25">
        <v>5553</v>
      </c>
      <c r="G7" s="24">
        <f t="shared" si="0"/>
        <v>28</v>
      </c>
    </row>
    <row r="8" spans="2:7" x14ac:dyDescent="0.25">
      <c r="B8" s="23" t="s">
        <v>5</v>
      </c>
      <c r="C8" s="24">
        <v>1850</v>
      </c>
      <c r="D8" s="25">
        <v>1967</v>
      </c>
      <c r="E8" s="24">
        <f t="shared" si="1"/>
        <v>-117</v>
      </c>
      <c r="F8" s="25">
        <v>2116</v>
      </c>
      <c r="G8" s="24">
        <f t="shared" si="0"/>
        <v>-266</v>
      </c>
    </row>
    <row r="9" spans="2:7" x14ac:dyDescent="0.25">
      <c r="B9" s="26" t="s">
        <v>6</v>
      </c>
      <c r="C9" s="24">
        <v>2267</v>
      </c>
      <c r="D9" s="25">
        <v>2429</v>
      </c>
      <c r="E9" s="24">
        <f t="shared" si="1"/>
        <v>-162</v>
      </c>
      <c r="F9" s="25">
        <v>2426</v>
      </c>
      <c r="G9" s="24">
        <f t="shared" si="0"/>
        <v>-159</v>
      </c>
    </row>
    <row r="10" spans="2:7" x14ac:dyDescent="0.25">
      <c r="B10" s="23" t="s">
        <v>7</v>
      </c>
      <c r="C10" s="24">
        <v>1602</v>
      </c>
      <c r="D10" s="25">
        <v>1700</v>
      </c>
      <c r="E10" s="24">
        <f t="shared" si="1"/>
        <v>-98</v>
      </c>
      <c r="F10" s="25">
        <v>1808</v>
      </c>
      <c r="G10" s="24">
        <f t="shared" si="0"/>
        <v>-206</v>
      </c>
    </row>
    <row r="11" spans="2:7" x14ac:dyDescent="0.25">
      <c r="B11" s="23" t="s">
        <v>8</v>
      </c>
      <c r="C11" s="24">
        <v>3722</v>
      </c>
      <c r="D11" s="25">
        <v>3766</v>
      </c>
      <c r="E11" s="24">
        <f t="shared" si="1"/>
        <v>-44</v>
      </c>
      <c r="F11" s="25">
        <v>3764</v>
      </c>
      <c r="G11" s="24">
        <f t="shared" si="0"/>
        <v>-42</v>
      </c>
    </row>
    <row r="12" spans="2:7" x14ac:dyDescent="0.25">
      <c r="B12" s="23" t="s">
        <v>9</v>
      </c>
      <c r="C12" s="24">
        <v>1965</v>
      </c>
      <c r="D12" s="25">
        <v>2078</v>
      </c>
      <c r="E12" s="24">
        <f t="shared" si="1"/>
        <v>-113</v>
      </c>
      <c r="F12" s="25">
        <v>2115</v>
      </c>
      <c r="G12" s="24">
        <f t="shared" si="0"/>
        <v>-150</v>
      </c>
    </row>
    <row r="13" spans="2:7" x14ac:dyDescent="0.25">
      <c r="B13" s="23" t="s">
        <v>10</v>
      </c>
      <c r="C13" s="24">
        <v>3419</v>
      </c>
      <c r="D13" s="25">
        <v>3469</v>
      </c>
      <c r="E13" s="24">
        <f t="shared" si="1"/>
        <v>-50</v>
      </c>
      <c r="F13" s="25">
        <v>3462</v>
      </c>
      <c r="G13" s="24">
        <f t="shared" si="0"/>
        <v>-43</v>
      </c>
    </row>
    <row r="14" spans="2:7" x14ac:dyDescent="0.25">
      <c r="B14" s="23" t="s">
        <v>11</v>
      </c>
      <c r="C14" s="24">
        <v>3173</v>
      </c>
      <c r="D14" s="25">
        <v>3206</v>
      </c>
      <c r="E14" s="24">
        <f t="shared" si="1"/>
        <v>-33</v>
      </c>
      <c r="F14" s="25">
        <v>3817</v>
      </c>
      <c r="G14" s="24">
        <f t="shared" si="0"/>
        <v>-644</v>
      </c>
    </row>
    <row r="15" spans="2:7" x14ac:dyDescent="0.25">
      <c r="B15" s="23" t="s">
        <v>12</v>
      </c>
      <c r="C15" s="24">
        <v>3484</v>
      </c>
      <c r="D15" s="25">
        <v>3607</v>
      </c>
      <c r="E15" s="24">
        <f t="shared" si="1"/>
        <v>-123</v>
      </c>
      <c r="F15" s="25">
        <v>3825</v>
      </c>
      <c r="G15" s="24">
        <f t="shared" si="0"/>
        <v>-341</v>
      </c>
    </row>
    <row r="16" spans="2:7" x14ac:dyDescent="0.25">
      <c r="B16" s="23" t="s">
        <v>13</v>
      </c>
      <c r="C16" s="24">
        <v>3536</v>
      </c>
      <c r="D16" s="25">
        <v>3654</v>
      </c>
      <c r="E16" s="24">
        <f t="shared" si="1"/>
        <v>-118</v>
      </c>
      <c r="F16" s="25">
        <v>3679</v>
      </c>
      <c r="G16" s="24">
        <f t="shared" si="0"/>
        <v>-143</v>
      </c>
    </row>
    <row r="17" spans="2:7" x14ac:dyDescent="0.25">
      <c r="B17" s="23" t="s">
        <v>14</v>
      </c>
      <c r="C17" s="24">
        <v>3789</v>
      </c>
      <c r="D17" s="25">
        <v>3866</v>
      </c>
      <c r="E17" s="24">
        <f t="shared" si="1"/>
        <v>-77</v>
      </c>
      <c r="F17" s="25">
        <v>4065</v>
      </c>
      <c r="G17" s="24">
        <f t="shared" si="0"/>
        <v>-276</v>
      </c>
    </row>
    <row r="18" spans="2:7" x14ac:dyDescent="0.25">
      <c r="B18" s="23" t="s">
        <v>15</v>
      </c>
      <c r="C18" s="24">
        <v>3413</v>
      </c>
      <c r="D18" s="25">
        <v>3460</v>
      </c>
      <c r="E18" s="24">
        <f t="shared" si="1"/>
        <v>-47</v>
      </c>
      <c r="F18" s="25">
        <v>3616</v>
      </c>
      <c r="G18" s="24">
        <f t="shared" si="0"/>
        <v>-203</v>
      </c>
    </row>
    <row r="19" spans="2:7" x14ac:dyDescent="0.25">
      <c r="B19" s="23" t="s">
        <v>16</v>
      </c>
      <c r="C19" s="24">
        <v>6285</v>
      </c>
      <c r="D19" s="25">
        <v>6479</v>
      </c>
      <c r="E19" s="24">
        <f t="shared" si="1"/>
        <v>-194</v>
      </c>
      <c r="F19" s="25">
        <v>6467</v>
      </c>
      <c r="G19" s="24">
        <f t="shared" si="0"/>
        <v>-182</v>
      </c>
    </row>
    <row r="20" spans="2:7" x14ac:dyDescent="0.25">
      <c r="B20" s="23" t="s">
        <v>17</v>
      </c>
      <c r="C20" s="24">
        <v>2679</v>
      </c>
      <c r="D20" s="25">
        <v>2770</v>
      </c>
      <c r="E20" s="24">
        <f t="shared" si="1"/>
        <v>-91</v>
      </c>
      <c r="F20" s="25">
        <v>3139</v>
      </c>
      <c r="G20" s="24">
        <f t="shared" si="0"/>
        <v>-460</v>
      </c>
    </row>
    <row r="21" spans="2:7" x14ac:dyDescent="0.25">
      <c r="B21" s="23" t="s">
        <v>18</v>
      </c>
      <c r="C21" s="24">
        <v>2398</v>
      </c>
      <c r="D21" s="25">
        <v>2537</v>
      </c>
      <c r="E21" s="24">
        <f t="shared" si="1"/>
        <v>-139</v>
      </c>
      <c r="F21" s="25">
        <v>2733</v>
      </c>
      <c r="G21" s="24">
        <f t="shared" si="0"/>
        <v>-335</v>
      </c>
    </row>
    <row r="22" spans="2:7" x14ac:dyDescent="0.25">
      <c r="B22" s="23" t="s">
        <v>19</v>
      </c>
      <c r="C22" s="24">
        <v>3573</v>
      </c>
      <c r="D22" s="25">
        <v>3610</v>
      </c>
      <c r="E22" s="24">
        <f t="shared" si="1"/>
        <v>-37</v>
      </c>
      <c r="F22" s="25">
        <v>3741</v>
      </c>
      <c r="G22" s="24">
        <f t="shared" si="0"/>
        <v>-168</v>
      </c>
    </row>
    <row r="23" spans="2:7" x14ac:dyDescent="0.25">
      <c r="B23" s="23" t="s">
        <v>20</v>
      </c>
      <c r="C23" s="24">
        <v>1643</v>
      </c>
      <c r="D23" s="25">
        <v>1672</v>
      </c>
      <c r="E23" s="24">
        <f t="shared" si="1"/>
        <v>-29</v>
      </c>
      <c r="F23" s="25">
        <v>1784</v>
      </c>
      <c r="G23" s="24">
        <f t="shared" si="0"/>
        <v>-141</v>
      </c>
    </row>
    <row r="24" spans="2:7" x14ac:dyDescent="0.25">
      <c r="B24" s="23" t="s">
        <v>21</v>
      </c>
      <c r="C24" s="24">
        <v>846</v>
      </c>
      <c r="D24" s="25">
        <v>878</v>
      </c>
      <c r="E24" s="24">
        <f t="shared" si="1"/>
        <v>-32</v>
      </c>
      <c r="F24" s="25">
        <v>965</v>
      </c>
      <c r="G24" s="24">
        <f t="shared" si="0"/>
        <v>-119</v>
      </c>
    </row>
    <row r="25" spans="2:7" x14ac:dyDescent="0.25">
      <c r="B25" s="23" t="s">
        <v>22</v>
      </c>
      <c r="C25" s="24">
        <v>2986</v>
      </c>
      <c r="D25" s="25">
        <v>3055</v>
      </c>
      <c r="E25" s="24">
        <f t="shared" si="1"/>
        <v>-69</v>
      </c>
      <c r="F25" s="25">
        <v>3165</v>
      </c>
      <c r="G25" s="24">
        <f t="shared" si="0"/>
        <v>-179</v>
      </c>
    </row>
    <row r="26" spans="2:7" x14ac:dyDescent="0.25">
      <c r="B26" s="23" t="s">
        <v>23</v>
      </c>
      <c r="C26" s="24">
        <v>7175</v>
      </c>
      <c r="D26" s="25">
        <v>7316</v>
      </c>
      <c r="E26" s="24">
        <f t="shared" si="1"/>
        <v>-141</v>
      </c>
      <c r="F26" s="25">
        <v>7181</v>
      </c>
      <c r="G26" s="24">
        <f t="shared" si="0"/>
        <v>-6</v>
      </c>
    </row>
    <row r="27" spans="2:7" x14ac:dyDescent="0.25">
      <c r="B27" s="23" t="s">
        <v>24</v>
      </c>
      <c r="C27" s="24">
        <v>1480</v>
      </c>
      <c r="D27" s="25">
        <v>1520</v>
      </c>
      <c r="E27" s="24">
        <f t="shared" si="1"/>
        <v>-40</v>
      </c>
      <c r="F27" s="25">
        <v>1601</v>
      </c>
      <c r="G27" s="24">
        <f t="shared" si="0"/>
        <v>-121</v>
      </c>
    </row>
    <row r="28" spans="2:7" x14ac:dyDescent="0.25">
      <c r="B28" s="61" t="s">
        <v>25</v>
      </c>
      <c r="C28" s="62">
        <f>SUM(C3:C27)</f>
        <v>80944</v>
      </c>
      <c r="D28" s="63">
        <f>SUM(D3:D27)</f>
        <v>83259</v>
      </c>
      <c r="E28" s="62">
        <f>SUM(C28)-D28</f>
        <v>-2315</v>
      </c>
      <c r="F28" s="63">
        <f>SUM(F3:F27)</f>
        <v>86159</v>
      </c>
      <c r="G28" s="62">
        <f>SUM(C28)-F28</f>
        <v>-5215</v>
      </c>
    </row>
    <row r="29" spans="2:7" x14ac:dyDescent="0.25">
      <c r="E29" s="30"/>
      <c r="G29" s="30"/>
    </row>
  </sheetData>
  <printOptions horizontalCentered="1" verticalCentered="1"/>
  <pageMargins left="0" right="0" top="0.31496062992125984" bottom="0.3149606299212598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zoomScale="90" zoomScaleNormal="90" workbookViewId="0">
      <selection activeCell="B1" sqref="B1"/>
    </sheetView>
  </sheetViews>
  <sheetFormatPr defaultRowHeight="15" x14ac:dyDescent="0.25"/>
  <cols>
    <col min="1" max="1" width="3.42578125" style="1" customWidth="1"/>
    <col min="2" max="2" width="6.7109375" style="1" customWidth="1"/>
    <col min="3" max="3" width="21.85546875" style="1" customWidth="1"/>
    <col min="4" max="5" width="13.85546875" style="1" customWidth="1"/>
    <col min="6" max="6" width="15" style="1" customWidth="1"/>
    <col min="7" max="7" width="13.85546875" style="1" customWidth="1"/>
    <col min="8" max="8" width="14.5703125" style="1" customWidth="1"/>
    <col min="9" max="9" width="5.140625" style="1" customWidth="1"/>
    <col min="10" max="18" width="9.140625" style="1"/>
    <col min="19" max="19" width="6.140625" style="1" customWidth="1"/>
    <col min="20" max="20" width="3.140625" style="1" customWidth="1"/>
    <col min="21" max="16384" width="9.140625" style="1"/>
  </cols>
  <sheetData>
    <row r="1" spans="1:8" ht="18.75" x14ac:dyDescent="0.4">
      <c r="B1" s="51" t="s">
        <v>32</v>
      </c>
      <c r="C1" s="13"/>
      <c r="D1" s="13"/>
      <c r="E1" s="13"/>
      <c r="F1" s="13"/>
      <c r="G1" s="13"/>
      <c r="H1" s="13"/>
    </row>
    <row r="2" spans="1:8" ht="18.75" x14ac:dyDescent="0.3">
      <c r="B2" s="13"/>
      <c r="C2" s="58"/>
      <c r="D2" s="60"/>
      <c r="E2" s="13"/>
      <c r="F2" s="13"/>
      <c r="G2" s="13"/>
      <c r="H2" s="13"/>
    </row>
    <row r="3" spans="1:8" ht="60" x14ac:dyDescent="0.25">
      <c r="B3" s="64" t="s">
        <v>91</v>
      </c>
      <c r="C3" s="20" t="str">
        <f>T('2_kob.'!B2)</f>
        <v>powiaty</v>
      </c>
      <c r="D3" s="20" t="str">
        <f>T('2_kob.'!C2)</f>
        <v>liczba bezrobotnych kobiet stan na 30 VI '21 r.</v>
      </c>
      <c r="E3" s="20" t="str">
        <f>T('2_kob.'!D2)</f>
        <v>liczba bezrobotnych kobiet stan na 31 V '21 r.</v>
      </c>
      <c r="F3" s="20" t="str">
        <f>T('2_kob.'!E2)</f>
        <v>wzrost/spadek do poprzedniego  miesiąca</v>
      </c>
      <c r="G3" s="20" t="str">
        <f>T('2_kob.'!F2)</f>
        <v>liczba bezrobotnych kobiet stan na 30 VI '20 r.</v>
      </c>
      <c r="H3" s="20" t="str">
        <f>T('2_kob.'!G2)</f>
        <v>wzrost/spadek do analogicznego okresu ubr.</v>
      </c>
    </row>
    <row r="4" spans="1:8" x14ac:dyDescent="0.25">
      <c r="A4" s="1">
        <v>1</v>
      </c>
      <c r="B4" s="24">
        <f>RANK('5_bezr. na wsi'!C3,'5_bezr. na wsi'!$C$3:'5_bezr. na wsi'!$C$28,1)+COUNTIF('5_bezr. na wsi'!$C$3:'5_bezr. na wsi'!C3,'5_bezr. na wsi'!C3)-1</f>
        <v>1</v>
      </c>
      <c r="C4" s="23" t="str">
        <f>INDEX('5_bezr. na wsi'!B3:G28,MATCH(1,B4:B25,0),1)</f>
        <v>bieszczadzki</v>
      </c>
      <c r="D4" s="12">
        <f>INDEX('5_bezr. na wsi'!B3:G28,MATCH(1,B4:B25,0),2)</f>
        <v>712</v>
      </c>
      <c r="E4" s="25">
        <f>INDEX('5_bezr. na wsi'!B3:G28,MATCH(1,B4:B25,0),3)</f>
        <v>746</v>
      </c>
      <c r="F4" s="24">
        <f>INDEX('5_bezr. na wsi'!B3:G28,MATCH(1,B4:B25,0),4)</f>
        <v>-34</v>
      </c>
      <c r="G4" s="25">
        <f>INDEX('5_bezr. na wsi'!B3:G28,MATCH(1,B4:B25,0),5)</f>
        <v>756</v>
      </c>
      <c r="H4" s="24">
        <f>INDEX('5_bezr. na wsi'!B3:G28,MATCH(1,B4:B25,0),6)</f>
        <v>-44</v>
      </c>
    </row>
    <row r="5" spans="1:8" x14ac:dyDescent="0.25">
      <c r="A5" s="1">
        <v>2</v>
      </c>
      <c r="B5" s="24">
        <f>RANK('5_bezr. na wsi'!C4,'5_bezr. na wsi'!$C$3:'5_bezr. na wsi'!$C$28,1)+COUNTIF('5_bezr. na wsi'!$C$3:'5_bezr. na wsi'!C4,'5_bezr. na wsi'!C4)-1</f>
        <v>19</v>
      </c>
      <c r="C5" s="23" t="str">
        <f>INDEX('5_bezr. na wsi'!B3:G28,MATCH(2,B4:B25,0),1)</f>
        <v>stalowowolski</v>
      </c>
      <c r="D5" s="24">
        <f>INDEX('5_bezr. na wsi'!B3:G28,MATCH(2,B4:B25,0),2)</f>
        <v>940</v>
      </c>
      <c r="E5" s="25">
        <f>INDEX('5_bezr. na wsi'!B3:G28,MATCH(2,B4:B25,0),3)</f>
        <v>983</v>
      </c>
      <c r="F5" s="24">
        <f>INDEX('5_bezr. na wsi'!B3:G28,MATCH(2,B4:B25,0),4)</f>
        <v>-43</v>
      </c>
      <c r="G5" s="25">
        <f>INDEX('5_bezr. na wsi'!B3:G28,MATCH(2,B4:B25,0),5)</f>
        <v>1023</v>
      </c>
      <c r="H5" s="24">
        <f>INDEX('5_bezr. na wsi'!B3:G28,MATCH(2,B4:B25,0),6)</f>
        <v>-83</v>
      </c>
    </row>
    <row r="6" spans="1:8" x14ac:dyDescent="0.25">
      <c r="A6" s="1">
        <v>3</v>
      </c>
      <c r="B6" s="24">
        <f>RANK('5_bezr. na wsi'!C5,'5_bezr. na wsi'!$C$3:'5_bezr. na wsi'!$C$28,1)+COUNTIF('5_bezr. na wsi'!$C$3:'5_bezr. na wsi'!C5,'5_bezr. na wsi'!C5)-1</f>
        <v>9</v>
      </c>
      <c r="C6" s="23" t="str">
        <f>INDEX('5_bezr. na wsi'!B3:G28,MATCH(3,B4:B25,0),1)</f>
        <v>lubaczowski</v>
      </c>
      <c r="D6" s="24">
        <f>INDEX('5_bezr. na wsi'!B3:G28,MATCH(3,B4:B25,0),2)</f>
        <v>1261</v>
      </c>
      <c r="E6" s="25">
        <f>INDEX('5_bezr. na wsi'!B3:G28,MATCH(3,B4:B25,0),3)</f>
        <v>1351</v>
      </c>
      <c r="F6" s="24">
        <f>INDEX('5_bezr. na wsi'!B3:G28,MATCH(3,B4:B25,0),4)</f>
        <v>-90</v>
      </c>
      <c r="G6" s="25">
        <f>INDEX('5_bezr. na wsi'!B3:G28,MATCH(3,B4:B25,0),5)</f>
        <v>1361</v>
      </c>
      <c r="H6" s="24">
        <f>INDEX('5_bezr. na wsi'!B3:G28,MATCH(3,B4:B25,0),6)</f>
        <v>-100</v>
      </c>
    </row>
    <row r="7" spans="1:8" x14ac:dyDescent="0.25">
      <c r="A7" s="1">
        <v>4</v>
      </c>
      <c r="B7" s="24">
        <f>RANK('5_bezr. na wsi'!C6,'5_bezr. na wsi'!$C$3:'5_bezr. na wsi'!$C$28,1)+COUNTIF('5_bezr. na wsi'!$C$3:'5_bezr. na wsi'!C6,'5_bezr. na wsi'!C6)-1</f>
        <v>18</v>
      </c>
      <c r="C7" s="23" t="str">
        <f>INDEX('5_bezr. na wsi'!B3:G28,MATCH(4,B4:B25,0),1)</f>
        <v>leski</v>
      </c>
      <c r="D7" s="24">
        <f>INDEX('5_bezr. na wsi'!B3:G28,MATCH(4,B4:B25,0),2)</f>
        <v>1311</v>
      </c>
      <c r="E7" s="25">
        <f>INDEX('5_bezr. na wsi'!B3:G28,MATCH(4,B4:B25,0),3)</f>
        <v>1378</v>
      </c>
      <c r="F7" s="24">
        <f>INDEX('5_bezr. na wsi'!B3:G28,MATCH(4,B4:B25,0),4)</f>
        <v>-67</v>
      </c>
      <c r="G7" s="25">
        <f>INDEX('5_bezr. na wsi'!B3:G28,MATCH(4,B4:B25,0),5)</f>
        <v>1471</v>
      </c>
      <c r="H7" s="24">
        <f>INDEX('5_bezr. na wsi'!B3:G28,MATCH(4,B4:B25,0),6)</f>
        <v>-160</v>
      </c>
    </row>
    <row r="8" spans="1:8" x14ac:dyDescent="0.25">
      <c r="A8" s="1">
        <v>5</v>
      </c>
      <c r="B8" s="24">
        <f>RANK('5_bezr. na wsi'!C7,'5_bezr. na wsi'!$C$3:'5_bezr. na wsi'!$C$28,1)+COUNTIF('5_bezr. na wsi'!$C$3:'5_bezr. na wsi'!C7,'5_bezr. na wsi'!C7)-1</f>
        <v>20</v>
      </c>
      <c r="C8" s="23" t="str">
        <f>INDEX('5_bezr. na wsi'!B3:G28,MATCH(5,B4:B25,0),1)</f>
        <v xml:space="preserve">tarnobrzeski </v>
      </c>
      <c r="D8" s="24">
        <f>INDEX('5_bezr. na wsi'!B3:G28,MATCH(5,B4:B25,0),2)</f>
        <v>1327</v>
      </c>
      <c r="E8" s="25">
        <f>INDEX('5_bezr. na wsi'!B3:G28,MATCH(5,B4:B25,0),3)</f>
        <v>1350</v>
      </c>
      <c r="F8" s="24">
        <f>INDEX('5_bezr. na wsi'!B3:G28,MATCH(5,B4:B25,0),4)</f>
        <v>-23</v>
      </c>
      <c r="G8" s="25">
        <f>INDEX('5_bezr. na wsi'!B3:G28,MATCH(5,B4:B25,0),5)</f>
        <v>1486</v>
      </c>
      <c r="H8" s="24">
        <f>INDEX('5_bezr. na wsi'!B3:G28,MATCH(5,B4:B25,0),6)</f>
        <v>-159</v>
      </c>
    </row>
    <row r="9" spans="1:8" x14ac:dyDescent="0.25">
      <c r="A9" s="1">
        <v>6</v>
      </c>
      <c r="B9" s="24">
        <f>RANK('5_bezr. na wsi'!C8,'5_bezr. na wsi'!$C$3:'5_bezr. na wsi'!$C$28,1)+COUNTIF('5_bezr. na wsi'!$C$3:'5_bezr. na wsi'!C8,'5_bezr. na wsi'!C8)-1</f>
        <v>8</v>
      </c>
      <c r="C9" s="23" t="str">
        <f>INDEX('5_bezr. na wsi'!B3:G28,MATCH(6,B4:B25,0),1)</f>
        <v>sanocki</v>
      </c>
      <c r="D9" s="24">
        <f>INDEX('5_bezr. na wsi'!B3:G28,MATCH(6,B4:B25,0),2)</f>
        <v>1524</v>
      </c>
      <c r="E9" s="25">
        <f>INDEX('5_bezr. na wsi'!B3:G28,MATCH(6,B4:B25,0),3)</f>
        <v>1574</v>
      </c>
      <c r="F9" s="24">
        <f>INDEX('5_bezr. na wsi'!B3:G28,MATCH(6,B4:B25,0),4)</f>
        <v>-50</v>
      </c>
      <c r="G9" s="25">
        <f>INDEX('5_bezr. na wsi'!B3:G28,MATCH(6,B4:B25,0),5)</f>
        <v>1792</v>
      </c>
      <c r="H9" s="24">
        <f>INDEX('5_bezr. na wsi'!B3:G28,MATCH(6,B4:B25,0),6)</f>
        <v>-268</v>
      </c>
    </row>
    <row r="10" spans="1:8" x14ac:dyDescent="0.25">
      <c r="A10" s="1">
        <v>7</v>
      </c>
      <c r="B10" s="24">
        <f>RANK('5_bezr. na wsi'!C9,'5_bezr. na wsi'!$C$3:'5_bezr. na wsi'!$C$28,1)+COUNTIF('5_bezr. na wsi'!$C$3:'5_bezr. na wsi'!C9,'5_bezr. na wsi'!C9)-1</f>
        <v>10</v>
      </c>
      <c r="C10" s="26" t="str">
        <f>INDEX('5_bezr. na wsi'!B3:G28,MATCH(7,B4:B25,0),1)</f>
        <v>mielecki</v>
      </c>
      <c r="D10" s="24">
        <f>INDEX('5_bezr. na wsi'!B3:G28,MATCH(7,B4:B25,0),2)</f>
        <v>1564</v>
      </c>
      <c r="E10" s="25">
        <f>INDEX('5_bezr. na wsi'!B3:G28,MATCH(7,B4:B25,0),3)</f>
        <v>1568</v>
      </c>
      <c r="F10" s="24">
        <f>INDEX('5_bezr. na wsi'!B3:G28,MATCH(7,B4:B25,0),4)</f>
        <v>-4</v>
      </c>
      <c r="G10" s="25">
        <f>INDEX('5_bezr. na wsi'!B3:G28,MATCH(7,B4:B25,0),5)</f>
        <v>1891</v>
      </c>
      <c r="H10" s="24">
        <f>INDEX('5_bezr. na wsi'!B3:G28,MATCH(7,B4:B25,0),6)</f>
        <v>-327</v>
      </c>
    </row>
    <row r="11" spans="1:8" x14ac:dyDescent="0.25">
      <c r="A11" s="1">
        <v>8</v>
      </c>
      <c r="B11" s="24">
        <f>RANK('5_bezr. na wsi'!C10,'5_bezr. na wsi'!$C$3:'5_bezr. na wsi'!$C$28,1)+COUNTIF('5_bezr. na wsi'!$C$3:'5_bezr. na wsi'!C10,'5_bezr. na wsi'!C10)-1</f>
        <v>4</v>
      </c>
      <c r="C11" s="23" t="str">
        <f>INDEX('5_bezr. na wsi'!B3:G28,MATCH(8,B4:B25,0),1)</f>
        <v>kolbuszowski</v>
      </c>
      <c r="D11" s="24">
        <f>INDEX('5_bezr. na wsi'!B3:G28,MATCH(8,B4:B25,0),2)</f>
        <v>1613</v>
      </c>
      <c r="E11" s="25">
        <f>INDEX('5_bezr. na wsi'!B3:G28,MATCH(8,B4:B25,0),3)</f>
        <v>1714</v>
      </c>
      <c r="F11" s="24">
        <f>INDEX('5_bezr. na wsi'!B3:G28,MATCH(8,B4:B25,0),4)</f>
        <v>-101</v>
      </c>
      <c r="G11" s="25">
        <f>INDEX('5_bezr. na wsi'!B3:G28,MATCH(8,B4:B25,0),5)</f>
        <v>1831</v>
      </c>
      <c r="H11" s="24">
        <f>INDEX('5_bezr. na wsi'!B3:G28,MATCH(8,B4:B25,0),6)</f>
        <v>-218</v>
      </c>
    </row>
    <row r="12" spans="1:8" x14ac:dyDescent="0.25">
      <c r="A12" s="1">
        <v>9</v>
      </c>
      <c r="B12" s="24">
        <f>RANK('5_bezr. na wsi'!C11,'5_bezr. na wsi'!$C$3:'5_bezr. na wsi'!$C$28,1)+COUNTIF('5_bezr. na wsi'!$C$3:'5_bezr. na wsi'!C11,'5_bezr. na wsi'!C11)-1</f>
        <v>15</v>
      </c>
      <c r="C12" s="23" t="str">
        <f>INDEX('5_bezr. na wsi'!B3:G28,MATCH(9,B4:B25,0),1)</f>
        <v>dębicki</v>
      </c>
      <c r="D12" s="24">
        <f>INDEX('5_bezr. na wsi'!B3:G28,MATCH(9,B4:B25,0),2)</f>
        <v>1797</v>
      </c>
      <c r="E12" s="25">
        <f>INDEX('5_bezr. na wsi'!B3:G28,MATCH(9,B4:B25,0),3)</f>
        <v>1892</v>
      </c>
      <c r="F12" s="24">
        <f>INDEX('5_bezr. na wsi'!B3:G28,MATCH(9,B4:B25,0),4)</f>
        <v>-95</v>
      </c>
      <c r="G12" s="25">
        <f>INDEX('5_bezr. na wsi'!B3:G28,MATCH(9,B4:B25,0),5)</f>
        <v>2102</v>
      </c>
      <c r="H12" s="24">
        <f>INDEX('5_bezr. na wsi'!B3:G28,MATCH(9,B4:B25,0),6)</f>
        <v>-305</v>
      </c>
    </row>
    <row r="13" spans="1:8" x14ac:dyDescent="0.25">
      <c r="A13" s="1">
        <v>10</v>
      </c>
      <c r="B13" s="24">
        <f>RANK('5_bezr. na wsi'!C12,'5_bezr. na wsi'!$C$3:'5_bezr. na wsi'!$C$28,1)+COUNTIF('5_bezr. na wsi'!$C$3:'5_bezr. na wsi'!C12,'5_bezr. na wsi'!C12)-1</f>
        <v>3</v>
      </c>
      <c r="C13" s="23" t="str">
        <f>INDEX('5_bezr. na wsi'!B3:G28,MATCH(10,B4:B25,0),1)</f>
        <v>krośnieński</v>
      </c>
      <c r="D13" s="24">
        <f>INDEX('5_bezr. na wsi'!B3:G28,MATCH(10,B4:B25,0),2)</f>
        <v>2023</v>
      </c>
      <c r="E13" s="25">
        <f>INDEX('5_bezr. na wsi'!B3:G28,MATCH(10,B4:B25,0),3)</f>
        <v>2170</v>
      </c>
      <c r="F13" s="24">
        <f>INDEX('5_bezr. na wsi'!B3:G28,MATCH(10,B4:B25,0),4)</f>
        <v>-147</v>
      </c>
      <c r="G13" s="25">
        <f>INDEX('5_bezr. na wsi'!B3:G28,MATCH(10,B4:B25,0),5)</f>
        <v>2182</v>
      </c>
      <c r="H13" s="24">
        <f>INDEX('5_bezr. na wsi'!B3:G28,MATCH(10,B4:B25,0),6)</f>
        <v>-159</v>
      </c>
    </row>
    <row r="14" spans="1:8" x14ac:dyDescent="0.25">
      <c r="A14" s="1">
        <v>11</v>
      </c>
      <c r="B14" s="24">
        <f>RANK('5_bezr. na wsi'!C13,'5_bezr. na wsi'!$C$3:'5_bezr. na wsi'!$C$28,1)+COUNTIF('5_bezr. na wsi'!$C$3:'5_bezr. na wsi'!C13,'5_bezr. na wsi'!C13)-1</f>
        <v>13</v>
      </c>
      <c r="C14" s="23" t="str">
        <f>INDEX('5_bezr. na wsi'!B3:G28,MATCH(11,B4:B25,0),1)</f>
        <v>ropczycko-sędziszowski</v>
      </c>
      <c r="D14" s="24">
        <f>INDEX('5_bezr. na wsi'!B3:G28,MATCH(11,B4:B25,0),2)</f>
        <v>2150</v>
      </c>
      <c r="E14" s="25">
        <f>INDEX('5_bezr. na wsi'!B3:G28,MATCH(11,B4:B25,0),3)</f>
        <v>2202</v>
      </c>
      <c r="F14" s="24">
        <f>INDEX('5_bezr. na wsi'!B3:G28,MATCH(11,B4:B25,0),4)</f>
        <v>-52</v>
      </c>
      <c r="G14" s="25">
        <f>INDEX('5_bezr. na wsi'!B3:G28,MATCH(11,B4:B25,0),5)</f>
        <v>2272</v>
      </c>
      <c r="H14" s="24">
        <f>INDEX('5_bezr. na wsi'!B3:G28,MATCH(11,B4:B25,0),6)</f>
        <v>-122</v>
      </c>
    </row>
    <row r="15" spans="1:8" x14ac:dyDescent="0.25">
      <c r="A15" s="1">
        <v>12</v>
      </c>
      <c r="B15" s="24">
        <f>RANK('5_bezr. na wsi'!C14,'5_bezr. na wsi'!$C$3:'5_bezr. na wsi'!$C$28,1)+COUNTIF('5_bezr. na wsi'!$C$3:'5_bezr. na wsi'!C14,'5_bezr. na wsi'!C14)-1</f>
        <v>7</v>
      </c>
      <c r="C15" s="23" t="str">
        <f>INDEX('5_bezr. na wsi'!B3:G28,MATCH(12,B4:B25,0),1)</f>
        <v>niżański</v>
      </c>
      <c r="D15" s="24">
        <f>INDEX('5_bezr. na wsi'!B3:G28,MATCH(12,B4:B25,0),2)</f>
        <v>2272</v>
      </c>
      <c r="E15" s="25">
        <f>INDEX('5_bezr. na wsi'!B3:G28,MATCH(12,B4:B25,0),3)</f>
        <v>2354</v>
      </c>
      <c r="F15" s="24">
        <f>INDEX('5_bezr. na wsi'!B3:G28,MATCH(12,B4:B25,0),4)</f>
        <v>-82</v>
      </c>
      <c r="G15" s="25">
        <f>INDEX('5_bezr. na wsi'!B3:G28,MATCH(12,B4:B25,0),5)</f>
        <v>2499</v>
      </c>
      <c r="H15" s="24">
        <f>INDEX('5_bezr. na wsi'!B3:G28,MATCH(12,B4:B25,0),6)</f>
        <v>-227</v>
      </c>
    </row>
    <row r="16" spans="1:8" x14ac:dyDescent="0.25">
      <c r="A16" s="1">
        <v>13</v>
      </c>
      <c r="B16" s="24">
        <f>RANK('5_bezr. na wsi'!C15,'5_bezr. na wsi'!$C$3:'5_bezr. na wsi'!$C$28,1)+COUNTIF('5_bezr. na wsi'!$C$3:'5_bezr. na wsi'!C15,'5_bezr. na wsi'!C15)-1</f>
        <v>12</v>
      </c>
      <c r="C16" s="23" t="str">
        <f>INDEX('5_bezr. na wsi'!B3:G28,MATCH(13,B4:B25,0),1)</f>
        <v>łańcucki</v>
      </c>
      <c r="D16" s="24">
        <f>INDEX('5_bezr. na wsi'!B3:G28,MATCH(13,B4:B25,0),2)</f>
        <v>2711</v>
      </c>
      <c r="E16" s="25">
        <f>INDEX('5_bezr. na wsi'!B3:G28,MATCH(13,B4:B25,0),3)</f>
        <v>2743</v>
      </c>
      <c r="F16" s="24">
        <f>INDEX('5_bezr. na wsi'!B3:G28,MATCH(13,B4:B25,0),4)</f>
        <v>-32</v>
      </c>
      <c r="G16" s="25">
        <f>INDEX('5_bezr. na wsi'!B3:G28,MATCH(13,B4:B25,0),5)</f>
        <v>2757</v>
      </c>
      <c r="H16" s="24">
        <f>INDEX('5_bezr. na wsi'!B3:G28,MATCH(13,B4:B25,0),6)</f>
        <v>-46</v>
      </c>
    </row>
    <row r="17" spans="1:8" x14ac:dyDescent="0.25">
      <c r="A17" s="1">
        <v>14</v>
      </c>
      <c r="B17" s="24">
        <f>RANK('5_bezr. na wsi'!C16,'5_bezr. na wsi'!$C$3:'5_bezr. na wsi'!$C$28,1)+COUNTIF('5_bezr. na wsi'!$C$3:'5_bezr. na wsi'!C16,'5_bezr. na wsi'!C16)-1</f>
        <v>17</v>
      </c>
      <c r="C17" s="23" t="str">
        <f>INDEX('5_bezr. na wsi'!B3:G28,MATCH(14,B4:B25,0),1)</f>
        <v>przeworski</v>
      </c>
      <c r="D17" s="24">
        <f>INDEX('5_bezr. na wsi'!B3:G28,MATCH(14,B4:B25,0),2)</f>
        <v>2829</v>
      </c>
      <c r="E17" s="25">
        <f>INDEX('5_bezr. na wsi'!B3:G28,MATCH(14,B4:B25,0),3)</f>
        <v>2880</v>
      </c>
      <c r="F17" s="24">
        <f>INDEX('5_bezr. na wsi'!B3:G28,MATCH(14,B4:B25,0),4)</f>
        <v>-51</v>
      </c>
      <c r="G17" s="25">
        <f>INDEX('5_bezr. na wsi'!B3:G28,MATCH(14,B4:B25,0),5)</f>
        <v>3041</v>
      </c>
      <c r="H17" s="24">
        <f>INDEX('5_bezr. na wsi'!B3:G28,MATCH(14,B4:B25,0),6)</f>
        <v>-212</v>
      </c>
    </row>
    <row r="18" spans="1:8" x14ac:dyDescent="0.25">
      <c r="A18" s="1">
        <v>15</v>
      </c>
      <c r="B18" s="24">
        <f>RANK('5_bezr. na wsi'!C17,'5_bezr. na wsi'!$C$3:'5_bezr. na wsi'!$C$28,1)+COUNTIF('5_bezr. na wsi'!$C$3:'5_bezr. na wsi'!C17,'5_bezr. na wsi'!C17)-1</f>
        <v>14</v>
      </c>
      <c r="C18" s="23" t="str">
        <f>INDEX('5_bezr. na wsi'!B3:G28,MATCH(15,B4:B25,0),1)</f>
        <v>leżajski</v>
      </c>
      <c r="D18" s="24">
        <f>INDEX('5_bezr. na wsi'!B3:G28,MATCH(15,B4:B25,0),2)</f>
        <v>2839</v>
      </c>
      <c r="E18" s="25">
        <f>INDEX('5_bezr. na wsi'!B3:G28,MATCH(15,B4:B25,0),3)</f>
        <v>2860</v>
      </c>
      <c r="F18" s="24">
        <f>INDEX('5_bezr. na wsi'!B3:G28,MATCH(15,B4:B25,0),4)</f>
        <v>-21</v>
      </c>
      <c r="G18" s="25">
        <f>INDEX('5_bezr. na wsi'!B3:G28,MATCH(15,B4:B25,0),5)</f>
        <v>2827</v>
      </c>
      <c r="H18" s="24">
        <f>INDEX('5_bezr. na wsi'!B3:G28,MATCH(15,B4:B25,0),6)</f>
        <v>12</v>
      </c>
    </row>
    <row r="19" spans="1:8" x14ac:dyDescent="0.25">
      <c r="A19" s="1">
        <v>16</v>
      </c>
      <c r="B19" s="24">
        <f>RANK('5_bezr. na wsi'!C18,'5_bezr. na wsi'!$C$3:'5_bezr. na wsi'!$C$28,1)+COUNTIF('5_bezr. na wsi'!$C$3:'5_bezr. na wsi'!C18,'5_bezr. na wsi'!C18)-1</f>
        <v>11</v>
      </c>
      <c r="C19" s="23" t="str">
        <f>INDEX('5_bezr. na wsi'!B3:G28,MATCH(16,B4:B25,0),1)</f>
        <v>strzyżowski</v>
      </c>
      <c r="D19" s="24">
        <f>INDEX('5_bezr. na wsi'!B3:G28,MATCH(16,B4:B25,0),2)</f>
        <v>3172</v>
      </c>
      <c r="E19" s="25">
        <f>INDEX('5_bezr. na wsi'!B3:G28,MATCH(16,B4:B25,0),3)</f>
        <v>3200</v>
      </c>
      <c r="F19" s="24">
        <f>INDEX('5_bezr. na wsi'!B3:G28,MATCH(16,B4:B25,0),4)</f>
        <v>-28</v>
      </c>
      <c r="G19" s="25">
        <f>INDEX('5_bezr. na wsi'!B3:G28,MATCH(16,B4:B25,0),5)</f>
        <v>3325</v>
      </c>
      <c r="H19" s="24">
        <f>INDEX('5_bezr. na wsi'!B3:G28,MATCH(16,B4:B25,0),6)</f>
        <v>-153</v>
      </c>
    </row>
    <row r="20" spans="1:8" x14ac:dyDescent="0.25">
      <c r="A20" s="1">
        <v>17</v>
      </c>
      <c r="B20" s="24">
        <f>RANK('5_bezr. na wsi'!C19,'5_bezr. na wsi'!$C$3:'5_bezr. na wsi'!$C$28,1)+COUNTIF('5_bezr. na wsi'!$C$3:'5_bezr. na wsi'!C19,'5_bezr. na wsi'!C19)-1</f>
        <v>21</v>
      </c>
      <c r="C20" s="23" t="str">
        <f>INDEX('5_bezr. na wsi'!B3:G28,MATCH(17,B4:B25,0),1)</f>
        <v>przemyski</v>
      </c>
      <c r="D20" s="24">
        <f>INDEX('5_bezr. na wsi'!B3:G28,MATCH(17,B4:B25,0),2)</f>
        <v>3504</v>
      </c>
      <c r="E20" s="25">
        <f>INDEX('5_bezr. na wsi'!B3:G28,MATCH(17,B4:B25,0),3)</f>
        <v>3621</v>
      </c>
      <c r="F20" s="24">
        <f>INDEX('5_bezr. na wsi'!B3:G28,MATCH(17,B4:B25,0),4)</f>
        <v>-117</v>
      </c>
      <c r="G20" s="25">
        <f>INDEX('5_bezr. na wsi'!B3:G28,MATCH(17,B4:B25,0),5)</f>
        <v>3679</v>
      </c>
      <c r="H20" s="24">
        <f>INDEX('5_bezr. na wsi'!B3:G28,MATCH(17,B4:B25,0),6)</f>
        <v>-175</v>
      </c>
    </row>
    <row r="21" spans="1:8" x14ac:dyDescent="0.25">
      <c r="A21" s="1">
        <v>18</v>
      </c>
      <c r="B21" s="24">
        <f>RANK('5_bezr. na wsi'!C20,'5_bezr. na wsi'!$C$3:'5_bezr. na wsi'!$C$28,1)+COUNTIF('5_bezr. na wsi'!$C$3:'5_bezr. na wsi'!C20,'5_bezr. na wsi'!C20)-1</f>
        <v>6</v>
      </c>
      <c r="C21" s="23" t="str">
        <f>INDEX('5_bezr. na wsi'!B3:G28,MATCH(18,B4:B25,0),1)</f>
        <v>jarosławski</v>
      </c>
      <c r="D21" s="24">
        <f>INDEX('5_bezr. na wsi'!B3:G28,MATCH(18,B4:B25,0),2)</f>
        <v>3616</v>
      </c>
      <c r="E21" s="25">
        <f>INDEX('5_bezr. na wsi'!B3:G28,MATCH(18,B4:B25,0),3)</f>
        <v>3756</v>
      </c>
      <c r="F21" s="24">
        <f>INDEX('5_bezr. na wsi'!B3:G28,MATCH(18,B4:B25,0),4)</f>
        <v>-140</v>
      </c>
      <c r="G21" s="25">
        <f>INDEX('5_bezr. na wsi'!B3:G28,MATCH(18,B4:B25,0),5)</f>
        <v>3644</v>
      </c>
      <c r="H21" s="24">
        <f>INDEX('5_bezr. na wsi'!B3:G28,MATCH(18,B4:B25,0),6)</f>
        <v>-28</v>
      </c>
    </row>
    <row r="22" spans="1:8" x14ac:dyDescent="0.25">
      <c r="A22" s="1">
        <v>19</v>
      </c>
      <c r="B22" s="24">
        <f>RANK('5_bezr. na wsi'!C21,'5_bezr. na wsi'!$C$3:'5_bezr. na wsi'!$C$28,1)+COUNTIF('5_bezr. na wsi'!$C$3:'5_bezr. na wsi'!C21,'5_bezr. na wsi'!C21)-1</f>
        <v>2</v>
      </c>
      <c r="C22" s="23" t="str">
        <f>INDEX('5_bezr. na wsi'!B3:G28,MATCH(19,B4:B25,0),1)</f>
        <v>brzozowski</v>
      </c>
      <c r="D22" s="24">
        <f>INDEX('5_bezr. na wsi'!B3:G28,MATCH(19,B4:B25,0),2)</f>
        <v>3723</v>
      </c>
      <c r="E22" s="25">
        <f>INDEX('5_bezr. na wsi'!B3:G28,MATCH(19,B4:B25,0),3)</f>
        <v>3824</v>
      </c>
      <c r="F22" s="24">
        <f>INDEX('5_bezr. na wsi'!B3:G28,MATCH(19,B4:B25,0),4)</f>
        <v>-101</v>
      </c>
      <c r="G22" s="25">
        <f>INDEX('5_bezr. na wsi'!B3:G28,MATCH(19,B4:B25,0),5)</f>
        <v>4043</v>
      </c>
      <c r="H22" s="24">
        <f>INDEX('5_bezr. na wsi'!B3:G28,MATCH(19,B4:B25,0),6)</f>
        <v>-320</v>
      </c>
    </row>
    <row r="23" spans="1:8" x14ac:dyDescent="0.25">
      <c r="A23" s="1">
        <v>20</v>
      </c>
      <c r="B23" s="24">
        <f>RANK('5_bezr. na wsi'!C22,'5_bezr. na wsi'!$C$3:'5_bezr. na wsi'!$C$28,1)+COUNTIF('5_bezr. na wsi'!$C$3:'5_bezr. na wsi'!C22,'5_bezr. na wsi'!C22)-1</f>
        <v>16</v>
      </c>
      <c r="C23" s="23" t="str">
        <f>INDEX('5_bezr. na wsi'!B3:G28,MATCH(20,B4:B25,0),1)</f>
        <v>jasielski</v>
      </c>
      <c r="D23" s="24">
        <f>INDEX('5_bezr. na wsi'!B3:G28,MATCH(20,B4:B25,0),2)</f>
        <v>3870</v>
      </c>
      <c r="E23" s="25">
        <f>INDEX('5_bezr. na wsi'!B3:G28,MATCH(20,B4:B25,0),3)</f>
        <v>3924</v>
      </c>
      <c r="F23" s="24">
        <f>INDEX('5_bezr. na wsi'!B3:G28,MATCH(20,B4:B25,0),4)</f>
        <v>-54</v>
      </c>
      <c r="G23" s="25">
        <f>INDEX('5_bezr. na wsi'!B3:G28,MATCH(20,B4:B25,0),5)</f>
        <v>3858</v>
      </c>
      <c r="H23" s="24">
        <f>INDEX('5_bezr. na wsi'!B3:G28,MATCH(20,B4:B25,0),6)</f>
        <v>12</v>
      </c>
    </row>
    <row r="24" spans="1:8" x14ac:dyDescent="0.25">
      <c r="A24" s="1">
        <v>21</v>
      </c>
      <c r="B24" s="24">
        <f>RANK('5_bezr. na wsi'!C23,'5_bezr. na wsi'!$C$3:'5_bezr. na wsi'!$C$28,1)+COUNTIF('5_bezr. na wsi'!$C$3:'5_bezr. na wsi'!C23,'5_bezr. na wsi'!C23)-1</f>
        <v>5</v>
      </c>
      <c r="C24" s="23" t="str">
        <f>INDEX('5_bezr. na wsi'!B3:G28,MATCH(21,B4:B25,0),1)</f>
        <v>rzeszowski</v>
      </c>
      <c r="D24" s="24">
        <f>INDEX('5_bezr. na wsi'!B3:G28,MATCH(21,B4:B25,0),2)</f>
        <v>5057</v>
      </c>
      <c r="E24" s="25">
        <f>INDEX('5_bezr. na wsi'!B3:G28,MATCH(21,B4:B25,0),3)</f>
        <v>5210</v>
      </c>
      <c r="F24" s="24">
        <f>INDEX('5_bezr. na wsi'!B3:G28,MATCH(21,B4:B25,0),4)</f>
        <v>-153</v>
      </c>
      <c r="G24" s="25">
        <f>INDEX('5_bezr. na wsi'!B3:G28,MATCH(21,B4:B25,0),5)</f>
        <v>5205</v>
      </c>
      <c r="H24" s="24">
        <f>INDEX('5_bezr. na wsi'!B3:G28,MATCH(21,B4:B25,0),6)</f>
        <v>-148</v>
      </c>
    </row>
    <row r="25" spans="1:8" x14ac:dyDescent="0.25">
      <c r="A25" s="1">
        <v>22</v>
      </c>
      <c r="B25" s="86">
        <f>RANK('5_bezr. na wsi'!C24,'5_bezr. na wsi'!$C$3:'5_bezr. na wsi'!$C$28,1)+COUNTIF('5_bezr. na wsi'!$C$3:'5_bezr. na wsi'!C24,'5_bezr. na wsi'!C24)-1</f>
        <v>22</v>
      </c>
      <c r="C25" s="89" t="str">
        <f>INDEX('5_bezr. na wsi'!B3:G28,MATCH(22,B4:B25,0),1)</f>
        <v>województwo</v>
      </c>
      <c r="D25" s="86">
        <f>INDEX('5_bezr. na wsi'!B3:G28,MATCH(22,B4:B25,0),2)</f>
        <v>49815</v>
      </c>
      <c r="E25" s="40">
        <f>INDEX('5_bezr. na wsi'!B3:G28,MATCH(22,B4:B25,0),3)</f>
        <v>51300</v>
      </c>
      <c r="F25" s="86">
        <f>INDEX('5_bezr. na wsi'!B3:G28,MATCH(22,B4:B25,0),4)</f>
        <v>-1485</v>
      </c>
      <c r="G25" s="40">
        <f>INDEX('5_bezr. na wsi'!B3:G28,MATCH(22,B4:B25,0),5)</f>
        <v>53045</v>
      </c>
      <c r="H25" s="86">
        <f>INDEX('5_bezr. na wsi'!B3:G28,MATCH(22,B4:B25,0),6)</f>
        <v>-3230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29"/>
  <sheetViews>
    <sheetView zoomScale="90" zoomScaleNormal="90" workbookViewId="0">
      <selection activeCell="B1" sqref="B1"/>
    </sheetView>
  </sheetViews>
  <sheetFormatPr defaultRowHeight="15" x14ac:dyDescent="0.25"/>
  <cols>
    <col min="1" max="1" width="1.5703125" style="13" customWidth="1"/>
    <col min="2" max="2" width="22" style="13" customWidth="1"/>
    <col min="3" max="3" width="19.140625" style="13" customWidth="1"/>
    <col min="4" max="5" width="19" style="13" customWidth="1"/>
    <col min="6" max="6" width="20" style="13" customWidth="1"/>
    <col min="7" max="7" width="18.42578125" style="13" customWidth="1"/>
    <col min="8" max="16384" width="9.140625" style="13"/>
  </cols>
  <sheetData>
    <row r="1" spans="2:8" ht="19.5" customHeight="1" x14ac:dyDescent="0.25">
      <c r="B1" s="74" t="s">
        <v>80</v>
      </c>
      <c r="C1" s="71"/>
      <c r="D1" s="71"/>
      <c r="E1" s="71"/>
      <c r="F1" s="71"/>
      <c r="G1" s="71"/>
    </row>
    <row r="2" spans="2:8" ht="45" x14ac:dyDescent="0.25">
      <c r="B2" s="20" t="s">
        <v>27</v>
      </c>
      <c r="C2" s="21" t="s">
        <v>117</v>
      </c>
      <c r="D2" s="22" t="s">
        <v>116</v>
      </c>
      <c r="E2" s="21" t="s">
        <v>28</v>
      </c>
      <c r="F2" s="22" t="s">
        <v>115</v>
      </c>
      <c r="G2" s="21" t="s">
        <v>26</v>
      </c>
    </row>
    <row r="3" spans="2:8" x14ac:dyDescent="0.25">
      <c r="B3" s="23" t="s">
        <v>0</v>
      </c>
      <c r="C3" s="24">
        <v>771</v>
      </c>
      <c r="D3" s="25">
        <v>779</v>
      </c>
      <c r="E3" s="24">
        <f t="shared" ref="E3:E27" si="0">SUM(C3)-D3</f>
        <v>-8</v>
      </c>
      <c r="F3" s="25">
        <v>710</v>
      </c>
      <c r="G3" s="24">
        <f t="shared" ref="G3:G27" si="1">SUM(C3)-F3</f>
        <v>61</v>
      </c>
      <c r="H3" s="38"/>
    </row>
    <row r="4" spans="2:8" x14ac:dyDescent="0.25">
      <c r="B4" s="23" t="s">
        <v>1</v>
      </c>
      <c r="C4" s="24">
        <v>2703</v>
      </c>
      <c r="D4" s="25">
        <v>2756</v>
      </c>
      <c r="E4" s="24">
        <f t="shared" si="0"/>
        <v>-53</v>
      </c>
      <c r="F4" s="25">
        <v>2647</v>
      </c>
      <c r="G4" s="24">
        <f t="shared" si="1"/>
        <v>56</v>
      </c>
      <c r="H4" s="38"/>
    </row>
    <row r="5" spans="2:8" x14ac:dyDescent="0.25">
      <c r="B5" s="23" t="s">
        <v>2</v>
      </c>
      <c r="C5" s="24">
        <v>1515</v>
      </c>
      <c r="D5" s="25">
        <v>1570</v>
      </c>
      <c r="E5" s="24">
        <f t="shared" si="0"/>
        <v>-55</v>
      </c>
      <c r="F5" s="25">
        <v>1327</v>
      </c>
      <c r="G5" s="24">
        <f t="shared" si="1"/>
        <v>188</v>
      </c>
      <c r="H5" s="38"/>
    </row>
    <row r="6" spans="2:8" x14ac:dyDescent="0.25">
      <c r="B6" s="23" t="s">
        <v>3</v>
      </c>
      <c r="C6" s="24">
        <v>3598</v>
      </c>
      <c r="D6" s="25">
        <v>3663</v>
      </c>
      <c r="E6" s="24">
        <f t="shared" si="0"/>
        <v>-65</v>
      </c>
      <c r="F6" s="25">
        <v>3464</v>
      </c>
      <c r="G6" s="24">
        <f t="shared" si="1"/>
        <v>134</v>
      </c>
      <c r="H6" s="38"/>
    </row>
    <row r="7" spans="2:8" x14ac:dyDescent="0.25">
      <c r="B7" s="23" t="s">
        <v>4</v>
      </c>
      <c r="C7" s="24">
        <v>3687</v>
      </c>
      <c r="D7" s="25">
        <v>3738</v>
      </c>
      <c r="E7" s="24">
        <f t="shared" si="0"/>
        <v>-51</v>
      </c>
      <c r="F7" s="25">
        <v>3176</v>
      </c>
      <c r="G7" s="24">
        <f t="shared" si="1"/>
        <v>511</v>
      </c>
      <c r="H7" s="38"/>
    </row>
    <row r="8" spans="2:8" x14ac:dyDescent="0.25">
      <c r="B8" s="23" t="s">
        <v>5</v>
      </c>
      <c r="C8" s="24">
        <v>965</v>
      </c>
      <c r="D8" s="25">
        <v>984</v>
      </c>
      <c r="E8" s="24">
        <f t="shared" si="0"/>
        <v>-19</v>
      </c>
      <c r="F8" s="25">
        <v>967</v>
      </c>
      <c r="G8" s="24">
        <f t="shared" si="1"/>
        <v>-2</v>
      </c>
      <c r="H8" s="38"/>
    </row>
    <row r="9" spans="2:8" x14ac:dyDescent="0.25">
      <c r="B9" s="26" t="s">
        <v>6</v>
      </c>
      <c r="C9" s="24">
        <v>1026</v>
      </c>
      <c r="D9" s="25">
        <v>1039</v>
      </c>
      <c r="E9" s="24">
        <f t="shared" si="0"/>
        <v>-13</v>
      </c>
      <c r="F9" s="25">
        <v>848</v>
      </c>
      <c r="G9" s="24">
        <f t="shared" si="1"/>
        <v>178</v>
      </c>
      <c r="H9" s="38"/>
    </row>
    <row r="10" spans="2:8" x14ac:dyDescent="0.25">
      <c r="B10" s="23" t="s">
        <v>7</v>
      </c>
      <c r="C10" s="24">
        <v>1046</v>
      </c>
      <c r="D10" s="25">
        <v>1104</v>
      </c>
      <c r="E10" s="24">
        <f t="shared" si="0"/>
        <v>-58</v>
      </c>
      <c r="F10" s="25">
        <v>1115</v>
      </c>
      <c r="G10" s="24">
        <f t="shared" si="1"/>
        <v>-69</v>
      </c>
      <c r="H10" s="38"/>
    </row>
    <row r="11" spans="2:8" x14ac:dyDescent="0.25">
      <c r="B11" s="23" t="s">
        <v>8</v>
      </c>
      <c r="C11" s="24">
        <v>2242</v>
      </c>
      <c r="D11" s="25">
        <v>2253</v>
      </c>
      <c r="E11" s="24">
        <f t="shared" si="0"/>
        <v>-11</v>
      </c>
      <c r="F11" s="25">
        <v>2081</v>
      </c>
      <c r="G11" s="24">
        <f t="shared" si="1"/>
        <v>161</v>
      </c>
      <c r="H11" s="38"/>
    </row>
    <row r="12" spans="2:8" x14ac:dyDescent="0.25">
      <c r="B12" s="23" t="s">
        <v>9</v>
      </c>
      <c r="C12" s="24">
        <v>1077</v>
      </c>
      <c r="D12" s="25">
        <v>1089</v>
      </c>
      <c r="E12" s="24">
        <f t="shared" si="0"/>
        <v>-12</v>
      </c>
      <c r="F12" s="25">
        <v>936</v>
      </c>
      <c r="G12" s="24">
        <f t="shared" si="1"/>
        <v>141</v>
      </c>
      <c r="H12" s="38"/>
    </row>
    <row r="13" spans="2:8" x14ac:dyDescent="0.25">
      <c r="B13" s="23" t="s">
        <v>10</v>
      </c>
      <c r="C13" s="24">
        <v>2023</v>
      </c>
      <c r="D13" s="25">
        <v>2066</v>
      </c>
      <c r="E13" s="24">
        <f t="shared" si="0"/>
        <v>-43</v>
      </c>
      <c r="F13" s="25">
        <v>1709</v>
      </c>
      <c r="G13" s="24">
        <f t="shared" si="1"/>
        <v>314</v>
      </c>
      <c r="H13" s="38"/>
    </row>
    <row r="14" spans="2:8" x14ac:dyDescent="0.25">
      <c r="B14" s="23" t="s">
        <v>11</v>
      </c>
      <c r="C14" s="24">
        <v>1516</v>
      </c>
      <c r="D14" s="25">
        <v>1512</v>
      </c>
      <c r="E14" s="24">
        <f t="shared" si="0"/>
        <v>4</v>
      </c>
      <c r="F14" s="25">
        <v>1361</v>
      </c>
      <c r="G14" s="24">
        <f t="shared" si="1"/>
        <v>155</v>
      </c>
      <c r="H14" s="38"/>
    </row>
    <row r="15" spans="2:8" x14ac:dyDescent="0.25">
      <c r="B15" s="23" t="s">
        <v>12</v>
      </c>
      <c r="C15" s="24">
        <v>2174</v>
      </c>
      <c r="D15" s="25">
        <v>2232</v>
      </c>
      <c r="E15" s="24">
        <f t="shared" si="0"/>
        <v>-58</v>
      </c>
      <c r="F15" s="25">
        <v>2182</v>
      </c>
      <c r="G15" s="24">
        <f t="shared" si="1"/>
        <v>-8</v>
      </c>
      <c r="H15" s="38"/>
    </row>
    <row r="16" spans="2:8" x14ac:dyDescent="0.25">
      <c r="B16" s="23" t="s">
        <v>13</v>
      </c>
      <c r="C16" s="24">
        <v>2218</v>
      </c>
      <c r="D16" s="25">
        <v>2267</v>
      </c>
      <c r="E16" s="24">
        <f t="shared" si="0"/>
        <v>-49</v>
      </c>
      <c r="F16" s="25">
        <v>2123</v>
      </c>
      <c r="G16" s="24">
        <f t="shared" si="1"/>
        <v>95</v>
      </c>
      <c r="H16" s="38"/>
    </row>
    <row r="17" spans="2:8" x14ac:dyDescent="0.25">
      <c r="B17" s="23" t="s">
        <v>14</v>
      </c>
      <c r="C17" s="24">
        <v>2444</v>
      </c>
      <c r="D17" s="25">
        <v>2442</v>
      </c>
      <c r="E17" s="24">
        <f t="shared" si="0"/>
        <v>2</v>
      </c>
      <c r="F17" s="25">
        <v>2376</v>
      </c>
      <c r="G17" s="24">
        <f t="shared" si="1"/>
        <v>68</v>
      </c>
      <c r="H17" s="38"/>
    </row>
    <row r="18" spans="2:8" x14ac:dyDescent="0.25">
      <c r="B18" s="23" t="s">
        <v>15</v>
      </c>
      <c r="C18" s="24">
        <v>1975</v>
      </c>
      <c r="D18" s="25">
        <v>1984</v>
      </c>
      <c r="E18" s="24">
        <f t="shared" si="0"/>
        <v>-9</v>
      </c>
      <c r="F18" s="25">
        <v>1745</v>
      </c>
      <c r="G18" s="24">
        <f t="shared" si="1"/>
        <v>230</v>
      </c>
      <c r="H18" s="38"/>
    </row>
    <row r="19" spans="2:8" x14ac:dyDescent="0.25">
      <c r="B19" s="23" t="s">
        <v>16</v>
      </c>
      <c r="C19" s="24">
        <v>3919</v>
      </c>
      <c r="D19" s="25">
        <v>3975</v>
      </c>
      <c r="E19" s="24">
        <f t="shared" si="0"/>
        <v>-56</v>
      </c>
      <c r="F19" s="25">
        <v>3557</v>
      </c>
      <c r="G19" s="24">
        <f t="shared" si="1"/>
        <v>362</v>
      </c>
      <c r="H19" s="38"/>
    </row>
    <row r="20" spans="2:8" x14ac:dyDescent="0.25">
      <c r="B20" s="23" t="s">
        <v>17</v>
      </c>
      <c r="C20" s="24">
        <v>1493</v>
      </c>
      <c r="D20" s="25">
        <v>1530</v>
      </c>
      <c r="E20" s="24">
        <f t="shared" si="0"/>
        <v>-37</v>
      </c>
      <c r="F20" s="25">
        <v>1524</v>
      </c>
      <c r="G20" s="24">
        <f t="shared" si="1"/>
        <v>-31</v>
      </c>
      <c r="H20" s="38"/>
    </row>
    <row r="21" spans="2:8" x14ac:dyDescent="0.25">
      <c r="B21" s="23" t="s">
        <v>18</v>
      </c>
      <c r="C21" s="24">
        <v>1119</v>
      </c>
      <c r="D21" s="25">
        <v>1145</v>
      </c>
      <c r="E21" s="24">
        <f t="shared" si="0"/>
        <v>-26</v>
      </c>
      <c r="F21" s="25">
        <v>993</v>
      </c>
      <c r="G21" s="24">
        <f t="shared" si="1"/>
        <v>126</v>
      </c>
      <c r="H21" s="38"/>
    </row>
    <row r="22" spans="2:8" x14ac:dyDescent="0.25">
      <c r="B22" s="23" t="s">
        <v>19</v>
      </c>
      <c r="C22" s="24">
        <v>2367</v>
      </c>
      <c r="D22" s="25">
        <v>2376</v>
      </c>
      <c r="E22" s="24">
        <f t="shared" si="0"/>
        <v>-9</v>
      </c>
      <c r="F22" s="25">
        <v>2221</v>
      </c>
      <c r="G22" s="24">
        <f t="shared" si="1"/>
        <v>146</v>
      </c>
      <c r="H22" s="38"/>
    </row>
    <row r="23" spans="2:8" x14ac:dyDescent="0.25">
      <c r="B23" s="23" t="s">
        <v>20</v>
      </c>
      <c r="C23" s="24">
        <v>880</v>
      </c>
      <c r="D23" s="25">
        <v>889</v>
      </c>
      <c r="E23" s="24">
        <f t="shared" si="0"/>
        <v>-9</v>
      </c>
      <c r="F23" s="25">
        <v>801</v>
      </c>
      <c r="G23" s="24">
        <f t="shared" si="1"/>
        <v>79</v>
      </c>
      <c r="H23" s="38"/>
    </row>
    <row r="24" spans="2:8" x14ac:dyDescent="0.25">
      <c r="B24" s="23" t="s">
        <v>21</v>
      </c>
      <c r="C24" s="24">
        <v>385</v>
      </c>
      <c r="D24" s="25">
        <v>392</v>
      </c>
      <c r="E24" s="24">
        <f t="shared" si="0"/>
        <v>-7</v>
      </c>
      <c r="F24" s="25">
        <v>338</v>
      </c>
      <c r="G24" s="24">
        <f t="shared" si="1"/>
        <v>47</v>
      </c>
      <c r="H24" s="38"/>
    </row>
    <row r="25" spans="2:8" x14ac:dyDescent="0.25">
      <c r="B25" s="23" t="s">
        <v>22</v>
      </c>
      <c r="C25" s="44">
        <v>2005</v>
      </c>
      <c r="D25" s="25">
        <v>2026</v>
      </c>
      <c r="E25" s="44">
        <f t="shared" si="0"/>
        <v>-21</v>
      </c>
      <c r="F25" s="25">
        <v>1946</v>
      </c>
      <c r="G25" s="24">
        <f t="shared" si="1"/>
        <v>59</v>
      </c>
      <c r="H25" s="38"/>
    </row>
    <row r="26" spans="2:8" x14ac:dyDescent="0.25">
      <c r="B26" s="23" t="s">
        <v>23</v>
      </c>
      <c r="C26" s="44">
        <v>4499</v>
      </c>
      <c r="D26" s="25">
        <v>4517</v>
      </c>
      <c r="E26" s="44">
        <f t="shared" si="0"/>
        <v>-18</v>
      </c>
      <c r="F26" s="25">
        <v>4115</v>
      </c>
      <c r="G26" s="24">
        <f t="shared" si="1"/>
        <v>384</v>
      </c>
      <c r="H26" s="38"/>
    </row>
    <row r="27" spans="2:8" x14ac:dyDescent="0.25">
      <c r="B27" s="23" t="s">
        <v>24</v>
      </c>
      <c r="C27" s="44">
        <v>786</v>
      </c>
      <c r="D27" s="25">
        <v>814</v>
      </c>
      <c r="E27" s="44">
        <f t="shared" si="0"/>
        <v>-28</v>
      </c>
      <c r="F27" s="25">
        <v>757</v>
      </c>
      <c r="G27" s="24">
        <f t="shared" si="1"/>
        <v>29</v>
      </c>
      <c r="H27" s="38"/>
    </row>
    <row r="28" spans="2:8" x14ac:dyDescent="0.25">
      <c r="B28" s="27" t="s">
        <v>25</v>
      </c>
      <c r="C28" s="28">
        <f>SUM(C3:C27)</f>
        <v>48433</v>
      </c>
      <c r="D28" s="29">
        <f>SUM(D3:D27)</f>
        <v>49142</v>
      </c>
      <c r="E28" s="28">
        <f>SUM(E3:E27)</f>
        <v>-709</v>
      </c>
      <c r="F28" s="29">
        <f>SUM(F3:F27)</f>
        <v>45019</v>
      </c>
      <c r="G28" s="28">
        <f>SUM(G3:G27)</f>
        <v>3414</v>
      </c>
      <c r="H28" s="38"/>
    </row>
    <row r="29" spans="2:8" x14ac:dyDescent="0.25">
      <c r="B29" s="7" t="s">
        <v>87</v>
      </c>
      <c r="E29" s="30"/>
      <c r="F29" s="38"/>
      <c r="G29" s="38"/>
    </row>
  </sheetData>
  <printOptions horizontalCentered="1" verticalCentered="1"/>
  <pageMargins left="0" right="0" top="0.59055118110236227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29"/>
  <sheetViews>
    <sheetView zoomScale="90" zoomScaleNormal="90" workbookViewId="0">
      <selection activeCell="B1" sqref="B1"/>
    </sheetView>
  </sheetViews>
  <sheetFormatPr defaultRowHeight="15" x14ac:dyDescent="0.25"/>
  <cols>
    <col min="1" max="1" width="2.85546875" style="1" customWidth="1"/>
    <col min="2" max="2" width="7.28515625" style="1" customWidth="1"/>
    <col min="3" max="3" width="22.140625" style="1" customWidth="1"/>
    <col min="4" max="4" width="16.28515625" style="1" customWidth="1"/>
    <col min="5" max="5" width="16.85546875" style="1" customWidth="1"/>
    <col min="6" max="6" width="14.5703125" style="1" customWidth="1"/>
    <col min="7" max="7" width="16.28515625" style="1" customWidth="1"/>
    <col min="8" max="8" width="15.85546875" style="1" customWidth="1"/>
    <col min="9" max="9" width="5.7109375" style="1" customWidth="1"/>
    <col min="10" max="10" width="6" style="1" customWidth="1"/>
    <col min="11" max="18" width="9.140625" style="1"/>
    <col min="19" max="19" width="8.140625" style="1" customWidth="1"/>
    <col min="20" max="20" width="4.85546875" style="1" customWidth="1"/>
    <col min="21" max="16384" width="9.140625" style="1"/>
  </cols>
  <sheetData>
    <row r="1" spans="2:8" ht="18.75" x14ac:dyDescent="0.4">
      <c r="B1" s="51" t="s">
        <v>94</v>
      </c>
      <c r="C1" s="13"/>
      <c r="D1" s="13"/>
      <c r="E1" s="13"/>
      <c r="F1" s="13"/>
      <c r="G1" s="13"/>
      <c r="H1" s="13"/>
    </row>
    <row r="2" spans="2:8" ht="18.75" x14ac:dyDescent="0.3">
      <c r="B2" s="13"/>
      <c r="C2" s="58"/>
      <c r="D2" s="60"/>
      <c r="E2" s="13"/>
      <c r="F2" s="13"/>
      <c r="G2" s="13"/>
      <c r="H2" s="13"/>
    </row>
    <row r="3" spans="2:8" ht="75" x14ac:dyDescent="0.25">
      <c r="B3" s="64" t="s">
        <v>91</v>
      </c>
      <c r="C3" s="20" t="str">
        <f>T('6_długot.'!B2)</f>
        <v>powiaty</v>
      </c>
      <c r="D3" s="20" t="str">
        <f>T('6_długot.'!C2)</f>
        <v>liczba bezrobotnych pow. 12 m-cy stan na 30 VI '21 r.</v>
      </c>
      <c r="E3" s="20" t="str">
        <f>T('6_długot.'!D2)</f>
        <v>liczba bezrobotnych pow. 12 m-cy stan na 31 V  '21 r.</v>
      </c>
      <c r="F3" s="20" t="str">
        <f>T('6_długot.'!E2)</f>
        <v>wzrost/spadek do poprzedniego  miesiąca</v>
      </c>
      <c r="G3" s="20" t="str">
        <f>T('6_długot.'!F2)</f>
        <v>liczba bezrobotnych pow. 12 m-cy,  stan na 30 VI '20 r.</v>
      </c>
      <c r="H3" s="20" t="str">
        <f>T('6_długot.'!G2)</f>
        <v>wzrost/spadek do analogicznego okresu ubr.</v>
      </c>
    </row>
    <row r="4" spans="2:8" x14ac:dyDescent="0.25">
      <c r="B4" s="24">
        <f>RANK('6_długot.'!C3,'6_długot.'!$C$3:'6_długot.'!$C$28,1)+COUNTIF('6_długot.'!$C$3:'6_długot.'!C3,'6_długot.'!C3)-1</f>
        <v>2</v>
      </c>
      <c r="C4" s="23" t="str">
        <f>INDEX('6_długot.'!B3:G28,MATCH(1,B4:B29,0),1)</f>
        <v>Krosno</v>
      </c>
      <c r="D4" s="12">
        <f>INDEX('6_długot.'!B3:G28,MATCH(1,B4:B29,0),2)</f>
        <v>385</v>
      </c>
      <c r="E4" s="25">
        <f>INDEX('6_długot.'!B3:G28,MATCH(1,B4:B29,0),3)</f>
        <v>392</v>
      </c>
      <c r="F4" s="24">
        <f>INDEX('6_długot.'!B3:G28,MATCH(1,B4:B29,0),4)</f>
        <v>-7</v>
      </c>
      <c r="G4" s="25">
        <f>INDEX('6_długot.'!B3:G28,MATCH(1,B4:B29,0),5)</f>
        <v>338</v>
      </c>
      <c r="H4" s="24">
        <f>INDEX('6_długot.'!B3:G28,MATCH(1,B4:B29,0),6)</f>
        <v>47</v>
      </c>
    </row>
    <row r="5" spans="2:8" x14ac:dyDescent="0.25">
      <c r="B5" s="24">
        <f>RANK('6_długot.'!C4,'6_długot.'!$C$3:'6_długot.'!$C$28,1)+COUNTIF('6_długot.'!$C$3:'6_długot.'!C4,'6_długot.'!C4)-1</f>
        <v>21</v>
      </c>
      <c r="C5" s="23" t="str">
        <f>INDEX('6_długot.'!B3:G28,MATCH(2,B4:B29,0),1)</f>
        <v>bieszczadzki</v>
      </c>
      <c r="D5" s="24">
        <f>INDEX('6_długot.'!B3:G28,MATCH(2,B4:B29,0),2)</f>
        <v>771</v>
      </c>
      <c r="E5" s="25">
        <f>INDEX('6_długot.'!B3:G28,MATCH(2,B4:B29,0),3)</f>
        <v>779</v>
      </c>
      <c r="F5" s="24">
        <f>INDEX('6_długot.'!B3:G28,MATCH(2,B4:B29,0),4)</f>
        <v>-8</v>
      </c>
      <c r="G5" s="25">
        <f>INDEX('6_długot.'!B3:G28,MATCH(2,B4:B29,0),5)</f>
        <v>710</v>
      </c>
      <c r="H5" s="24">
        <f>INDEX('6_długot.'!B3:G28,MATCH(2,B4:B29,0),6)</f>
        <v>61</v>
      </c>
    </row>
    <row r="6" spans="2:8" x14ac:dyDescent="0.25">
      <c r="B6" s="24">
        <f>RANK('6_długot.'!C5,'6_długot.'!$C$3:'6_długot.'!$C$28,1)+COUNTIF('6_długot.'!$C$3:'6_długot.'!C5,'6_długot.'!C5)-1</f>
        <v>11</v>
      </c>
      <c r="C6" s="23" t="str">
        <f>INDEX('6_długot.'!B3:G28,MATCH(3,B4:B29,0),1)</f>
        <v>Tarnobrzeg</v>
      </c>
      <c r="D6" s="24">
        <f>INDEX('6_długot.'!B3:G28,MATCH(3,B4:B29,0),2)</f>
        <v>786</v>
      </c>
      <c r="E6" s="25">
        <f>INDEX('6_długot.'!B3:G28,MATCH(3,B4:B29,0),3)</f>
        <v>814</v>
      </c>
      <c r="F6" s="24">
        <f>INDEX('6_długot.'!B3:G28,MATCH(3,B4:B29,0),4)</f>
        <v>-28</v>
      </c>
      <c r="G6" s="25">
        <f>INDEX('6_długot.'!B3:G28,MATCH(3,B4:B29,0),5)</f>
        <v>757</v>
      </c>
      <c r="H6" s="24">
        <f>INDEX('6_długot.'!B3:G28,MATCH(3,B4:B29,0),6)</f>
        <v>29</v>
      </c>
    </row>
    <row r="7" spans="2:8" x14ac:dyDescent="0.25">
      <c r="B7" s="24">
        <f>RANK('6_długot.'!C6,'6_długot.'!$C$3:'6_długot.'!$C$28,1)+COUNTIF('6_długot.'!$C$3:'6_długot.'!C6,'6_długot.'!C6)-1</f>
        <v>22</v>
      </c>
      <c r="C7" s="23" t="str">
        <f>INDEX('6_długot.'!B3:G28,MATCH(4,B4:B29,0),1)</f>
        <v xml:space="preserve">tarnobrzeski </v>
      </c>
      <c r="D7" s="24">
        <f>INDEX('6_długot.'!B3:G28,MATCH(4,B4:B29,0),2)</f>
        <v>880</v>
      </c>
      <c r="E7" s="25">
        <f>INDEX('6_długot.'!B3:G28,MATCH(4,B4:B29,0),3)</f>
        <v>889</v>
      </c>
      <c r="F7" s="24">
        <f>INDEX('6_długot.'!B3:G28,MATCH(4,B4:B29,0),4)</f>
        <v>-9</v>
      </c>
      <c r="G7" s="25">
        <f>INDEX('6_długot.'!B3:G28,MATCH(4,B4:B29,0),5)</f>
        <v>801</v>
      </c>
      <c r="H7" s="24">
        <f>INDEX('6_długot.'!B3:G28,MATCH(4,B4:B29,0),6)</f>
        <v>79</v>
      </c>
    </row>
    <row r="8" spans="2:8" x14ac:dyDescent="0.25">
      <c r="B8" s="24">
        <f>RANK('6_długot.'!C7,'6_długot.'!$C$3:'6_długot.'!$C$28,1)+COUNTIF('6_długot.'!$C$3:'6_długot.'!C7,'6_długot.'!C7)-1</f>
        <v>23</v>
      </c>
      <c r="C8" s="23" t="str">
        <f>INDEX('6_długot.'!B3:G28,MATCH(5,B4:B29,0),1)</f>
        <v>kolbuszowski</v>
      </c>
      <c r="D8" s="24">
        <f>INDEX('6_długot.'!B3:G28,MATCH(5,B4:B29,0),2)</f>
        <v>965</v>
      </c>
      <c r="E8" s="25">
        <f>INDEX('6_długot.'!B3:G28,MATCH(5,B4:B29,0),3)</f>
        <v>984</v>
      </c>
      <c r="F8" s="24">
        <f>INDEX('6_długot.'!B3:G28,MATCH(5,B4:B29,0),4)</f>
        <v>-19</v>
      </c>
      <c r="G8" s="25">
        <f>INDEX('6_długot.'!B3:G28,MATCH(5,B4:B29,0),5)</f>
        <v>967</v>
      </c>
      <c r="H8" s="24">
        <f>INDEX('6_długot.'!B3:G28,MATCH(5,B4:B29,0),6)</f>
        <v>-2</v>
      </c>
    </row>
    <row r="9" spans="2:8" x14ac:dyDescent="0.25">
      <c r="B9" s="24">
        <f>RANK('6_długot.'!C8,'6_długot.'!$C$3:'6_długot.'!$C$28,1)+COUNTIF('6_długot.'!$C$3:'6_długot.'!C8,'6_długot.'!C8)-1</f>
        <v>5</v>
      </c>
      <c r="C9" s="23" t="str">
        <f>INDEX('6_długot.'!B3:G28,MATCH(6,B4:B29,0),1)</f>
        <v>krośnieński</v>
      </c>
      <c r="D9" s="24">
        <f>INDEX('6_długot.'!B3:G28,MATCH(6,B4:B29,0),2)</f>
        <v>1026</v>
      </c>
      <c r="E9" s="25">
        <f>INDEX('6_długot.'!B3:G28,MATCH(6,B4:B29,0),3)</f>
        <v>1039</v>
      </c>
      <c r="F9" s="24">
        <f>INDEX('6_długot.'!B3:G28,MATCH(6,B4:B29,0),4)</f>
        <v>-13</v>
      </c>
      <c r="G9" s="25">
        <f>INDEX('6_długot.'!B3:G28,MATCH(6,B4:B29,0),5)</f>
        <v>848</v>
      </c>
      <c r="H9" s="24">
        <f>INDEX('6_długot.'!B3:G28,MATCH(6,B4:B29,0),6)</f>
        <v>178</v>
      </c>
    </row>
    <row r="10" spans="2:8" x14ac:dyDescent="0.25">
      <c r="B10" s="24">
        <f>RANK('6_długot.'!C9,'6_długot.'!$C$3:'6_długot.'!$C$28,1)+COUNTIF('6_długot.'!$C$3:'6_długot.'!C9,'6_długot.'!C9)-1</f>
        <v>6</v>
      </c>
      <c r="C10" s="26" t="str">
        <f>INDEX('6_długot.'!B3:G28,MATCH(7,B4:B29,0),1)</f>
        <v>leski</v>
      </c>
      <c r="D10" s="24">
        <f>INDEX('6_długot.'!B3:G28,MATCH(7,B4:B29,0),2)</f>
        <v>1046</v>
      </c>
      <c r="E10" s="25">
        <f>INDEX('6_długot.'!B3:G28,MATCH(7,B4:B29,0),3)</f>
        <v>1104</v>
      </c>
      <c r="F10" s="24">
        <f>INDEX('6_długot.'!B3:G28,MATCH(7,B4:B29,0),4)</f>
        <v>-58</v>
      </c>
      <c r="G10" s="25">
        <f>INDEX('6_długot.'!B3:G28,MATCH(7,B4:B29,0),5)</f>
        <v>1115</v>
      </c>
      <c r="H10" s="24">
        <f>INDEX('6_długot.'!B3:G28,MATCH(7,B4:B29,0),6)</f>
        <v>-69</v>
      </c>
    </row>
    <row r="11" spans="2:8" x14ac:dyDescent="0.25">
      <c r="B11" s="24">
        <f>RANK('6_długot.'!C10,'6_długot.'!$C$3:'6_długot.'!$C$28,1)+COUNTIF('6_długot.'!$C$3:'6_długot.'!C10,'6_długot.'!C10)-1</f>
        <v>7</v>
      </c>
      <c r="C11" s="23" t="str">
        <f>INDEX('6_długot.'!B3:G28,MATCH(8,B4:B29,0),1)</f>
        <v>lubaczowski</v>
      </c>
      <c r="D11" s="24">
        <f>INDEX('6_długot.'!B3:G28,MATCH(8,B4:B29,0),2)</f>
        <v>1077</v>
      </c>
      <c r="E11" s="25">
        <f>INDEX('6_długot.'!B3:G28,MATCH(8,B4:B29,0),3)</f>
        <v>1089</v>
      </c>
      <c r="F11" s="24">
        <f>INDEX('6_długot.'!B3:G28,MATCH(8,B4:B29,0),4)</f>
        <v>-12</v>
      </c>
      <c r="G11" s="25">
        <f>INDEX('6_długot.'!B3:G28,MATCH(8,B4:B29,0),5)</f>
        <v>936</v>
      </c>
      <c r="H11" s="24">
        <f>INDEX('6_długot.'!B3:G28,MATCH(8,B4:B29,0),6)</f>
        <v>141</v>
      </c>
    </row>
    <row r="12" spans="2:8" x14ac:dyDescent="0.25">
      <c r="B12" s="24">
        <f>RANK('6_długot.'!C11,'6_długot.'!$C$3:'6_długot.'!$C$28,1)+COUNTIF('6_długot.'!$C$3:'6_długot.'!C11,'6_długot.'!C11)-1</f>
        <v>18</v>
      </c>
      <c r="C12" s="23" t="str">
        <f>INDEX('6_długot.'!B3:G28,MATCH(9,B4:B29,0),1)</f>
        <v>stalowowolski</v>
      </c>
      <c r="D12" s="24">
        <f>INDEX('6_długot.'!B3:G28,MATCH(9,B4:B29,0),2)</f>
        <v>1119</v>
      </c>
      <c r="E12" s="25">
        <f>INDEX('6_długot.'!B3:G28,MATCH(9,B4:B29,0),3)</f>
        <v>1145</v>
      </c>
      <c r="F12" s="24">
        <f>INDEX('6_długot.'!B3:G28,MATCH(9,B4:B29,0),4)</f>
        <v>-26</v>
      </c>
      <c r="G12" s="25">
        <f>INDEX('6_długot.'!B3:G28,MATCH(9,B4:B29,0),5)</f>
        <v>993</v>
      </c>
      <c r="H12" s="24">
        <f>INDEX('6_długot.'!B3:G28,MATCH(9,B4:B29,0),6)</f>
        <v>126</v>
      </c>
    </row>
    <row r="13" spans="2:8" x14ac:dyDescent="0.25">
      <c r="B13" s="24">
        <f>RANK('6_długot.'!C12,'6_długot.'!$C$3:'6_długot.'!$C$28,1)+COUNTIF('6_długot.'!$C$3:'6_długot.'!C12,'6_długot.'!C12)-1</f>
        <v>8</v>
      </c>
      <c r="C13" s="23" t="str">
        <f>INDEX('6_długot.'!B3:G28,MATCH(10,B4:B29,0),1)</f>
        <v>sanocki</v>
      </c>
      <c r="D13" s="24">
        <f>INDEX('6_długot.'!B3:G28,MATCH(10,B4:B29,0),2)</f>
        <v>1493</v>
      </c>
      <c r="E13" s="25">
        <f>INDEX('6_długot.'!B3:G28,MATCH(10,B4:B29,0),3)</f>
        <v>1530</v>
      </c>
      <c r="F13" s="24">
        <f>INDEX('6_długot.'!B3:G28,MATCH(10,B4:B29,0),4)</f>
        <v>-37</v>
      </c>
      <c r="G13" s="25">
        <f>INDEX('6_długot.'!B3:G28,MATCH(10,B4:B29,0),5)</f>
        <v>1524</v>
      </c>
      <c r="H13" s="24">
        <f>INDEX('6_długot.'!B3:G28,MATCH(10,B4:B29,0),6)</f>
        <v>-31</v>
      </c>
    </row>
    <row r="14" spans="2:8" x14ac:dyDescent="0.25">
      <c r="B14" s="24">
        <f>RANK('6_długot.'!C13,'6_długot.'!$C$3:'6_długot.'!$C$28,1)+COUNTIF('6_długot.'!$C$3:'6_długot.'!C13,'6_długot.'!C13)-1</f>
        <v>15</v>
      </c>
      <c r="C14" s="23" t="str">
        <f>INDEX('6_długot.'!B3:G28,MATCH(11,B4:B29,0),1)</f>
        <v>dębicki</v>
      </c>
      <c r="D14" s="24">
        <f>INDEX('6_długot.'!B3:G28,MATCH(11,B4:B29,0),2)</f>
        <v>1515</v>
      </c>
      <c r="E14" s="25">
        <f>INDEX('6_długot.'!B3:G28,MATCH(11,B4:B29,0),3)</f>
        <v>1570</v>
      </c>
      <c r="F14" s="24">
        <f>INDEX('6_długot.'!B3:G28,MATCH(11,B4:B29,0),4)</f>
        <v>-55</v>
      </c>
      <c r="G14" s="25">
        <f>INDEX('6_długot.'!B3:G28,MATCH(11,B4:B29,0),5)</f>
        <v>1327</v>
      </c>
      <c r="H14" s="24">
        <f>INDEX('6_długot.'!B3:G28,MATCH(11,B4:B29,0),6)</f>
        <v>188</v>
      </c>
    </row>
    <row r="15" spans="2:8" x14ac:dyDescent="0.25">
      <c r="B15" s="24">
        <f>RANK('6_długot.'!C14,'6_długot.'!$C$3:'6_długot.'!$C$28,1)+COUNTIF('6_długot.'!$C$3:'6_długot.'!C14,'6_długot.'!C14)-1</f>
        <v>12</v>
      </c>
      <c r="C15" s="23" t="str">
        <f>INDEX('6_długot.'!B3:G28,MATCH(12,B4:B29,0),1)</f>
        <v>mielecki</v>
      </c>
      <c r="D15" s="24">
        <f>INDEX('6_długot.'!B3:G28,MATCH(12,B4:B29,0),2)</f>
        <v>1516</v>
      </c>
      <c r="E15" s="25">
        <f>INDEX('6_długot.'!B3:G28,MATCH(12,B4:B29,0),3)</f>
        <v>1512</v>
      </c>
      <c r="F15" s="24">
        <f>INDEX('6_długot.'!B3:G28,MATCH(12,B4:B29,0),4)</f>
        <v>4</v>
      </c>
      <c r="G15" s="25">
        <f>INDEX('6_długot.'!B3:G28,MATCH(12,B4:B29,0),5)</f>
        <v>1361</v>
      </c>
      <c r="H15" s="24">
        <f>INDEX('6_długot.'!B3:G28,MATCH(12,B4:B29,0),6)</f>
        <v>155</v>
      </c>
    </row>
    <row r="16" spans="2:8" x14ac:dyDescent="0.25">
      <c r="B16" s="24">
        <f>RANK('6_długot.'!C15,'6_długot.'!$C$3:'6_długot.'!$C$28,1)+COUNTIF('6_długot.'!$C$3:'6_długot.'!C15,'6_długot.'!C15)-1</f>
        <v>16</v>
      </c>
      <c r="C16" s="23" t="str">
        <f>INDEX('6_długot.'!B3:G28,MATCH(13,B4:B29,0),1)</f>
        <v>ropczycko-sędziszowski</v>
      </c>
      <c r="D16" s="24">
        <f>INDEX('6_długot.'!B3:G28,MATCH(13,B4:B29,0),2)</f>
        <v>1975</v>
      </c>
      <c r="E16" s="25">
        <f>INDEX('6_długot.'!B3:G28,MATCH(13,B4:B29,0),3)</f>
        <v>1984</v>
      </c>
      <c r="F16" s="24">
        <f>INDEX('6_długot.'!B3:G28,MATCH(13,B4:B29,0),4)</f>
        <v>-9</v>
      </c>
      <c r="G16" s="25">
        <f>INDEX('6_długot.'!B3:G28,MATCH(13,B4:B29,0),5)</f>
        <v>1745</v>
      </c>
      <c r="H16" s="24">
        <f>INDEX('6_długot.'!B3:G28,MATCH(13,B4:B29,0),6)</f>
        <v>230</v>
      </c>
    </row>
    <row r="17" spans="2:8" x14ac:dyDescent="0.25">
      <c r="B17" s="24">
        <f>RANK('6_długot.'!C16,'6_długot.'!$C$3:'6_długot.'!$C$28,1)+COUNTIF('6_długot.'!$C$3:'6_długot.'!C16,'6_długot.'!C16)-1</f>
        <v>17</v>
      </c>
      <c r="C17" s="23" t="str">
        <f>INDEX('6_długot.'!B3:G28,MATCH(14,B4:B29,0),1)</f>
        <v>Przemyśl</v>
      </c>
      <c r="D17" s="24">
        <f>INDEX('6_długot.'!B3:G28,MATCH(14,B4:B29,0),2)</f>
        <v>2005</v>
      </c>
      <c r="E17" s="25">
        <f>INDEX('6_długot.'!B3:G28,MATCH(14,B4:B29,0),3)</f>
        <v>2026</v>
      </c>
      <c r="F17" s="24">
        <f>INDEX('6_długot.'!B3:G28,MATCH(14,B4:B29,0),4)</f>
        <v>-21</v>
      </c>
      <c r="G17" s="25">
        <f>INDEX('6_długot.'!B3:G28,MATCH(14,B4:B29,0),5)</f>
        <v>1946</v>
      </c>
      <c r="H17" s="24">
        <f>INDEX('6_długot.'!B3:G28,MATCH(14,B4:B29,0),6)</f>
        <v>59</v>
      </c>
    </row>
    <row r="18" spans="2:8" x14ac:dyDescent="0.25">
      <c r="B18" s="24">
        <f>RANK('6_długot.'!C17,'6_długot.'!$C$3:'6_długot.'!$C$28,1)+COUNTIF('6_długot.'!$C$3:'6_długot.'!C17,'6_długot.'!C17)-1</f>
        <v>20</v>
      </c>
      <c r="C18" s="23" t="str">
        <f>INDEX('6_długot.'!B3:G28,MATCH(15,B4:B29,0),1)</f>
        <v>łańcucki</v>
      </c>
      <c r="D18" s="24">
        <f>INDEX('6_długot.'!B3:G28,MATCH(15,B4:B29,0),2)</f>
        <v>2023</v>
      </c>
      <c r="E18" s="25">
        <f>INDEX('6_długot.'!B3:G28,MATCH(15,B4:B29,0),3)</f>
        <v>2066</v>
      </c>
      <c r="F18" s="24">
        <f>INDEX('6_długot.'!B3:G28,MATCH(15,B4:B29,0),4)</f>
        <v>-43</v>
      </c>
      <c r="G18" s="25">
        <f>INDEX('6_długot.'!B3:G28,MATCH(15,B4:B29,0),5)</f>
        <v>1709</v>
      </c>
      <c r="H18" s="24">
        <f>INDEX('6_długot.'!B3:G28,MATCH(15,B4:B29,0),6)</f>
        <v>314</v>
      </c>
    </row>
    <row r="19" spans="2:8" x14ac:dyDescent="0.25">
      <c r="B19" s="24">
        <f>RANK('6_długot.'!C18,'6_długot.'!$C$3:'6_długot.'!$C$28,1)+COUNTIF('6_długot.'!$C$3:'6_długot.'!C18,'6_długot.'!C18)-1</f>
        <v>13</v>
      </c>
      <c r="C19" s="23" t="str">
        <f>INDEX('6_długot.'!B3:G28,MATCH(16,B4:B29,0),1)</f>
        <v>niżański</v>
      </c>
      <c r="D19" s="24">
        <f>INDEX('6_długot.'!B3:G28,MATCH(16,B4:B29,0),2)</f>
        <v>2174</v>
      </c>
      <c r="E19" s="25">
        <f>INDEX('6_długot.'!B3:G28,MATCH(16,B4:B29,0),3)</f>
        <v>2232</v>
      </c>
      <c r="F19" s="24">
        <f>INDEX('6_długot.'!B3:G28,MATCH(16,B4:B29,0),4)</f>
        <v>-58</v>
      </c>
      <c r="G19" s="25">
        <f>INDEX('6_długot.'!B3:G28,MATCH(16,B4:B29,0),5)</f>
        <v>2182</v>
      </c>
      <c r="H19" s="24">
        <f>INDEX('6_długot.'!B3:G28,MATCH(16,B4:B29,0),6)</f>
        <v>-8</v>
      </c>
    </row>
    <row r="20" spans="2:8" x14ac:dyDescent="0.25">
      <c r="B20" s="24">
        <f>RANK('6_długot.'!C19,'6_długot.'!$C$3:'6_długot.'!$C$28,1)+COUNTIF('6_długot.'!$C$3:'6_długot.'!C19,'6_długot.'!C19)-1</f>
        <v>24</v>
      </c>
      <c r="C20" s="23" t="str">
        <f>INDEX('6_długot.'!B3:G28,MATCH(17,B4:B29,0),1)</f>
        <v>przemyski</v>
      </c>
      <c r="D20" s="24">
        <f>INDEX('6_długot.'!B3:G28,MATCH(17,B4:B29,0),2)</f>
        <v>2218</v>
      </c>
      <c r="E20" s="25">
        <f>INDEX('6_długot.'!B3:G28,MATCH(17,B4:B29,0),3)</f>
        <v>2267</v>
      </c>
      <c r="F20" s="24">
        <f>INDEX('6_długot.'!B3:G28,MATCH(17,B4:B29,0),4)</f>
        <v>-49</v>
      </c>
      <c r="G20" s="25">
        <f>INDEX('6_długot.'!B3:G28,MATCH(17,B4:B29,0),5)</f>
        <v>2123</v>
      </c>
      <c r="H20" s="24">
        <f>INDEX('6_długot.'!B3:G28,MATCH(17,B4:B29,0),6)</f>
        <v>95</v>
      </c>
    </row>
    <row r="21" spans="2:8" x14ac:dyDescent="0.25">
      <c r="B21" s="24">
        <f>RANK('6_długot.'!C20,'6_długot.'!$C$3:'6_długot.'!$C$28,1)+COUNTIF('6_długot.'!$C$3:'6_długot.'!C20,'6_długot.'!C20)-1</f>
        <v>10</v>
      </c>
      <c r="C21" s="23" t="str">
        <f>INDEX('6_długot.'!B3:G28,MATCH(18,B4:B29,0),1)</f>
        <v>leżajski</v>
      </c>
      <c r="D21" s="24">
        <f>INDEX('6_długot.'!B3:G28,MATCH(18,B4:B29,0),2)</f>
        <v>2242</v>
      </c>
      <c r="E21" s="25">
        <f>INDEX('6_długot.'!B3:G28,MATCH(18,B4:B29,0),3)</f>
        <v>2253</v>
      </c>
      <c r="F21" s="24">
        <f>INDEX('6_długot.'!B3:G28,MATCH(18,B4:B29,0),4)</f>
        <v>-11</v>
      </c>
      <c r="G21" s="25">
        <f>INDEX('6_długot.'!B3:G28,MATCH(18,B4:B29,0),5)</f>
        <v>2081</v>
      </c>
      <c r="H21" s="24">
        <f>INDEX('6_długot.'!B3:G28,MATCH(18,B4:B29,0),6)</f>
        <v>161</v>
      </c>
    </row>
    <row r="22" spans="2:8" x14ac:dyDescent="0.25">
      <c r="B22" s="24">
        <f>RANK('6_długot.'!C21,'6_długot.'!$C$3:'6_długot.'!$C$28,1)+COUNTIF('6_długot.'!$C$3:'6_długot.'!C21,'6_długot.'!C21)-1</f>
        <v>9</v>
      </c>
      <c r="C22" s="23" t="str">
        <f>INDEX('6_długot.'!B3:G28,MATCH(19,B4:B29,0),1)</f>
        <v>strzyżowski</v>
      </c>
      <c r="D22" s="24">
        <f>INDEX('6_długot.'!B3:G28,MATCH(19,B4:B29,0),2)</f>
        <v>2367</v>
      </c>
      <c r="E22" s="25">
        <f>INDEX('6_długot.'!B3:G28,MATCH(19,B4:B29,0),3)</f>
        <v>2376</v>
      </c>
      <c r="F22" s="24">
        <f>INDEX('6_długot.'!B3:G28,MATCH(19,B4:B29,0),4)</f>
        <v>-9</v>
      </c>
      <c r="G22" s="25">
        <f>INDEX('6_długot.'!B3:G28,MATCH(19,B4:B29,0),5)</f>
        <v>2221</v>
      </c>
      <c r="H22" s="24">
        <f>INDEX('6_długot.'!B3:G28,MATCH(19,B4:B29,0),6)</f>
        <v>146</v>
      </c>
    </row>
    <row r="23" spans="2:8" x14ac:dyDescent="0.25">
      <c r="B23" s="24">
        <f>RANK('6_długot.'!C22,'6_długot.'!$C$3:'6_długot.'!$C$28,1)+COUNTIF('6_długot.'!$C$3:'6_długot.'!C22,'6_długot.'!C22)-1</f>
        <v>19</v>
      </c>
      <c r="C23" s="23" t="str">
        <f>INDEX('6_długot.'!B3:G28,MATCH(20,B4:B29,0),1)</f>
        <v>przeworski</v>
      </c>
      <c r="D23" s="24">
        <f>INDEX('6_długot.'!B3:G28,MATCH(20,B4:B29,0),2)</f>
        <v>2444</v>
      </c>
      <c r="E23" s="25">
        <f>INDEX('6_długot.'!B3:G28,MATCH(20,B4:B29,0),3)</f>
        <v>2442</v>
      </c>
      <c r="F23" s="24">
        <f>INDEX('6_długot.'!B3:G28,MATCH(20,B4:B29,0),4)</f>
        <v>2</v>
      </c>
      <c r="G23" s="25">
        <f>INDEX('6_długot.'!B3:G28,MATCH(20,B4:B29,0),5)</f>
        <v>2376</v>
      </c>
      <c r="H23" s="24">
        <f>INDEX('6_długot.'!B3:G28,MATCH(20,B4:B29,0),6)</f>
        <v>68</v>
      </c>
    </row>
    <row r="24" spans="2:8" x14ac:dyDescent="0.25">
      <c r="B24" s="24">
        <f>RANK('6_długot.'!C23,'6_długot.'!$C$3:'6_długot.'!$C$28,1)+COUNTIF('6_długot.'!$C$3:'6_długot.'!C23,'6_długot.'!C23)-1</f>
        <v>4</v>
      </c>
      <c r="C24" s="23" t="str">
        <f>INDEX('6_długot.'!B3:G28,MATCH(21,B4:B29,0),1)</f>
        <v>brzozowski</v>
      </c>
      <c r="D24" s="24">
        <f>INDEX('6_długot.'!B3:G28,MATCH(21,B4:B29,0),2)</f>
        <v>2703</v>
      </c>
      <c r="E24" s="25">
        <f>INDEX('6_długot.'!B3:G28,MATCH(21,B4:B29,0),3)</f>
        <v>2756</v>
      </c>
      <c r="F24" s="24">
        <f>INDEX('6_długot.'!B3:G28,MATCH(21,B4:B29,0),4)</f>
        <v>-53</v>
      </c>
      <c r="G24" s="25">
        <f>INDEX('6_długot.'!B3:G28,MATCH(21,B4:B29,0),5)</f>
        <v>2647</v>
      </c>
      <c r="H24" s="24">
        <f>INDEX('6_długot.'!B3:G28,MATCH(21,B4:B29,0),6)</f>
        <v>56</v>
      </c>
    </row>
    <row r="25" spans="2:8" x14ac:dyDescent="0.25">
      <c r="B25" s="24">
        <f>RANK('6_długot.'!C24,'6_długot.'!$C$3:'6_długot.'!$C$28,1)+COUNTIF('6_długot.'!$C$3:'6_długot.'!C24,'6_długot.'!C24)-1</f>
        <v>1</v>
      </c>
      <c r="C25" s="23" t="str">
        <f>INDEX('6_długot.'!B3:G28,MATCH(22,B4:B29,0),1)</f>
        <v>jarosławski</v>
      </c>
      <c r="D25" s="24">
        <f>INDEX('6_długot.'!B3:G28,MATCH(22,B4:B29,0),2)</f>
        <v>3598</v>
      </c>
      <c r="E25" s="25">
        <f>INDEX('6_długot.'!B3:G28,MATCH(22,B4:B29,0),3)</f>
        <v>3663</v>
      </c>
      <c r="F25" s="24">
        <f>INDEX('6_długot.'!B3:G28,MATCH(22,B4:B29,0),4)</f>
        <v>-65</v>
      </c>
      <c r="G25" s="25">
        <f>INDEX('6_długot.'!B3:G28,MATCH(22,B4:B29,0),5)</f>
        <v>3464</v>
      </c>
      <c r="H25" s="24">
        <f>INDEX('6_długot.'!B3:G28,MATCH(22,B4:B29,0),6)</f>
        <v>134</v>
      </c>
    </row>
    <row r="26" spans="2:8" x14ac:dyDescent="0.25">
      <c r="B26" s="24">
        <f>RANK('6_długot.'!C25,'6_długot.'!$C$3:'6_długot.'!$C$28,1)+COUNTIF('6_długot.'!$C$3:'6_długot.'!C25,'6_długot.'!C25)-1</f>
        <v>14</v>
      </c>
      <c r="C26" s="23" t="str">
        <f>INDEX('6_długot.'!B3:G28,MATCH(23,B4:B29,0),1)</f>
        <v>jasielski</v>
      </c>
      <c r="D26" s="24">
        <f>INDEX('6_długot.'!B3:G28,MATCH(23,B4:B29,0),2)</f>
        <v>3687</v>
      </c>
      <c r="E26" s="25">
        <f>INDEX('6_długot.'!B3:G28,MATCH(23,B4:B29,0),3)</f>
        <v>3738</v>
      </c>
      <c r="F26" s="24">
        <f>INDEX('6_długot.'!B3:G28,MATCH(23,B4:B29,0),4)</f>
        <v>-51</v>
      </c>
      <c r="G26" s="25">
        <f>INDEX('6_długot.'!B3:G28,MATCH(23,B4:B29,0),5)</f>
        <v>3176</v>
      </c>
      <c r="H26" s="24">
        <f>INDEX('6_długot.'!B3:G28,MATCH(23,B4:B29,0),6)</f>
        <v>511</v>
      </c>
    </row>
    <row r="27" spans="2:8" x14ac:dyDescent="0.25">
      <c r="B27" s="24">
        <f>RANK('6_długot.'!C26,'6_długot.'!$C$3:'6_długot.'!$C$28,1)+COUNTIF('6_długot.'!$C$3:'6_długot.'!C26,'6_długot.'!C26)-1</f>
        <v>25</v>
      </c>
      <c r="C27" s="23" t="str">
        <f>INDEX('6_długot.'!B3:G28,MATCH(24,B4:B29,0),1)</f>
        <v>rzeszowski</v>
      </c>
      <c r="D27" s="24">
        <f>INDEX('6_długot.'!B3:G28,MATCH(24,B4:B29,0),2)</f>
        <v>3919</v>
      </c>
      <c r="E27" s="25">
        <f>INDEX('6_długot.'!B3:G28,MATCH(24,B4:B29,0),3)</f>
        <v>3975</v>
      </c>
      <c r="F27" s="24">
        <f>INDEX('6_długot.'!B3:G28,MATCH(24,B4:B29,0),4)</f>
        <v>-56</v>
      </c>
      <c r="G27" s="25">
        <f>INDEX('6_długot.'!B3:G28,MATCH(24,B4:B29,0),5)</f>
        <v>3557</v>
      </c>
      <c r="H27" s="24">
        <f>INDEX('6_długot.'!B3:G28,MATCH(24,B4:B29,0),6)</f>
        <v>362</v>
      </c>
    </row>
    <row r="28" spans="2:8" x14ac:dyDescent="0.25">
      <c r="B28" s="24">
        <f>RANK('6_długot.'!C27,'6_długot.'!$C$3:'6_długot.'!$C$28,1)+COUNTIF('6_długot.'!$C$3:'6_długot.'!C27,'6_długot.'!C27)-1</f>
        <v>3</v>
      </c>
      <c r="C28" s="23" t="str">
        <f>INDEX('6_długot.'!B3:G28,MATCH(25,B4:B29,0),1)</f>
        <v>Rzeszów</v>
      </c>
      <c r="D28" s="24">
        <f>INDEX('6_długot.'!B3:G28,MATCH(25,B4:B29,0),2)</f>
        <v>4499</v>
      </c>
      <c r="E28" s="25">
        <f>INDEX('6_długot.'!B3:G28,MATCH(25,B4:B29,0),3)</f>
        <v>4517</v>
      </c>
      <c r="F28" s="24">
        <f>INDEX('6_długot.'!B3:G28,MATCH(25,B4:B29,0),4)</f>
        <v>-18</v>
      </c>
      <c r="G28" s="25">
        <f>INDEX('6_długot.'!B3:G28,MATCH(25,B4:B29,0),5)</f>
        <v>4115</v>
      </c>
      <c r="H28" s="24">
        <f>INDEX('6_długot.'!B3:G28,MATCH(25,B4:B29,0),6)</f>
        <v>384</v>
      </c>
    </row>
    <row r="29" spans="2:8" x14ac:dyDescent="0.25">
      <c r="B29" s="86">
        <f>RANK('6_długot.'!C28,'6_długot.'!$C$3:'6_długot.'!$C$28,1)+COUNTIF('6_długot.'!$C$3:'6_długot.'!C28,'6_długot.'!C28)-1</f>
        <v>26</v>
      </c>
      <c r="C29" s="87" t="str">
        <f>INDEX('6_długot.'!B3:G28,MATCH(26,B4:B29,0),1)</f>
        <v>województwo</v>
      </c>
      <c r="D29" s="86">
        <f>INDEX('6_długot.'!B3:G28,MATCH(26,B4:B29,0),2)</f>
        <v>48433</v>
      </c>
      <c r="E29" s="40">
        <f>INDEX('6_długot.'!B3:G28,MATCH(26,B4:B29,0),3)</f>
        <v>49142</v>
      </c>
      <c r="F29" s="86">
        <f>INDEX('6_długot.'!B3:G28,MATCH(26,B4:B29,0),4)</f>
        <v>-709</v>
      </c>
      <c r="G29" s="40">
        <f>INDEX('6_długot.'!B3:G28,MATCH(26,B4:B29,0),5)</f>
        <v>45019</v>
      </c>
      <c r="H29" s="86">
        <f>INDEX('6_długot.'!B3:G28,MATCH(26,B4:B29,0),6)</f>
        <v>3414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29"/>
  <sheetViews>
    <sheetView zoomScale="90" zoomScaleNormal="90" workbookViewId="0">
      <selection activeCell="B1" sqref="B1"/>
    </sheetView>
  </sheetViews>
  <sheetFormatPr defaultRowHeight="15" x14ac:dyDescent="0.25"/>
  <cols>
    <col min="1" max="1" width="1.85546875" style="1" customWidth="1"/>
    <col min="2" max="2" width="24.85546875" style="1" customWidth="1"/>
    <col min="3" max="3" width="15" style="1" customWidth="1"/>
    <col min="4" max="4" width="15.28515625" style="1" customWidth="1"/>
    <col min="5" max="5" width="16.28515625" style="1" customWidth="1"/>
    <col min="6" max="6" width="15" style="1" customWidth="1"/>
    <col min="7" max="7" width="16.7109375" style="1" customWidth="1"/>
    <col min="8" max="16384" width="9.140625" style="1"/>
  </cols>
  <sheetData>
    <row r="1" spans="2:8" ht="24.75" customHeight="1" x14ac:dyDescent="0.25">
      <c r="B1" s="74" t="s">
        <v>85</v>
      </c>
      <c r="C1" s="74"/>
      <c r="D1" s="74"/>
      <c r="E1" s="74"/>
      <c r="F1" s="74"/>
      <c r="G1" s="74"/>
    </row>
    <row r="2" spans="2:8" ht="57" x14ac:dyDescent="0.25">
      <c r="B2" s="8" t="s">
        <v>27</v>
      </c>
      <c r="C2" s="9" t="s">
        <v>119</v>
      </c>
      <c r="D2" s="10" t="s">
        <v>102</v>
      </c>
      <c r="E2" s="9" t="s">
        <v>28</v>
      </c>
      <c r="F2" s="10" t="s">
        <v>118</v>
      </c>
      <c r="G2" s="9" t="s">
        <v>26</v>
      </c>
    </row>
    <row r="3" spans="2:8" x14ac:dyDescent="0.25">
      <c r="B3" s="4" t="s">
        <v>0</v>
      </c>
      <c r="C3" s="6">
        <v>323</v>
      </c>
      <c r="D3" s="11">
        <v>345</v>
      </c>
      <c r="E3" s="6">
        <f t="shared" ref="E3:E27" si="0">SUM(C3)-D3</f>
        <v>-22</v>
      </c>
      <c r="F3" s="11">
        <v>383</v>
      </c>
      <c r="G3" s="6">
        <f t="shared" ref="G3:G27" si="1">SUM(C3)-F3</f>
        <v>-60</v>
      </c>
      <c r="H3" s="2"/>
    </row>
    <row r="4" spans="2:8" x14ac:dyDescent="0.25">
      <c r="B4" s="4" t="s">
        <v>1</v>
      </c>
      <c r="C4" s="6">
        <v>1053</v>
      </c>
      <c r="D4" s="11">
        <v>1111</v>
      </c>
      <c r="E4" s="6">
        <f t="shared" si="0"/>
        <v>-58</v>
      </c>
      <c r="F4" s="11">
        <v>1240</v>
      </c>
      <c r="G4" s="6">
        <f t="shared" si="1"/>
        <v>-187</v>
      </c>
      <c r="H4" s="2"/>
    </row>
    <row r="5" spans="2:8" x14ac:dyDescent="0.25">
      <c r="B5" s="4" t="s">
        <v>2</v>
      </c>
      <c r="C5" s="6">
        <v>905</v>
      </c>
      <c r="D5" s="11">
        <v>973</v>
      </c>
      <c r="E5" s="6">
        <f t="shared" si="0"/>
        <v>-68</v>
      </c>
      <c r="F5" s="11">
        <v>1196</v>
      </c>
      <c r="G5" s="6">
        <f t="shared" si="1"/>
        <v>-291</v>
      </c>
      <c r="H5" s="2"/>
    </row>
    <row r="6" spans="2:8" x14ac:dyDescent="0.25">
      <c r="B6" s="4" t="s">
        <v>3</v>
      </c>
      <c r="C6" s="6">
        <v>1618</v>
      </c>
      <c r="D6" s="11">
        <v>1720</v>
      </c>
      <c r="E6" s="6">
        <f t="shared" si="0"/>
        <v>-102</v>
      </c>
      <c r="F6" s="11">
        <v>1768</v>
      </c>
      <c r="G6" s="6">
        <f t="shared" si="1"/>
        <v>-150</v>
      </c>
      <c r="H6" s="2"/>
    </row>
    <row r="7" spans="2:8" x14ac:dyDescent="0.25">
      <c r="B7" s="4" t="s">
        <v>4</v>
      </c>
      <c r="C7" s="6">
        <v>1402</v>
      </c>
      <c r="D7" s="11">
        <v>1413</v>
      </c>
      <c r="E7" s="6">
        <f t="shared" si="0"/>
        <v>-11</v>
      </c>
      <c r="F7" s="11">
        <v>1479</v>
      </c>
      <c r="G7" s="6">
        <f t="shared" si="1"/>
        <v>-77</v>
      </c>
      <c r="H7" s="2"/>
    </row>
    <row r="8" spans="2:8" x14ac:dyDescent="0.25">
      <c r="B8" s="4" t="s">
        <v>5</v>
      </c>
      <c r="C8" s="6">
        <v>503</v>
      </c>
      <c r="D8" s="11">
        <v>530</v>
      </c>
      <c r="E8" s="6">
        <f t="shared" si="0"/>
        <v>-27</v>
      </c>
      <c r="F8" s="11">
        <v>678</v>
      </c>
      <c r="G8" s="6">
        <f t="shared" si="1"/>
        <v>-175</v>
      </c>
      <c r="H8" s="2"/>
    </row>
    <row r="9" spans="2:8" x14ac:dyDescent="0.25">
      <c r="B9" s="5" t="s">
        <v>6</v>
      </c>
      <c r="C9" s="6">
        <v>592</v>
      </c>
      <c r="D9" s="11">
        <v>684</v>
      </c>
      <c r="E9" s="6">
        <f t="shared" si="0"/>
        <v>-92</v>
      </c>
      <c r="F9" s="11">
        <v>676</v>
      </c>
      <c r="G9" s="6">
        <f t="shared" si="1"/>
        <v>-84</v>
      </c>
      <c r="H9" s="2"/>
    </row>
    <row r="10" spans="2:8" x14ac:dyDescent="0.25">
      <c r="B10" s="4" t="s">
        <v>7</v>
      </c>
      <c r="C10" s="6">
        <v>429</v>
      </c>
      <c r="D10" s="11">
        <v>455</v>
      </c>
      <c r="E10" s="6">
        <f t="shared" si="0"/>
        <v>-26</v>
      </c>
      <c r="F10" s="11">
        <v>535</v>
      </c>
      <c r="G10" s="6">
        <f t="shared" si="1"/>
        <v>-106</v>
      </c>
      <c r="H10" s="2"/>
    </row>
    <row r="11" spans="2:8" x14ac:dyDescent="0.25">
      <c r="B11" s="4" t="s">
        <v>8</v>
      </c>
      <c r="C11" s="6">
        <v>1087</v>
      </c>
      <c r="D11" s="11">
        <v>1114</v>
      </c>
      <c r="E11" s="6">
        <f t="shared" si="0"/>
        <v>-27</v>
      </c>
      <c r="F11" s="11">
        <v>1228</v>
      </c>
      <c r="G11" s="6">
        <f t="shared" si="1"/>
        <v>-141</v>
      </c>
      <c r="H11" s="2"/>
    </row>
    <row r="12" spans="2:8" x14ac:dyDescent="0.25">
      <c r="B12" s="4" t="s">
        <v>9</v>
      </c>
      <c r="C12" s="6">
        <v>502</v>
      </c>
      <c r="D12" s="11">
        <v>548</v>
      </c>
      <c r="E12" s="6">
        <f t="shared" si="0"/>
        <v>-46</v>
      </c>
      <c r="F12" s="11">
        <v>626</v>
      </c>
      <c r="G12" s="6">
        <f t="shared" si="1"/>
        <v>-124</v>
      </c>
      <c r="H12" s="2"/>
    </row>
    <row r="13" spans="2:8" x14ac:dyDescent="0.25">
      <c r="B13" s="4" t="s">
        <v>10</v>
      </c>
      <c r="C13" s="6">
        <v>959</v>
      </c>
      <c r="D13" s="11">
        <v>983</v>
      </c>
      <c r="E13" s="6">
        <f t="shared" si="0"/>
        <v>-24</v>
      </c>
      <c r="F13" s="11">
        <v>1095</v>
      </c>
      <c r="G13" s="6">
        <f t="shared" si="1"/>
        <v>-136</v>
      </c>
      <c r="H13" s="2"/>
    </row>
    <row r="14" spans="2:8" x14ac:dyDescent="0.25">
      <c r="B14" s="4" t="s">
        <v>11</v>
      </c>
      <c r="C14" s="6">
        <v>795</v>
      </c>
      <c r="D14" s="11">
        <v>811</v>
      </c>
      <c r="E14" s="6">
        <f t="shared" si="0"/>
        <v>-16</v>
      </c>
      <c r="F14" s="11">
        <v>1084</v>
      </c>
      <c r="G14" s="6">
        <f t="shared" si="1"/>
        <v>-289</v>
      </c>
      <c r="H14" s="2"/>
    </row>
    <row r="15" spans="2:8" x14ac:dyDescent="0.25">
      <c r="B15" s="4" t="s">
        <v>12</v>
      </c>
      <c r="C15" s="6">
        <v>1024</v>
      </c>
      <c r="D15" s="11">
        <v>1089</v>
      </c>
      <c r="E15" s="6">
        <f t="shared" si="0"/>
        <v>-65</v>
      </c>
      <c r="F15" s="11">
        <v>1190</v>
      </c>
      <c r="G15" s="6">
        <f t="shared" si="1"/>
        <v>-166</v>
      </c>
      <c r="H15" s="2"/>
    </row>
    <row r="16" spans="2:8" x14ac:dyDescent="0.25">
      <c r="B16" s="4" t="s">
        <v>13</v>
      </c>
      <c r="C16" s="6">
        <v>1032</v>
      </c>
      <c r="D16" s="11">
        <v>1095</v>
      </c>
      <c r="E16" s="6">
        <f t="shared" si="0"/>
        <v>-63</v>
      </c>
      <c r="F16" s="11">
        <v>1177</v>
      </c>
      <c r="G16" s="6">
        <f t="shared" si="1"/>
        <v>-145</v>
      </c>
      <c r="H16" s="2"/>
    </row>
    <row r="17" spans="2:8" x14ac:dyDescent="0.25">
      <c r="B17" s="4" t="s">
        <v>14</v>
      </c>
      <c r="C17" s="6">
        <v>1068</v>
      </c>
      <c r="D17" s="11">
        <v>1094</v>
      </c>
      <c r="E17" s="6">
        <f t="shared" si="0"/>
        <v>-26</v>
      </c>
      <c r="F17" s="11">
        <v>1251</v>
      </c>
      <c r="G17" s="6">
        <f t="shared" si="1"/>
        <v>-183</v>
      </c>
      <c r="H17" s="2"/>
    </row>
    <row r="18" spans="2:8" x14ac:dyDescent="0.25">
      <c r="B18" s="4" t="s">
        <v>15</v>
      </c>
      <c r="C18" s="6">
        <v>1003</v>
      </c>
      <c r="D18" s="11">
        <v>1049</v>
      </c>
      <c r="E18" s="6">
        <f t="shared" si="0"/>
        <v>-46</v>
      </c>
      <c r="F18" s="11">
        <v>1197</v>
      </c>
      <c r="G18" s="6">
        <f t="shared" si="1"/>
        <v>-194</v>
      </c>
      <c r="H18" s="2"/>
    </row>
    <row r="19" spans="2:8" x14ac:dyDescent="0.25">
      <c r="B19" s="4" t="s">
        <v>16</v>
      </c>
      <c r="C19" s="6">
        <v>1830</v>
      </c>
      <c r="D19" s="11">
        <v>1957</v>
      </c>
      <c r="E19" s="6">
        <f t="shared" si="0"/>
        <v>-127</v>
      </c>
      <c r="F19" s="11">
        <v>2037</v>
      </c>
      <c r="G19" s="6">
        <f t="shared" si="1"/>
        <v>-207</v>
      </c>
      <c r="H19" s="2"/>
    </row>
    <row r="20" spans="2:8" x14ac:dyDescent="0.25">
      <c r="B20" s="4" t="s">
        <v>17</v>
      </c>
      <c r="C20" s="6">
        <v>639</v>
      </c>
      <c r="D20" s="11">
        <v>681</v>
      </c>
      <c r="E20" s="6">
        <f t="shared" si="0"/>
        <v>-42</v>
      </c>
      <c r="F20" s="11">
        <v>927</v>
      </c>
      <c r="G20" s="6">
        <f t="shared" si="1"/>
        <v>-288</v>
      </c>
      <c r="H20" s="2"/>
    </row>
    <row r="21" spans="2:8" x14ac:dyDescent="0.25">
      <c r="B21" s="4" t="s">
        <v>18</v>
      </c>
      <c r="C21" s="6">
        <v>641</v>
      </c>
      <c r="D21" s="11">
        <v>687</v>
      </c>
      <c r="E21" s="6">
        <f t="shared" si="0"/>
        <v>-46</v>
      </c>
      <c r="F21" s="11">
        <v>816</v>
      </c>
      <c r="G21" s="6">
        <f t="shared" si="1"/>
        <v>-175</v>
      </c>
      <c r="H21" s="2"/>
    </row>
    <row r="22" spans="2:8" x14ac:dyDescent="0.25">
      <c r="B22" s="4" t="s">
        <v>19</v>
      </c>
      <c r="C22" s="6">
        <v>1002</v>
      </c>
      <c r="D22" s="11">
        <v>1016</v>
      </c>
      <c r="E22" s="6">
        <f t="shared" si="0"/>
        <v>-14</v>
      </c>
      <c r="F22" s="11">
        <v>1118</v>
      </c>
      <c r="G22" s="6">
        <f t="shared" si="1"/>
        <v>-116</v>
      </c>
      <c r="H22" s="2"/>
    </row>
    <row r="23" spans="2:8" x14ac:dyDescent="0.25">
      <c r="B23" s="4" t="s">
        <v>20</v>
      </c>
      <c r="C23" s="6">
        <v>423</v>
      </c>
      <c r="D23" s="11">
        <v>423</v>
      </c>
      <c r="E23" s="6">
        <f t="shared" si="0"/>
        <v>0</v>
      </c>
      <c r="F23" s="11">
        <v>541</v>
      </c>
      <c r="G23" s="6">
        <f t="shared" si="1"/>
        <v>-118</v>
      </c>
      <c r="H23" s="2"/>
    </row>
    <row r="24" spans="2:8" x14ac:dyDescent="0.25">
      <c r="B24" s="4" t="s">
        <v>21</v>
      </c>
      <c r="C24" s="6">
        <v>141</v>
      </c>
      <c r="D24" s="11">
        <v>144</v>
      </c>
      <c r="E24" s="6">
        <f t="shared" si="0"/>
        <v>-3</v>
      </c>
      <c r="F24" s="11">
        <v>210</v>
      </c>
      <c r="G24" s="6">
        <f t="shared" si="1"/>
        <v>-69</v>
      </c>
      <c r="H24" s="2"/>
    </row>
    <row r="25" spans="2:8" x14ac:dyDescent="0.25">
      <c r="B25" s="4" t="s">
        <v>22</v>
      </c>
      <c r="C25" s="6">
        <v>545</v>
      </c>
      <c r="D25" s="11">
        <v>596</v>
      </c>
      <c r="E25" s="6">
        <f t="shared" si="0"/>
        <v>-51</v>
      </c>
      <c r="F25" s="11">
        <v>630</v>
      </c>
      <c r="G25" s="6">
        <f t="shared" si="1"/>
        <v>-85</v>
      </c>
      <c r="H25" s="2"/>
    </row>
    <row r="26" spans="2:8" x14ac:dyDescent="0.25">
      <c r="B26" s="4" t="s">
        <v>23</v>
      </c>
      <c r="C26" s="6">
        <v>1479</v>
      </c>
      <c r="D26" s="11">
        <v>1582</v>
      </c>
      <c r="E26" s="6">
        <f t="shared" si="0"/>
        <v>-103</v>
      </c>
      <c r="F26" s="11">
        <v>1651</v>
      </c>
      <c r="G26" s="6">
        <f t="shared" si="1"/>
        <v>-172</v>
      </c>
      <c r="H26" s="2"/>
    </row>
    <row r="27" spans="2:8" x14ac:dyDescent="0.25">
      <c r="B27" s="4" t="s">
        <v>24</v>
      </c>
      <c r="C27" s="6">
        <v>285</v>
      </c>
      <c r="D27" s="11">
        <v>295</v>
      </c>
      <c r="E27" s="6">
        <f t="shared" si="0"/>
        <v>-10</v>
      </c>
      <c r="F27" s="11">
        <v>348</v>
      </c>
      <c r="G27" s="6">
        <f t="shared" si="1"/>
        <v>-63</v>
      </c>
      <c r="H27" s="2"/>
    </row>
    <row r="28" spans="2:8" x14ac:dyDescent="0.25">
      <c r="B28" s="19" t="s">
        <v>25</v>
      </c>
      <c r="C28" s="45">
        <f>SUM(C3:C27)</f>
        <v>21280</v>
      </c>
      <c r="D28" s="37">
        <f>SUM(D3:D27)</f>
        <v>22395</v>
      </c>
      <c r="E28" s="45">
        <f>SUM(E3:E27)</f>
        <v>-1115</v>
      </c>
      <c r="F28" s="37">
        <f>SUM(F3:F27)</f>
        <v>25081</v>
      </c>
      <c r="G28" s="45">
        <f>SUM(G3:G27)</f>
        <v>-3801</v>
      </c>
      <c r="H28" s="2"/>
    </row>
    <row r="29" spans="2:8" x14ac:dyDescent="0.25">
      <c r="E29" s="3"/>
      <c r="F29" s="3"/>
      <c r="G29" s="2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29"/>
  <sheetViews>
    <sheetView zoomScale="90" zoomScaleNormal="90" workbookViewId="0">
      <selection activeCell="B1" sqref="B1"/>
    </sheetView>
  </sheetViews>
  <sheetFormatPr defaultRowHeight="15" x14ac:dyDescent="0.25"/>
  <cols>
    <col min="1" max="1" width="3" style="1" customWidth="1"/>
    <col min="2" max="2" width="5.7109375" style="1" customWidth="1"/>
    <col min="3" max="3" width="22" style="1" customWidth="1"/>
    <col min="4" max="4" width="14" style="1" customWidth="1"/>
    <col min="5" max="5" width="14.42578125" style="1" customWidth="1"/>
    <col min="6" max="6" width="14.5703125" style="1" customWidth="1"/>
    <col min="7" max="7" width="14.28515625" style="1" customWidth="1"/>
    <col min="8" max="8" width="15.140625" style="1" customWidth="1"/>
    <col min="9" max="9" width="5.5703125" style="1" customWidth="1"/>
    <col min="10" max="10" width="7.5703125" style="1" customWidth="1"/>
    <col min="11" max="18" width="9.140625" style="1"/>
    <col min="19" max="19" width="6.85546875" style="1" customWidth="1"/>
    <col min="20" max="20" width="2.5703125" style="1" customWidth="1"/>
    <col min="21" max="16384" width="9.140625" style="1"/>
  </cols>
  <sheetData>
    <row r="1" spans="2:8" ht="18.75" x14ac:dyDescent="0.4">
      <c r="B1" s="51" t="s">
        <v>85</v>
      </c>
      <c r="C1" s="13"/>
      <c r="D1" s="13"/>
      <c r="E1" s="13"/>
      <c r="F1" s="13"/>
      <c r="G1" s="13"/>
      <c r="H1" s="13"/>
    </row>
    <row r="2" spans="2:8" ht="18.75" x14ac:dyDescent="0.3">
      <c r="B2" s="13"/>
      <c r="C2" s="58"/>
      <c r="D2" s="60"/>
      <c r="E2" s="13"/>
      <c r="F2" s="13"/>
      <c r="G2" s="13"/>
      <c r="H2" s="13"/>
    </row>
    <row r="3" spans="2:8" ht="60" x14ac:dyDescent="0.25">
      <c r="B3" s="64" t="s">
        <v>91</v>
      </c>
      <c r="C3" s="20" t="str">
        <f>T('7_do 30 r.ż.'!B2)</f>
        <v>powiaty</v>
      </c>
      <c r="D3" s="20" t="str">
        <f>T('7_do 30 r.ż.'!C2)</f>
        <v>liczba bezrobotnych do 30 r. ż. stan na 30 VI '21 r.</v>
      </c>
      <c r="E3" s="20" t="str">
        <f>T('7_do 30 r.ż.'!D2)</f>
        <v>liczba bezrobotnych do 30 r. ż. stan na 31 V '21 r.</v>
      </c>
      <c r="F3" s="20" t="str">
        <f>T('7_do 30 r.ż.'!E2)</f>
        <v>wzrost/spadek do poprzedniego  miesiąca</v>
      </c>
      <c r="G3" s="20" t="str">
        <f>T('7_do 30 r.ż.'!F2)</f>
        <v>liczba bezrobotnych do 30 r. ż. stan na 30 VI '20 r.</v>
      </c>
      <c r="H3" s="20" t="str">
        <f>T('7_do 30 r.ż.'!G2)</f>
        <v>wzrost/spadek do analogicznego okresu ubr.</v>
      </c>
    </row>
    <row r="4" spans="2:8" x14ac:dyDescent="0.25">
      <c r="B4" s="24">
        <f>RANK('7_do 30 r.ż.'!C3,'7_do 30 r.ż.'!$C$3:'7_do 30 r.ż.'!$C$28,1)+COUNTIF('7_do 30 r.ż.'!$C$3:'7_do 30 r.ż.'!C3,'7_do 30 r.ż.'!C3)-1</f>
        <v>3</v>
      </c>
      <c r="C4" s="23" t="str">
        <f>INDEX('7_do 30 r.ż.'!B3:G28,MATCH(1,B4:B29,0),1)</f>
        <v>Krosno</v>
      </c>
      <c r="D4" s="12">
        <f>INDEX('7_do 30 r.ż.'!B3:G28,MATCH(1,B4:B29,0),2)</f>
        <v>141</v>
      </c>
      <c r="E4" s="25">
        <f>INDEX('7_do 30 r.ż.'!B3:G28,MATCH(1,B4:B29,0),3)</f>
        <v>144</v>
      </c>
      <c r="F4" s="24">
        <f>INDEX('7_do 30 r.ż.'!B3:G28,MATCH(1,B4:B29,0),4)</f>
        <v>-3</v>
      </c>
      <c r="G4" s="25">
        <f>INDEX('7_do 30 r.ż.'!B3:G28,MATCH(1,B4:B29,0),5)</f>
        <v>210</v>
      </c>
      <c r="H4" s="24">
        <f>INDEX('7_do 30 r.ż.'!B3:G28,MATCH(1,B4:B29,0),6)</f>
        <v>-69</v>
      </c>
    </row>
    <row r="5" spans="2:8" x14ac:dyDescent="0.25">
      <c r="B5" s="24">
        <f>RANK('7_do 30 r.ż.'!C4,'7_do 30 r.ż.'!$C$3:'7_do 30 r.ż.'!$C$28,1)+COUNTIF('7_do 30 r.ż.'!$C$3:'7_do 30 r.ż.'!C4,'7_do 30 r.ż.'!C4)-1</f>
        <v>19</v>
      </c>
      <c r="C5" s="23" t="str">
        <f>INDEX('7_do 30 r.ż.'!B3:G28,MATCH(2,B4:B29,0),1)</f>
        <v>Tarnobrzeg</v>
      </c>
      <c r="D5" s="24">
        <f>INDEX('7_do 30 r.ż.'!B3:G28,MATCH(2,B4:B29,0),2)</f>
        <v>285</v>
      </c>
      <c r="E5" s="25">
        <f>INDEX('7_do 30 r.ż.'!B3:G28,MATCH(2,B4:B29,0),3)</f>
        <v>295</v>
      </c>
      <c r="F5" s="24">
        <f>INDEX('7_do 30 r.ż.'!B3:G28,MATCH(2,B4:B29,0),4)</f>
        <v>-10</v>
      </c>
      <c r="G5" s="25">
        <f>INDEX('7_do 30 r.ż.'!B3:G28,MATCH(2,B4:B29,0),5)</f>
        <v>348</v>
      </c>
      <c r="H5" s="24">
        <f>INDEX('7_do 30 r.ż.'!B3:G28,MATCH(2,B4:B29,0),6)</f>
        <v>-63</v>
      </c>
    </row>
    <row r="6" spans="2:8" x14ac:dyDescent="0.25">
      <c r="B6" s="24">
        <f>RANK('7_do 30 r.ż.'!C5,'7_do 30 r.ż.'!$C$3:'7_do 30 r.ż.'!$C$28,1)+COUNTIF('7_do 30 r.ż.'!$C$3:'7_do 30 r.ż.'!C5,'7_do 30 r.ż.'!C5)-1</f>
        <v>13</v>
      </c>
      <c r="C6" s="23" t="str">
        <f>INDEX('7_do 30 r.ż.'!B3:G28,MATCH(3,B4:B29,0),1)</f>
        <v>bieszczadzki</v>
      </c>
      <c r="D6" s="24">
        <f>INDEX('7_do 30 r.ż.'!B3:G28,MATCH(3,B4:B29,0),2)</f>
        <v>323</v>
      </c>
      <c r="E6" s="25">
        <f>INDEX('7_do 30 r.ż.'!B3:G28,MATCH(3,B4:B29,0),3)</f>
        <v>345</v>
      </c>
      <c r="F6" s="24">
        <f>INDEX('7_do 30 r.ż.'!B3:G28,MATCH(3,B4:B29,0),4)</f>
        <v>-22</v>
      </c>
      <c r="G6" s="25">
        <f>INDEX('7_do 30 r.ż.'!B3:G28,MATCH(3,B4:B29,0),5)</f>
        <v>383</v>
      </c>
      <c r="H6" s="24">
        <f>INDEX('7_do 30 r.ż.'!B3:G28,MATCH(3,B4:B29,0),6)</f>
        <v>-60</v>
      </c>
    </row>
    <row r="7" spans="2:8" x14ac:dyDescent="0.25">
      <c r="B7" s="24">
        <f>RANK('7_do 30 r.ż.'!C6,'7_do 30 r.ż.'!$C$3:'7_do 30 r.ż.'!$C$28,1)+COUNTIF('7_do 30 r.ż.'!$C$3:'7_do 30 r.ż.'!C6,'7_do 30 r.ż.'!C6)-1</f>
        <v>24</v>
      </c>
      <c r="C7" s="23" t="str">
        <f>INDEX('7_do 30 r.ż.'!B3:G28,MATCH(4,B4:B29,0),1)</f>
        <v xml:space="preserve">tarnobrzeski </v>
      </c>
      <c r="D7" s="24">
        <f>INDEX('7_do 30 r.ż.'!B3:G28,MATCH(4,B4:B29,0),2)</f>
        <v>423</v>
      </c>
      <c r="E7" s="25">
        <f>INDEX('7_do 30 r.ż.'!B3:G28,MATCH(4,B4:B29,0),3)</f>
        <v>423</v>
      </c>
      <c r="F7" s="24">
        <f>INDEX('7_do 30 r.ż.'!B3:G28,MATCH(4,B4:B29,0),4)</f>
        <v>0</v>
      </c>
      <c r="G7" s="25">
        <f>INDEX('7_do 30 r.ż.'!B3:G28,MATCH(4,B4:B29,0),5)</f>
        <v>541</v>
      </c>
      <c r="H7" s="24">
        <f>INDEX('7_do 30 r.ż.'!B3:G28,MATCH(4,B4:B29,0),6)</f>
        <v>-118</v>
      </c>
    </row>
    <row r="8" spans="2:8" x14ac:dyDescent="0.25">
      <c r="B8" s="24">
        <f>RANK('7_do 30 r.ż.'!C7,'7_do 30 r.ż.'!$C$3:'7_do 30 r.ż.'!$C$28,1)+COUNTIF('7_do 30 r.ż.'!$C$3:'7_do 30 r.ż.'!C7,'7_do 30 r.ż.'!C7)-1</f>
        <v>22</v>
      </c>
      <c r="C8" s="23" t="str">
        <f>INDEX('7_do 30 r.ż.'!B3:G28,MATCH(5,B4:B29,0),1)</f>
        <v>leski</v>
      </c>
      <c r="D8" s="24">
        <f>INDEX('7_do 30 r.ż.'!B3:G28,MATCH(5,B4:B29,0),2)</f>
        <v>429</v>
      </c>
      <c r="E8" s="25">
        <f>INDEX('7_do 30 r.ż.'!B3:G28,MATCH(5,B4:B29,0),3)</f>
        <v>455</v>
      </c>
      <c r="F8" s="24">
        <f>INDEX('7_do 30 r.ż.'!B3:G28,MATCH(5,B4:B29,0),4)</f>
        <v>-26</v>
      </c>
      <c r="G8" s="25">
        <f>INDEX('7_do 30 r.ż.'!B3:G28,MATCH(5,B4:B29,0),5)</f>
        <v>535</v>
      </c>
      <c r="H8" s="24">
        <f>INDEX('7_do 30 r.ż.'!B3:G28,MATCH(5,B4:B29,0),6)</f>
        <v>-106</v>
      </c>
    </row>
    <row r="9" spans="2:8" x14ac:dyDescent="0.25">
      <c r="B9" s="24">
        <f>RANK('7_do 30 r.ż.'!C8,'7_do 30 r.ż.'!$C$3:'7_do 30 r.ż.'!$C$28,1)+COUNTIF('7_do 30 r.ż.'!$C$3:'7_do 30 r.ż.'!C8,'7_do 30 r.ż.'!C8)-1</f>
        <v>7</v>
      </c>
      <c r="C9" s="23" t="str">
        <f>INDEX('7_do 30 r.ż.'!B3:G28,MATCH(6,B4:B29,0),1)</f>
        <v>lubaczowski</v>
      </c>
      <c r="D9" s="24">
        <f>INDEX('7_do 30 r.ż.'!B3:G28,MATCH(6,B4:B29,0),2)</f>
        <v>502</v>
      </c>
      <c r="E9" s="25">
        <f>INDEX('7_do 30 r.ż.'!B3:G28,MATCH(6,B4:B29,0),3)</f>
        <v>548</v>
      </c>
      <c r="F9" s="24">
        <f>INDEX('7_do 30 r.ż.'!B3:G28,MATCH(6,B4:B29,0),4)</f>
        <v>-46</v>
      </c>
      <c r="G9" s="25">
        <f>INDEX('7_do 30 r.ż.'!B3:G28,MATCH(6,B4:B29,0),5)</f>
        <v>626</v>
      </c>
      <c r="H9" s="24">
        <f>INDEX('7_do 30 r.ż.'!B3:G28,MATCH(6,B4:B29,0),6)</f>
        <v>-124</v>
      </c>
    </row>
    <row r="10" spans="2:8" x14ac:dyDescent="0.25">
      <c r="B10" s="24">
        <f>RANK('7_do 30 r.ż.'!C9,'7_do 30 r.ż.'!$C$3:'7_do 30 r.ż.'!$C$28,1)+COUNTIF('7_do 30 r.ż.'!$C$3:'7_do 30 r.ż.'!C9,'7_do 30 r.ż.'!C9)-1</f>
        <v>9</v>
      </c>
      <c r="C10" s="26" t="str">
        <f>INDEX('7_do 30 r.ż.'!B3:G28,MATCH(7,B4:B29,0),1)</f>
        <v>kolbuszowski</v>
      </c>
      <c r="D10" s="24">
        <f>INDEX('7_do 30 r.ż.'!B3:G28,MATCH(7,B4:B29,0),2)</f>
        <v>503</v>
      </c>
      <c r="E10" s="25">
        <f>INDEX('7_do 30 r.ż.'!B3:G28,MATCH(7,B4:B29,0),3)</f>
        <v>530</v>
      </c>
      <c r="F10" s="24">
        <f>INDEX('7_do 30 r.ż.'!B3:G28,MATCH(7,B4:B29,0),4)</f>
        <v>-27</v>
      </c>
      <c r="G10" s="25">
        <f>INDEX('7_do 30 r.ż.'!B3:G28,MATCH(7,B4:B29,0),5)</f>
        <v>678</v>
      </c>
      <c r="H10" s="24">
        <f>INDEX('7_do 30 r.ż.'!B3:G28,MATCH(7,B4:B29,0),6)</f>
        <v>-175</v>
      </c>
    </row>
    <row r="11" spans="2:8" x14ac:dyDescent="0.25">
      <c r="B11" s="24">
        <f>RANK('7_do 30 r.ż.'!C10,'7_do 30 r.ż.'!$C$3:'7_do 30 r.ż.'!$C$28,1)+COUNTIF('7_do 30 r.ż.'!$C$3:'7_do 30 r.ż.'!C10,'7_do 30 r.ż.'!C10)-1</f>
        <v>5</v>
      </c>
      <c r="C11" s="23" t="str">
        <f>INDEX('7_do 30 r.ż.'!B3:G28,MATCH(8,B4:B29,0),1)</f>
        <v>Przemyśl</v>
      </c>
      <c r="D11" s="24">
        <f>INDEX('7_do 30 r.ż.'!B3:G28,MATCH(8,B4:B29,0),2)</f>
        <v>545</v>
      </c>
      <c r="E11" s="25">
        <f>INDEX('7_do 30 r.ż.'!B3:G28,MATCH(8,B4:B29,0),3)</f>
        <v>596</v>
      </c>
      <c r="F11" s="24">
        <f>INDEX('7_do 30 r.ż.'!B3:G28,MATCH(8,B4:B29,0),4)</f>
        <v>-51</v>
      </c>
      <c r="G11" s="25">
        <f>INDEX('7_do 30 r.ż.'!B3:G28,MATCH(8,B4:B29,0),5)</f>
        <v>630</v>
      </c>
      <c r="H11" s="24">
        <f>INDEX('7_do 30 r.ż.'!B3:G28,MATCH(8,B4:B29,0),6)</f>
        <v>-85</v>
      </c>
    </row>
    <row r="12" spans="2:8" x14ac:dyDescent="0.25">
      <c r="B12" s="24">
        <f>RANK('7_do 30 r.ż.'!C11,'7_do 30 r.ż.'!$C$3:'7_do 30 r.ż.'!$C$28,1)+COUNTIF('7_do 30 r.ż.'!$C$3:'7_do 30 r.ż.'!C11,'7_do 30 r.ż.'!C11)-1</f>
        <v>21</v>
      </c>
      <c r="C12" s="23" t="str">
        <f>INDEX('7_do 30 r.ż.'!B3:G28,MATCH(9,B4:B29,0),1)</f>
        <v>krośnieński</v>
      </c>
      <c r="D12" s="24">
        <f>INDEX('7_do 30 r.ż.'!B3:G28,MATCH(9,B4:B29,0),2)</f>
        <v>592</v>
      </c>
      <c r="E12" s="25">
        <f>INDEX('7_do 30 r.ż.'!B3:G28,MATCH(9,B4:B29,0),3)</f>
        <v>684</v>
      </c>
      <c r="F12" s="24">
        <f>INDEX('7_do 30 r.ż.'!B3:G28,MATCH(9,B4:B29,0),4)</f>
        <v>-92</v>
      </c>
      <c r="G12" s="25">
        <f>INDEX('7_do 30 r.ż.'!B3:G28,MATCH(9,B4:B29,0),5)</f>
        <v>676</v>
      </c>
      <c r="H12" s="24">
        <f>INDEX('7_do 30 r.ż.'!B3:G28,MATCH(9,B4:B29,0),6)</f>
        <v>-84</v>
      </c>
    </row>
    <row r="13" spans="2:8" x14ac:dyDescent="0.25">
      <c r="B13" s="24">
        <f>RANK('7_do 30 r.ż.'!C12,'7_do 30 r.ż.'!$C$3:'7_do 30 r.ż.'!$C$28,1)+COUNTIF('7_do 30 r.ż.'!$C$3:'7_do 30 r.ż.'!C12,'7_do 30 r.ż.'!C12)-1</f>
        <v>6</v>
      </c>
      <c r="C13" s="23" t="str">
        <f>INDEX('7_do 30 r.ż.'!B3:G28,MATCH(10,B4:B29,0),1)</f>
        <v>sanocki</v>
      </c>
      <c r="D13" s="24">
        <f>INDEX('7_do 30 r.ż.'!B3:G28,MATCH(10,B4:B29,0),2)</f>
        <v>639</v>
      </c>
      <c r="E13" s="25">
        <f>INDEX('7_do 30 r.ż.'!B3:G28,MATCH(10,B4:B29,0),3)</f>
        <v>681</v>
      </c>
      <c r="F13" s="24">
        <f>INDEX('7_do 30 r.ż.'!B3:G28,MATCH(10,B4:B29,0),4)</f>
        <v>-42</v>
      </c>
      <c r="G13" s="25">
        <f>INDEX('7_do 30 r.ż.'!B3:G28,MATCH(10,B4:B29,0),5)</f>
        <v>927</v>
      </c>
      <c r="H13" s="24">
        <f>INDEX('7_do 30 r.ż.'!B3:G28,MATCH(10,B4:B29,0),6)</f>
        <v>-288</v>
      </c>
    </row>
    <row r="14" spans="2:8" x14ac:dyDescent="0.25">
      <c r="B14" s="24">
        <f>RANK('7_do 30 r.ż.'!C13,'7_do 30 r.ż.'!$C$3:'7_do 30 r.ż.'!$C$28,1)+COUNTIF('7_do 30 r.ż.'!$C$3:'7_do 30 r.ż.'!C13,'7_do 30 r.ż.'!C13)-1</f>
        <v>14</v>
      </c>
      <c r="C14" s="23" t="str">
        <f>INDEX('7_do 30 r.ż.'!B3:G28,MATCH(11,B4:B29,0),1)</f>
        <v>stalowowolski</v>
      </c>
      <c r="D14" s="24">
        <f>INDEX('7_do 30 r.ż.'!B3:G28,MATCH(11,B4:B29,0),2)</f>
        <v>641</v>
      </c>
      <c r="E14" s="25">
        <f>INDEX('7_do 30 r.ż.'!B3:G28,MATCH(11,B4:B29,0),3)</f>
        <v>687</v>
      </c>
      <c r="F14" s="24">
        <f>INDEX('7_do 30 r.ż.'!B3:G28,MATCH(11,B4:B29,0),4)</f>
        <v>-46</v>
      </c>
      <c r="G14" s="25">
        <f>INDEX('7_do 30 r.ż.'!B3:G28,MATCH(11,B4:B29,0),5)</f>
        <v>816</v>
      </c>
      <c r="H14" s="24">
        <f>INDEX('7_do 30 r.ż.'!B3:G28,MATCH(11,B4:B29,0),6)</f>
        <v>-175</v>
      </c>
    </row>
    <row r="15" spans="2:8" x14ac:dyDescent="0.25">
      <c r="B15" s="24">
        <f>RANK('7_do 30 r.ż.'!C14,'7_do 30 r.ż.'!$C$3:'7_do 30 r.ż.'!$C$28,1)+COUNTIF('7_do 30 r.ż.'!$C$3:'7_do 30 r.ż.'!C14,'7_do 30 r.ż.'!C14)-1</f>
        <v>12</v>
      </c>
      <c r="C15" s="23" t="str">
        <f>INDEX('7_do 30 r.ż.'!B3:G28,MATCH(12,B4:B29,0),1)</f>
        <v>mielecki</v>
      </c>
      <c r="D15" s="24">
        <f>INDEX('7_do 30 r.ż.'!B3:G28,MATCH(12,B4:B29,0),2)</f>
        <v>795</v>
      </c>
      <c r="E15" s="25">
        <f>INDEX('7_do 30 r.ż.'!B3:G28,MATCH(12,B4:B29,0),3)</f>
        <v>811</v>
      </c>
      <c r="F15" s="24">
        <f>INDEX('7_do 30 r.ż.'!B3:G28,MATCH(12,B4:B29,0),4)</f>
        <v>-16</v>
      </c>
      <c r="G15" s="25">
        <f>INDEX('7_do 30 r.ż.'!B3:G28,MATCH(12,B4:B29,0),5)</f>
        <v>1084</v>
      </c>
      <c r="H15" s="24">
        <f>INDEX('7_do 30 r.ż.'!B3:G28,MATCH(12,B4:B29,0),6)</f>
        <v>-289</v>
      </c>
    </row>
    <row r="16" spans="2:8" x14ac:dyDescent="0.25">
      <c r="B16" s="24">
        <f>RANK('7_do 30 r.ż.'!C15,'7_do 30 r.ż.'!$C$3:'7_do 30 r.ż.'!$C$28,1)+COUNTIF('7_do 30 r.ż.'!$C$3:'7_do 30 r.ż.'!C15,'7_do 30 r.ż.'!C15)-1</f>
        <v>17</v>
      </c>
      <c r="C16" s="23" t="str">
        <f>INDEX('7_do 30 r.ż.'!B3:G28,MATCH(13,B4:B29,0),1)</f>
        <v>dębicki</v>
      </c>
      <c r="D16" s="24">
        <f>INDEX('7_do 30 r.ż.'!B3:G28,MATCH(13,B4:B29,0),2)</f>
        <v>905</v>
      </c>
      <c r="E16" s="25">
        <f>INDEX('7_do 30 r.ż.'!B3:G28,MATCH(13,B4:B29,0),3)</f>
        <v>973</v>
      </c>
      <c r="F16" s="24">
        <f>INDEX('7_do 30 r.ż.'!B3:G28,MATCH(13,B4:B29,0),4)</f>
        <v>-68</v>
      </c>
      <c r="G16" s="25">
        <f>INDEX('7_do 30 r.ż.'!B3:G28,MATCH(13,B4:B29,0),5)</f>
        <v>1196</v>
      </c>
      <c r="H16" s="24">
        <f>INDEX('7_do 30 r.ż.'!B3:G28,MATCH(13,B4:B29,0),6)</f>
        <v>-291</v>
      </c>
    </row>
    <row r="17" spans="2:8" x14ac:dyDescent="0.25">
      <c r="B17" s="24">
        <f>RANK('7_do 30 r.ż.'!C16,'7_do 30 r.ż.'!$C$3:'7_do 30 r.ż.'!$C$28,1)+COUNTIF('7_do 30 r.ż.'!$C$3:'7_do 30 r.ż.'!C16,'7_do 30 r.ż.'!C16)-1</f>
        <v>18</v>
      </c>
      <c r="C17" s="23" t="str">
        <f>INDEX('7_do 30 r.ż.'!B3:G28,MATCH(14,B4:B29,0),1)</f>
        <v>łańcucki</v>
      </c>
      <c r="D17" s="24">
        <f>INDEX('7_do 30 r.ż.'!B3:G28,MATCH(14,B4:B29,0),2)</f>
        <v>959</v>
      </c>
      <c r="E17" s="25">
        <f>INDEX('7_do 30 r.ż.'!B3:G28,MATCH(14,B4:B29,0),3)</f>
        <v>983</v>
      </c>
      <c r="F17" s="24">
        <f>INDEX('7_do 30 r.ż.'!B3:G28,MATCH(14,B4:B29,0),4)</f>
        <v>-24</v>
      </c>
      <c r="G17" s="25">
        <f>INDEX('7_do 30 r.ż.'!B3:G28,MATCH(14,B4:B29,0),5)</f>
        <v>1095</v>
      </c>
      <c r="H17" s="24">
        <f>INDEX('7_do 30 r.ż.'!B3:G28,MATCH(14,B4:B29,0),6)</f>
        <v>-136</v>
      </c>
    </row>
    <row r="18" spans="2:8" x14ac:dyDescent="0.25">
      <c r="B18" s="24">
        <f>RANK('7_do 30 r.ż.'!C17,'7_do 30 r.ż.'!$C$3:'7_do 30 r.ż.'!$C$28,1)+COUNTIF('7_do 30 r.ż.'!$C$3:'7_do 30 r.ż.'!C17,'7_do 30 r.ż.'!C17)-1</f>
        <v>20</v>
      </c>
      <c r="C18" s="23" t="str">
        <f>INDEX('7_do 30 r.ż.'!B3:G28,MATCH(15,B4:B29,0),1)</f>
        <v>strzyżowski</v>
      </c>
      <c r="D18" s="24">
        <f>INDEX('7_do 30 r.ż.'!B3:G28,MATCH(15,B4:B29,0),2)</f>
        <v>1002</v>
      </c>
      <c r="E18" s="25">
        <f>INDEX('7_do 30 r.ż.'!B3:G28,MATCH(15,B4:B29,0),3)</f>
        <v>1016</v>
      </c>
      <c r="F18" s="24">
        <f>INDEX('7_do 30 r.ż.'!B3:G28,MATCH(15,B4:B29,0),4)</f>
        <v>-14</v>
      </c>
      <c r="G18" s="25">
        <f>INDEX('7_do 30 r.ż.'!B3:G28,MATCH(15,B4:B29,0),5)</f>
        <v>1118</v>
      </c>
      <c r="H18" s="24">
        <f>INDEX('7_do 30 r.ż.'!B3:G28,MATCH(15,B4:B29,0),6)</f>
        <v>-116</v>
      </c>
    </row>
    <row r="19" spans="2:8" x14ac:dyDescent="0.25">
      <c r="B19" s="24">
        <f>RANK('7_do 30 r.ż.'!C18,'7_do 30 r.ż.'!$C$3:'7_do 30 r.ż.'!$C$28,1)+COUNTIF('7_do 30 r.ż.'!$C$3:'7_do 30 r.ż.'!C18,'7_do 30 r.ż.'!C18)-1</f>
        <v>16</v>
      </c>
      <c r="C19" s="23" t="str">
        <f>INDEX('7_do 30 r.ż.'!B3:G28,MATCH(16,B4:B29,0),1)</f>
        <v>ropczycko-sędziszowski</v>
      </c>
      <c r="D19" s="24">
        <f>INDEX('7_do 30 r.ż.'!B3:G28,MATCH(16,B4:B29,0),2)</f>
        <v>1003</v>
      </c>
      <c r="E19" s="25">
        <f>INDEX('7_do 30 r.ż.'!B3:G28,MATCH(16,B4:B29,0),3)</f>
        <v>1049</v>
      </c>
      <c r="F19" s="24">
        <f>INDEX('7_do 30 r.ż.'!B3:G28,MATCH(16,B4:B29,0),4)</f>
        <v>-46</v>
      </c>
      <c r="G19" s="25">
        <f>INDEX('7_do 30 r.ż.'!B3:G28,MATCH(16,B4:B29,0),5)</f>
        <v>1197</v>
      </c>
      <c r="H19" s="24">
        <f>INDEX('7_do 30 r.ż.'!B3:G28,MATCH(16,B4:B29,0),6)</f>
        <v>-194</v>
      </c>
    </row>
    <row r="20" spans="2:8" x14ac:dyDescent="0.25">
      <c r="B20" s="24">
        <f>RANK('7_do 30 r.ż.'!C19,'7_do 30 r.ż.'!$C$3:'7_do 30 r.ż.'!$C$28,1)+COUNTIF('7_do 30 r.ż.'!$C$3:'7_do 30 r.ż.'!C19,'7_do 30 r.ż.'!C19)-1</f>
        <v>25</v>
      </c>
      <c r="C20" s="23" t="str">
        <f>INDEX('7_do 30 r.ż.'!B3:G28,MATCH(17,B4:B29,0),1)</f>
        <v>niżański</v>
      </c>
      <c r="D20" s="24">
        <f>INDEX('7_do 30 r.ż.'!B3:G28,MATCH(17,B4:B29,0),2)</f>
        <v>1024</v>
      </c>
      <c r="E20" s="25">
        <f>INDEX('7_do 30 r.ż.'!B3:G28,MATCH(17,B4:B29,0),3)</f>
        <v>1089</v>
      </c>
      <c r="F20" s="24">
        <f>INDEX('7_do 30 r.ż.'!B3:G28,MATCH(17,B4:B29,0),4)</f>
        <v>-65</v>
      </c>
      <c r="G20" s="25">
        <f>INDEX('7_do 30 r.ż.'!B3:G28,MATCH(17,B4:B29,0),5)</f>
        <v>1190</v>
      </c>
      <c r="H20" s="24">
        <f>INDEX('7_do 30 r.ż.'!B3:G28,MATCH(17,B4:B29,0),6)</f>
        <v>-166</v>
      </c>
    </row>
    <row r="21" spans="2:8" x14ac:dyDescent="0.25">
      <c r="B21" s="24">
        <f>RANK('7_do 30 r.ż.'!C20,'7_do 30 r.ż.'!$C$3:'7_do 30 r.ż.'!$C$28,1)+COUNTIF('7_do 30 r.ż.'!$C$3:'7_do 30 r.ż.'!C20,'7_do 30 r.ż.'!C20)-1</f>
        <v>10</v>
      </c>
      <c r="C21" s="23" t="str">
        <f>INDEX('7_do 30 r.ż.'!B3:G28,MATCH(18,B4:B29,0),1)</f>
        <v>przemyski</v>
      </c>
      <c r="D21" s="24">
        <f>INDEX('7_do 30 r.ż.'!B3:G28,MATCH(18,B4:B29,0),2)</f>
        <v>1032</v>
      </c>
      <c r="E21" s="25">
        <f>INDEX('7_do 30 r.ż.'!B3:G28,MATCH(18,B4:B29,0),3)</f>
        <v>1095</v>
      </c>
      <c r="F21" s="24">
        <f>INDEX('7_do 30 r.ż.'!B3:G28,MATCH(18,B4:B29,0),4)</f>
        <v>-63</v>
      </c>
      <c r="G21" s="25">
        <f>INDEX('7_do 30 r.ż.'!B3:G28,MATCH(18,B4:B29,0),5)</f>
        <v>1177</v>
      </c>
      <c r="H21" s="24">
        <f>INDEX('7_do 30 r.ż.'!B3:G28,MATCH(18,B4:B29,0),6)</f>
        <v>-145</v>
      </c>
    </row>
    <row r="22" spans="2:8" x14ac:dyDescent="0.25">
      <c r="B22" s="24">
        <f>RANK('7_do 30 r.ż.'!C21,'7_do 30 r.ż.'!$C$3:'7_do 30 r.ż.'!$C$28,1)+COUNTIF('7_do 30 r.ż.'!$C$3:'7_do 30 r.ż.'!C21,'7_do 30 r.ż.'!C21)-1</f>
        <v>11</v>
      </c>
      <c r="C22" s="23" t="str">
        <f>INDEX('7_do 30 r.ż.'!B3:G28,MATCH(19,B4:B29,0),1)</f>
        <v>brzozowski</v>
      </c>
      <c r="D22" s="24">
        <f>INDEX('7_do 30 r.ż.'!B3:G28,MATCH(19,B4:B29,0),2)</f>
        <v>1053</v>
      </c>
      <c r="E22" s="25">
        <f>INDEX('7_do 30 r.ż.'!B3:G28,MATCH(19,B4:B29,0),3)</f>
        <v>1111</v>
      </c>
      <c r="F22" s="24">
        <f>INDEX('7_do 30 r.ż.'!B3:G28,MATCH(19,B4:B29,0),4)</f>
        <v>-58</v>
      </c>
      <c r="G22" s="25">
        <f>INDEX('7_do 30 r.ż.'!B3:G28,MATCH(19,B4:B29,0),5)</f>
        <v>1240</v>
      </c>
      <c r="H22" s="24">
        <f>INDEX('7_do 30 r.ż.'!B3:G28,MATCH(19,B4:B29,0),6)</f>
        <v>-187</v>
      </c>
    </row>
    <row r="23" spans="2:8" x14ac:dyDescent="0.25">
      <c r="B23" s="24">
        <f>RANK('7_do 30 r.ż.'!C22,'7_do 30 r.ż.'!$C$3:'7_do 30 r.ż.'!$C$28,1)+COUNTIF('7_do 30 r.ż.'!$C$3:'7_do 30 r.ż.'!C22,'7_do 30 r.ż.'!C22)-1</f>
        <v>15</v>
      </c>
      <c r="C23" s="23" t="str">
        <f>INDEX('7_do 30 r.ż.'!B3:G28,MATCH(20,B4:B29,0),1)</f>
        <v>przeworski</v>
      </c>
      <c r="D23" s="24">
        <f>INDEX('7_do 30 r.ż.'!B3:G28,MATCH(20,B4:B29,0),2)</f>
        <v>1068</v>
      </c>
      <c r="E23" s="25">
        <f>INDEX('7_do 30 r.ż.'!B3:G28,MATCH(20,B4:B29,0),3)</f>
        <v>1094</v>
      </c>
      <c r="F23" s="24">
        <f>INDEX('7_do 30 r.ż.'!B3:G28,MATCH(20,B4:B29,0),4)</f>
        <v>-26</v>
      </c>
      <c r="G23" s="25">
        <f>INDEX('7_do 30 r.ż.'!B3:G28,MATCH(20,B4:B29,0),5)</f>
        <v>1251</v>
      </c>
      <c r="H23" s="24">
        <f>INDEX('7_do 30 r.ż.'!B3:G28,MATCH(20,B4:B29,0),6)</f>
        <v>-183</v>
      </c>
    </row>
    <row r="24" spans="2:8" x14ac:dyDescent="0.25">
      <c r="B24" s="24">
        <f>RANK('7_do 30 r.ż.'!C23,'7_do 30 r.ż.'!$C$3:'7_do 30 r.ż.'!$C$28,1)+COUNTIF('7_do 30 r.ż.'!$C$3:'7_do 30 r.ż.'!C23,'7_do 30 r.ż.'!C23)-1</f>
        <v>4</v>
      </c>
      <c r="C24" s="23" t="str">
        <f>INDEX('7_do 30 r.ż.'!B3:G28,MATCH(21,B4:B29,0),1)</f>
        <v>leżajski</v>
      </c>
      <c r="D24" s="24">
        <f>INDEX('7_do 30 r.ż.'!B3:G28,MATCH(21,B4:B29,0),2)</f>
        <v>1087</v>
      </c>
      <c r="E24" s="25">
        <f>INDEX('7_do 30 r.ż.'!B3:G28,MATCH(21,B4:B29,0),3)</f>
        <v>1114</v>
      </c>
      <c r="F24" s="24">
        <f>INDEX('7_do 30 r.ż.'!B3:G28,MATCH(21,B4:B29,0),4)</f>
        <v>-27</v>
      </c>
      <c r="G24" s="25">
        <f>INDEX('7_do 30 r.ż.'!B3:G28,MATCH(21,B4:B29,0),5)</f>
        <v>1228</v>
      </c>
      <c r="H24" s="24">
        <f>INDEX('7_do 30 r.ż.'!B3:G28,MATCH(21,B4:B29,0),6)</f>
        <v>-141</v>
      </c>
    </row>
    <row r="25" spans="2:8" x14ac:dyDescent="0.25">
      <c r="B25" s="24">
        <f>RANK('7_do 30 r.ż.'!C24,'7_do 30 r.ż.'!$C$3:'7_do 30 r.ż.'!$C$28,1)+COUNTIF('7_do 30 r.ż.'!$C$3:'7_do 30 r.ż.'!C24,'7_do 30 r.ż.'!C24)-1</f>
        <v>1</v>
      </c>
      <c r="C25" s="23" t="str">
        <f>INDEX('7_do 30 r.ż.'!B3:G28,MATCH(22,B4:B29,0),1)</f>
        <v>jasielski</v>
      </c>
      <c r="D25" s="24">
        <f>INDEX('7_do 30 r.ż.'!B3:G28,MATCH(22,B4:B29,0),2)</f>
        <v>1402</v>
      </c>
      <c r="E25" s="25">
        <f>INDEX('7_do 30 r.ż.'!B3:G28,MATCH(22,B4:B29,0),3)</f>
        <v>1413</v>
      </c>
      <c r="F25" s="24">
        <f>INDEX('7_do 30 r.ż.'!B3:G28,MATCH(22,B4:B29,0),4)</f>
        <v>-11</v>
      </c>
      <c r="G25" s="25">
        <f>INDEX('7_do 30 r.ż.'!B3:G28,MATCH(22,B4:B29,0),5)</f>
        <v>1479</v>
      </c>
      <c r="H25" s="24">
        <f>INDEX('7_do 30 r.ż.'!B3:G28,MATCH(22,B4:B29,0),6)</f>
        <v>-77</v>
      </c>
    </row>
    <row r="26" spans="2:8" x14ac:dyDescent="0.25">
      <c r="B26" s="24">
        <f>RANK('7_do 30 r.ż.'!C25,'7_do 30 r.ż.'!$C$3:'7_do 30 r.ż.'!$C$28,1)+COUNTIF('7_do 30 r.ż.'!$C$3:'7_do 30 r.ż.'!C25,'7_do 30 r.ż.'!C25)-1</f>
        <v>8</v>
      </c>
      <c r="C26" s="23" t="str">
        <f>INDEX('7_do 30 r.ż.'!B3:G28,MATCH(23,B4:B29,0),1)</f>
        <v>Rzeszów</v>
      </c>
      <c r="D26" s="24">
        <f>INDEX('7_do 30 r.ż.'!B3:G28,MATCH(23,B4:B29,0),2)</f>
        <v>1479</v>
      </c>
      <c r="E26" s="25">
        <f>INDEX('7_do 30 r.ż.'!B3:G28,MATCH(23,B4:B29,0),3)</f>
        <v>1582</v>
      </c>
      <c r="F26" s="24">
        <f>INDEX('7_do 30 r.ż.'!B3:G28,MATCH(23,B4:B29,0),4)</f>
        <v>-103</v>
      </c>
      <c r="G26" s="25">
        <f>INDEX('7_do 30 r.ż.'!B3:G28,MATCH(23,B4:B29,0),5)</f>
        <v>1651</v>
      </c>
      <c r="H26" s="24">
        <f>INDEX('7_do 30 r.ż.'!B3:G28,MATCH(23,B4:B29,0),6)</f>
        <v>-172</v>
      </c>
    </row>
    <row r="27" spans="2:8" x14ac:dyDescent="0.25">
      <c r="B27" s="24">
        <f>RANK('7_do 30 r.ż.'!C26,'7_do 30 r.ż.'!$C$3:'7_do 30 r.ż.'!$C$28,1)+COUNTIF('7_do 30 r.ż.'!$C$3:'7_do 30 r.ż.'!C26,'7_do 30 r.ż.'!C26)-1</f>
        <v>23</v>
      </c>
      <c r="C27" s="23" t="str">
        <f>INDEX('7_do 30 r.ż.'!B3:G28,MATCH(24,B4:B29,0),1)</f>
        <v>jarosławski</v>
      </c>
      <c r="D27" s="24">
        <f>INDEX('7_do 30 r.ż.'!B3:G28,MATCH(24,B4:B29,0),2)</f>
        <v>1618</v>
      </c>
      <c r="E27" s="25">
        <f>INDEX('7_do 30 r.ż.'!B3:G28,MATCH(24,B4:B29,0),3)</f>
        <v>1720</v>
      </c>
      <c r="F27" s="24">
        <f>INDEX('7_do 30 r.ż.'!B3:G28,MATCH(24,B4:B29,0),4)</f>
        <v>-102</v>
      </c>
      <c r="G27" s="25">
        <f>INDEX('7_do 30 r.ż.'!B3:G28,MATCH(24,B4:B29,0),5)</f>
        <v>1768</v>
      </c>
      <c r="H27" s="24">
        <f>INDEX('7_do 30 r.ż.'!B3:G28,MATCH(24,B4:B29,0),6)</f>
        <v>-150</v>
      </c>
    </row>
    <row r="28" spans="2:8" x14ac:dyDescent="0.25">
      <c r="B28" s="24">
        <f>RANK('7_do 30 r.ż.'!C27,'7_do 30 r.ż.'!$C$3:'7_do 30 r.ż.'!$C$28,1)+COUNTIF('7_do 30 r.ż.'!$C$3:'7_do 30 r.ż.'!C27,'7_do 30 r.ż.'!C27)-1</f>
        <v>2</v>
      </c>
      <c r="C28" s="23" t="str">
        <f>INDEX('7_do 30 r.ż.'!B3:G28,MATCH(25,B4:B29,0),1)</f>
        <v>rzeszowski</v>
      </c>
      <c r="D28" s="24">
        <f>INDEX('7_do 30 r.ż.'!B3:G28,MATCH(25,B4:B29,0),2)</f>
        <v>1830</v>
      </c>
      <c r="E28" s="25">
        <f>INDEX('7_do 30 r.ż.'!B3:G28,MATCH(25,B4:B29,0),3)</f>
        <v>1957</v>
      </c>
      <c r="F28" s="24">
        <f>INDEX('7_do 30 r.ż.'!B3:G28,MATCH(25,B4:B29,0),4)</f>
        <v>-127</v>
      </c>
      <c r="G28" s="25">
        <f>INDEX('7_do 30 r.ż.'!B3:G28,MATCH(25,B4:B29,0),5)</f>
        <v>2037</v>
      </c>
      <c r="H28" s="24">
        <f>INDEX('7_do 30 r.ż.'!B3:G28,MATCH(25,B4:B29,0),6)</f>
        <v>-207</v>
      </c>
    </row>
    <row r="29" spans="2:8" x14ac:dyDescent="0.25">
      <c r="B29" s="86">
        <f>RANK('7_do 30 r.ż.'!C28,'7_do 30 r.ż.'!$C$3:'7_do 30 r.ż.'!$C$28,1)+COUNTIF('7_do 30 r.ż.'!$C$3:'7_do 30 r.ż.'!C28,'7_do 30 r.ż.'!C28)-1</f>
        <v>26</v>
      </c>
      <c r="C29" s="87" t="str">
        <f>INDEX('7_do 30 r.ż.'!B3:G28,MATCH(26,B4:B29,0),1)</f>
        <v>województwo</v>
      </c>
      <c r="D29" s="86">
        <f>INDEX('7_do 30 r.ż.'!B3:G28,MATCH(26,B4:B29,0),2)</f>
        <v>21280</v>
      </c>
      <c r="E29" s="40">
        <f>INDEX('7_do 30 r.ż.'!B3:G28,MATCH(26,B4:B29,0),3)</f>
        <v>22395</v>
      </c>
      <c r="F29" s="86">
        <f>INDEX('7_do 30 r.ż.'!B3:G28,MATCH(26,B4:B29,0),4)</f>
        <v>-1115</v>
      </c>
      <c r="G29" s="40">
        <f>INDEX('7_do 30 r.ż.'!B3:G28,MATCH(26,B4:B29,0),5)</f>
        <v>25081</v>
      </c>
      <c r="H29" s="86">
        <f>INDEX('7_do 30 r.ż.'!B3:G28,MATCH(26,B4:B29,0),6)</f>
        <v>-3801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29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3" customWidth="1"/>
    <col min="2" max="2" width="25.140625" style="13" customWidth="1"/>
    <col min="3" max="3" width="12.7109375" style="13" customWidth="1"/>
    <col min="4" max="4" width="12.5703125" style="13" customWidth="1"/>
    <col min="5" max="5" width="15.7109375" style="13" customWidth="1"/>
    <col min="6" max="6" width="12.7109375" style="13" customWidth="1"/>
    <col min="7" max="7" width="17" style="13" customWidth="1"/>
    <col min="8" max="8" width="6.85546875" style="13" customWidth="1"/>
    <col min="9" max="16384" width="9.140625" style="13"/>
  </cols>
  <sheetData>
    <row r="1" spans="2:8" ht="17.25" customHeight="1" x14ac:dyDescent="0.25">
      <c r="B1" s="75" t="s">
        <v>86</v>
      </c>
      <c r="C1" s="72"/>
      <c r="D1" s="72"/>
      <c r="E1" s="72"/>
      <c r="F1" s="72"/>
      <c r="G1" s="72"/>
    </row>
    <row r="2" spans="2:8" ht="60" x14ac:dyDescent="0.25">
      <c r="B2" s="20" t="s">
        <v>27</v>
      </c>
      <c r="C2" s="21" t="s">
        <v>121</v>
      </c>
      <c r="D2" s="22" t="s">
        <v>103</v>
      </c>
      <c r="E2" s="21" t="s">
        <v>28</v>
      </c>
      <c r="F2" s="22" t="s">
        <v>120</v>
      </c>
      <c r="G2" s="21" t="s">
        <v>26</v>
      </c>
    </row>
    <row r="3" spans="2:8" x14ac:dyDescent="0.25">
      <c r="B3" s="23" t="s">
        <v>0</v>
      </c>
      <c r="C3" s="46">
        <v>266</v>
      </c>
      <c r="D3" s="25">
        <v>270</v>
      </c>
      <c r="E3" s="46">
        <f t="shared" ref="E3:E27" si="0">SUM(C3)-D3</f>
        <v>-4</v>
      </c>
      <c r="F3" s="25">
        <v>267</v>
      </c>
      <c r="G3" s="46">
        <f t="shared" ref="G3:G27" si="1">SUM(C3)-F3</f>
        <v>-1</v>
      </c>
      <c r="H3" s="38"/>
    </row>
    <row r="4" spans="2:8" x14ac:dyDescent="0.25">
      <c r="B4" s="23" t="s">
        <v>1</v>
      </c>
      <c r="C4" s="46">
        <v>1011</v>
      </c>
      <c r="D4" s="25">
        <v>1021</v>
      </c>
      <c r="E4" s="46">
        <f t="shared" si="0"/>
        <v>-10</v>
      </c>
      <c r="F4" s="25">
        <v>1054</v>
      </c>
      <c r="G4" s="46">
        <f t="shared" si="1"/>
        <v>-43</v>
      </c>
      <c r="H4" s="38"/>
    </row>
    <row r="5" spans="2:8" x14ac:dyDescent="0.25">
      <c r="B5" s="23" t="s">
        <v>2</v>
      </c>
      <c r="C5" s="46">
        <v>707</v>
      </c>
      <c r="D5" s="25">
        <v>732</v>
      </c>
      <c r="E5" s="46">
        <f t="shared" si="0"/>
        <v>-25</v>
      </c>
      <c r="F5" s="25">
        <v>724</v>
      </c>
      <c r="G5" s="46">
        <f t="shared" si="1"/>
        <v>-17</v>
      </c>
      <c r="H5" s="38"/>
    </row>
    <row r="6" spans="2:8" x14ac:dyDescent="0.25">
      <c r="B6" s="23" t="s">
        <v>3</v>
      </c>
      <c r="C6" s="46">
        <v>1316</v>
      </c>
      <c r="D6" s="25">
        <v>1347</v>
      </c>
      <c r="E6" s="46">
        <f t="shared" si="0"/>
        <v>-31</v>
      </c>
      <c r="F6" s="25">
        <v>1331</v>
      </c>
      <c r="G6" s="46">
        <f t="shared" si="1"/>
        <v>-15</v>
      </c>
      <c r="H6" s="38"/>
    </row>
    <row r="7" spans="2:8" x14ac:dyDescent="0.25">
      <c r="B7" s="23" t="s">
        <v>4</v>
      </c>
      <c r="C7" s="46">
        <v>1206</v>
      </c>
      <c r="D7" s="25">
        <v>1230</v>
      </c>
      <c r="E7" s="46">
        <f t="shared" si="0"/>
        <v>-24</v>
      </c>
      <c r="F7" s="25">
        <v>1198</v>
      </c>
      <c r="G7" s="46">
        <f t="shared" si="1"/>
        <v>8</v>
      </c>
      <c r="H7" s="38"/>
    </row>
    <row r="8" spans="2:8" x14ac:dyDescent="0.25">
      <c r="B8" s="23" t="s">
        <v>5</v>
      </c>
      <c r="C8" s="46">
        <v>492</v>
      </c>
      <c r="D8" s="25">
        <v>511</v>
      </c>
      <c r="E8" s="46">
        <f t="shared" si="0"/>
        <v>-19</v>
      </c>
      <c r="F8" s="25">
        <v>535</v>
      </c>
      <c r="G8" s="46">
        <f t="shared" si="1"/>
        <v>-43</v>
      </c>
      <c r="H8" s="38"/>
    </row>
    <row r="9" spans="2:8" x14ac:dyDescent="0.25">
      <c r="B9" s="26" t="s">
        <v>6</v>
      </c>
      <c r="C9" s="46">
        <v>588</v>
      </c>
      <c r="D9" s="25">
        <v>606</v>
      </c>
      <c r="E9" s="46">
        <f t="shared" si="0"/>
        <v>-18</v>
      </c>
      <c r="F9" s="25">
        <v>602</v>
      </c>
      <c r="G9" s="46">
        <f t="shared" si="1"/>
        <v>-14</v>
      </c>
      <c r="H9" s="38"/>
    </row>
    <row r="10" spans="2:8" x14ac:dyDescent="0.25">
      <c r="B10" s="23" t="s">
        <v>7</v>
      </c>
      <c r="C10" s="46">
        <v>380</v>
      </c>
      <c r="D10" s="25">
        <v>398</v>
      </c>
      <c r="E10" s="46">
        <f t="shared" si="0"/>
        <v>-18</v>
      </c>
      <c r="F10" s="25">
        <v>428</v>
      </c>
      <c r="G10" s="46">
        <f t="shared" si="1"/>
        <v>-48</v>
      </c>
      <c r="H10" s="38"/>
    </row>
    <row r="11" spans="2:8" x14ac:dyDescent="0.25">
      <c r="B11" s="23" t="s">
        <v>8</v>
      </c>
      <c r="C11" s="46">
        <v>800</v>
      </c>
      <c r="D11" s="25">
        <v>803</v>
      </c>
      <c r="E11" s="46">
        <f t="shared" si="0"/>
        <v>-3</v>
      </c>
      <c r="F11" s="25">
        <v>816</v>
      </c>
      <c r="G11" s="46">
        <f t="shared" si="1"/>
        <v>-16</v>
      </c>
      <c r="H11" s="38"/>
    </row>
    <row r="12" spans="2:8" x14ac:dyDescent="0.25">
      <c r="B12" s="23" t="s">
        <v>9</v>
      </c>
      <c r="C12" s="46">
        <v>514</v>
      </c>
      <c r="D12" s="25">
        <v>528</v>
      </c>
      <c r="E12" s="46">
        <f t="shared" si="0"/>
        <v>-14</v>
      </c>
      <c r="F12" s="25">
        <v>550</v>
      </c>
      <c r="G12" s="46">
        <f t="shared" si="1"/>
        <v>-36</v>
      </c>
      <c r="H12" s="38"/>
    </row>
    <row r="13" spans="2:8" x14ac:dyDescent="0.25">
      <c r="B13" s="23" t="s">
        <v>10</v>
      </c>
      <c r="C13" s="46">
        <v>766</v>
      </c>
      <c r="D13" s="25">
        <v>775</v>
      </c>
      <c r="E13" s="46">
        <f t="shared" si="0"/>
        <v>-9</v>
      </c>
      <c r="F13" s="25">
        <v>712</v>
      </c>
      <c r="G13" s="46">
        <f t="shared" si="1"/>
        <v>54</v>
      </c>
      <c r="H13" s="38"/>
    </row>
    <row r="14" spans="2:8" x14ac:dyDescent="0.25">
      <c r="B14" s="23" t="s">
        <v>11</v>
      </c>
      <c r="C14" s="46">
        <v>798</v>
      </c>
      <c r="D14" s="25">
        <v>823</v>
      </c>
      <c r="E14" s="46">
        <f t="shared" si="0"/>
        <v>-25</v>
      </c>
      <c r="F14" s="25">
        <v>913</v>
      </c>
      <c r="G14" s="46">
        <f t="shared" si="1"/>
        <v>-115</v>
      </c>
      <c r="H14" s="38"/>
    </row>
    <row r="15" spans="2:8" x14ac:dyDescent="0.25">
      <c r="B15" s="23" t="s">
        <v>12</v>
      </c>
      <c r="C15" s="46">
        <v>813</v>
      </c>
      <c r="D15" s="25">
        <v>827</v>
      </c>
      <c r="E15" s="46">
        <f t="shared" si="0"/>
        <v>-14</v>
      </c>
      <c r="F15" s="25">
        <v>872</v>
      </c>
      <c r="G15" s="46">
        <f t="shared" si="1"/>
        <v>-59</v>
      </c>
      <c r="H15" s="38"/>
    </row>
    <row r="16" spans="2:8" x14ac:dyDescent="0.25">
      <c r="B16" s="23" t="s">
        <v>13</v>
      </c>
      <c r="C16" s="46">
        <v>812</v>
      </c>
      <c r="D16" s="25">
        <v>819</v>
      </c>
      <c r="E16" s="46">
        <f t="shared" si="0"/>
        <v>-7</v>
      </c>
      <c r="F16" s="25">
        <v>808</v>
      </c>
      <c r="G16" s="46">
        <f t="shared" si="1"/>
        <v>4</v>
      </c>
      <c r="H16" s="38"/>
    </row>
    <row r="17" spans="2:8" x14ac:dyDescent="0.25">
      <c r="B17" s="23" t="s">
        <v>14</v>
      </c>
      <c r="C17" s="46">
        <v>771</v>
      </c>
      <c r="D17" s="25">
        <v>789</v>
      </c>
      <c r="E17" s="46">
        <f t="shared" si="0"/>
        <v>-18</v>
      </c>
      <c r="F17" s="25">
        <v>828</v>
      </c>
      <c r="G17" s="46">
        <f t="shared" si="1"/>
        <v>-57</v>
      </c>
      <c r="H17" s="38"/>
    </row>
    <row r="18" spans="2:8" x14ac:dyDescent="0.25">
      <c r="B18" s="23" t="s">
        <v>15</v>
      </c>
      <c r="C18" s="46">
        <v>705</v>
      </c>
      <c r="D18" s="25">
        <v>705</v>
      </c>
      <c r="E18" s="46">
        <f t="shared" si="0"/>
        <v>0</v>
      </c>
      <c r="F18" s="25">
        <v>686</v>
      </c>
      <c r="G18" s="46">
        <f t="shared" si="1"/>
        <v>19</v>
      </c>
      <c r="H18" s="38"/>
    </row>
    <row r="19" spans="2:8" x14ac:dyDescent="0.25">
      <c r="B19" s="23" t="s">
        <v>16</v>
      </c>
      <c r="C19" s="46">
        <v>1405</v>
      </c>
      <c r="D19" s="25">
        <v>1424</v>
      </c>
      <c r="E19" s="46">
        <f t="shared" si="0"/>
        <v>-19</v>
      </c>
      <c r="F19" s="25">
        <v>1359</v>
      </c>
      <c r="G19" s="46">
        <f t="shared" si="1"/>
        <v>46</v>
      </c>
      <c r="H19" s="38"/>
    </row>
    <row r="20" spans="2:8" x14ac:dyDescent="0.25">
      <c r="B20" s="23" t="s">
        <v>17</v>
      </c>
      <c r="C20" s="46">
        <v>663</v>
      </c>
      <c r="D20" s="25">
        <v>668</v>
      </c>
      <c r="E20" s="46">
        <f t="shared" si="0"/>
        <v>-5</v>
      </c>
      <c r="F20" s="25">
        <v>702</v>
      </c>
      <c r="G20" s="46">
        <f t="shared" si="1"/>
        <v>-39</v>
      </c>
      <c r="H20" s="38"/>
    </row>
    <row r="21" spans="2:8" x14ac:dyDescent="0.25">
      <c r="B21" s="23" t="s">
        <v>18</v>
      </c>
      <c r="C21" s="46">
        <v>648</v>
      </c>
      <c r="D21" s="25">
        <v>669</v>
      </c>
      <c r="E21" s="46">
        <f t="shared" si="0"/>
        <v>-21</v>
      </c>
      <c r="F21" s="25">
        <v>648</v>
      </c>
      <c r="G21" s="46">
        <f t="shared" si="1"/>
        <v>0</v>
      </c>
      <c r="H21" s="38"/>
    </row>
    <row r="22" spans="2:8" x14ac:dyDescent="0.25">
      <c r="B22" s="23" t="s">
        <v>19</v>
      </c>
      <c r="C22" s="46">
        <v>814</v>
      </c>
      <c r="D22" s="25">
        <v>828</v>
      </c>
      <c r="E22" s="46">
        <f t="shared" si="0"/>
        <v>-14</v>
      </c>
      <c r="F22" s="25">
        <v>849</v>
      </c>
      <c r="G22" s="46">
        <f t="shared" si="1"/>
        <v>-35</v>
      </c>
      <c r="H22" s="38"/>
    </row>
    <row r="23" spans="2:8" x14ac:dyDescent="0.25">
      <c r="B23" s="23" t="s">
        <v>20</v>
      </c>
      <c r="C23" s="46">
        <v>432</v>
      </c>
      <c r="D23" s="25">
        <v>445</v>
      </c>
      <c r="E23" s="46">
        <f t="shared" si="0"/>
        <v>-13</v>
      </c>
      <c r="F23" s="25">
        <v>427</v>
      </c>
      <c r="G23" s="46">
        <f t="shared" si="1"/>
        <v>5</v>
      </c>
      <c r="H23" s="38"/>
    </row>
    <row r="24" spans="2:8" x14ac:dyDescent="0.25">
      <c r="B24" s="23" t="s">
        <v>21</v>
      </c>
      <c r="C24" s="46">
        <v>237</v>
      </c>
      <c r="D24" s="25">
        <v>235</v>
      </c>
      <c r="E24" s="46">
        <f t="shared" si="0"/>
        <v>2</v>
      </c>
      <c r="F24" s="25">
        <v>245</v>
      </c>
      <c r="G24" s="46">
        <f t="shared" si="1"/>
        <v>-8</v>
      </c>
      <c r="H24" s="38"/>
    </row>
    <row r="25" spans="2:8" x14ac:dyDescent="0.25">
      <c r="B25" s="23" t="s">
        <v>22</v>
      </c>
      <c r="C25" s="46">
        <v>814</v>
      </c>
      <c r="D25" s="25">
        <v>829</v>
      </c>
      <c r="E25" s="46">
        <f t="shared" si="0"/>
        <v>-15</v>
      </c>
      <c r="F25" s="25">
        <v>845</v>
      </c>
      <c r="G25" s="46">
        <f t="shared" si="1"/>
        <v>-31</v>
      </c>
      <c r="H25" s="38"/>
    </row>
    <row r="26" spans="2:8" x14ac:dyDescent="0.25">
      <c r="B26" s="23" t="s">
        <v>23</v>
      </c>
      <c r="C26" s="46">
        <v>1794</v>
      </c>
      <c r="D26" s="25">
        <v>1823</v>
      </c>
      <c r="E26" s="46">
        <f t="shared" si="0"/>
        <v>-29</v>
      </c>
      <c r="F26" s="25">
        <v>1796</v>
      </c>
      <c r="G26" s="46">
        <f t="shared" si="1"/>
        <v>-2</v>
      </c>
      <c r="H26" s="38"/>
    </row>
    <row r="27" spans="2:8" x14ac:dyDescent="0.25">
      <c r="B27" s="23" t="s">
        <v>24</v>
      </c>
      <c r="C27" s="46">
        <v>420</v>
      </c>
      <c r="D27" s="25">
        <v>435</v>
      </c>
      <c r="E27" s="46">
        <f t="shared" si="0"/>
        <v>-15</v>
      </c>
      <c r="F27" s="25">
        <v>389</v>
      </c>
      <c r="G27" s="46">
        <f t="shared" si="1"/>
        <v>31</v>
      </c>
      <c r="H27" s="38"/>
    </row>
    <row r="28" spans="2:8" x14ac:dyDescent="0.25">
      <c r="B28" s="27" t="s">
        <v>25</v>
      </c>
      <c r="C28" s="47">
        <f>SUM(C3:C27)</f>
        <v>19172</v>
      </c>
      <c r="D28" s="40">
        <f>SUM(D3:D27)</f>
        <v>19540</v>
      </c>
      <c r="E28" s="47">
        <f>SUM(E3:E27)</f>
        <v>-368</v>
      </c>
      <c r="F28" s="40">
        <f>SUM(F3:F27)</f>
        <v>19584</v>
      </c>
      <c r="G28" s="47">
        <f>SUM(G3:G27)</f>
        <v>-412</v>
      </c>
      <c r="H28" s="38"/>
    </row>
    <row r="29" spans="2:8" x14ac:dyDescent="0.25">
      <c r="E29" s="30"/>
      <c r="G29" s="38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29"/>
  <sheetViews>
    <sheetView zoomScale="90" zoomScaleNormal="90" workbookViewId="0">
      <selection activeCell="B1" sqref="B1"/>
    </sheetView>
  </sheetViews>
  <sheetFormatPr defaultRowHeight="15" x14ac:dyDescent="0.25"/>
  <cols>
    <col min="1" max="1" width="2.7109375" style="1" customWidth="1"/>
    <col min="2" max="2" width="7" style="1" customWidth="1"/>
    <col min="3" max="3" width="22.42578125" style="1" customWidth="1"/>
    <col min="4" max="4" width="16.85546875" style="1" customWidth="1"/>
    <col min="5" max="5" width="17.28515625" style="1" customWidth="1"/>
    <col min="6" max="6" width="14.7109375" style="1" customWidth="1"/>
    <col min="7" max="7" width="16.140625" style="1" customWidth="1"/>
    <col min="8" max="8" width="15.5703125" style="1" customWidth="1"/>
    <col min="9" max="9" width="6.5703125" style="1" customWidth="1"/>
    <col min="10" max="18" width="9.140625" style="1"/>
    <col min="19" max="19" width="4.85546875" style="1" customWidth="1"/>
    <col min="20" max="20" width="2.5703125" style="1" customWidth="1"/>
    <col min="21" max="16384" width="9.140625" style="1"/>
  </cols>
  <sheetData>
    <row r="1" spans="2:8" ht="18.75" x14ac:dyDescent="0.25">
      <c r="B1" s="58" t="s">
        <v>86</v>
      </c>
      <c r="C1" s="13"/>
      <c r="D1" s="13"/>
      <c r="E1" s="13"/>
      <c r="F1" s="13"/>
      <c r="G1" s="13"/>
      <c r="H1" s="13"/>
    </row>
    <row r="2" spans="2:8" ht="18.75" x14ac:dyDescent="0.3">
      <c r="B2" s="13"/>
      <c r="C2" s="58"/>
      <c r="D2" s="60"/>
      <c r="E2" s="13"/>
      <c r="F2" s="13"/>
      <c r="G2" s="13"/>
      <c r="H2" s="13"/>
    </row>
    <row r="3" spans="2:8" ht="60" x14ac:dyDescent="0.25">
      <c r="B3" s="64" t="s">
        <v>91</v>
      </c>
      <c r="C3" s="20" t="str">
        <f>T('8_pow. 50 r.ż.'!B2)</f>
        <v>powiaty</v>
      </c>
      <c r="D3" s="20" t="str">
        <f>T('8_pow. 50 r.ż.'!C2)</f>
        <v>liczba bezrobotnych 50+ stan na 30 VI '21 r.</v>
      </c>
      <c r="E3" s="20" t="str">
        <f>T('8_pow. 50 r.ż.'!D2)</f>
        <v>liczba bezrobotnych 50+ stan na 31 V '21 r.</v>
      </c>
      <c r="F3" s="20" t="str">
        <f>T('8_pow. 50 r.ż.'!E2)</f>
        <v>wzrost/spadek do poprzedniego  miesiąca</v>
      </c>
      <c r="G3" s="20" t="str">
        <f>T('8_pow. 50 r.ż.'!F2)</f>
        <v>liczba bezrobotnych 50+ stan na 30 VI '20 r.</v>
      </c>
      <c r="H3" s="20" t="str">
        <f>T('8_pow. 50 r.ż.'!G2)</f>
        <v>wzrost/spadek do analogicznego okresu ubr.</v>
      </c>
    </row>
    <row r="4" spans="2:8" x14ac:dyDescent="0.25">
      <c r="B4" s="24">
        <f>RANK('8_pow. 50 r.ż.'!C3,'8_pow. 50 r.ż.'!$C$3:'8_pow. 50 r.ż.'!$C$28,1)+COUNTIF('8_pow. 50 r.ż.'!$C$3:'8_pow. 50 r.ż.'!C3,'8_pow. 50 r.ż.'!C3)-1</f>
        <v>2</v>
      </c>
      <c r="C4" s="23" t="str">
        <f>INDEX('8_pow. 50 r.ż.'!B3:G28,MATCH(1,B4:B29,0),1)</f>
        <v>Krosno</v>
      </c>
      <c r="D4" s="12">
        <f>INDEX('8_pow. 50 r.ż.'!B3:G28,MATCH(1,B4:B29,0),2)</f>
        <v>237</v>
      </c>
      <c r="E4" s="25">
        <f>INDEX('8_pow. 50 r.ż.'!B3:G28,MATCH(1,B4:B29,0),3)</f>
        <v>235</v>
      </c>
      <c r="F4" s="24">
        <f>INDEX('8_pow. 50 r.ż.'!B3:G28,MATCH(1,B4:B29,0),4)</f>
        <v>2</v>
      </c>
      <c r="G4" s="25">
        <f>INDEX('8_pow. 50 r.ż.'!B3:G28,MATCH(1,B4:B29,0),5)</f>
        <v>245</v>
      </c>
      <c r="H4" s="24">
        <f>INDEX('8_pow. 50 r.ż.'!B3:G28,MATCH(1,B4:B29,0),6)</f>
        <v>-8</v>
      </c>
    </row>
    <row r="5" spans="2:8" x14ac:dyDescent="0.25">
      <c r="B5" s="24">
        <f>RANK('8_pow. 50 r.ż.'!C4,'8_pow. 50 r.ż.'!$C$3:'8_pow. 50 r.ż.'!$C$28,1)+COUNTIF('8_pow. 50 r.ż.'!$C$3:'8_pow. 50 r.ż.'!C4,'8_pow. 50 r.ż.'!C4)-1</f>
        <v>21</v>
      </c>
      <c r="C5" s="23" t="str">
        <f>INDEX('8_pow. 50 r.ż.'!B3:G28,MATCH(2,B4:B29,0),1)</f>
        <v>bieszczadzki</v>
      </c>
      <c r="D5" s="24">
        <f>INDEX('8_pow. 50 r.ż.'!B3:G28,MATCH(2,B4:B29,0),2)</f>
        <v>266</v>
      </c>
      <c r="E5" s="25">
        <f>INDEX('8_pow. 50 r.ż.'!B3:G28,MATCH(2,B4:B29,0),3)</f>
        <v>270</v>
      </c>
      <c r="F5" s="24">
        <f>INDEX('8_pow. 50 r.ż.'!B3:G28,MATCH(2,B4:B29,0),4)</f>
        <v>-4</v>
      </c>
      <c r="G5" s="25">
        <f>INDEX('8_pow. 50 r.ż.'!B3:G28,MATCH(2,B4:B29,0),5)</f>
        <v>267</v>
      </c>
      <c r="H5" s="24">
        <f>INDEX('8_pow. 50 r.ż.'!B3:G28,MATCH(2,B4:B29,0),6)</f>
        <v>-1</v>
      </c>
    </row>
    <row r="6" spans="2:8" x14ac:dyDescent="0.25">
      <c r="B6" s="24">
        <f>RANK('8_pow. 50 r.ż.'!C5,'8_pow. 50 r.ż.'!$C$3:'8_pow. 50 r.ż.'!$C$28,1)+COUNTIF('8_pow. 50 r.ż.'!$C$3:'8_pow. 50 r.ż.'!C5,'8_pow. 50 r.ż.'!C5)-1</f>
        <v>12</v>
      </c>
      <c r="C6" s="23" t="str">
        <f>INDEX('8_pow. 50 r.ż.'!B3:G28,MATCH(3,B4:B29,0),1)</f>
        <v>leski</v>
      </c>
      <c r="D6" s="24">
        <f>INDEX('8_pow. 50 r.ż.'!B3:G28,MATCH(3,B4:B29,0),2)</f>
        <v>380</v>
      </c>
      <c r="E6" s="25">
        <f>INDEX('8_pow. 50 r.ż.'!B3:G28,MATCH(3,B4:B29,0),3)</f>
        <v>398</v>
      </c>
      <c r="F6" s="24">
        <f>INDEX('8_pow. 50 r.ż.'!B3:G28,MATCH(3,B4:B29,0),4)</f>
        <v>-18</v>
      </c>
      <c r="G6" s="25">
        <f>INDEX('8_pow. 50 r.ż.'!B3:G28,MATCH(3,B4:B29,0),5)</f>
        <v>428</v>
      </c>
      <c r="H6" s="24">
        <f>INDEX('8_pow. 50 r.ż.'!B3:G28,MATCH(3,B4:B29,0),6)</f>
        <v>-48</v>
      </c>
    </row>
    <row r="7" spans="2:8" x14ac:dyDescent="0.25">
      <c r="B7" s="24">
        <f>RANK('8_pow. 50 r.ż.'!C6,'8_pow. 50 r.ż.'!$C$3:'8_pow. 50 r.ż.'!$C$28,1)+COUNTIF('8_pow. 50 r.ż.'!$C$3:'8_pow. 50 r.ż.'!C6,'8_pow. 50 r.ż.'!C6)-1</f>
        <v>23</v>
      </c>
      <c r="C7" s="23" t="str">
        <f>INDEX('8_pow. 50 r.ż.'!B3:G28,MATCH(4,B4:B29,0),1)</f>
        <v>Tarnobrzeg</v>
      </c>
      <c r="D7" s="24">
        <f>INDEX('8_pow. 50 r.ż.'!B3:G28,MATCH(4,B4:B29,0),2)</f>
        <v>420</v>
      </c>
      <c r="E7" s="25">
        <f>INDEX('8_pow. 50 r.ż.'!B3:G28,MATCH(4,B4:B29,0),3)</f>
        <v>435</v>
      </c>
      <c r="F7" s="24">
        <f>INDEX('8_pow. 50 r.ż.'!B3:G28,MATCH(4,B4:B29,0),4)</f>
        <v>-15</v>
      </c>
      <c r="G7" s="25">
        <f>INDEX('8_pow. 50 r.ż.'!B3:G28,MATCH(4,B4:B29,0),5)</f>
        <v>389</v>
      </c>
      <c r="H7" s="24">
        <f>INDEX('8_pow. 50 r.ż.'!B3:G28,MATCH(4,B4:B29,0),6)</f>
        <v>31</v>
      </c>
    </row>
    <row r="8" spans="2:8" x14ac:dyDescent="0.25">
      <c r="B8" s="24">
        <f>RANK('8_pow. 50 r.ż.'!C7,'8_pow. 50 r.ż.'!$C$3:'8_pow. 50 r.ż.'!$C$28,1)+COUNTIF('8_pow. 50 r.ż.'!$C$3:'8_pow. 50 r.ż.'!C7,'8_pow. 50 r.ż.'!C7)-1</f>
        <v>22</v>
      </c>
      <c r="C8" s="23" t="str">
        <f>INDEX('8_pow. 50 r.ż.'!B3:G28,MATCH(5,B4:B29,0),1)</f>
        <v xml:space="preserve">tarnobrzeski </v>
      </c>
      <c r="D8" s="24">
        <f>INDEX('8_pow. 50 r.ż.'!B3:G28,MATCH(5,B4:B29,0),2)</f>
        <v>432</v>
      </c>
      <c r="E8" s="25">
        <f>INDEX('8_pow. 50 r.ż.'!B3:G28,MATCH(5,B4:B29,0),3)</f>
        <v>445</v>
      </c>
      <c r="F8" s="24">
        <f>INDEX('8_pow. 50 r.ż.'!B3:G28,MATCH(5,B4:B29,0),4)</f>
        <v>-13</v>
      </c>
      <c r="G8" s="25">
        <f>INDEX('8_pow. 50 r.ż.'!B3:G28,MATCH(5,B4:B29,0),5)</f>
        <v>427</v>
      </c>
      <c r="H8" s="24">
        <f>INDEX('8_pow. 50 r.ż.'!B3:G28,MATCH(5,B4:B29,0),6)</f>
        <v>5</v>
      </c>
    </row>
    <row r="9" spans="2:8" x14ac:dyDescent="0.25">
      <c r="B9" s="24">
        <f>RANK('8_pow. 50 r.ż.'!C8,'8_pow. 50 r.ż.'!$C$3:'8_pow. 50 r.ż.'!$C$28,1)+COUNTIF('8_pow. 50 r.ż.'!$C$3:'8_pow. 50 r.ż.'!C8,'8_pow. 50 r.ż.'!C8)-1</f>
        <v>6</v>
      </c>
      <c r="C9" s="23" t="str">
        <f>INDEX('8_pow. 50 r.ż.'!B3:G28,MATCH(6,B4:B29,0),1)</f>
        <v>kolbuszowski</v>
      </c>
      <c r="D9" s="24">
        <f>INDEX('8_pow. 50 r.ż.'!B3:G28,MATCH(6,B4:B29,0),2)</f>
        <v>492</v>
      </c>
      <c r="E9" s="25">
        <f>INDEX('8_pow. 50 r.ż.'!B3:G28,MATCH(6,B4:B29,0),3)</f>
        <v>511</v>
      </c>
      <c r="F9" s="24">
        <f>INDEX('8_pow. 50 r.ż.'!B3:G28,MATCH(6,B4:B29,0),4)</f>
        <v>-19</v>
      </c>
      <c r="G9" s="25">
        <f>INDEX('8_pow. 50 r.ż.'!B3:G28,MATCH(6,B4:B29,0),5)</f>
        <v>535</v>
      </c>
      <c r="H9" s="24">
        <f>INDEX('8_pow. 50 r.ż.'!B3:G28,MATCH(6,B4:B29,0),6)</f>
        <v>-43</v>
      </c>
    </row>
    <row r="10" spans="2:8" x14ac:dyDescent="0.25">
      <c r="B10" s="24">
        <f>RANK('8_pow. 50 r.ż.'!C9,'8_pow. 50 r.ż.'!$C$3:'8_pow. 50 r.ż.'!$C$28,1)+COUNTIF('8_pow. 50 r.ż.'!$C$3:'8_pow. 50 r.ż.'!C9,'8_pow. 50 r.ż.'!C9)-1</f>
        <v>8</v>
      </c>
      <c r="C10" s="26" t="str">
        <f>INDEX('8_pow. 50 r.ż.'!B3:G28,MATCH(7,B4:B29,0),1)</f>
        <v>lubaczowski</v>
      </c>
      <c r="D10" s="24">
        <f>INDEX('8_pow. 50 r.ż.'!B3:G28,MATCH(7,B4:B29,0),2)</f>
        <v>514</v>
      </c>
      <c r="E10" s="25">
        <f>INDEX('8_pow. 50 r.ż.'!B3:G28,MATCH(7,B4:B29,0),3)</f>
        <v>528</v>
      </c>
      <c r="F10" s="24">
        <f>INDEX('8_pow. 50 r.ż.'!B3:G28,MATCH(7,B4:B29,0),4)</f>
        <v>-14</v>
      </c>
      <c r="G10" s="25">
        <f>INDEX('8_pow. 50 r.ż.'!B3:G28,MATCH(7,B4:B29,0),5)</f>
        <v>550</v>
      </c>
      <c r="H10" s="24">
        <f>INDEX('8_pow. 50 r.ż.'!B3:G28,MATCH(7,B4:B29,0),6)</f>
        <v>-36</v>
      </c>
    </row>
    <row r="11" spans="2:8" x14ac:dyDescent="0.25">
      <c r="B11" s="24">
        <f>RANK('8_pow. 50 r.ż.'!C10,'8_pow. 50 r.ż.'!$C$3:'8_pow. 50 r.ż.'!$C$28,1)+COUNTIF('8_pow. 50 r.ż.'!$C$3:'8_pow. 50 r.ż.'!C10,'8_pow. 50 r.ż.'!C10)-1</f>
        <v>3</v>
      </c>
      <c r="C11" s="23" t="str">
        <f>INDEX('8_pow. 50 r.ż.'!B3:G28,MATCH(8,B4:B29,0),1)</f>
        <v>krośnieński</v>
      </c>
      <c r="D11" s="24">
        <f>INDEX('8_pow. 50 r.ż.'!B3:G28,MATCH(8,B4:B29,0),2)</f>
        <v>588</v>
      </c>
      <c r="E11" s="25">
        <f>INDEX('8_pow. 50 r.ż.'!B3:G28,MATCH(8,B4:B29,0),3)</f>
        <v>606</v>
      </c>
      <c r="F11" s="24">
        <f>INDEX('8_pow. 50 r.ż.'!B3:G28,MATCH(8,B4:B29,0),4)</f>
        <v>-18</v>
      </c>
      <c r="G11" s="25">
        <f>INDEX('8_pow. 50 r.ż.'!B3:G28,MATCH(8,B4:B29,0),5)</f>
        <v>602</v>
      </c>
      <c r="H11" s="24">
        <f>INDEX('8_pow. 50 r.ż.'!B3:G28,MATCH(8,B4:B29,0),6)</f>
        <v>-14</v>
      </c>
    </row>
    <row r="12" spans="2:8" x14ac:dyDescent="0.25">
      <c r="B12" s="24">
        <f>RANK('8_pow. 50 r.ż.'!C11,'8_pow. 50 r.ż.'!$C$3:'8_pow. 50 r.ż.'!$C$28,1)+COUNTIF('8_pow. 50 r.ż.'!$C$3:'8_pow. 50 r.ż.'!C11,'8_pow. 50 r.ż.'!C11)-1</f>
        <v>16</v>
      </c>
      <c r="C12" s="23" t="str">
        <f>INDEX('8_pow. 50 r.ż.'!B3:G28,MATCH(9,B4:B29,0),1)</f>
        <v>stalowowolski</v>
      </c>
      <c r="D12" s="24">
        <f>INDEX('8_pow. 50 r.ż.'!B3:G28,MATCH(9,B4:B29,0),2)</f>
        <v>648</v>
      </c>
      <c r="E12" s="25">
        <f>INDEX('8_pow. 50 r.ż.'!B3:G28,MATCH(9,B4:B29,0),3)</f>
        <v>669</v>
      </c>
      <c r="F12" s="24">
        <f>INDEX('8_pow. 50 r.ż.'!B3:G28,MATCH(9,B4:B29,0),4)</f>
        <v>-21</v>
      </c>
      <c r="G12" s="25">
        <f>INDEX('8_pow. 50 r.ż.'!B3:G28,MATCH(9,B4:B29,0),5)</f>
        <v>648</v>
      </c>
      <c r="H12" s="24">
        <f>INDEX('8_pow. 50 r.ż.'!B3:G28,MATCH(9,B4:B29,0),6)</f>
        <v>0</v>
      </c>
    </row>
    <row r="13" spans="2:8" x14ac:dyDescent="0.25">
      <c r="B13" s="24">
        <f>RANK('8_pow. 50 r.ż.'!C12,'8_pow. 50 r.ż.'!$C$3:'8_pow. 50 r.ż.'!$C$28,1)+COUNTIF('8_pow. 50 r.ż.'!$C$3:'8_pow. 50 r.ż.'!C12,'8_pow. 50 r.ż.'!C12)-1</f>
        <v>7</v>
      </c>
      <c r="C13" s="23" t="str">
        <f>INDEX('8_pow. 50 r.ż.'!B3:G28,MATCH(10,B4:B29,0),1)</f>
        <v>sanocki</v>
      </c>
      <c r="D13" s="24">
        <f>INDEX('8_pow. 50 r.ż.'!B3:G28,MATCH(10,B4:B29,0),2)</f>
        <v>663</v>
      </c>
      <c r="E13" s="25">
        <f>INDEX('8_pow. 50 r.ż.'!B3:G28,MATCH(10,B4:B29,0),3)</f>
        <v>668</v>
      </c>
      <c r="F13" s="24">
        <f>INDEX('8_pow. 50 r.ż.'!B3:G28,MATCH(10,B4:B29,0),4)</f>
        <v>-5</v>
      </c>
      <c r="G13" s="25">
        <f>INDEX('8_pow. 50 r.ż.'!B3:G28,MATCH(10,B4:B29,0),5)</f>
        <v>702</v>
      </c>
      <c r="H13" s="24">
        <f>INDEX('8_pow. 50 r.ż.'!B3:G28,MATCH(10,B4:B29,0),6)</f>
        <v>-39</v>
      </c>
    </row>
    <row r="14" spans="2:8" x14ac:dyDescent="0.25">
      <c r="B14" s="24">
        <f>RANK('8_pow. 50 r.ż.'!C13,'8_pow. 50 r.ż.'!$C$3:'8_pow. 50 r.ż.'!$C$28,1)+COUNTIF('8_pow. 50 r.ż.'!$C$3:'8_pow. 50 r.ż.'!C13,'8_pow. 50 r.ż.'!C13)-1</f>
        <v>13</v>
      </c>
      <c r="C14" s="23" t="str">
        <f>INDEX('8_pow. 50 r.ż.'!B3:G28,MATCH(11,B4:B29,0),1)</f>
        <v>ropczycko-sędziszowski</v>
      </c>
      <c r="D14" s="24">
        <f>INDEX('8_pow. 50 r.ż.'!B3:G28,MATCH(11,B4:B29,0),2)</f>
        <v>705</v>
      </c>
      <c r="E14" s="25">
        <f>INDEX('8_pow. 50 r.ż.'!B3:G28,MATCH(11,B4:B29,0),3)</f>
        <v>705</v>
      </c>
      <c r="F14" s="24">
        <f>INDEX('8_pow. 50 r.ż.'!B3:G28,MATCH(11,B4:B29,0),4)</f>
        <v>0</v>
      </c>
      <c r="G14" s="25">
        <f>INDEX('8_pow. 50 r.ż.'!B3:G28,MATCH(11,B4:B29,0),5)</f>
        <v>686</v>
      </c>
      <c r="H14" s="24">
        <f>INDEX('8_pow. 50 r.ż.'!B3:G28,MATCH(11,B4:B29,0),6)</f>
        <v>19</v>
      </c>
    </row>
    <row r="15" spans="2:8" x14ac:dyDescent="0.25">
      <c r="B15" s="24">
        <f>RANK('8_pow. 50 r.ż.'!C14,'8_pow. 50 r.ż.'!$C$3:'8_pow. 50 r.ż.'!$C$28,1)+COUNTIF('8_pow. 50 r.ż.'!$C$3:'8_pow. 50 r.ż.'!C14,'8_pow. 50 r.ż.'!C14)-1</f>
        <v>15</v>
      </c>
      <c r="C15" s="23" t="str">
        <f>INDEX('8_pow. 50 r.ż.'!B3:G28,MATCH(12,B4:B29,0),1)</f>
        <v>dębicki</v>
      </c>
      <c r="D15" s="24">
        <f>INDEX('8_pow. 50 r.ż.'!B3:G28,MATCH(12,B4:B29,0),2)</f>
        <v>707</v>
      </c>
      <c r="E15" s="25">
        <f>INDEX('8_pow. 50 r.ż.'!B3:G28,MATCH(12,B4:B29,0),3)</f>
        <v>732</v>
      </c>
      <c r="F15" s="24">
        <f>INDEX('8_pow. 50 r.ż.'!B3:G28,MATCH(12,B4:B29,0),4)</f>
        <v>-25</v>
      </c>
      <c r="G15" s="25">
        <f>INDEX('8_pow. 50 r.ż.'!B3:G28,MATCH(12,B4:B29,0),5)</f>
        <v>724</v>
      </c>
      <c r="H15" s="24">
        <f>INDEX('8_pow. 50 r.ż.'!B3:G28,MATCH(12,B4:B29,0),6)</f>
        <v>-17</v>
      </c>
    </row>
    <row r="16" spans="2:8" x14ac:dyDescent="0.25">
      <c r="B16" s="24">
        <f>RANK('8_pow. 50 r.ż.'!C15,'8_pow. 50 r.ż.'!$C$3:'8_pow. 50 r.ż.'!$C$28,1)+COUNTIF('8_pow. 50 r.ż.'!$C$3:'8_pow. 50 r.ż.'!C15,'8_pow. 50 r.ż.'!C15)-1</f>
        <v>18</v>
      </c>
      <c r="C16" s="23" t="str">
        <f>INDEX('8_pow. 50 r.ż.'!B3:G28,MATCH(13,B4:B29,0),1)</f>
        <v>łańcucki</v>
      </c>
      <c r="D16" s="24">
        <f>INDEX('8_pow. 50 r.ż.'!B3:G28,MATCH(13,B4:B29,0),2)</f>
        <v>766</v>
      </c>
      <c r="E16" s="25">
        <f>INDEX('8_pow. 50 r.ż.'!B3:G28,MATCH(13,B4:B29,0),3)</f>
        <v>775</v>
      </c>
      <c r="F16" s="24">
        <f>INDEX('8_pow. 50 r.ż.'!B3:G28,MATCH(13,B4:B29,0),4)</f>
        <v>-9</v>
      </c>
      <c r="G16" s="25">
        <f>INDEX('8_pow. 50 r.ż.'!B3:G28,MATCH(13,B4:B29,0),5)</f>
        <v>712</v>
      </c>
      <c r="H16" s="24">
        <f>INDEX('8_pow. 50 r.ż.'!B3:G28,MATCH(13,B4:B29,0),6)</f>
        <v>54</v>
      </c>
    </row>
    <row r="17" spans="2:8" x14ac:dyDescent="0.25">
      <c r="B17" s="24">
        <f>RANK('8_pow. 50 r.ż.'!C16,'8_pow. 50 r.ż.'!$C$3:'8_pow. 50 r.ż.'!$C$28,1)+COUNTIF('8_pow. 50 r.ż.'!$C$3:'8_pow. 50 r.ż.'!C16,'8_pow. 50 r.ż.'!C16)-1</f>
        <v>17</v>
      </c>
      <c r="C17" s="23" t="str">
        <f>INDEX('8_pow. 50 r.ż.'!B3:G28,MATCH(14,B4:B29,0),1)</f>
        <v>przeworski</v>
      </c>
      <c r="D17" s="24">
        <f>INDEX('8_pow. 50 r.ż.'!B3:G28,MATCH(14,B4:B29,0),2)</f>
        <v>771</v>
      </c>
      <c r="E17" s="25">
        <f>INDEX('8_pow. 50 r.ż.'!B3:G28,MATCH(14,B4:B29,0),3)</f>
        <v>789</v>
      </c>
      <c r="F17" s="24">
        <f>INDEX('8_pow. 50 r.ż.'!B3:G28,MATCH(14,B4:B29,0),4)</f>
        <v>-18</v>
      </c>
      <c r="G17" s="25">
        <f>INDEX('8_pow. 50 r.ż.'!B3:G28,MATCH(14,B4:B29,0),5)</f>
        <v>828</v>
      </c>
      <c r="H17" s="24">
        <f>INDEX('8_pow. 50 r.ż.'!B3:G28,MATCH(14,B4:B29,0),6)</f>
        <v>-57</v>
      </c>
    </row>
    <row r="18" spans="2:8" x14ac:dyDescent="0.25">
      <c r="B18" s="24">
        <f>RANK('8_pow. 50 r.ż.'!C17,'8_pow. 50 r.ż.'!$C$3:'8_pow. 50 r.ż.'!$C$28,1)+COUNTIF('8_pow. 50 r.ż.'!$C$3:'8_pow. 50 r.ż.'!C17,'8_pow. 50 r.ż.'!C17)-1</f>
        <v>14</v>
      </c>
      <c r="C18" s="23" t="str">
        <f>INDEX('8_pow. 50 r.ż.'!B3:G28,MATCH(15,B4:B29,0),1)</f>
        <v>mielecki</v>
      </c>
      <c r="D18" s="24">
        <f>INDEX('8_pow. 50 r.ż.'!B3:G28,MATCH(15,B4:B29,0),2)</f>
        <v>798</v>
      </c>
      <c r="E18" s="25">
        <f>INDEX('8_pow. 50 r.ż.'!B3:G28,MATCH(15,B4:B29,0),3)</f>
        <v>823</v>
      </c>
      <c r="F18" s="24">
        <f>INDEX('8_pow. 50 r.ż.'!B3:G28,MATCH(15,B4:B29,0),4)</f>
        <v>-25</v>
      </c>
      <c r="G18" s="25">
        <f>INDEX('8_pow. 50 r.ż.'!B3:G28,MATCH(15,B4:B29,0),5)</f>
        <v>913</v>
      </c>
      <c r="H18" s="24">
        <f>INDEX('8_pow. 50 r.ż.'!B3:G28,MATCH(15,B4:B29,0),6)</f>
        <v>-115</v>
      </c>
    </row>
    <row r="19" spans="2:8" x14ac:dyDescent="0.25">
      <c r="B19" s="24">
        <f>RANK('8_pow. 50 r.ż.'!C18,'8_pow. 50 r.ż.'!$C$3:'8_pow. 50 r.ż.'!$C$28,1)+COUNTIF('8_pow. 50 r.ż.'!$C$3:'8_pow. 50 r.ż.'!C18,'8_pow. 50 r.ż.'!C18)-1</f>
        <v>11</v>
      </c>
      <c r="C19" s="23" t="str">
        <f>INDEX('8_pow. 50 r.ż.'!B3:G28,MATCH(16,B4:B29,0),1)</f>
        <v>leżajski</v>
      </c>
      <c r="D19" s="24">
        <f>INDEX('8_pow. 50 r.ż.'!B3:G28,MATCH(16,B4:B29,0),2)</f>
        <v>800</v>
      </c>
      <c r="E19" s="25">
        <f>INDEX('8_pow. 50 r.ż.'!B3:G28,MATCH(16,B4:B29,0),3)</f>
        <v>803</v>
      </c>
      <c r="F19" s="24">
        <f>INDEX('8_pow. 50 r.ż.'!B3:G28,MATCH(16,B4:B29,0),4)</f>
        <v>-3</v>
      </c>
      <c r="G19" s="25">
        <f>INDEX('8_pow. 50 r.ż.'!B3:G28,MATCH(16,B4:B29,0),5)</f>
        <v>816</v>
      </c>
      <c r="H19" s="24">
        <f>INDEX('8_pow. 50 r.ż.'!B3:G28,MATCH(16,B4:B29,0),6)</f>
        <v>-16</v>
      </c>
    </row>
    <row r="20" spans="2:8" x14ac:dyDescent="0.25">
      <c r="B20" s="24">
        <f>RANK('8_pow. 50 r.ż.'!C19,'8_pow. 50 r.ż.'!$C$3:'8_pow. 50 r.ż.'!$C$28,1)+COUNTIF('8_pow. 50 r.ż.'!$C$3:'8_pow. 50 r.ż.'!C19,'8_pow. 50 r.ż.'!C19)-1</f>
        <v>24</v>
      </c>
      <c r="C20" s="23" t="str">
        <f>INDEX('8_pow. 50 r.ż.'!B3:G28,MATCH(17,B4:B29,0),1)</f>
        <v>przemyski</v>
      </c>
      <c r="D20" s="24">
        <f>INDEX('8_pow. 50 r.ż.'!B3:G28,MATCH(17,B4:B29,0),2)</f>
        <v>812</v>
      </c>
      <c r="E20" s="25">
        <f>INDEX('8_pow. 50 r.ż.'!B3:G28,MATCH(17,B4:B29,0),3)</f>
        <v>819</v>
      </c>
      <c r="F20" s="24">
        <f>INDEX('8_pow. 50 r.ż.'!B3:G28,MATCH(17,B4:B29,0),4)</f>
        <v>-7</v>
      </c>
      <c r="G20" s="25">
        <f>INDEX('8_pow. 50 r.ż.'!B3:G28,MATCH(17,B4:B29,0),5)</f>
        <v>808</v>
      </c>
      <c r="H20" s="24">
        <f>INDEX('8_pow. 50 r.ż.'!B3:G28,MATCH(17,B4:B29,0),6)</f>
        <v>4</v>
      </c>
    </row>
    <row r="21" spans="2:8" x14ac:dyDescent="0.25">
      <c r="B21" s="24">
        <f>RANK('8_pow. 50 r.ż.'!C20,'8_pow. 50 r.ż.'!$C$3:'8_pow. 50 r.ż.'!$C$28,1)+COUNTIF('8_pow. 50 r.ż.'!$C$3:'8_pow. 50 r.ż.'!C20,'8_pow. 50 r.ż.'!C20)-1</f>
        <v>10</v>
      </c>
      <c r="C21" s="23" t="str">
        <f>INDEX('8_pow. 50 r.ż.'!B3:G28,MATCH(18,B4:B29,0),1)</f>
        <v>niżański</v>
      </c>
      <c r="D21" s="24">
        <f>INDEX('8_pow. 50 r.ż.'!B3:G28,MATCH(18,B4:B29,0),2)</f>
        <v>813</v>
      </c>
      <c r="E21" s="25">
        <f>INDEX('8_pow. 50 r.ż.'!B3:G28,MATCH(18,B4:B29,0),3)</f>
        <v>827</v>
      </c>
      <c r="F21" s="24">
        <f>INDEX('8_pow. 50 r.ż.'!B3:G28,MATCH(18,B4:B29,0),4)</f>
        <v>-14</v>
      </c>
      <c r="G21" s="25">
        <f>INDEX('8_pow. 50 r.ż.'!B3:G28,MATCH(18,B4:B29,0),5)</f>
        <v>872</v>
      </c>
      <c r="H21" s="24">
        <f>INDEX('8_pow. 50 r.ż.'!B3:G28,MATCH(18,B4:B29,0),6)</f>
        <v>-59</v>
      </c>
    </row>
    <row r="22" spans="2:8" x14ac:dyDescent="0.25">
      <c r="B22" s="24">
        <f>RANK('8_pow. 50 r.ż.'!C21,'8_pow. 50 r.ż.'!$C$3:'8_pow. 50 r.ż.'!$C$28,1)+COUNTIF('8_pow. 50 r.ż.'!$C$3:'8_pow. 50 r.ż.'!C21,'8_pow. 50 r.ż.'!C21)-1</f>
        <v>9</v>
      </c>
      <c r="C22" s="23" t="str">
        <f>INDEX('8_pow. 50 r.ż.'!B3:G28,MATCH(19,B4:B29,0),1)</f>
        <v>strzyżowski</v>
      </c>
      <c r="D22" s="24">
        <f>INDEX('8_pow. 50 r.ż.'!B3:G28,MATCH(19,B4:B29,0),2)</f>
        <v>814</v>
      </c>
      <c r="E22" s="25">
        <f>INDEX('8_pow. 50 r.ż.'!B3:G28,MATCH(19,B4:B29,0),3)</f>
        <v>828</v>
      </c>
      <c r="F22" s="24">
        <f>INDEX('8_pow. 50 r.ż.'!B3:G28,MATCH(19,B4:B29,0),4)</f>
        <v>-14</v>
      </c>
      <c r="G22" s="25">
        <f>INDEX('8_pow. 50 r.ż.'!B3:G28,MATCH(19,B4:B29,0),5)</f>
        <v>849</v>
      </c>
      <c r="H22" s="24">
        <f>INDEX('8_pow. 50 r.ż.'!B3:G28,MATCH(19,B4:B29,0),6)</f>
        <v>-35</v>
      </c>
    </row>
    <row r="23" spans="2:8" x14ac:dyDescent="0.25">
      <c r="B23" s="24">
        <f>RANK('8_pow. 50 r.ż.'!C22,'8_pow. 50 r.ż.'!$C$3:'8_pow. 50 r.ż.'!$C$28,1)+COUNTIF('8_pow. 50 r.ż.'!$C$3:'8_pow. 50 r.ż.'!C22,'8_pow. 50 r.ż.'!C22)-1</f>
        <v>19</v>
      </c>
      <c r="C23" s="23" t="str">
        <f>INDEX('8_pow. 50 r.ż.'!B3:G28,MATCH(20,B4:B29,0),1)</f>
        <v>Przemyśl</v>
      </c>
      <c r="D23" s="24">
        <f>INDEX('8_pow. 50 r.ż.'!B3:G28,MATCH(20,B4:B29,0),2)</f>
        <v>814</v>
      </c>
      <c r="E23" s="25">
        <f>INDEX('8_pow. 50 r.ż.'!B3:G28,MATCH(20,B4:B29,0),3)</f>
        <v>829</v>
      </c>
      <c r="F23" s="24">
        <f>INDEX('8_pow. 50 r.ż.'!B3:G28,MATCH(20,B4:B29,0),4)</f>
        <v>-15</v>
      </c>
      <c r="G23" s="25">
        <f>INDEX('8_pow. 50 r.ż.'!B3:G28,MATCH(20,B4:B29,0),5)</f>
        <v>845</v>
      </c>
      <c r="H23" s="24">
        <f>INDEX('8_pow. 50 r.ż.'!B3:G28,MATCH(20,B4:B29,0),6)</f>
        <v>-31</v>
      </c>
    </row>
    <row r="24" spans="2:8" x14ac:dyDescent="0.25">
      <c r="B24" s="24">
        <f>RANK('8_pow. 50 r.ż.'!C23,'8_pow. 50 r.ż.'!$C$3:'8_pow. 50 r.ż.'!$C$28,1)+COUNTIF('8_pow. 50 r.ż.'!$C$3:'8_pow. 50 r.ż.'!C23,'8_pow. 50 r.ż.'!C23)-1</f>
        <v>5</v>
      </c>
      <c r="C24" s="23" t="str">
        <f>INDEX('8_pow. 50 r.ż.'!B3:G28,MATCH(21,B4:B29,0),1)</f>
        <v>brzozowski</v>
      </c>
      <c r="D24" s="24">
        <f>INDEX('8_pow. 50 r.ż.'!B3:G28,MATCH(21,B4:B29,0),2)</f>
        <v>1011</v>
      </c>
      <c r="E24" s="25">
        <f>INDEX('8_pow. 50 r.ż.'!B3:G28,MATCH(21,B4:B29,0),3)</f>
        <v>1021</v>
      </c>
      <c r="F24" s="24">
        <f>INDEX('8_pow. 50 r.ż.'!B3:G28,MATCH(21,B4:B29,0),4)</f>
        <v>-10</v>
      </c>
      <c r="G24" s="25">
        <f>INDEX('8_pow. 50 r.ż.'!B3:G28,MATCH(21,B4:B29,0),5)</f>
        <v>1054</v>
      </c>
      <c r="H24" s="24">
        <f>INDEX('8_pow. 50 r.ż.'!B3:G28,MATCH(21,B4:B29,0),6)</f>
        <v>-43</v>
      </c>
    </row>
    <row r="25" spans="2:8" x14ac:dyDescent="0.25">
      <c r="B25" s="24">
        <f>RANK('8_pow. 50 r.ż.'!C24,'8_pow. 50 r.ż.'!$C$3:'8_pow. 50 r.ż.'!$C$28,1)+COUNTIF('8_pow. 50 r.ż.'!$C$3:'8_pow. 50 r.ż.'!C24,'8_pow. 50 r.ż.'!C24)-1</f>
        <v>1</v>
      </c>
      <c r="C25" s="23" t="str">
        <f>INDEX('8_pow. 50 r.ż.'!B3:G28,MATCH(22,B4:B29,0),1)</f>
        <v>jasielski</v>
      </c>
      <c r="D25" s="24">
        <f>INDEX('8_pow. 50 r.ż.'!B3:G28,MATCH(22,B4:B29,0),2)</f>
        <v>1206</v>
      </c>
      <c r="E25" s="25">
        <f>INDEX('8_pow. 50 r.ż.'!B3:G28,MATCH(22,B4:B29,0),3)</f>
        <v>1230</v>
      </c>
      <c r="F25" s="24">
        <f>INDEX('8_pow. 50 r.ż.'!B3:G28,MATCH(22,B4:B29,0),4)</f>
        <v>-24</v>
      </c>
      <c r="G25" s="25">
        <f>INDEX('8_pow. 50 r.ż.'!B3:G28,MATCH(22,B4:B29,0),5)</f>
        <v>1198</v>
      </c>
      <c r="H25" s="24">
        <f>INDEX('8_pow. 50 r.ż.'!B3:G28,MATCH(22,B4:B29,0),6)</f>
        <v>8</v>
      </c>
    </row>
    <row r="26" spans="2:8" x14ac:dyDescent="0.25">
      <c r="B26" s="24">
        <f>RANK('8_pow. 50 r.ż.'!C25,'8_pow. 50 r.ż.'!$C$3:'8_pow. 50 r.ż.'!$C$28,1)+COUNTIF('8_pow. 50 r.ż.'!$C$3:'8_pow. 50 r.ż.'!C25,'8_pow. 50 r.ż.'!C25)-1</f>
        <v>20</v>
      </c>
      <c r="C26" s="23" t="str">
        <f>INDEX('8_pow. 50 r.ż.'!B3:G28,MATCH(23,B4:B29,0),1)</f>
        <v>jarosławski</v>
      </c>
      <c r="D26" s="24">
        <f>INDEX('8_pow. 50 r.ż.'!B3:G28,MATCH(23,B4:B29,0),2)</f>
        <v>1316</v>
      </c>
      <c r="E26" s="25">
        <f>INDEX('8_pow. 50 r.ż.'!B3:G28,MATCH(23,B4:B29,0),3)</f>
        <v>1347</v>
      </c>
      <c r="F26" s="24">
        <f>INDEX('8_pow. 50 r.ż.'!B3:G28,MATCH(23,B4:B29,0),4)</f>
        <v>-31</v>
      </c>
      <c r="G26" s="25">
        <f>INDEX('8_pow. 50 r.ż.'!B3:G28,MATCH(23,B4:B29,0),5)</f>
        <v>1331</v>
      </c>
      <c r="H26" s="24">
        <f>INDEX('8_pow. 50 r.ż.'!B3:G28,MATCH(23,B4:B29,0),6)</f>
        <v>-15</v>
      </c>
    </row>
    <row r="27" spans="2:8" x14ac:dyDescent="0.25">
      <c r="B27" s="24">
        <f>RANK('8_pow. 50 r.ż.'!C26,'8_pow. 50 r.ż.'!$C$3:'8_pow. 50 r.ż.'!$C$28,1)+COUNTIF('8_pow. 50 r.ż.'!$C$3:'8_pow. 50 r.ż.'!C26,'8_pow. 50 r.ż.'!C26)-1</f>
        <v>25</v>
      </c>
      <c r="C27" s="23" t="str">
        <f>INDEX('8_pow. 50 r.ż.'!B3:G28,MATCH(24,B4:B29,0),1)</f>
        <v>rzeszowski</v>
      </c>
      <c r="D27" s="24">
        <f>INDEX('8_pow. 50 r.ż.'!B3:G28,MATCH(24,B4:B29,0),2)</f>
        <v>1405</v>
      </c>
      <c r="E27" s="25">
        <f>INDEX('8_pow. 50 r.ż.'!B3:G28,MATCH(24,B4:B29,0),3)</f>
        <v>1424</v>
      </c>
      <c r="F27" s="24">
        <f>INDEX('8_pow. 50 r.ż.'!B3:G28,MATCH(24,B4:B29,0),4)</f>
        <v>-19</v>
      </c>
      <c r="G27" s="25">
        <f>INDEX('8_pow. 50 r.ż.'!B3:G28,MATCH(24,B4:B29,0),5)</f>
        <v>1359</v>
      </c>
      <c r="H27" s="24">
        <f>INDEX('8_pow. 50 r.ż.'!B3:G28,MATCH(24,B4:B29,0),6)</f>
        <v>46</v>
      </c>
    </row>
    <row r="28" spans="2:8" x14ac:dyDescent="0.25">
      <c r="B28" s="24">
        <f>RANK('8_pow. 50 r.ż.'!C27,'8_pow. 50 r.ż.'!$C$3:'8_pow. 50 r.ż.'!$C$28,1)+COUNTIF('8_pow. 50 r.ż.'!$C$3:'8_pow. 50 r.ż.'!C27,'8_pow. 50 r.ż.'!C27)-1</f>
        <v>4</v>
      </c>
      <c r="C28" s="23" t="str">
        <f>INDEX('8_pow. 50 r.ż.'!B3:G28,MATCH(25,B4:B29,0),1)</f>
        <v>Rzeszów</v>
      </c>
      <c r="D28" s="24">
        <f>INDEX('8_pow. 50 r.ż.'!B3:G28,MATCH(25,B4:B29,0),2)</f>
        <v>1794</v>
      </c>
      <c r="E28" s="25">
        <f>INDEX('8_pow. 50 r.ż.'!B3:G28,MATCH(25,B4:B29,0),3)</f>
        <v>1823</v>
      </c>
      <c r="F28" s="24">
        <f>INDEX('8_pow. 50 r.ż.'!B3:G28,MATCH(25,B4:B29,0),4)</f>
        <v>-29</v>
      </c>
      <c r="G28" s="25">
        <f>INDEX('8_pow. 50 r.ż.'!B3:G28,MATCH(25,B4:B29,0),5)</f>
        <v>1796</v>
      </c>
      <c r="H28" s="24">
        <f>INDEX('8_pow. 50 r.ż.'!B3:G28,MATCH(25,B4:B29,0),6)</f>
        <v>-2</v>
      </c>
    </row>
    <row r="29" spans="2:8" x14ac:dyDescent="0.25">
      <c r="B29" s="86">
        <f>RANK('8_pow. 50 r.ż.'!C28,'8_pow. 50 r.ż.'!$C$3:'8_pow. 50 r.ż.'!$C$28,1)+COUNTIF('8_pow. 50 r.ż.'!$C$3:'8_pow. 50 r.ż.'!C28,'8_pow. 50 r.ż.'!C28)-1</f>
        <v>26</v>
      </c>
      <c r="C29" s="87" t="str">
        <f>INDEX('8_pow. 50 r.ż.'!B3:G28,MATCH(26,B4:B29,0),1)</f>
        <v>województwo</v>
      </c>
      <c r="D29" s="86">
        <f>INDEX('8_pow. 50 r.ż.'!B3:G28,MATCH(26,B4:B29,0),2)</f>
        <v>19172</v>
      </c>
      <c r="E29" s="40">
        <f>INDEX('8_pow. 50 r.ż.'!B3:G28,MATCH(26,B4:B29,0),3)</f>
        <v>19540</v>
      </c>
      <c r="F29" s="86">
        <f>INDEX('8_pow. 50 r.ż.'!B3:G28,MATCH(26,B4:B29,0),4)</f>
        <v>-368</v>
      </c>
      <c r="G29" s="40">
        <f>INDEX('8_pow. 50 r.ż.'!B3:G28,MATCH(26,B4:B29,0),5)</f>
        <v>19584</v>
      </c>
      <c r="H29" s="86">
        <f>INDEX('8_pow. 50 r.ż.'!B3:G28,MATCH(26,B4:B29,0),6)</f>
        <v>-412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31"/>
  <sheetViews>
    <sheetView zoomScale="90" zoomScaleNormal="90" workbookViewId="0">
      <selection activeCell="B1" sqref="B1"/>
    </sheetView>
  </sheetViews>
  <sheetFormatPr defaultRowHeight="15" x14ac:dyDescent="0.25"/>
  <cols>
    <col min="1" max="1" width="2.5703125" style="13" customWidth="1"/>
    <col min="2" max="2" width="25.140625" style="13" customWidth="1"/>
    <col min="3" max="4" width="11.5703125" style="13" customWidth="1"/>
    <col min="5" max="5" width="16.85546875" style="13" customWidth="1"/>
    <col min="6" max="6" width="11.28515625" style="13" customWidth="1"/>
    <col min="7" max="7" width="16.140625" style="13" customWidth="1"/>
    <col min="8" max="8" width="3.85546875" style="13" customWidth="1"/>
    <col min="9" max="16384" width="9.140625" style="13"/>
  </cols>
  <sheetData>
    <row r="1" spans="2:8" ht="20.25" customHeight="1" x14ac:dyDescent="0.25">
      <c r="B1" s="74" t="s">
        <v>31</v>
      </c>
      <c r="C1" s="73"/>
      <c r="D1" s="73"/>
      <c r="E1" s="73"/>
      <c r="F1" s="73"/>
      <c r="G1" s="73"/>
    </row>
    <row r="2" spans="2:8" ht="45" x14ac:dyDescent="0.25">
      <c r="B2" s="20" t="s">
        <v>27</v>
      </c>
      <c r="C2" s="21" t="s">
        <v>123</v>
      </c>
      <c r="D2" s="22" t="s">
        <v>104</v>
      </c>
      <c r="E2" s="21" t="s">
        <v>28</v>
      </c>
      <c r="F2" s="22" t="s">
        <v>122</v>
      </c>
      <c r="G2" s="21" t="s">
        <v>26</v>
      </c>
    </row>
    <row r="3" spans="2:8" x14ac:dyDescent="0.25">
      <c r="B3" s="23" t="s">
        <v>0</v>
      </c>
      <c r="C3" s="46">
        <v>56</v>
      </c>
      <c r="D3" s="25">
        <v>50</v>
      </c>
      <c r="E3" s="46">
        <f t="shared" ref="E3:E27" si="0">SUM(C3)-D3</f>
        <v>6</v>
      </c>
      <c r="F3" s="25">
        <v>58</v>
      </c>
      <c r="G3" s="46">
        <f t="shared" ref="G3:G27" si="1">SUM(C3)-F3</f>
        <v>-2</v>
      </c>
      <c r="H3" s="38"/>
    </row>
    <row r="4" spans="2:8" x14ac:dyDescent="0.25">
      <c r="B4" s="23" t="s">
        <v>1</v>
      </c>
      <c r="C4" s="46">
        <v>81</v>
      </c>
      <c r="D4" s="25">
        <v>87</v>
      </c>
      <c r="E4" s="46">
        <f t="shared" si="0"/>
        <v>-6</v>
      </c>
      <c r="F4" s="25">
        <v>58</v>
      </c>
      <c r="G4" s="46">
        <f t="shared" si="1"/>
        <v>23</v>
      </c>
      <c r="H4" s="38"/>
    </row>
    <row r="5" spans="2:8" x14ac:dyDescent="0.25">
      <c r="B5" s="23" t="s">
        <v>2</v>
      </c>
      <c r="C5" s="46">
        <v>311</v>
      </c>
      <c r="D5" s="25">
        <v>438</v>
      </c>
      <c r="E5" s="46">
        <f t="shared" si="0"/>
        <v>-127</v>
      </c>
      <c r="F5" s="25">
        <v>264</v>
      </c>
      <c r="G5" s="46">
        <f t="shared" si="1"/>
        <v>47</v>
      </c>
      <c r="H5" s="38"/>
    </row>
    <row r="6" spans="2:8" x14ac:dyDescent="0.25">
      <c r="B6" s="23" t="s">
        <v>3</v>
      </c>
      <c r="C6" s="46">
        <v>235</v>
      </c>
      <c r="D6" s="25">
        <v>261</v>
      </c>
      <c r="E6" s="46">
        <f t="shared" si="0"/>
        <v>-26</v>
      </c>
      <c r="F6" s="25">
        <v>131</v>
      </c>
      <c r="G6" s="46">
        <f t="shared" si="1"/>
        <v>104</v>
      </c>
      <c r="H6" s="38"/>
    </row>
    <row r="7" spans="2:8" x14ac:dyDescent="0.25">
      <c r="B7" s="23" t="s">
        <v>4</v>
      </c>
      <c r="C7" s="46">
        <v>156</v>
      </c>
      <c r="D7" s="25">
        <v>139</v>
      </c>
      <c r="E7" s="46">
        <f t="shared" si="0"/>
        <v>17</v>
      </c>
      <c r="F7" s="25">
        <v>53</v>
      </c>
      <c r="G7" s="46">
        <f t="shared" si="1"/>
        <v>103</v>
      </c>
      <c r="H7" s="38"/>
    </row>
    <row r="8" spans="2:8" x14ac:dyDescent="0.25">
      <c r="B8" s="23" t="s">
        <v>5</v>
      </c>
      <c r="C8" s="46">
        <v>164</v>
      </c>
      <c r="D8" s="25">
        <v>139</v>
      </c>
      <c r="E8" s="46">
        <f t="shared" si="0"/>
        <v>25</v>
      </c>
      <c r="F8" s="25">
        <v>84</v>
      </c>
      <c r="G8" s="46">
        <f t="shared" si="1"/>
        <v>80</v>
      </c>
      <c r="H8" s="38"/>
    </row>
    <row r="9" spans="2:8" x14ac:dyDescent="0.25">
      <c r="B9" s="26" t="s">
        <v>6</v>
      </c>
      <c r="C9" s="46">
        <v>91</v>
      </c>
      <c r="D9" s="25">
        <v>36</v>
      </c>
      <c r="E9" s="46">
        <f t="shared" si="0"/>
        <v>55</v>
      </c>
      <c r="F9" s="25">
        <v>23</v>
      </c>
      <c r="G9" s="46">
        <f t="shared" si="1"/>
        <v>68</v>
      </c>
      <c r="H9" s="38"/>
    </row>
    <row r="10" spans="2:8" x14ac:dyDescent="0.25">
      <c r="B10" s="23" t="s">
        <v>7</v>
      </c>
      <c r="C10" s="46">
        <v>47</v>
      </c>
      <c r="D10" s="25">
        <v>96</v>
      </c>
      <c r="E10" s="46">
        <f t="shared" si="0"/>
        <v>-49</v>
      </c>
      <c r="F10" s="25">
        <v>63</v>
      </c>
      <c r="G10" s="46">
        <f t="shared" si="1"/>
        <v>-16</v>
      </c>
      <c r="H10" s="38"/>
    </row>
    <row r="11" spans="2:8" x14ac:dyDescent="0.25">
      <c r="B11" s="23" t="s">
        <v>8</v>
      </c>
      <c r="C11" s="46">
        <v>158</v>
      </c>
      <c r="D11" s="25">
        <v>124</v>
      </c>
      <c r="E11" s="46">
        <f t="shared" si="0"/>
        <v>34</v>
      </c>
      <c r="F11" s="25">
        <v>103</v>
      </c>
      <c r="G11" s="46">
        <f t="shared" si="1"/>
        <v>55</v>
      </c>
      <c r="H11" s="38"/>
    </row>
    <row r="12" spans="2:8" x14ac:dyDescent="0.25">
      <c r="B12" s="23" t="s">
        <v>9</v>
      </c>
      <c r="C12" s="46">
        <v>88</v>
      </c>
      <c r="D12" s="25">
        <v>78</v>
      </c>
      <c r="E12" s="46">
        <f t="shared" si="0"/>
        <v>10</v>
      </c>
      <c r="F12" s="25">
        <v>64</v>
      </c>
      <c r="G12" s="46">
        <f t="shared" si="1"/>
        <v>24</v>
      </c>
      <c r="H12" s="38"/>
    </row>
    <row r="13" spans="2:8" x14ac:dyDescent="0.25">
      <c r="B13" s="23" t="s">
        <v>10</v>
      </c>
      <c r="C13" s="46">
        <v>130</v>
      </c>
      <c r="D13" s="25">
        <v>105</v>
      </c>
      <c r="E13" s="46">
        <f t="shared" si="0"/>
        <v>25</v>
      </c>
      <c r="F13" s="25">
        <v>74</v>
      </c>
      <c r="G13" s="46">
        <f t="shared" si="1"/>
        <v>56</v>
      </c>
      <c r="H13" s="38"/>
    </row>
    <row r="14" spans="2:8" x14ac:dyDescent="0.25">
      <c r="B14" s="23" t="s">
        <v>11</v>
      </c>
      <c r="C14" s="46">
        <v>605</v>
      </c>
      <c r="D14" s="25">
        <v>637</v>
      </c>
      <c r="E14" s="46">
        <f t="shared" si="0"/>
        <v>-32</v>
      </c>
      <c r="F14" s="25">
        <v>335</v>
      </c>
      <c r="G14" s="46">
        <f t="shared" si="1"/>
        <v>270</v>
      </c>
      <c r="H14" s="38"/>
    </row>
    <row r="15" spans="2:8" x14ac:dyDescent="0.25">
      <c r="B15" s="23" t="s">
        <v>12</v>
      </c>
      <c r="C15" s="46">
        <v>149</v>
      </c>
      <c r="D15" s="25">
        <v>131</v>
      </c>
      <c r="E15" s="46">
        <f t="shared" si="0"/>
        <v>18</v>
      </c>
      <c r="F15" s="25">
        <v>160</v>
      </c>
      <c r="G15" s="46">
        <f t="shared" si="1"/>
        <v>-11</v>
      </c>
      <c r="H15" s="38"/>
    </row>
    <row r="16" spans="2:8" x14ac:dyDescent="0.25">
      <c r="B16" s="23" t="s">
        <v>13</v>
      </c>
      <c r="C16" s="46">
        <v>37</v>
      </c>
      <c r="D16" s="25">
        <v>34</v>
      </c>
      <c r="E16" s="46">
        <f t="shared" si="0"/>
        <v>3</v>
      </c>
      <c r="F16" s="25">
        <v>13</v>
      </c>
      <c r="G16" s="46">
        <f t="shared" si="1"/>
        <v>24</v>
      </c>
      <c r="H16" s="38"/>
    </row>
    <row r="17" spans="2:8" x14ac:dyDescent="0.25">
      <c r="B17" s="23" t="s">
        <v>14</v>
      </c>
      <c r="C17" s="46">
        <v>137</v>
      </c>
      <c r="D17" s="25">
        <v>193</v>
      </c>
      <c r="E17" s="46">
        <f t="shared" si="0"/>
        <v>-56</v>
      </c>
      <c r="F17" s="25">
        <v>170</v>
      </c>
      <c r="G17" s="46">
        <f t="shared" si="1"/>
        <v>-33</v>
      </c>
      <c r="H17" s="38"/>
    </row>
    <row r="18" spans="2:8" x14ac:dyDescent="0.25">
      <c r="B18" s="23" t="s">
        <v>15</v>
      </c>
      <c r="C18" s="46">
        <v>166</v>
      </c>
      <c r="D18" s="25">
        <v>173</v>
      </c>
      <c r="E18" s="46">
        <f t="shared" si="0"/>
        <v>-7</v>
      </c>
      <c r="F18" s="25">
        <v>133</v>
      </c>
      <c r="G18" s="46">
        <f t="shared" si="1"/>
        <v>33</v>
      </c>
      <c r="H18" s="38"/>
    </row>
    <row r="19" spans="2:8" x14ac:dyDescent="0.25">
      <c r="B19" s="23" t="s">
        <v>16</v>
      </c>
      <c r="C19" s="46">
        <v>227</v>
      </c>
      <c r="D19" s="25">
        <v>257</v>
      </c>
      <c r="E19" s="46">
        <f t="shared" si="0"/>
        <v>-30</v>
      </c>
      <c r="F19" s="25">
        <v>138</v>
      </c>
      <c r="G19" s="46">
        <f t="shared" si="1"/>
        <v>89</v>
      </c>
      <c r="H19" s="38"/>
    </row>
    <row r="20" spans="2:8" x14ac:dyDescent="0.25">
      <c r="B20" s="23" t="s">
        <v>17</v>
      </c>
      <c r="C20" s="46">
        <v>269</v>
      </c>
      <c r="D20" s="25">
        <v>105</v>
      </c>
      <c r="E20" s="46">
        <f t="shared" si="0"/>
        <v>164</v>
      </c>
      <c r="F20" s="25">
        <v>73</v>
      </c>
      <c r="G20" s="46">
        <f t="shared" si="1"/>
        <v>196</v>
      </c>
      <c r="H20" s="38"/>
    </row>
    <row r="21" spans="2:8" x14ac:dyDescent="0.25">
      <c r="B21" s="23" t="s">
        <v>18</v>
      </c>
      <c r="C21" s="46">
        <v>125</v>
      </c>
      <c r="D21" s="25">
        <v>133</v>
      </c>
      <c r="E21" s="46">
        <f t="shared" si="0"/>
        <v>-8</v>
      </c>
      <c r="F21" s="25">
        <v>114</v>
      </c>
      <c r="G21" s="46">
        <f t="shared" si="1"/>
        <v>11</v>
      </c>
      <c r="H21" s="38"/>
    </row>
    <row r="22" spans="2:8" x14ac:dyDescent="0.25">
      <c r="B22" s="23" t="s">
        <v>19</v>
      </c>
      <c r="C22" s="46">
        <v>163</v>
      </c>
      <c r="D22" s="25">
        <v>179</v>
      </c>
      <c r="E22" s="46">
        <f t="shared" si="0"/>
        <v>-16</v>
      </c>
      <c r="F22" s="25">
        <v>144</v>
      </c>
      <c r="G22" s="46">
        <f t="shared" si="1"/>
        <v>19</v>
      </c>
      <c r="H22" s="38"/>
    </row>
    <row r="23" spans="2:8" x14ac:dyDescent="0.25">
      <c r="B23" s="23" t="s">
        <v>20</v>
      </c>
      <c r="C23" s="46">
        <v>112</v>
      </c>
      <c r="D23" s="25">
        <v>77</v>
      </c>
      <c r="E23" s="46">
        <f t="shared" si="0"/>
        <v>35</v>
      </c>
      <c r="F23" s="25">
        <v>64</v>
      </c>
      <c r="G23" s="46">
        <f t="shared" si="1"/>
        <v>48</v>
      </c>
      <c r="H23" s="38"/>
    </row>
    <row r="24" spans="2:8" x14ac:dyDescent="0.25">
      <c r="B24" s="23" t="s">
        <v>21</v>
      </c>
      <c r="C24" s="46">
        <v>88</v>
      </c>
      <c r="D24" s="25">
        <v>89</v>
      </c>
      <c r="E24" s="46">
        <f t="shared" si="0"/>
        <v>-1</v>
      </c>
      <c r="F24" s="25">
        <v>47</v>
      </c>
      <c r="G24" s="46">
        <f t="shared" si="1"/>
        <v>41</v>
      </c>
      <c r="H24" s="38"/>
    </row>
    <row r="25" spans="2:8" x14ac:dyDescent="0.25">
      <c r="B25" s="23" t="s">
        <v>22</v>
      </c>
      <c r="C25" s="46">
        <v>88</v>
      </c>
      <c r="D25" s="25">
        <v>77</v>
      </c>
      <c r="E25" s="46">
        <f t="shared" si="0"/>
        <v>11</v>
      </c>
      <c r="F25" s="25">
        <v>111</v>
      </c>
      <c r="G25" s="46">
        <f t="shared" si="1"/>
        <v>-23</v>
      </c>
      <c r="H25" s="38"/>
    </row>
    <row r="26" spans="2:8" x14ac:dyDescent="0.25">
      <c r="B26" s="23" t="s">
        <v>23</v>
      </c>
      <c r="C26" s="46">
        <v>790</v>
      </c>
      <c r="D26" s="25">
        <v>730</v>
      </c>
      <c r="E26" s="46">
        <f t="shared" si="0"/>
        <v>60</v>
      </c>
      <c r="F26" s="25">
        <v>454</v>
      </c>
      <c r="G26" s="46">
        <f t="shared" si="1"/>
        <v>336</v>
      </c>
      <c r="H26" s="38"/>
    </row>
    <row r="27" spans="2:8" x14ac:dyDescent="0.25">
      <c r="B27" s="23" t="s">
        <v>24</v>
      </c>
      <c r="C27" s="46">
        <v>105</v>
      </c>
      <c r="D27" s="25">
        <v>144</v>
      </c>
      <c r="E27" s="46">
        <f t="shared" si="0"/>
        <v>-39</v>
      </c>
      <c r="F27" s="25">
        <v>99</v>
      </c>
      <c r="G27" s="46">
        <f t="shared" si="1"/>
        <v>6</v>
      </c>
      <c r="H27" s="38"/>
    </row>
    <row r="28" spans="2:8" x14ac:dyDescent="0.25">
      <c r="B28" s="27" t="s">
        <v>25</v>
      </c>
      <c r="C28" s="47">
        <f>SUM(C3:C27)</f>
        <v>4578</v>
      </c>
      <c r="D28" s="40">
        <f>SUM(D3:D27)</f>
        <v>4512</v>
      </c>
      <c r="E28" s="47">
        <f>SUM(E3:E27)</f>
        <v>66</v>
      </c>
      <c r="F28" s="40">
        <f>SUM(F3:F27)</f>
        <v>3030</v>
      </c>
      <c r="G28" s="47">
        <f>SUM(G3:G27)</f>
        <v>1548</v>
      </c>
      <c r="H28" s="38"/>
    </row>
    <row r="29" spans="2:8" ht="12" customHeight="1" x14ac:dyDescent="0.25">
      <c r="B29" s="48"/>
      <c r="E29" s="38"/>
      <c r="G29" s="38"/>
    </row>
    <row r="30" spans="2:8" ht="9" customHeight="1" x14ac:dyDescent="0.25">
      <c r="B30" s="48"/>
    </row>
    <row r="31" spans="2:8" ht="12.75" customHeight="1" x14ac:dyDescent="0.25">
      <c r="B31" s="48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29"/>
  <sheetViews>
    <sheetView zoomScale="90" zoomScaleNormal="90" workbookViewId="0">
      <selection activeCell="B1" sqref="B1"/>
    </sheetView>
  </sheetViews>
  <sheetFormatPr defaultRowHeight="15" x14ac:dyDescent="0.25"/>
  <cols>
    <col min="1" max="1" width="3.140625" style="1" customWidth="1"/>
    <col min="2" max="2" width="6.5703125" style="1" customWidth="1"/>
    <col min="3" max="3" width="22.140625" style="1" customWidth="1"/>
    <col min="4" max="4" width="11.140625" style="1" customWidth="1"/>
    <col min="5" max="5" width="11.5703125" style="1" customWidth="1"/>
    <col min="6" max="6" width="17" style="1" customWidth="1"/>
    <col min="7" max="7" width="11.5703125" style="1" customWidth="1"/>
    <col min="8" max="8" width="17.140625" style="1" customWidth="1"/>
    <col min="9" max="9" width="6.7109375" style="1" customWidth="1"/>
    <col min="10" max="11" width="5.85546875" style="1" customWidth="1"/>
    <col min="12" max="18" width="9.140625" style="1"/>
    <col min="19" max="19" width="7.140625" style="1" customWidth="1"/>
    <col min="20" max="20" width="2" style="1" customWidth="1"/>
    <col min="21" max="16384" width="9.140625" style="1"/>
  </cols>
  <sheetData>
    <row r="1" spans="2:8" ht="18.75" x14ac:dyDescent="0.4">
      <c r="B1" s="51" t="s">
        <v>31</v>
      </c>
      <c r="C1" s="13"/>
      <c r="D1" s="13"/>
      <c r="E1" s="13"/>
      <c r="F1" s="13"/>
      <c r="G1" s="13"/>
      <c r="H1" s="13"/>
    </row>
    <row r="2" spans="2:8" ht="18.75" x14ac:dyDescent="0.3">
      <c r="B2" s="13"/>
      <c r="C2" s="58"/>
      <c r="D2" s="60"/>
      <c r="E2" s="13"/>
      <c r="F2" s="13"/>
      <c r="G2" s="13"/>
      <c r="H2" s="13"/>
    </row>
    <row r="3" spans="2:8" ht="45" x14ac:dyDescent="0.25">
      <c r="B3" s="64" t="s">
        <v>91</v>
      </c>
      <c r="C3" s="20" t="str">
        <f>T('9_oferty p.'!B2)</f>
        <v>powiaty</v>
      </c>
      <c r="D3" s="20" t="str">
        <f>T('9_oferty p.'!C2)</f>
        <v>liczba ofert w VI '21 r.</v>
      </c>
      <c r="E3" s="20" t="str">
        <f>T('9_oferty p.'!D2)</f>
        <v>liczba ofert w V '21 r.</v>
      </c>
      <c r="F3" s="20" t="str">
        <f>T('9_oferty p.'!E2)</f>
        <v>wzrost/spadek do poprzedniego  miesiąca</v>
      </c>
      <c r="G3" s="20" t="str">
        <f>T('9_oferty p.'!F2)</f>
        <v>liczba ofert w VI '20 r.</v>
      </c>
      <c r="H3" s="20" t="str">
        <f>T('9_oferty p.'!G2)</f>
        <v>wzrost/spadek do analogicznego okresu ubr.</v>
      </c>
    </row>
    <row r="4" spans="2:8" x14ac:dyDescent="0.25">
      <c r="B4" s="24">
        <f>RANK('9_oferty p.'!C3,'9_oferty p.'!$C$3:'9_oferty p.'!$C$28,1)+COUNTIF('9_oferty p.'!$C$3:'9_oferty p.'!C3,'9_oferty p.'!C3)-1</f>
        <v>3</v>
      </c>
      <c r="C4" s="23" t="str">
        <f>INDEX('9_oferty p.'!B3:G28,MATCH(1,B4:B29,0),1)</f>
        <v>przemyski</v>
      </c>
      <c r="D4" s="12">
        <f>INDEX('9_oferty p.'!B3:G28,MATCH(1,B4:B29,0),2)</f>
        <v>37</v>
      </c>
      <c r="E4" s="25">
        <f>INDEX('9_oferty p.'!B3:G28,MATCH(1,B4:B29,0),3)</f>
        <v>34</v>
      </c>
      <c r="F4" s="24">
        <f>INDEX('9_oferty p.'!B3:G28,MATCH(1,B4:B29,0),4)</f>
        <v>3</v>
      </c>
      <c r="G4" s="25">
        <f>INDEX('9_oferty p.'!B3:G28,MATCH(1,B4:B29,0),5)</f>
        <v>13</v>
      </c>
      <c r="H4" s="24">
        <f>INDEX('9_oferty p.'!B3:G28,MATCH(1,B4:B29,0),6)</f>
        <v>24</v>
      </c>
    </row>
    <row r="5" spans="2:8" x14ac:dyDescent="0.25">
      <c r="B5" s="24">
        <f>RANK('9_oferty p.'!C4,'9_oferty p.'!$C$3:'9_oferty p.'!$C$28,1)+COUNTIF('9_oferty p.'!$C$3:'9_oferty p.'!C4,'9_oferty p.'!C4)-1</f>
        <v>4</v>
      </c>
      <c r="C5" s="23" t="str">
        <f>INDEX('9_oferty p.'!B3:G28,MATCH(2,B4:B29,0),1)</f>
        <v>leski</v>
      </c>
      <c r="D5" s="24">
        <f>INDEX('9_oferty p.'!B3:G28,MATCH(2,B4:B29,0),2)</f>
        <v>47</v>
      </c>
      <c r="E5" s="25">
        <f>INDEX('9_oferty p.'!B3:G28,MATCH(2,B4:B29,0),3)</f>
        <v>96</v>
      </c>
      <c r="F5" s="24">
        <f>INDEX('9_oferty p.'!B3:G28,MATCH(2,B4:B29,0),4)</f>
        <v>-49</v>
      </c>
      <c r="G5" s="25">
        <f>INDEX('9_oferty p.'!B3:G28,MATCH(2,B4:B29,0),5)</f>
        <v>63</v>
      </c>
      <c r="H5" s="24">
        <f>INDEX('9_oferty p.'!B3:G28,MATCH(2,B4:B29,0),6)</f>
        <v>-16</v>
      </c>
    </row>
    <row r="6" spans="2:8" x14ac:dyDescent="0.25">
      <c r="B6" s="24">
        <f>RANK('9_oferty p.'!C5,'9_oferty p.'!$C$3:'9_oferty p.'!$C$28,1)+COUNTIF('9_oferty p.'!$C$3:'9_oferty p.'!C5,'9_oferty p.'!C5)-1</f>
        <v>23</v>
      </c>
      <c r="C6" s="23" t="str">
        <f>INDEX('9_oferty p.'!B3:G28,MATCH(3,B4:B29,0),1)</f>
        <v>bieszczadzki</v>
      </c>
      <c r="D6" s="24">
        <f>INDEX('9_oferty p.'!B3:G28,MATCH(3,B4:B29,0),2)</f>
        <v>56</v>
      </c>
      <c r="E6" s="25">
        <f>INDEX('9_oferty p.'!B3:G28,MATCH(3,B4:B29,0),3)</f>
        <v>50</v>
      </c>
      <c r="F6" s="24">
        <f>INDEX('9_oferty p.'!B3:G28,MATCH(3,B4:B29,0),4)</f>
        <v>6</v>
      </c>
      <c r="G6" s="25">
        <f>INDEX('9_oferty p.'!B3:G28,MATCH(3,B4:B29,0),5)</f>
        <v>58</v>
      </c>
      <c r="H6" s="24">
        <f>INDEX('9_oferty p.'!B3:G28,MATCH(3,B4:B29,0),6)</f>
        <v>-2</v>
      </c>
    </row>
    <row r="7" spans="2:8" x14ac:dyDescent="0.25">
      <c r="B7" s="24">
        <f>RANK('9_oferty p.'!C6,'9_oferty p.'!$C$3:'9_oferty p.'!$C$28,1)+COUNTIF('9_oferty p.'!$C$3:'9_oferty p.'!C6,'9_oferty p.'!C6)-1</f>
        <v>21</v>
      </c>
      <c r="C7" s="23" t="str">
        <f>INDEX('9_oferty p.'!B3:G28,MATCH(4,B4:B29,0),1)</f>
        <v>brzozowski</v>
      </c>
      <c r="D7" s="24">
        <f>INDEX('9_oferty p.'!B3:G28,MATCH(4,B4:B29,0),2)</f>
        <v>81</v>
      </c>
      <c r="E7" s="25">
        <f>INDEX('9_oferty p.'!B3:G28,MATCH(4,B4:B29,0),3)</f>
        <v>87</v>
      </c>
      <c r="F7" s="24">
        <f>INDEX('9_oferty p.'!B3:G28,MATCH(4,B4:B29,0),4)</f>
        <v>-6</v>
      </c>
      <c r="G7" s="25">
        <f>INDEX('9_oferty p.'!B3:G28,MATCH(4,B4:B29,0),5)</f>
        <v>58</v>
      </c>
      <c r="H7" s="24">
        <f>INDEX('9_oferty p.'!B3:G28,MATCH(4,B4:B29,0),6)</f>
        <v>23</v>
      </c>
    </row>
    <row r="8" spans="2:8" x14ac:dyDescent="0.25">
      <c r="B8" s="24">
        <f>RANK('9_oferty p.'!C7,'9_oferty p.'!$C$3:'9_oferty p.'!$C$28,1)+COUNTIF('9_oferty p.'!$C$3:'9_oferty p.'!C7,'9_oferty p.'!C7)-1</f>
        <v>15</v>
      </c>
      <c r="C8" s="23" t="str">
        <f>INDEX('9_oferty p.'!B3:G28,MATCH(5,B4:B29,0),1)</f>
        <v>lubaczowski</v>
      </c>
      <c r="D8" s="24">
        <f>INDEX('9_oferty p.'!B3:G28,MATCH(5,B4:B29,0),2)</f>
        <v>88</v>
      </c>
      <c r="E8" s="25">
        <f>INDEX('9_oferty p.'!B3:G28,MATCH(5,B4:B29,0),3)</f>
        <v>78</v>
      </c>
      <c r="F8" s="24">
        <f>INDEX('9_oferty p.'!B3:G28,MATCH(5,B4:B29,0),4)</f>
        <v>10</v>
      </c>
      <c r="G8" s="25">
        <f>INDEX('9_oferty p.'!B3:G28,MATCH(5,B4:B29,0),5)</f>
        <v>64</v>
      </c>
      <c r="H8" s="24">
        <f>INDEX('9_oferty p.'!B3:G28,MATCH(5,B4:B29,0),6)</f>
        <v>24</v>
      </c>
    </row>
    <row r="9" spans="2:8" x14ac:dyDescent="0.25">
      <c r="B9" s="24">
        <f>RANK('9_oferty p.'!C8,'9_oferty p.'!$C$3:'9_oferty p.'!$C$28,1)+COUNTIF('9_oferty p.'!$C$3:'9_oferty p.'!C8,'9_oferty p.'!C8)-1</f>
        <v>18</v>
      </c>
      <c r="C9" s="23" t="str">
        <f>INDEX('9_oferty p.'!B3:G28,MATCH(6,B4:B29,0),1)</f>
        <v>Krosno</v>
      </c>
      <c r="D9" s="24">
        <f>INDEX('9_oferty p.'!B3:G28,MATCH(6,B4:B29,0),2)</f>
        <v>88</v>
      </c>
      <c r="E9" s="25">
        <f>INDEX('9_oferty p.'!B3:G28,MATCH(6,B4:B29,0),3)</f>
        <v>89</v>
      </c>
      <c r="F9" s="24">
        <f>INDEX('9_oferty p.'!B3:G28,MATCH(6,B4:B29,0),4)</f>
        <v>-1</v>
      </c>
      <c r="G9" s="25">
        <f>INDEX('9_oferty p.'!B3:G28,MATCH(6,B4:B29,0),5)</f>
        <v>47</v>
      </c>
      <c r="H9" s="24">
        <f>INDEX('9_oferty p.'!B3:G28,MATCH(6,B4:B29,0),6)</f>
        <v>41</v>
      </c>
    </row>
    <row r="10" spans="2:8" x14ac:dyDescent="0.25">
      <c r="B10" s="24">
        <f>RANK('9_oferty p.'!C9,'9_oferty p.'!$C$3:'9_oferty p.'!$C$28,1)+COUNTIF('9_oferty p.'!$C$3:'9_oferty p.'!C9,'9_oferty p.'!C9)-1</f>
        <v>8</v>
      </c>
      <c r="C10" s="26" t="str">
        <f>INDEX('9_oferty p.'!B3:G28,MATCH(7,B4:B29,0),1)</f>
        <v>Przemyśl</v>
      </c>
      <c r="D10" s="24">
        <f>INDEX('9_oferty p.'!B3:G28,MATCH(7,B4:B29,0),2)</f>
        <v>88</v>
      </c>
      <c r="E10" s="25">
        <f>INDEX('9_oferty p.'!B3:G28,MATCH(7,B4:B29,0),3)</f>
        <v>77</v>
      </c>
      <c r="F10" s="24">
        <f>INDEX('9_oferty p.'!B3:G28,MATCH(7,B4:B29,0),4)</f>
        <v>11</v>
      </c>
      <c r="G10" s="25">
        <f>INDEX('9_oferty p.'!B3:G28,MATCH(7,B4:B29,0),5)</f>
        <v>111</v>
      </c>
      <c r="H10" s="24">
        <f>INDEX('9_oferty p.'!B3:G28,MATCH(7,B4:B29,0),6)</f>
        <v>-23</v>
      </c>
    </row>
    <row r="11" spans="2:8" x14ac:dyDescent="0.25">
      <c r="B11" s="24">
        <f>RANK('9_oferty p.'!C10,'9_oferty p.'!$C$3:'9_oferty p.'!$C$28,1)+COUNTIF('9_oferty p.'!$C$3:'9_oferty p.'!C10,'9_oferty p.'!C10)-1</f>
        <v>2</v>
      </c>
      <c r="C11" s="23" t="str">
        <f>INDEX('9_oferty p.'!B3:G28,MATCH(8,B4:B29,0),1)</f>
        <v>krośnieński</v>
      </c>
      <c r="D11" s="24">
        <f>INDEX('9_oferty p.'!B3:G28,MATCH(8,B4:B29,0),2)</f>
        <v>91</v>
      </c>
      <c r="E11" s="25">
        <f>INDEX('9_oferty p.'!B3:G28,MATCH(8,B4:B29,0),3)</f>
        <v>36</v>
      </c>
      <c r="F11" s="24">
        <f>INDEX('9_oferty p.'!B3:G28,MATCH(8,B4:B29,0),4)</f>
        <v>55</v>
      </c>
      <c r="G11" s="25">
        <f>INDEX('9_oferty p.'!B3:G28,MATCH(8,B4:B29,0),5)</f>
        <v>23</v>
      </c>
      <c r="H11" s="24">
        <f>INDEX('9_oferty p.'!B3:G28,MATCH(8,B4:B29,0),6)</f>
        <v>68</v>
      </c>
    </row>
    <row r="12" spans="2:8" x14ac:dyDescent="0.25">
      <c r="B12" s="24">
        <f>RANK('9_oferty p.'!C11,'9_oferty p.'!$C$3:'9_oferty p.'!$C$28,1)+COUNTIF('9_oferty p.'!$C$3:'9_oferty p.'!C11,'9_oferty p.'!C11)-1</f>
        <v>16</v>
      </c>
      <c r="C12" s="23" t="str">
        <f>INDEX('9_oferty p.'!B3:G28,MATCH(9,B4:B29,0),1)</f>
        <v>Tarnobrzeg</v>
      </c>
      <c r="D12" s="24">
        <f>INDEX('9_oferty p.'!B3:G28,MATCH(9,B4:B29,0),2)</f>
        <v>105</v>
      </c>
      <c r="E12" s="25">
        <f>INDEX('9_oferty p.'!B3:G28,MATCH(9,B4:B29,0),3)</f>
        <v>144</v>
      </c>
      <c r="F12" s="24">
        <f>INDEX('9_oferty p.'!B3:G28,MATCH(9,B4:B29,0),4)</f>
        <v>-39</v>
      </c>
      <c r="G12" s="25">
        <f>INDEX('9_oferty p.'!B3:G28,MATCH(9,B4:B29,0),5)</f>
        <v>99</v>
      </c>
      <c r="H12" s="24">
        <f>INDEX('9_oferty p.'!B3:G28,MATCH(9,B4:B29,0),6)</f>
        <v>6</v>
      </c>
    </row>
    <row r="13" spans="2:8" x14ac:dyDescent="0.25">
      <c r="B13" s="24">
        <f>RANK('9_oferty p.'!C12,'9_oferty p.'!$C$3:'9_oferty p.'!$C$28,1)+COUNTIF('9_oferty p.'!$C$3:'9_oferty p.'!C12,'9_oferty p.'!C12)-1</f>
        <v>5</v>
      </c>
      <c r="C13" s="23" t="str">
        <f>INDEX('9_oferty p.'!B3:G28,MATCH(10,B4:B29,0),1)</f>
        <v xml:space="preserve">tarnobrzeski </v>
      </c>
      <c r="D13" s="24">
        <f>INDEX('9_oferty p.'!B3:G28,MATCH(10,B4:B29,0),2)</f>
        <v>112</v>
      </c>
      <c r="E13" s="25">
        <f>INDEX('9_oferty p.'!B3:G28,MATCH(10,B4:B29,0),3)</f>
        <v>77</v>
      </c>
      <c r="F13" s="24">
        <f>INDEX('9_oferty p.'!B3:G28,MATCH(10,B4:B29,0),4)</f>
        <v>35</v>
      </c>
      <c r="G13" s="25">
        <f>INDEX('9_oferty p.'!B3:G28,MATCH(10,B4:B29,0),5)</f>
        <v>64</v>
      </c>
      <c r="H13" s="24">
        <f>INDEX('9_oferty p.'!B3:G28,MATCH(10,B4:B29,0),6)</f>
        <v>48</v>
      </c>
    </row>
    <row r="14" spans="2:8" x14ac:dyDescent="0.25">
      <c r="B14" s="24">
        <f>RANK('9_oferty p.'!C13,'9_oferty p.'!$C$3:'9_oferty p.'!$C$28,1)+COUNTIF('9_oferty p.'!$C$3:'9_oferty p.'!C13,'9_oferty p.'!C13)-1</f>
        <v>12</v>
      </c>
      <c r="C14" s="23" t="str">
        <f>INDEX('9_oferty p.'!B3:G28,MATCH(11,B4:B29,0),1)</f>
        <v>stalowowolski</v>
      </c>
      <c r="D14" s="24">
        <f>INDEX('9_oferty p.'!B3:G28,MATCH(11,B4:B29,0),2)</f>
        <v>125</v>
      </c>
      <c r="E14" s="25">
        <f>INDEX('9_oferty p.'!B3:G28,MATCH(11,B4:B29,0),3)</f>
        <v>133</v>
      </c>
      <c r="F14" s="24">
        <f>INDEX('9_oferty p.'!B3:G28,MATCH(11,B4:B29,0),4)</f>
        <v>-8</v>
      </c>
      <c r="G14" s="25">
        <f>INDEX('9_oferty p.'!B3:G28,MATCH(11,B4:B29,0),5)</f>
        <v>114</v>
      </c>
      <c r="H14" s="24">
        <f>INDEX('9_oferty p.'!B3:G28,MATCH(11,B4:B29,0),6)</f>
        <v>11</v>
      </c>
    </row>
    <row r="15" spans="2:8" x14ac:dyDescent="0.25">
      <c r="B15" s="24">
        <f>RANK('9_oferty p.'!C14,'9_oferty p.'!$C$3:'9_oferty p.'!$C$28,1)+COUNTIF('9_oferty p.'!$C$3:'9_oferty p.'!C14,'9_oferty p.'!C14)-1</f>
        <v>24</v>
      </c>
      <c r="C15" s="23" t="str">
        <f>INDEX('9_oferty p.'!B3:G28,MATCH(12,B4:B29,0),1)</f>
        <v>łańcucki</v>
      </c>
      <c r="D15" s="24">
        <f>INDEX('9_oferty p.'!B3:G28,MATCH(12,B4:B29,0),2)</f>
        <v>130</v>
      </c>
      <c r="E15" s="25">
        <f>INDEX('9_oferty p.'!B3:G28,MATCH(12,B4:B29,0),3)</f>
        <v>105</v>
      </c>
      <c r="F15" s="24">
        <f>INDEX('9_oferty p.'!B3:G28,MATCH(12,B4:B29,0),4)</f>
        <v>25</v>
      </c>
      <c r="G15" s="25">
        <f>INDEX('9_oferty p.'!B3:G28,MATCH(12,B4:B29,0),5)</f>
        <v>74</v>
      </c>
      <c r="H15" s="24">
        <f>INDEX('9_oferty p.'!B3:G28,MATCH(12,B4:B29,0),6)</f>
        <v>56</v>
      </c>
    </row>
    <row r="16" spans="2:8" x14ac:dyDescent="0.25">
      <c r="B16" s="24">
        <f>RANK('9_oferty p.'!C15,'9_oferty p.'!$C$3:'9_oferty p.'!$C$28,1)+COUNTIF('9_oferty p.'!$C$3:'9_oferty p.'!C15,'9_oferty p.'!C15)-1</f>
        <v>14</v>
      </c>
      <c r="C16" s="23" t="str">
        <f>INDEX('9_oferty p.'!B3:G28,MATCH(13,B4:B29,0),1)</f>
        <v>przeworski</v>
      </c>
      <c r="D16" s="24">
        <f>INDEX('9_oferty p.'!B3:G28,MATCH(13,B4:B29,0),2)</f>
        <v>137</v>
      </c>
      <c r="E16" s="25">
        <f>INDEX('9_oferty p.'!B3:G28,MATCH(13,B4:B29,0),3)</f>
        <v>193</v>
      </c>
      <c r="F16" s="24">
        <f>INDEX('9_oferty p.'!B3:G28,MATCH(13,B4:B29,0),4)</f>
        <v>-56</v>
      </c>
      <c r="G16" s="25">
        <f>INDEX('9_oferty p.'!B3:G28,MATCH(13,B4:B29,0),5)</f>
        <v>170</v>
      </c>
      <c r="H16" s="24">
        <f>INDEX('9_oferty p.'!B3:G28,MATCH(13,B4:B29,0),6)</f>
        <v>-33</v>
      </c>
    </row>
    <row r="17" spans="2:8" x14ac:dyDescent="0.25">
      <c r="B17" s="24">
        <f>RANK('9_oferty p.'!C16,'9_oferty p.'!$C$3:'9_oferty p.'!$C$28,1)+COUNTIF('9_oferty p.'!$C$3:'9_oferty p.'!C16,'9_oferty p.'!C16)-1</f>
        <v>1</v>
      </c>
      <c r="C17" s="23" t="str">
        <f>INDEX('9_oferty p.'!B3:G28,MATCH(14,B4:B29,0),1)</f>
        <v>niżański</v>
      </c>
      <c r="D17" s="24">
        <f>INDEX('9_oferty p.'!B3:G28,MATCH(14,B4:B29,0),2)</f>
        <v>149</v>
      </c>
      <c r="E17" s="25">
        <f>INDEX('9_oferty p.'!B3:G28,MATCH(14,B4:B29,0),3)</f>
        <v>131</v>
      </c>
      <c r="F17" s="24">
        <f>INDEX('9_oferty p.'!B3:G28,MATCH(14,B4:B29,0),4)</f>
        <v>18</v>
      </c>
      <c r="G17" s="25">
        <f>INDEX('9_oferty p.'!B3:G28,MATCH(14,B4:B29,0),5)</f>
        <v>160</v>
      </c>
      <c r="H17" s="24">
        <f>INDEX('9_oferty p.'!B3:G28,MATCH(14,B4:B29,0),6)</f>
        <v>-11</v>
      </c>
    </row>
    <row r="18" spans="2:8" x14ac:dyDescent="0.25">
      <c r="B18" s="24">
        <f>RANK('9_oferty p.'!C17,'9_oferty p.'!$C$3:'9_oferty p.'!$C$28,1)+COUNTIF('9_oferty p.'!$C$3:'9_oferty p.'!C17,'9_oferty p.'!C17)-1</f>
        <v>13</v>
      </c>
      <c r="C18" s="23" t="str">
        <f>INDEX('9_oferty p.'!B3:G28,MATCH(15,B4:B29,0),1)</f>
        <v>jasielski</v>
      </c>
      <c r="D18" s="24">
        <f>INDEX('9_oferty p.'!B3:G28,MATCH(15,B4:B29,0),2)</f>
        <v>156</v>
      </c>
      <c r="E18" s="25">
        <f>INDEX('9_oferty p.'!B3:G28,MATCH(15,B4:B29,0),3)</f>
        <v>139</v>
      </c>
      <c r="F18" s="24">
        <f>INDEX('9_oferty p.'!B3:G28,MATCH(15,B4:B29,0),4)</f>
        <v>17</v>
      </c>
      <c r="G18" s="25">
        <f>INDEX('9_oferty p.'!B3:G28,MATCH(15,B4:B29,0),5)</f>
        <v>53</v>
      </c>
      <c r="H18" s="24">
        <f>INDEX('9_oferty p.'!B3:G28,MATCH(15,B4:B29,0),6)</f>
        <v>103</v>
      </c>
    </row>
    <row r="19" spans="2:8" x14ac:dyDescent="0.25">
      <c r="B19" s="24">
        <f>RANK('9_oferty p.'!C18,'9_oferty p.'!$C$3:'9_oferty p.'!$C$28,1)+COUNTIF('9_oferty p.'!$C$3:'9_oferty p.'!C18,'9_oferty p.'!C18)-1</f>
        <v>19</v>
      </c>
      <c r="C19" s="23" t="str">
        <f>INDEX('9_oferty p.'!B3:G28,MATCH(16,B4:B29,0),1)</f>
        <v>leżajski</v>
      </c>
      <c r="D19" s="24">
        <f>INDEX('9_oferty p.'!B3:G28,MATCH(16,B4:B29,0),2)</f>
        <v>158</v>
      </c>
      <c r="E19" s="25">
        <f>INDEX('9_oferty p.'!B3:G28,MATCH(16,B4:B29,0),3)</f>
        <v>124</v>
      </c>
      <c r="F19" s="24">
        <f>INDEX('9_oferty p.'!B3:G28,MATCH(16,B4:B29,0),4)</f>
        <v>34</v>
      </c>
      <c r="G19" s="25">
        <f>INDEX('9_oferty p.'!B3:G28,MATCH(16,B4:B29,0),5)</f>
        <v>103</v>
      </c>
      <c r="H19" s="24">
        <f>INDEX('9_oferty p.'!B3:G28,MATCH(16,B4:B29,0),6)</f>
        <v>55</v>
      </c>
    </row>
    <row r="20" spans="2:8" x14ac:dyDescent="0.25">
      <c r="B20" s="24">
        <f>RANK('9_oferty p.'!C19,'9_oferty p.'!$C$3:'9_oferty p.'!$C$28,1)+COUNTIF('9_oferty p.'!$C$3:'9_oferty p.'!C19,'9_oferty p.'!C19)-1</f>
        <v>20</v>
      </c>
      <c r="C20" s="23" t="str">
        <f>INDEX('9_oferty p.'!B3:G28,MATCH(17,B4:B29,0),1)</f>
        <v>strzyżowski</v>
      </c>
      <c r="D20" s="24">
        <f>INDEX('9_oferty p.'!B3:G28,MATCH(17,B4:B29,0),2)</f>
        <v>163</v>
      </c>
      <c r="E20" s="25">
        <f>INDEX('9_oferty p.'!B3:G28,MATCH(17,B4:B29,0),3)</f>
        <v>179</v>
      </c>
      <c r="F20" s="24">
        <f>INDEX('9_oferty p.'!B3:G28,MATCH(17,B4:B29,0),4)</f>
        <v>-16</v>
      </c>
      <c r="G20" s="25">
        <f>INDEX('9_oferty p.'!B3:G28,MATCH(17,B4:B29,0),5)</f>
        <v>144</v>
      </c>
      <c r="H20" s="24">
        <f>INDEX('9_oferty p.'!B3:G28,MATCH(17,B4:B29,0),6)</f>
        <v>19</v>
      </c>
    </row>
    <row r="21" spans="2:8" x14ac:dyDescent="0.25">
      <c r="B21" s="24">
        <f>RANK('9_oferty p.'!C20,'9_oferty p.'!$C$3:'9_oferty p.'!$C$28,1)+COUNTIF('9_oferty p.'!$C$3:'9_oferty p.'!C20,'9_oferty p.'!C20)-1</f>
        <v>22</v>
      </c>
      <c r="C21" s="23" t="str">
        <f>INDEX('9_oferty p.'!B3:G28,MATCH(18,B4:B29,0),1)</f>
        <v>kolbuszowski</v>
      </c>
      <c r="D21" s="24">
        <f>INDEX('9_oferty p.'!B3:G28,MATCH(18,B4:B29,0),2)</f>
        <v>164</v>
      </c>
      <c r="E21" s="25">
        <f>INDEX('9_oferty p.'!B3:G28,MATCH(18,B4:B29,0),3)</f>
        <v>139</v>
      </c>
      <c r="F21" s="24">
        <f>INDEX('9_oferty p.'!B3:G28,MATCH(18,B4:B29,0),4)</f>
        <v>25</v>
      </c>
      <c r="G21" s="25">
        <f>INDEX('9_oferty p.'!B3:G28,MATCH(18,B4:B29,0),5)</f>
        <v>84</v>
      </c>
      <c r="H21" s="24">
        <f>INDEX('9_oferty p.'!B3:G28,MATCH(18,B4:B29,0),6)</f>
        <v>80</v>
      </c>
    </row>
    <row r="22" spans="2:8" x14ac:dyDescent="0.25">
      <c r="B22" s="24">
        <f>RANK('9_oferty p.'!C21,'9_oferty p.'!$C$3:'9_oferty p.'!$C$28,1)+COUNTIF('9_oferty p.'!$C$3:'9_oferty p.'!C21,'9_oferty p.'!C21)-1</f>
        <v>11</v>
      </c>
      <c r="C22" s="23" t="str">
        <f>INDEX('9_oferty p.'!B3:G28,MATCH(19,B4:B29,0),1)</f>
        <v>ropczycko-sędziszowski</v>
      </c>
      <c r="D22" s="24">
        <f>INDEX('9_oferty p.'!B3:G28,MATCH(19,B4:B29,0),2)</f>
        <v>166</v>
      </c>
      <c r="E22" s="25">
        <f>INDEX('9_oferty p.'!B3:G28,MATCH(19,B4:B29,0),3)</f>
        <v>173</v>
      </c>
      <c r="F22" s="24">
        <f>INDEX('9_oferty p.'!B3:G28,MATCH(19,B4:B29,0),4)</f>
        <v>-7</v>
      </c>
      <c r="G22" s="25">
        <f>INDEX('9_oferty p.'!B3:G28,MATCH(19,B4:B29,0),5)</f>
        <v>133</v>
      </c>
      <c r="H22" s="24">
        <f>INDEX('9_oferty p.'!B3:G28,MATCH(19,B4:B29,0),6)</f>
        <v>33</v>
      </c>
    </row>
    <row r="23" spans="2:8" x14ac:dyDescent="0.25">
      <c r="B23" s="24">
        <f>RANK('9_oferty p.'!C22,'9_oferty p.'!$C$3:'9_oferty p.'!$C$28,1)+COUNTIF('9_oferty p.'!$C$3:'9_oferty p.'!C22,'9_oferty p.'!C22)-1</f>
        <v>17</v>
      </c>
      <c r="C23" s="23" t="str">
        <f>INDEX('9_oferty p.'!B3:G28,MATCH(20,B4:B29,0),1)</f>
        <v>rzeszowski</v>
      </c>
      <c r="D23" s="24">
        <f>INDEX('9_oferty p.'!B3:G28,MATCH(20,B4:B29,0),2)</f>
        <v>227</v>
      </c>
      <c r="E23" s="25">
        <f>INDEX('9_oferty p.'!B3:G28,MATCH(20,B4:B29,0),3)</f>
        <v>257</v>
      </c>
      <c r="F23" s="24">
        <f>INDEX('9_oferty p.'!B3:G28,MATCH(20,B4:B29,0),4)</f>
        <v>-30</v>
      </c>
      <c r="G23" s="25">
        <f>INDEX('9_oferty p.'!B3:G28,MATCH(20,B4:B29,0),5)</f>
        <v>138</v>
      </c>
      <c r="H23" s="24">
        <f>INDEX('9_oferty p.'!B3:G28,MATCH(20,B4:B29,0),6)</f>
        <v>89</v>
      </c>
    </row>
    <row r="24" spans="2:8" x14ac:dyDescent="0.25">
      <c r="B24" s="24">
        <f>RANK('9_oferty p.'!C23,'9_oferty p.'!$C$3:'9_oferty p.'!$C$28,1)+COUNTIF('9_oferty p.'!$C$3:'9_oferty p.'!C23,'9_oferty p.'!C23)-1</f>
        <v>10</v>
      </c>
      <c r="C24" s="23" t="str">
        <f>INDEX('9_oferty p.'!B3:G28,MATCH(21,B4:B29,0),1)</f>
        <v>jarosławski</v>
      </c>
      <c r="D24" s="24">
        <f>INDEX('9_oferty p.'!B3:G28,MATCH(21,B4:B29,0),2)</f>
        <v>235</v>
      </c>
      <c r="E24" s="25">
        <f>INDEX('9_oferty p.'!B3:G28,MATCH(21,B4:B29,0),3)</f>
        <v>261</v>
      </c>
      <c r="F24" s="24">
        <f>INDEX('9_oferty p.'!B3:G28,MATCH(21,B4:B29,0),4)</f>
        <v>-26</v>
      </c>
      <c r="G24" s="25">
        <f>INDEX('9_oferty p.'!B3:G28,MATCH(21,B4:B29,0),5)</f>
        <v>131</v>
      </c>
      <c r="H24" s="24">
        <f>INDEX('9_oferty p.'!B3:G28,MATCH(21,B4:B29,0),6)</f>
        <v>104</v>
      </c>
    </row>
    <row r="25" spans="2:8" x14ac:dyDescent="0.25">
      <c r="B25" s="24">
        <f>RANK('9_oferty p.'!C24,'9_oferty p.'!$C$3:'9_oferty p.'!$C$28,1)+COUNTIF('9_oferty p.'!$C$3:'9_oferty p.'!C24,'9_oferty p.'!C24)-1</f>
        <v>6</v>
      </c>
      <c r="C25" s="23" t="str">
        <f>INDEX('9_oferty p.'!B3:G28,MATCH(22,B4:B29,0),1)</f>
        <v>sanocki</v>
      </c>
      <c r="D25" s="24">
        <f>INDEX('9_oferty p.'!B3:G28,MATCH(22,B4:B29,0),2)</f>
        <v>269</v>
      </c>
      <c r="E25" s="25">
        <f>INDEX('9_oferty p.'!B3:G28,MATCH(22,B4:B29,0),3)</f>
        <v>105</v>
      </c>
      <c r="F25" s="24">
        <f>INDEX('9_oferty p.'!B3:G28,MATCH(22,B4:B29,0),4)</f>
        <v>164</v>
      </c>
      <c r="G25" s="25">
        <f>INDEX('9_oferty p.'!B3:G28,MATCH(22,B4:B29,0),5)</f>
        <v>73</v>
      </c>
      <c r="H25" s="24">
        <f>INDEX('9_oferty p.'!B3:G28,MATCH(22,B4:B29,0),6)</f>
        <v>196</v>
      </c>
    </row>
    <row r="26" spans="2:8" x14ac:dyDescent="0.25">
      <c r="B26" s="24">
        <f>RANK('9_oferty p.'!C25,'9_oferty p.'!$C$3:'9_oferty p.'!$C$28,1)+COUNTIF('9_oferty p.'!$C$3:'9_oferty p.'!C25,'9_oferty p.'!C25)-1</f>
        <v>7</v>
      </c>
      <c r="C26" s="23" t="str">
        <f>INDEX('9_oferty p.'!B3:G28,MATCH(23,B4:B29,0),1)</f>
        <v>dębicki</v>
      </c>
      <c r="D26" s="24">
        <f>INDEX('9_oferty p.'!B3:G28,MATCH(23,B4:B29,0),2)</f>
        <v>311</v>
      </c>
      <c r="E26" s="25">
        <f>INDEX('9_oferty p.'!B3:G28,MATCH(23,B4:B29,0),3)</f>
        <v>438</v>
      </c>
      <c r="F26" s="24">
        <f>INDEX('9_oferty p.'!B3:G28,MATCH(23,B4:B29,0),4)</f>
        <v>-127</v>
      </c>
      <c r="G26" s="25">
        <f>INDEX('9_oferty p.'!B3:G28,MATCH(23,B4:B29,0),5)</f>
        <v>264</v>
      </c>
      <c r="H26" s="24">
        <f>INDEX('9_oferty p.'!B3:G28,MATCH(23,B4:B29,0),6)</f>
        <v>47</v>
      </c>
    </row>
    <row r="27" spans="2:8" x14ac:dyDescent="0.25">
      <c r="B27" s="24">
        <f>RANK('9_oferty p.'!C26,'9_oferty p.'!$C$3:'9_oferty p.'!$C$28,1)+COUNTIF('9_oferty p.'!$C$3:'9_oferty p.'!C26,'9_oferty p.'!C26)-1</f>
        <v>25</v>
      </c>
      <c r="C27" s="23" t="str">
        <f>INDEX('9_oferty p.'!B3:G28,MATCH(24,B4:B29,0),1)</f>
        <v>mielecki</v>
      </c>
      <c r="D27" s="24">
        <f>INDEX('9_oferty p.'!B3:G28,MATCH(24,B4:B29,0),2)</f>
        <v>605</v>
      </c>
      <c r="E27" s="25">
        <f>INDEX('9_oferty p.'!B3:G28,MATCH(24,B4:B29,0),3)</f>
        <v>637</v>
      </c>
      <c r="F27" s="24">
        <f>INDEX('9_oferty p.'!B3:G28,MATCH(24,B4:B29,0),4)</f>
        <v>-32</v>
      </c>
      <c r="G27" s="25">
        <f>INDEX('9_oferty p.'!B3:G28,MATCH(24,B4:B29,0),5)</f>
        <v>335</v>
      </c>
      <c r="H27" s="24">
        <f>INDEX('9_oferty p.'!B3:G28,MATCH(24,B4:B29,0),6)</f>
        <v>270</v>
      </c>
    </row>
    <row r="28" spans="2:8" x14ac:dyDescent="0.25">
      <c r="B28" s="24">
        <f>RANK('9_oferty p.'!C27,'9_oferty p.'!$C$3:'9_oferty p.'!$C$28,1)+COUNTIF('9_oferty p.'!$C$3:'9_oferty p.'!C27,'9_oferty p.'!C27)-1</f>
        <v>9</v>
      </c>
      <c r="C28" s="23" t="str">
        <f>INDEX('9_oferty p.'!B3:G28,MATCH(25,B4:B29,0),1)</f>
        <v>Rzeszów</v>
      </c>
      <c r="D28" s="24">
        <f>INDEX('9_oferty p.'!B3:G28,MATCH(25,B4:B29,0),2)</f>
        <v>790</v>
      </c>
      <c r="E28" s="25">
        <f>INDEX('9_oferty p.'!B3:G28,MATCH(25,B4:B29,0),3)</f>
        <v>730</v>
      </c>
      <c r="F28" s="24">
        <f>INDEX('9_oferty p.'!B3:G28,MATCH(25,B4:B29,0),4)</f>
        <v>60</v>
      </c>
      <c r="G28" s="25">
        <f>INDEX('9_oferty p.'!B3:G28,MATCH(25,B4:B29,0),5)</f>
        <v>454</v>
      </c>
      <c r="H28" s="24">
        <f>INDEX('9_oferty p.'!B3:G28,MATCH(25,B4:B29,0),6)</f>
        <v>336</v>
      </c>
    </row>
    <row r="29" spans="2:8" x14ac:dyDescent="0.25">
      <c r="B29" s="86">
        <f>RANK('9_oferty p.'!C28,'9_oferty p.'!$C$3:'9_oferty p.'!$C$28,1)+COUNTIF('9_oferty p.'!$C$3:'9_oferty p.'!C28,'9_oferty p.'!C28)-1</f>
        <v>26</v>
      </c>
      <c r="C29" s="87" t="str">
        <f>INDEX('9_oferty p.'!B3:G28,MATCH(26,B4:B29,0),1)</f>
        <v>województwo</v>
      </c>
      <c r="D29" s="86">
        <f>INDEX('9_oferty p.'!B3:G28,MATCH(26,B4:B29,0),2)</f>
        <v>4578</v>
      </c>
      <c r="E29" s="40">
        <f>INDEX('9_oferty p.'!B3:G28,MATCH(26,B4:B29,0),3)</f>
        <v>4512</v>
      </c>
      <c r="F29" s="86">
        <f>INDEX('9_oferty p.'!B3:G28,MATCH(26,B4:B29,0),4)</f>
        <v>66</v>
      </c>
      <c r="G29" s="40">
        <f>INDEX('9_oferty p.'!B3:G28,MATCH(26,B4:B29,0),5)</f>
        <v>3030</v>
      </c>
      <c r="H29" s="86">
        <f>INDEX('9_oferty p.'!B3:G28,MATCH(26,B4:B29,0),6)</f>
        <v>1548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K32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3" customWidth="1"/>
    <col min="2" max="2" width="22.5703125" style="13" customWidth="1"/>
    <col min="3" max="4" width="11.7109375" style="13" customWidth="1"/>
    <col min="5" max="5" width="16.28515625" style="13" customWidth="1"/>
    <col min="6" max="6" width="11.7109375" style="13" customWidth="1"/>
    <col min="7" max="7" width="15.85546875" style="13" customWidth="1"/>
    <col min="8" max="8" width="6.28515625" style="13" customWidth="1"/>
    <col min="9" max="9" width="7" style="13" customWidth="1"/>
    <col min="10" max="10" width="6.140625" style="13" customWidth="1"/>
    <col min="11" max="12" width="9.140625" style="13"/>
    <col min="13" max="13" width="7.140625" style="13" customWidth="1"/>
    <col min="14" max="16384" width="9.140625" style="13"/>
  </cols>
  <sheetData>
    <row r="1" spans="2:11" ht="20.25" customHeight="1" x14ac:dyDescent="0.25">
      <c r="B1" s="80" t="s">
        <v>96</v>
      </c>
      <c r="C1" s="78"/>
      <c r="D1" s="78"/>
      <c r="E1" s="78"/>
      <c r="F1" s="78"/>
      <c r="G1" s="78"/>
      <c r="H1" s="79"/>
      <c r="I1" s="79"/>
      <c r="J1" s="79"/>
      <c r="K1" s="79"/>
    </row>
    <row r="2" spans="2:11" ht="20.25" customHeight="1" x14ac:dyDescent="0.25">
      <c r="B2" s="81" t="s">
        <v>97</v>
      </c>
      <c r="C2" s="73"/>
      <c r="D2" s="73"/>
      <c r="E2" s="73"/>
      <c r="F2" s="73"/>
      <c r="G2" s="73"/>
      <c r="H2" s="79"/>
      <c r="I2" s="79"/>
      <c r="J2" s="79"/>
      <c r="K2" s="79"/>
    </row>
    <row r="3" spans="2:11" ht="45" x14ac:dyDescent="0.25">
      <c r="B3" s="20" t="s">
        <v>27</v>
      </c>
      <c r="C3" s="21" t="s">
        <v>123</v>
      </c>
      <c r="D3" s="22" t="s">
        <v>104</v>
      </c>
      <c r="E3" s="21" t="s">
        <v>28</v>
      </c>
      <c r="F3" s="22" t="s">
        <v>122</v>
      </c>
      <c r="G3" s="21" t="s">
        <v>26</v>
      </c>
    </row>
    <row r="4" spans="2:11" x14ac:dyDescent="0.25">
      <c r="B4" s="23" t="s">
        <v>0</v>
      </c>
      <c r="C4" s="46">
        <v>21</v>
      </c>
      <c r="D4" s="25">
        <v>38</v>
      </c>
      <c r="E4" s="46">
        <f t="shared" ref="E4:E28" si="0">SUM(C4)-D4</f>
        <v>-17</v>
      </c>
      <c r="F4" s="25">
        <v>35</v>
      </c>
      <c r="G4" s="46">
        <f t="shared" ref="G4:G28" si="1">SUM(C4)-F4</f>
        <v>-14</v>
      </c>
      <c r="H4" s="38"/>
    </row>
    <row r="5" spans="2:11" x14ac:dyDescent="0.25">
      <c r="B5" s="23" t="s">
        <v>1</v>
      </c>
      <c r="C5" s="46">
        <v>74</v>
      </c>
      <c r="D5" s="25">
        <v>69</v>
      </c>
      <c r="E5" s="46">
        <f t="shared" si="0"/>
        <v>5</v>
      </c>
      <c r="F5" s="25">
        <v>54</v>
      </c>
      <c r="G5" s="46">
        <f t="shared" si="1"/>
        <v>20</v>
      </c>
      <c r="H5" s="38"/>
    </row>
    <row r="6" spans="2:11" x14ac:dyDescent="0.25">
      <c r="B6" s="23" t="s">
        <v>2</v>
      </c>
      <c r="C6" s="46">
        <v>49</v>
      </c>
      <c r="D6" s="25">
        <v>79</v>
      </c>
      <c r="E6" s="46">
        <f t="shared" si="0"/>
        <v>-30</v>
      </c>
      <c r="F6" s="25">
        <v>25</v>
      </c>
      <c r="G6" s="46">
        <f t="shared" si="1"/>
        <v>24</v>
      </c>
      <c r="H6" s="38"/>
    </row>
    <row r="7" spans="2:11" x14ac:dyDescent="0.25">
      <c r="B7" s="23" t="s">
        <v>3</v>
      </c>
      <c r="C7" s="46">
        <v>117</v>
      </c>
      <c r="D7" s="25">
        <v>89</v>
      </c>
      <c r="E7" s="46">
        <f t="shared" si="0"/>
        <v>28</v>
      </c>
      <c r="F7" s="25">
        <v>54</v>
      </c>
      <c r="G7" s="46">
        <f t="shared" si="1"/>
        <v>63</v>
      </c>
      <c r="H7" s="38"/>
    </row>
    <row r="8" spans="2:11" x14ac:dyDescent="0.25">
      <c r="B8" s="23" t="s">
        <v>4</v>
      </c>
      <c r="C8" s="46">
        <v>114</v>
      </c>
      <c r="D8" s="25">
        <v>90</v>
      </c>
      <c r="E8" s="46">
        <f t="shared" si="0"/>
        <v>24</v>
      </c>
      <c r="F8" s="25">
        <v>34</v>
      </c>
      <c r="G8" s="46">
        <f t="shared" si="1"/>
        <v>80</v>
      </c>
      <c r="H8" s="38"/>
    </row>
    <row r="9" spans="2:11" x14ac:dyDescent="0.25">
      <c r="B9" s="23" t="s">
        <v>5</v>
      </c>
      <c r="C9" s="46">
        <v>73</v>
      </c>
      <c r="D9" s="25">
        <v>68</v>
      </c>
      <c r="E9" s="46">
        <f t="shared" si="0"/>
        <v>5</v>
      </c>
      <c r="F9" s="25">
        <v>49</v>
      </c>
      <c r="G9" s="46">
        <f t="shared" si="1"/>
        <v>24</v>
      </c>
      <c r="H9" s="38"/>
    </row>
    <row r="10" spans="2:11" x14ac:dyDescent="0.25">
      <c r="B10" s="26" t="s">
        <v>6</v>
      </c>
      <c r="C10" s="46">
        <v>30</v>
      </c>
      <c r="D10" s="25">
        <v>21</v>
      </c>
      <c r="E10" s="46">
        <f t="shared" si="0"/>
        <v>9</v>
      </c>
      <c r="F10" s="25">
        <v>15</v>
      </c>
      <c r="G10" s="46">
        <f t="shared" si="1"/>
        <v>15</v>
      </c>
      <c r="H10" s="38"/>
    </row>
    <row r="11" spans="2:11" x14ac:dyDescent="0.25">
      <c r="B11" s="23" t="s">
        <v>7</v>
      </c>
      <c r="C11" s="46">
        <v>13</v>
      </c>
      <c r="D11" s="25">
        <v>41</v>
      </c>
      <c r="E11" s="46">
        <f t="shared" si="0"/>
        <v>-28</v>
      </c>
      <c r="F11" s="25">
        <v>36</v>
      </c>
      <c r="G11" s="46">
        <f t="shared" si="1"/>
        <v>-23</v>
      </c>
      <c r="H11" s="38"/>
    </row>
    <row r="12" spans="2:11" x14ac:dyDescent="0.25">
      <c r="B12" s="23" t="s">
        <v>8</v>
      </c>
      <c r="C12" s="46">
        <v>106</v>
      </c>
      <c r="D12" s="25">
        <v>45</v>
      </c>
      <c r="E12" s="46">
        <f t="shared" si="0"/>
        <v>61</v>
      </c>
      <c r="F12" s="25">
        <v>19</v>
      </c>
      <c r="G12" s="46">
        <f t="shared" si="1"/>
        <v>87</v>
      </c>
      <c r="H12" s="38"/>
    </row>
    <row r="13" spans="2:11" x14ac:dyDescent="0.25">
      <c r="B13" s="23" t="s">
        <v>9</v>
      </c>
      <c r="C13" s="46">
        <v>56</v>
      </c>
      <c r="D13" s="25">
        <v>54</v>
      </c>
      <c r="E13" s="46">
        <f t="shared" si="0"/>
        <v>2</v>
      </c>
      <c r="F13" s="25">
        <v>41</v>
      </c>
      <c r="G13" s="46">
        <f t="shared" si="1"/>
        <v>15</v>
      </c>
      <c r="H13" s="38"/>
    </row>
    <row r="14" spans="2:11" x14ac:dyDescent="0.25">
      <c r="B14" s="23" t="s">
        <v>10</v>
      </c>
      <c r="C14" s="46">
        <v>62</v>
      </c>
      <c r="D14" s="25">
        <v>63</v>
      </c>
      <c r="E14" s="46">
        <f t="shared" si="0"/>
        <v>-1</v>
      </c>
      <c r="F14" s="25">
        <v>52</v>
      </c>
      <c r="G14" s="46">
        <f t="shared" si="1"/>
        <v>10</v>
      </c>
      <c r="H14" s="38"/>
    </row>
    <row r="15" spans="2:11" x14ac:dyDescent="0.25">
      <c r="B15" s="23" t="s">
        <v>11</v>
      </c>
      <c r="C15" s="46">
        <v>115</v>
      </c>
      <c r="D15" s="25">
        <v>138</v>
      </c>
      <c r="E15" s="46">
        <f t="shared" si="0"/>
        <v>-23</v>
      </c>
      <c r="F15" s="25">
        <v>56</v>
      </c>
      <c r="G15" s="46">
        <f t="shared" si="1"/>
        <v>59</v>
      </c>
      <c r="H15" s="38"/>
    </row>
    <row r="16" spans="2:11" x14ac:dyDescent="0.25">
      <c r="B16" s="23" t="s">
        <v>12</v>
      </c>
      <c r="C16" s="46">
        <v>83</v>
      </c>
      <c r="D16" s="25">
        <v>96</v>
      </c>
      <c r="E16" s="46">
        <f t="shared" si="0"/>
        <v>-13</v>
      </c>
      <c r="F16" s="25">
        <v>101</v>
      </c>
      <c r="G16" s="46">
        <f t="shared" si="1"/>
        <v>-18</v>
      </c>
      <c r="H16" s="38"/>
    </row>
    <row r="17" spans="2:8" x14ac:dyDescent="0.25">
      <c r="B17" s="23" t="s">
        <v>13</v>
      </c>
      <c r="C17" s="46">
        <v>22</v>
      </c>
      <c r="D17" s="25">
        <v>28</v>
      </c>
      <c r="E17" s="46">
        <f t="shared" si="0"/>
        <v>-6</v>
      </c>
      <c r="F17" s="25">
        <v>10</v>
      </c>
      <c r="G17" s="46">
        <f t="shared" si="1"/>
        <v>12</v>
      </c>
      <c r="H17" s="38"/>
    </row>
    <row r="18" spans="2:8" x14ac:dyDescent="0.25">
      <c r="B18" s="23" t="s">
        <v>14</v>
      </c>
      <c r="C18" s="46">
        <v>89</v>
      </c>
      <c r="D18" s="25">
        <v>145</v>
      </c>
      <c r="E18" s="46">
        <f t="shared" si="0"/>
        <v>-56</v>
      </c>
      <c r="F18" s="25">
        <v>143</v>
      </c>
      <c r="G18" s="46">
        <f t="shared" si="1"/>
        <v>-54</v>
      </c>
      <c r="H18" s="38"/>
    </row>
    <row r="19" spans="2:8" x14ac:dyDescent="0.25">
      <c r="B19" s="23" t="s">
        <v>15</v>
      </c>
      <c r="C19" s="46">
        <v>61</v>
      </c>
      <c r="D19" s="25">
        <v>69</v>
      </c>
      <c r="E19" s="46">
        <f t="shared" si="0"/>
        <v>-8</v>
      </c>
      <c r="F19" s="25">
        <v>76</v>
      </c>
      <c r="G19" s="46">
        <f t="shared" si="1"/>
        <v>-15</v>
      </c>
      <c r="H19" s="38"/>
    </row>
    <row r="20" spans="2:8" x14ac:dyDescent="0.25">
      <c r="B20" s="23" t="s">
        <v>16</v>
      </c>
      <c r="C20" s="46">
        <v>65</v>
      </c>
      <c r="D20" s="25">
        <v>76</v>
      </c>
      <c r="E20" s="46">
        <f t="shared" si="0"/>
        <v>-11</v>
      </c>
      <c r="F20" s="25">
        <v>34</v>
      </c>
      <c r="G20" s="46">
        <f t="shared" si="1"/>
        <v>31</v>
      </c>
      <c r="H20" s="38"/>
    </row>
    <row r="21" spans="2:8" x14ac:dyDescent="0.25">
      <c r="B21" s="23" t="s">
        <v>17</v>
      </c>
      <c r="C21" s="46">
        <v>59</v>
      </c>
      <c r="D21" s="25">
        <v>55</v>
      </c>
      <c r="E21" s="46">
        <f t="shared" si="0"/>
        <v>4</v>
      </c>
      <c r="F21" s="25">
        <v>47</v>
      </c>
      <c r="G21" s="46">
        <f t="shared" si="1"/>
        <v>12</v>
      </c>
      <c r="H21" s="38"/>
    </row>
    <row r="22" spans="2:8" x14ac:dyDescent="0.25">
      <c r="B22" s="23" t="s">
        <v>18</v>
      </c>
      <c r="C22" s="46">
        <v>56</v>
      </c>
      <c r="D22" s="25">
        <v>58</v>
      </c>
      <c r="E22" s="46">
        <f t="shared" si="0"/>
        <v>-2</v>
      </c>
      <c r="F22" s="25">
        <v>57</v>
      </c>
      <c r="G22" s="46">
        <f t="shared" si="1"/>
        <v>-1</v>
      </c>
      <c r="H22" s="38"/>
    </row>
    <row r="23" spans="2:8" x14ac:dyDescent="0.25">
      <c r="B23" s="23" t="s">
        <v>19</v>
      </c>
      <c r="C23" s="46">
        <v>58</v>
      </c>
      <c r="D23" s="25">
        <v>80</v>
      </c>
      <c r="E23" s="46">
        <f t="shared" si="0"/>
        <v>-22</v>
      </c>
      <c r="F23" s="25">
        <v>64</v>
      </c>
      <c r="G23" s="46">
        <f t="shared" si="1"/>
        <v>-6</v>
      </c>
      <c r="H23" s="38"/>
    </row>
    <row r="24" spans="2:8" x14ac:dyDescent="0.25">
      <c r="B24" s="23" t="s">
        <v>20</v>
      </c>
      <c r="C24" s="46">
        <v>27</v>
      </c>
      <c r="D24" s="25">
        <v>30</v>
      </c>
      <c r="E24" s="46">
        <f t="shared" si="0"/>
        <v>-3</v>
      </c>
      <c r="F24" s="25">
        <v>35</v>
      </c>
      <c r="G24" s="46">
        <f t="shared" si="1"/>
        <v>-8</v>
      </c>
      <c r="H24" s="38"/>
    </row>
    <row r="25" spans="2:8" x14ac:dyDescent="0.25">
      <c r="B25" s="23" t="s">
        <v>21</v>
      </c>
      <c r="C25" s="46">
        <v>36</v>
      </c>
      <c r="D25" s="25">
        <v>27</v>
      </c>
      <c r="E25" s="46">
        <f t="shared" si="0"/>
        <v>9</v>
      </c>
      <c r="F25" s="25">
        <v>11</v>
      </c>
      <c r="G25" s="46">
        <f t="shared" si="1"/>
        <v>25</v>
      </c>
      <c r="H25" s="38"/>
    </row>
    <row r="26" spans="2:8" x14ac:dyDescent="0.25">
      <c r="B26" s="23" t="s">
        <v>22</v>
      </c>
      <c r="C26" s="46">
        <v>58</v>
      </c>
      <c r="D26" s="25">
        <v>43</v>
      </c>
      <c r="E26" s="46">
        <f t="shared" si="0"/>
        <v>15</v>
      </c>
      <c r="F26" s="25">
        <v>40</v>
      </c>
      <c r="G26" s="46">
        <f t="shared" si="1"/>
        <v>18</v>
      </c>
      <c r="H26" s="38"/>
    </row>
    <row r="27" spans="2:8" x14ac:dyDescent="0.25">
      <c r="B27" s="23" t="s">
        <v>23</v>
      </c>
      <c r="C27" s="46">
        <v>90</v>
      </c>
      <c r="D27" s="25">
        <v>110</v>
      </c>
      <c r="E27" s="46">
        <f t="shared" si="0"/>
        <v>-20</v>
      </c>
      <c r="F27" s="25">
        <v>41</v>
      </c>
      <c r="G27" s="46">
        <f t="shared" si="1"/>
        <v>49</v>
      </c>
      <c r="H27" s="38"/>
    </row>
    <row r="28" spans="2:8" x14ac:dyDescent="0.25">
      <c r="B28" s="23" t="s">
        <v>24</v>
      </c>
      <c r="C28" s="46">
        <v>22</v>
      </c>
      <c r="D28" s="25">
        <v>63</v>
      </c>
      <c r="E28" s="46">
        <f t="shared" si="0"/>
        <v>-41</v>
      </c>
      <c r="F28" s="25">
        <v>64</v>
      </c>
      <c r="G28" s="46">
        <f t="shared" si="1"/>
        <v>-42</v>
      </c>
      <c r="H28" s="38"/>
    </row>
    <row r="29" spans="2:8" x14ac:dyDescent="0.25">
      <c r="B29" s="27" t="s">
        <v>25</v>
      </c>
      <c r="C29" s="47">
        <f>SUM(C4:C28)</f>
        <v>1556</v>
      </c>
      <c r="D29" s="40">
        <f>SUM(D4:D28)</f>
        <v>1675</v>
      </c>
      <c r="E29" s="47">
        <f>SUM(E4:E28)</f>
        <v>-119</v>
      </c>
      <c r="F29" s="40">
        <f>SUM(F4:F28)</f>
        <v>1193</v>
      </c>
      <c r="G29" s="47">
        <f>SUM(G4:G28)</f>
        <v>363</v>
      </c>
      <c r="H29" s="38"/>
    </row>
    <row r="30" spans="2:8" ht="12" customHeight="1" x14ac:dyDescent="0.25">
      <c r="B30" s="48"/>
      <c r="E30" s="38"/>
      <c r="G30" s="38"/>
    </row>
    <row r="31" spans="2:8" ht="9" customHeight="1" x14ac:dyDescent="0.25">
      <c r="B31" s="48"/>
    </row>
    <row r="32" spans="2:8" ht="12.75" customHeight="1" x14ac:dyDescent="0.25">
      <c r="B32" s="48"/>
    </row>
  </sheetData>
  <printOptions horizontalCentered="1" verticalCentered="1"/>
  <pageMargins left="0.31496062992125984" right="0.31496062992125984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30"/>
  <sheetViews>
    <sheetView zoomScale="90" zoomScaleNormal="90" workbookViewId="0">
      <selection activeCell="B1" sqref="B1"/>
    </sheetView>
  </sheetViews>
  <sheetFormatPr defaultRowHeight="15" x14ac:dyDescent="0.25"/>
  <cols>
    <col min="1" max="1" width="1.5703125" style="13" customWidth="1"/>
    <col min="2" max="2" width="6.85546875" style="13" customWidth="1"/>
    <col min="3" max="3" width="21.7109375" style="13" customWidth="1"/>
    <col min="4" max="5" width="14.42578125" style="13" customWidth="1"/>
    <col min="6" max="6" width="13.5703125" style="13" customWidth="1"/>
    <col min="7" max="7" width="14.7109375" style="13" customWidth="1"/>
    <col min="8" max="8" width="14.42578125" style="13" customWidth="1"/>
    <col min="9" max="9" width="2.5703125" style="13" customWidth="1"/>
    <col min="10" max="19" width="9.140625" style="13"/>
    <col min="20" max="20" width="2.7109375" style="13" customWidth="1"/>
    <col min="21" max="16384" width="9.140625" style="13"/>
  </cols>
  <sheetData>
    <row r="1" spans="2:8" ht="18.75" x14ac:dyDescent="0.25">
      <c r="B1" s="58" t="s">
        <v>33</v>
      </c>
    </row>
    <row r="2" spans="2:8" ht="18.75" x14ac:dyDescent="0.3">
      <c r="C2" s="58"/>
      <c r="D2" s="60"/>
    </row>
    <row r="3" spans="2:8" ht="69" customHeight="1" x14ac:dyDescent="0.25">
      <c r="B3" s="64" t="s">
        <v>91</v>
      </c>
      <c r="C3" s="20" t="str">
        <f>T('1_bezr.'!B2)</f>
        <v>powiaty</v>
      </c>
      <c r="D3" s="21" t="str">
        <f>T('1_bezr.'!C2)</f>
        <v>liczba bezrobotnych ogółem stan na 30 VI '21 r.</v>
      </c>
      <c r="E3" s="22" t="str">
        <f>T('1_bezr.'!D2)</f>
        <v>liczba bezrobotnych ogółem stan na 31 V '21 r.</v>
      </c>
      <c r="F3" s="21" t="str">
        <f>T('1_bezr.'!E2)</f>
        <v>wzrost/spadek do miesiąca poprzedniego</v>
      </c>
      <c r="G3" s="22" t="str">
        <f>T('1_bezr.'!F2)</f>
        <v>liczba bezrobotnych ogółem stan na 30 VI '20 r.</v>
      </c>
      <c r="H3" s="21" t="str">
        <f>T('1_bezr.'!G2)</f>
        <v>wzrost/spadek do analogicznego okresu ubr.</v>
      </c>
    </row>
    <row r="4" spans="2:8" x14ac:dyDescent="0.25">
      <c r="B4" s="24">
        <f>RANK('1_bezr.'!C3,'1_bezr.'!$C$3:'1_bezr.'!$C$28,1)+COUNTIF('1_bezr.'!$C$3:'1_bezr.'!C3,'1_bezr.'!C3)-1</f>
        <v>2</v>
      </c>
      <c r="C4" s="23" t="str">
        <f>INDEX('1_bezr.'!B3:G28,MATCH(1,B4:B29,0),1)</f>
        <v>Krosno</v>
      </c>
      <c r="D4" s="30">
        <f>INDEX('1_bezr.'!B3:G28,MATCH(1,B4:B29,0),2)</f>
        <v>846</v>
      </c>
      <c r="E4" s="25">
        <f>INDEX('1_bezr.'!B3:G28,MATCH(1,B4:B29,0),3)</f>
        <v>878</v>
      </c>
      <c r="F4" s="24">
        <f>INDEX('1_bezr.'!B3:G28,MATCH(1,B4:B29,0),4)</f>
        <v>-32</v>
      </c>
      <c r="G4" s="25">
        <f>INDEX('1_bezr.'!B3:G28,MATCH(1,B4:B29,0),5)</f>
        <v>965</v>
      </c>
      <c r="H4" s="24">
        <f>INDEX('1_bezr.'!B3:G28,MATCH(1,B4:B29,0),6)</f>
        <v>-119</v>
      </c>
    </row>
    <row r="5" spans="2:8" x14ac:dyDescent="0.25">
      <c r="B5" s="24">
        <f>RANK('1_bezr.'!C4,'1_bezr.'!$C$3:'1_bezr.'!$C$28,1)+COUNTIF('1_bezr.'!$C$3:'1_bezr.'!C4,'1_bezr.'!C4)-1</f>
        <v>21</v>
      </c>
      <c r="C5" s="23" t="str">
        <f>INDEX('1_bezr.'!B3:G28,MATCH(2,B4:B29,0),1)</f>
        <v>bieszczadzki</v>
      </c>
      <c r="D5" s="24">
        <f>INDEX('1_bezr.'!B3:G28,MATCH(2,B4:B29,0),2)</f>
        <v>1157</v>
      </c>
      <c r="E5" s="25">
        <f>INDEX('1_bezr.'!B3:G28,MATCH(2,B4:B29,0),3)</f>
        <v>1204</v>
      </c>
      <c r="F5" s="24">
        <f>INDEX('1_bezr.'!B3:G28,MATCH(2,B4:B29,0),4)</f>
        <v>-47</v>
      </c>
      <c r="G5" s="25">
        <f>INDEX('1_bezr.'!B3:G28,MATCH(2,B4:B29,0),5)</f>
        <v>1256</v>
      </c>
      <c r="H5" s="24">
        <f>INDEX('1_bezr.'!B3:G28,MATCH(2,B4:B29,0),6)</f>
        <v>-99</v>
      </c>
    </row>
    <row r="6" spans="2:8" x14ac:dyDescent="0.25">
      <c r="B6" s="24">
        <f>RANK('1_bezr.'!C5,'1_bezr.'!$C$3:'1_bezr.'!$C$28,1)+COUNTIF('1_bezr.'!$C$3:'1_bezr.'!C5,'1_bezr.'!C5)-1</f>
        <v>12</v>
      </c>
      <c r="C6" s="23" t="str">
        <f>INDEX('1_bezr.'!B3:G28,MATCH(3,B4:B29,0),1)</f>
        <v>Tarnobrzeg</v>
      </c>
      <c r="D6" s="24">
        <f>INDEX('1_bezr.'!B3:G28,MATCH(3,B4:B29,0),2)</f>
        <v>1480</v>
      </c>
      <c r="E6" s="25">
        <f>INDEX('1_bezr.'!B3:G28,MATCH(3,B4:B29,0),3)</f>
        <v>1520</v>
      </c>
      <c r="F6" s="24">
        <f>INDEX('1_bezr.'!B3:G28,MATCH(3,B4:B29,0),4)</f>
        <v>-40</v>
      </c>
      <c r="G6" s="25">
        <f>INDEX('1_bezr.'!B3:G28,MATCH(3,B4:B29,0),5)</f>
        <v>1601</v>
      </c>
      <c r="H6" s="24">
        <f>INDEX('1_bezr.'!B3:G28,MATCH(3,B4:B29,0),6)</f>
        <v>-121</v>
      </c>
    </row>
    <row r="7" spans="2:8" x14ac:dyDescent="0.25">
      <c r="B7" s="24">
        <f>RANK('1_bezr.'!C6,'1_bezr.'!$C$3:'1_bezr.'!$C$28,1)+COUNTIF('1_bezr.'!$C$3:'1_bezr.'!C6,'1_bezr.'!C6)-1</f>
        <v>23</v>
      </c>
      <c r="C7" s="23" t="str">
        <f>INDEX('1_bezr.'!B3:G28,MATCH(4,B4:B29,0),1)</f>
        <v>leski</v>
      </c>
      <c r="D7" s="24">
        <f>INDEX('1_bezr.'!B3:G28,MATCH(4,B4:B29,0),2)</f>
        <v>1602</v>
      </c>
      <c r="E7" s="25">
        <f>INDEX('1_bezr.'!B3:G28,MATCH(4,B4:B29,0),3)</f>
        <v>1700</v>
      </c>
      <c r="F7" s="24">
        <f>INDEX('1_bezr.'!B3:G28,MATCH(4,B4:B29,0),4)</f>
        <v>-98</v>
      </c>
      <c r="G7" s="25">
        <f>INDEX('1_bezr.'!B3:G28,MATCH(4,B4:B29,0),5)</f>
        <v>1808</v>
      </c>
      <c r="H7" s="24">
        <f>INDEX('1_bezr.'!B3:G28,MATCH(4,B4:B29,0),6)</f>
        <v>-206</v>
      </c>
    </row>
    <row r="8" spans="2:8" x14ac:dyDescent="0.25">
      <c r="B8" s="24">
        <f>RANK('1_bezr.'!C7,'1_bezr.'!$C$3:'1_bezr.'!$C$28,1)+COUNTIF('1_bezr.'!$C$3:'1_bezr.'!C7,'1_bezr.'!C7)-1</f>
        <v>22</v>
      </c>
      <c r="C8" s="23" t="str">
        <f>INDEX('1_bezr.'!B3:G28,MATCH(5,B4:B29,0),1)</f>
        <v xml:space="preserve">tarnobrzeski </v>
      </c>
      <c r="D8" s="24">
        <f>INDEX('1_bezr.'!B3:G28,MATCH(5,B4:B29,0),2)</f>
        <v>1643</v>
      </c>
      <c r="E8" s="25">
        <f>INDEX('1_bezr.'!B3:G28,MATCH(5,B4:B29,0),3)</f>
        <v>1672</v>
      </c>
      <c r="F8" s="24">
        <f>INDEX('1_bezr.'!B3:G28,MATCH(5,B4:B29,0),4)</f>
        <v>-29</v>
      </c>
      <c r="G8" s="25">
        <f>INDEX('1_bezr.'!B3:G28,MATCH(5,B4:B29,0),5)</f>
        <v>1784</v>
      </c>
      <c r="H8" s="24">
        <f>INDEX('1_bezr.'!B3:G28,MATCH(5,B4:B29,0),6)</f>
        <v>-141</v>
      </c>
    </row>
    <row r="9" spans="2:8" x14ac:dyDescent="0.25">
      <c r="B9" s="24">
        <f>RANK('1_bezr.'!C8,'1_bezr.'!$C$3:'1_bezr.'!$C$28,1)+COUNTIF('1_bezr.'!$C$3:'1_bezr.'!C8,'1_bezr.'!C8)-1</f>
        <v>6</v>
      </c>
      <c r="C9" s="23" t="str">
        <f>INDEX('1_bezr.'!B3:G28,MATCH(6,B4:B29,0),1)</f>
        <v>kolbuszowski</v>
      </c>
      <c r="D9" s="24">
        <f>INDEX('1_bezr.'!B3:G28,MATCH(6,B4:B29,0),2)</f>
        <v>1850</v>
      </c>
      <c r="E9" s="25">
        <f>INDEX('1_bezr.'!B3:G28,MATCH(6,B4:B29,0),3)</f>
        <v>1967</v>
      </c>
      <c r="F9" s="24">
        <f>INDEX('1_bezr.'!B3:G28,MATCH(6,B4:B29,0),4)</f>
        <v>-117</v>
      </c>
      <c r="G9" s="25">
        <f>INDEX('1_bezr.'!B3:G28,MATCH(6,B4:B29,0),5)</f>
        <v>2116</v>
      </c>
      <c r="H9" s="24">
        <f>INDEX('1_bezr.'!B3:G28,MATCH(6,B4:B29,0),6)</f>
        <v>-266</v>
      </c>
    </row>
    <row r="10" spans="2:8" x14ac:dyDescent="0.25">
      <c r="B10" s="24">
        <f>RANK('1_bezr.'!C9,'1_bezr.'!$C$3:'1_bezr.'!$C$28,1)+COUNTIF('1_bezr.'!$C$3:'1_bezr.'!C9,'1_bezr.'!C9)-1</f>
        <v>8</v>
      </c>
      <c r="C10" s="26" t="str">
        <f>INDEX('1_bezr.'!B3:G28,MATCH(7,B4:B29,0),1)</f>
        <v>lubaczowski</v>
      </c>
      <c r="D10" s="24">
        <f>INDEX('1_bezr.'!B3:G28,MATCH(7,B4:B29,0),2)</f>
        <v>1965</v>
      </c>
      <c r="E10" s="25">
        <f>INDEX('1_bezr.'!B3:G28,MATCH(7,B4:B29,0),3)</f>
        <v>2078</v>
      </c>
      <c r="F10" s="24">
        <f>INDEX('1_bezr.'!B3:G28,MATCH(7,B4:B29,0),4)</f>
        <v>-113</v>
      </c>
      <c r="G10" s="25">
        <f>INDEX('1_bezr.'!B3:G28,MATCH(7,B4:B29,0),5)</f>
        <v>2115</v>
      </c>
      <c r="H10" s="24">
        <f>INDEX('1_bezr.'!B3:G28,MATCH(7,B4:B29,0),6)</f>
        <v>-150</v>
      </c>
    </row>
    <row r="11" spans="2:8" x14ac:dyDescent="0.25">
      <c r="B11" s="24">
        <f>RANK('1_bezr.'!C10,'1_bezr.'!$C$3:'1_bezr.'!$C$28,1)+COUNTIF('1_bezr.'!$C$3:'1_bezr.'!C10,'1_bezr.'!C10)-1</f>
        <v>4</v>
      </c>
      <c r="C11" s="23" t="str">
        <f>INDEX('1_bezr.'!B3:G28,MATCH(8,B4:B29,0),1)</f>
        <v>krośnieński</v>
      </c>
      <c r="D11" s="24">
        <f>INDEX('1_bezr.'!B3:G28,MATCH(8,B4:B29,0),2)</f>
        <v>2267</v>
      </c>
      <c r="E11" s="25">
        <f>INDEX('1_bezr.'!B3:G28,MATCH(8,B4:B29,0),3)</f>
        <v>2429</v>
      </c>
      <c r="F11" s="24">
        <f>INDEX('1_bezr.'!B3:G28,MATCH(8,B4:B29,0),4)</f>
        <v>-162</v>
      </c>
      <c r="G11" s="25">
        <f>INDEX('1_bezr.'!B3:G28,MATCH(8,B4:B29,0),5)</f>
        <v>2426</v>
      </c>
      <c r="H11" s="24">
        <f>INDEX('1_bezr.'!B3:G28,MATCH(8,B4:B29,0),6)</f>
        <v>-159</v>
      </c>
    </row>
    <row r="12" spans="2:8" x14ac:dyDescent="0.25">
      <c r="B12" s="24">
        <f>RANK('1_bezr.'!C11,'1_bezr.'!$C$3:'1_bezr.'!$C$28,1)+COUNTIF('1_bezr.'!$C$3:'1_bezr.'!C11,'1_bezr.'!C11)-1</f>
        <v>19</v>
      </c>
      <c r="C12" s="23" t="str">
        <f>INDEX('1_bezr.'!B3:G28,MATCH(9,B4:B29,0),1)</f>
        <v>stalowowolski</v>
      </c>
      <c r="D12" s="24">
        <f>INDEX('1_bezr.'!B3:G28,MATCH(9,B4:B29,0),2)</f>
        <v>2398</v>
      </c>
      <c r="E12" s="25">
        <f>INDEX('1_bezr.'!B3:G28,MATCH(9,B4:B29,0),3)</f>
        <v>2537</v>
      </c>
      <c r="F12" s="24">
        <f>INDEX('1_bezr.'!B3:G28,MATCH(9,B4:B29,0),4)</f>
        <v>-139</v>
      </c>
      <c r="G12" s="25">
        <f>INDEX('1_bezr.'!B3:G28,MATCH(9,B4:B29,0),5)</f>
        <v>2733</v>
      </c>
      <c r="H12" s="24">
        <f>INDEX('1_bezr.'!B3:G28,MATCH(9,B4:B29,0),6)</f>
        <v>-335</v>
      </c>
    </row>
    <row r="13" spans="2:8" x14ac:dyDescent="0.25">
      <c r="B13" s="24">
        <f>RANK('1_bezr.'!C12,'1_bezr.'!$C$3:'1_bezr.'!$C$28,1)+COUNTIF('1_bezr.'!$C$3:'1_bezr.'!C12,'1_bezr.'!C12)-1</f>
        <v>7</v>
      </c>
      <c r="C13" s="23" t="str">
        <f>INDEX('1_bezr.'!B3:G28,MATCH(10,B4:B29,0),1)</f>
        <v>sanocki</v>
      </c>
      <c r="D13" s="24">
        <f>INDEX('1_bezr.'!B3:G28,MATCH(10,B4:B29,0),2)</f>
        <v>2679</v>
      </c>
      <c r="E13" s="25">
        <f>INDEX('1_bezr.'!B3:G28,MATCH(10,B4:B29,0),3)</f>
        <v>2770</v>
      </c>
      <c r="F13" s="24">
        <f>INDEX('1_bezr.'!B3:G28,MATCH(10,B4:B29,0),4)</f>
        <v>-91</v>
      </c>
      <c r="G13" s="25">
        <f>INDEX('1_bezr.'!B3:G28,MATCH(10,B4:B29,0),5)</f>
        <v>3139</v>
      </c>
      <c r="H13" s="24">
        <f>INDEX('1_bezr.'!B3:G28,MATCH(10,B4:B29,0),6)</f>
        <v>-460</v>
      </c>
    </row>
    <row r="14" spans="2:8" x14ac:dyDescent="0.25">
      <c r="B14" s="24">
        <f>RANK('1_bezr.'!C13,'1_bezr.'!$C$3:'1_bezr.'!$C$28,1)+COUNTIF('1_bezr.'!$C$3:'1_bezr.'!C13,'1_bezr.'!C13)-1</f>
        <v>15</v>
      </c>
      <c r="C14" s="23" t="str">
        <f>INDEX('1_bezr.'!B3:G28,MATCH(11,B4:B29,0),1)</f>
        <v>Przemyśl</v>
      </c>
      <c r="D14" s="24">
        <f>INDEX('1_bezr.'!B3:G28,MATCH(11,B4:B29,0),2)</f>
        <v>2986</v>
      </c>
      <c r="E14" s="25">
        <f>INDEX('1_bezr.'!B3:G28,MATCH(11,B4:B29,0),3)</f>
        <v>3055</v>
      </c>
      <c r="F14" s="24">
        <f>INDEX('1_bezr.'!B3:G28,MATCH(11,B4:B29,0),4)</f>
        <v>-69</v>
      </c>
      <c r="G14" s="25">
        <f>INDEX('1_bezr.'!B3:G28,MATCH(11,B4:B29,0),5)</f>
        <v>3165</v>
      </c>
      <c r="H14" s="24">
        <f>INDEX('1_bezr.'!B3:G28,MATCH(11,B4:B29,0),6)</f>
        <v>-179</v>
      </c>
    </row>
    <row r="15" spans="2:8" x14ac:dyDescent="0.25">
      <c r="B15" s="24">
        <f>RANK('1_bezr.'!C14,'1_bezr.'!$C$3:'1_bezr.'!$C$28,1)+COUNTIF('1_bezr.'!$C$3:'1_bezr.'!C14,'1_bezr.'!C14)-1</f>
        <v>13</v>
      </c>
      <c r="C15" s="23" t="str">
        <f>INDEX('1_bezr.'!B3:G28,MATCH(12,B4:B29,0),1)</f>
        <v>dębicki</v>
      </c>
      <c r="D15" s="24">
        <f>INDEX('1_bezr.'!B3:G28,MATCH(12,B4:B29,0),2)</f>
        <v>3035</v>
      </c>
      <c r="E15" s="25">
        <f>INDEX('1_bezr.'!B3:G28,MATCH(12,B4:B29,0),3)</f>
        <v>3172</v>
      </c>
      <c r="F15" s="24">
        <f>INDEX('1_bezr.'!B3:G28,MATCH(12,B4:B29,0),4)</f>
        <v>-137</v>
      </c>
      <c r="G15" s="25">
        <f>INDEX('1_bezr.'!B3:G28,MATCH(12,B4:B29,0),5)</f>
        <v>3515</v>
      </c>
      <c r="H15" s="24">
        <f>INDEX('1_bezr.'!B3:G28,MATCH(12,B4:B29,0),6)</f>
        <v>-480</v>
      </c>
    </row>
    <row r="16" spans="2:8" x14ac:dyDescent="0.25">
      <c r="B16" s="24">
        <f>RANK('1_bezr.'!C15,'1_bezr.'!$C$3:'1_bezr.'!$C$28,1)+COUNTIF('1_bezr.'!$C$3:'1_bezr.'!C15,'1_bezr.'!C15)-1</f>
        <v>16</v>
      </c>
      <c r="C16" s="23" t="str">
        <f>INDEX('1_bezr.'!B3:G28,MATCH(13,B4:B29,0),1)</f>
        <v>mielecki</v>
      </c>
      <c r="D16" s="24">
        <f>INDEX('1_bezr.'!B3:G28,MATCH(13,B4:B29,0),2)</f>
        <v>3173</v>
      </c>
      <c r="E16" s="25">
        <f>INDEX('1_bezr.'!B3:G28,MATCH(13,B4:B29,0),3)</f>
        <v>3206</v>
      </c>
      <c r="F16" s="24">
        <f>INDEX('1_bezr.'!B3:G28,MATCH(13,B4:B29,0),4)</f>
        <v>-33</v>
      </c>
      <c r="G16" s="25">
        <f>INDEX('1_bezr.'!B3:G28,MATCH(13,B4:B29,0),5)</f>
        <v>3817</v>
      </c>
      <c r="H16" s="24">
        <f>INDEX('1_bezr.'!B3:G28,MATCH(13,B4:B29,0),6)</f>
        <v>-644</v>
      </c>
    </row>
    <row r="17" spans="2:8" x14ac:dyDescent="0.25">
      <c r="B17" s="24">
        <f>RANK('1_bezr.'!C16,'1_bezr.'!$C$3:'1_bezr.'!$C$28,1)+COUNTIF('1_bezr.'!$C$3:'1_bezr.'!C16,'1_bezr.'!C16)-1</f>
        <v>17</v>
      </c>
      <c r="C17" s="23" t="str">
        <f>INDEX('1_bezr.'!B3:G28,MATCH(14,B4:B29,0),1)</f>
        <v>ropczycko-sędziszowski</v>
      </c>
      <c r="D17" s="24">
        <f>INDEX('1_bezr.'!B3:G28,MATCH(14,B4:B29,0),2)</f>
        <v>3413</v>
      </c>
      <c r="E17" s="25">
        <f>INDEX('1_bezr.'!B3:G28,MATCH(14,B4:B29,0),3)</f>
        <v>3460</v>
      </c>
      <c r="F17" s="24">
        <f>INDEX('1_bezr.'!B3:G28,MATCH(14,B4:B29,0),4)</f>
        <v>-47</v>
      </c>
      <c r="G17" s="25">
        <f>INDEX('1_bezr.'!B3:G28,MATCH(14,B4:B29,0),5)</f>
        <v>3616</v>
      </c>
      <c r="H17" s="24">
        <f>INDEX('1_bezr.'!B3:G28,MATCH(14,B4:B29,0),6)</f>
        <v>-203</v>
      </c>
    </row>
    <row r="18" spans="2:8" x14ac:dyDescent="0.25">
      <c r="B18" s="24">
        <f>RANK('1_bezr.'!C17,'1_bezr.'!$C$3:'1_bezr.'!$C$28,1)+COUNTIF('1_bezr.'!$C$3:'1_bezr.'!C17,'1_bezr.'!C17)-1</f>
        <v>20</v>
      </c>
      <c r="C18" s="23" t="str">
        <f>INDEX('1_bezr.'!B3:G28,MATCH(15,B4:B29,0),1)</f>
        <v>łańcucki</v>
      </c>
      <c r="D18" s="24">
        <f>INDEX('1_bezr.'!B3:G28,MATCH(15,B4:B29,0),2)</f>
        <v>3419</v>
      </c>
      <c r="E18" s="25">
        <f>INDEX('1_bezr.'!B3:G28,MATCH(15,B4:B29,0),3)</f>
        <v>3469</v>
      </c>
      <c r="F18" s="24">
        <f>INDEX('1_bezr.'!B3:G28,MATCH(15,B4:B29,0),4)</f>
        <v>-50</v>
      </c>
      <c r="G18" s="25">
        <f>INDEX('1_bezr.'!B3:G28,MATCH(15,B4:B29,0),5)</f>
        <v>3462</v>
      </c>
      <c r="H18" s="24">
        <f>INDEX('1_bezr.'!B3:G28,MATCH(15,B4:B29,0),6)</f>
        <v>-43</v>
      </c>
    </row>
    <row r="19" spans="2:8" x14ac:dyDescent="0.25">
      <c r="B19" s="24">
        <f>RANK('1_bezr.'!C18,'1_bezr.'!$C$3:'1_bezr.'!$C$28,1)+COUNTIF('1_bezr.'!$C$3:'1_bezr.'!C18,'1_bezr.'!C18)-1</f>
        <v>14</v>
      </c>
      <c r="C19" s="23" t="str">
        <f>INDEX('1_bezr.'!B3:G28,MATCH(16,B4:B29,0),1)</f>
        <v>niżański</v>
      </c>
      <c r="D19" s="24">
        <f>INDEX('1_bezr.'!B3:G28,MATCH(16,B4:B29,0),2)</f>
        <v>3484</v>
      </c>
      <c r="E19" s="25">
        <f>INDEX('1_bezr.'!B3:G28,MATCH(16,B4:B29,0),3)</f>
        <v>3607</v>
      </c>
      <c r="F19" s="24">
        <f>INDEX('1_bezr.'!B3:G28,MATCH(16,B4:B29,0),4)</f>
        <v>-123</v>
      </c>
      <c r="G19" s="25">
        <f>INDEX('1_bezr.'!B3:G28,MATCH(16,B4:B29,0),5)</f>
        <v>3825</v>
      </c>
      <c r="H19" s="24">
        <f>INDEX('1_bezr.'!B3:G28,MATCH(16,B4:B29,0),6)</f>
        <v>-341</v>
      </c>
    </row>
    <row r="20" spans="2:8" x14ac:dyDescent="0.25">
      <c r="B20" s="24">
        <f>RANK('1_bezr.'!C19,'1_bezr.'!$C$3:'1_bezr.'!$C$28,1)+COUNTIF('1_bezr.'!$C$3:'1_bezr.'!C19,'1_bezr.'!C19)-1</f>
        <v>24</v>
      </c>
      <c r="C20" s="23" t="str">
        <f>INDEX('1_bezr.'!B3:G28,MATCH(17,B4:B29,0),1)</f>
        <v>przemyski</v>
      </c>
      <c r="D20" s="24">
        <f>INDEX('1_bezr.'!B3:G28,MATCH(17,B4:B29,0),2)</f>
        <v>3536</v>
      </c>
      <c r="E20" s="25">
        <f>INDEX('1_bezr.'!B3:G28,MATCH(17,B4:B29,0),3)</f>
        <v>3654</v>
      </c>
      <c r="F20" s="24">
        <f>INDEX('1_bezr.'!B3:G28,MATCH(17,B4:B29,0),4)</f>
        <v>-118</v>
      </c>
      <c r="G20" s="25">
        <f>INDEX('1_bezr.'!B3:G28,MATCH(17,B4:B29,0),5)</f>
        <v>3679</v>
      </c>
      <c r="H20" s="24">
        <f>INDEX('1_bezr.'!B3:G28,MATCH(17,B4:B29,0),6)</f>
        <v>-143</v>
      </c>
    </row>
    <row r="21" spans="2:8" x14ac:dyDescent="0.25">
      <c r="B21" s="24">
        <f>RANK('1_bezr.'!C20,'1_bezr.'!$C$3:'1_bezr.'!$C$28,1)+COUNTIF('1_bezr.'!$C$3:'1_bezr.'!C20,'1_bezr.'!C20)-1</f>
        <v>10</v>
      </c>
      <c r="C21" s="23" t="str">
        <f>INDEX('1_bezr.'!B3:G28,MATCH(18,B4:B29,0),1)</f>
        <v>strzyżowski</v>
      </c>
      <c r="D21" s="24">
        <f>INDEX('1_bezr.'!B3:G28,MATCH(18,B4:B29,0),2)</f>
        <v>3573</v>
      </c>
      <c r="E21" s="25">
        <f>INDEX('1_bezr.'!B3:G28,MATCH(18,B4:B29,0),3)</f>
        <v>3610</v>
      </c>
      <c r="F21" s="24">
        <f>INDEX('1_bezr.'!B3:G28,MATCH(18,B4:B29,0),4)</f>
        <v>-37</v>
      </c>
      <c r="G21" s="25">
        <f>INDEX('1_bezr.'!B3:G28,MATCH(18,B4:B29,0),5)</f>
        <v>3741</v>
      </c>
      <c r="H21" s="24">
        <f>INDEX('1_bezr.'!B3:G28,MATCH(18,B4:B29,0),6)</f>
        <v>-168</v>
      </c>
    </row>
    <row r="22" spans="2:8" x14ac:dyDescent="0.25">
      <c r="B22" s="24">
        <f>RANK('1_bezr.'!C21,'1_bezr.'!$C$3:'1_bezr.'!$C$28,1)+COUNTIF('1_bezr.'!$C$3:'1_bezr.'!C21,'1_bezr.'!C21)-1</f>
        <v>9</v>
      </c>
      <c r="C22" s="23" t="str">
        <f>INDEX('1_bezr.'!B3:G28,MATCH(19,B4:B29,0),1)</f>
        <v>leżajski</v>
      </c>
      <c r="D22" s="24">
        <f>INDEX('1_bezr.'!B3:G28,MATCH(19,B4:B29,0),2)</f>
        <v>3722</v>
      </c>
      <c r="E22" s="25">
        <f>INDEX('1_bezr.'!B3:G28,MATCH(19,B4:B29,0),3)</f>
        <v>3766</v>
      </c>
      <c r="F22" s="24">
        <f>INDEX('1_bezr.'!B3:G28,MATCH(19,B4:B29,0),4)</f>
        <v>-44</v>
      </c>
      <c r="G22" s="25">
        <f>INDEX('1_bezr.'!B3:G28,MATCH(19,B4:B29,0),5)</f>
        <v>3764</v>
      </c>
      <c r="H22" s="24">
        <f>INDEX('1_bezr.'!B3:G28,MATCH(19,B4:B29,0),6)</f>
        <v>-42</v>
      </c>
    </row>
    <row r="23" spans="2:8" x14ac:dyDescent="0.25">
      <c r="B23" s="24">
        <f>RANK('1_bezr.'!C22,'1_bezr.'!$C$3:'1_bezr.'!$C$28,1)+COUNTIF('1_bezr.'!$C$3:'1_bezr.'!C22,'1_bezr.'!C22)-1</f>
        <v>18</v>
      </c>
      <c r="C23" s="23" t="str">
        <f>INDEX('1_bezr.'!B3:G28,MATCH(20,B4:B29,0),1)</f>
        <v>przeworski</v>
      </c>
      <c r="D23" s="24">
        <f>INDEX('1_bezr.'!B3:G28,MATCH(20,B4:B29,0),2)</f>
        <v>3789</v>
      </c>
      <c r="E23" s="25">
        <f>INDEX('1_bezr.'!B3:G28,MATCH(20,B4:B29,0),3)</f>
        <v>3866</v>
      </c>
      <c r="F23" s="24">
        <f>INDEX('1_bezr.'!B3:G28,MATCH(20,B4:B29,0),4)</f>
        <v>-77</v>
      </c>
      <c r="G23" s="25">
        <f>INDEX('1_bezr.'!B3:G28,MATCH(20,B4:B29,0),5)</f>
        <v>4065</v>
      </c>
      <c r="H23" s="24">
        <f>INDEX('1_bezr.'!B3:G28,MATCH(20,B4:B29,0),6)</f>
        <v>-276</v>
      </c>
    </row>
    <row r="24" spans="2:8" x14ac:dyDescent="0.25">
      <c r="B24" s="24">
        <f>RANK('1_bezr.'!C23,'1_bezr.'!$C$3:'1_bezr.'!$C$28,1)+COUNTIF('1_bezr.'!$C$3:'1_bezr.'!C23,'1_bezr.'!C23)-1</f>
        <v>5</v>
      </c>
      <c r="C24" s="23" t="str">
        <f>INDEX('1_bezr.'!B3:G28,MATCH(21,B4:B29,0),1)</f>
        <v>brzozowski</v>
      </c>
      <c r="D24" s="24">
        <f>INDEX('1_bezr.'!B3:G28,MATCH(21,B4:B29,0),2)</f>
        <v>4057</v>
      </c>
      <c r="E24" s="25">
        <f>INDEX('1_bezr.'!B3:G28,MATCH(21,B4:B29,0),3)</f>
        <v>4172</v>
      </c>
      <c r="F24" s="24">
        <f>INDEX('1_bezr.'!B3:G28,MATCH(21,B4:B29,0),4)</f>
        <v>-115</v>
      </c>
      <c r="G24" s="25">
        <f>INDEX('1_bezr.'!B3:G28,MATCH(21,B4:B29,0),5)</f>
        <v>4406</v>
      </c>
      <c r="H24" s="24">
        <f>INDEX('1_bezr.'!B3:G28,MATCH(21,B4:B29,0),6)</f>
        <v>-349</v>
      </c>
    </row>
    <row r="25" spans="2:8" x14ac:dyDescent="0.25">
      <c r="B25" s="24">
        <f>RANK('1_bezr.'!C24,'1_bezr.'!$C$3:'1_bezr.'!$C$28,1)+COUNTIF('1_bezr.'!$C$3:'1_bezr.'!C24,'1_bezr.'!C24)-1</f>
        <v>1</v>
      </c>
      <c r="C25" s="23" t="str">
        <f>INDEX('1_bezr.'!B3:G28,MATCH(22,B4:B29,0),1)</f>
        <v>jasielski</v>
      </c>
      <c r="D25" s="24">
        <f>INDEX('1_bezr.'!B3:G28,MATCH(22,B4:B29,0),2)</f>
        <v>5581</v>
      </c>
      <c r="E25" s="25">
        <f>INDEX('1_bezr.'!B3:G28,MATCH(22,B4:B29,0),3)</f>
        <v>5642</v>
      </c>
      <c r="F25" s="24">
        <f>INDEX('1_bezr.'!B3:G28,MATCH(22,B4:B29,0),4)</f>
        <v>-61</v>
      </c>
      <c r="G25" s="25">
        <f>INDEX('1_bezr.'!B3:G28,MATCH(22,B4:B29,0),5)</f>
        <v>5553</v>
      </c>
      <c r="H25" s="24">
        <f>INDEX('1_bezr.'!B3:G28,MATCH(22,B4:B29,0),6)</f>
        <v>28</v>
      </c>
    </row>
    <row r="26" spans="2:8" x14ac:dyDescent="0.25">
      <c r="B26" s="24">
        <f>RANK('1_bezr.'!C25,'1_bezr.'!$C$3:'1_bezr.'!$C$28,1)+COUNTIF('1_bezr.'!$C$3:'1_bezr.'!C25,'1_bezr.'!C25)-1</f>
        <v>11</v>
      </c>
      <c r="C26" s="23" t="str">
        <f>INDEX('1_bezr.'!B3:G28,MATCH(23,B4:B29,0),1)</f>
        <v>jarosławski</v>
      </c>
      <c r="D26" s="24">
        <f>INDEX('1_bezr.'!B3:G28,MATCH(23,B4:B29,0),2)</f>
        <v>5829</v>
      </c>
      <c r="E26" s="25">
        <f>INDEX('1_bezr.'!B3:G28,MATCH(23,B4:B29,0),3)</f>
        <v>6030</v>
      </c>
      <c r="F26" s="24">
        <f>INDEX('1_bezr.'!B3:G28,MATCH(23,B4:B29,0),4)</f>
        <v>-201</v>
      </c>
      <c r="G26" s="25">
        <f>INDEX('1_bezr.'!B3:G28,MATCH(23,B4:B29,0),5)</f>
        <v>5960</v>
      </c>
      <c r="H26" s="24">
        <f>INDEX('1_bezr.'!B3:G28,MATCH(23,B4:B29,0),6)</f>
        <v>-131</v>
      </c>
    </row>
    <row r="27" spans="2:8" x14ac:dyDescent="0.25">
      <c r="B27" s="24">
        <f>RANK('1_bezr.'!C26,'1_bezr.'!$C$3:'1_bezr.'!$C$28,1)+COUNTIF('1_bezr.'!$C$3:'1_bezr.'!C26,'1_bezr.'!C26)-1</f>
        <v>25</v>
      </c>
      <c r="C27" s="23" t="str">
        <f>INDEX('1_bezr.'!B3:G28,MATCH(24,B4:B29,0),1)</f>
        <v>rzeszowski</v>
      </c>
      <c r="D27" s="24">
        <f>INDEX('1_bezr.'!B3:G28,MATCH(24,B4:B29,0),2)</f>
        <v>6285</v>
      </c>
      <c r="E27" s="25">
        <f>INDEX('1_bezr.'!B3:G28,MATCH(24,B4:B29,0),3)</f>
        <v>6479</v>
      </c>
      <c r="F27" s="24">
        <f>INDEX('1_bezr.'!B3:G28,MATCH(24,B4:B29,0),4)</f>
        <v>-194</v>
      </c>
      <c r="G27" s="25">
        <f>INDEX('1_bezr.'!B3:G28,MATCH(24,B4:B29,0),5)</f>
        <v>6467</v>
      </c>
      <c r="H27" s="24">
        <f>INDEX('1_bezr.'!B3:G28,MATCH(24,B4:B29,0),6)</f>
        <v>-182</v>
      </c>
    </row>
    <row r="28" spans="2:8" x14ac:dyDescent="0.25">
      <c r="B28" s="24">
        <f>RANK('1_bezr.'!C27,'1_bezr.'!$C$3:'1_bezr.'!$C$28,1)+COUNTIF('1_bezr.'!$C$3:'1_bezr.'!C27,'1_bezr.'!C27)-1</f>
        <v>3</v>
      </c>
      <c r="C28" s="23" t="str">
        <f>INDEX('1_bezr.'!B3:G28,MATCH(25,B4:B29,0),1)</f>
        <v>Rzeszów</v>
      </c>
      <c r="D28" s="24">
        <f>INDEX('1_bezr.'!B3:G28,MATCH(25,B4:B29,0),2)</f>
        <v>7175</v>
      </c>
      <c r="E28" s="25">
        <f>INDEX('1_bezr.'!B3:G28,MATCH(25,B4:B29,0),3)</f>
        <v>7316</v>
      </c>
      <c r="F28" s="24">
        <f>INDEX('1_bezr.'!B3:G28,MATCH(25,B4:B29,0),4)</f>
        <v>-141</v>
      </c>
      <c r="G28" s="25">
        <f>INDEX('1_bezr.'!B3:G28,MATCH(25,B4:B29,0),5)</f>
        <v>7181</v>
      </c>
      <c r="H28" s="24">
        <f>INDEX('1_bezr.'!B3:G28,MATCH(25,B4:B29,0),6)</f>
        <v>-6</v>
      </c>
    </row>
    <row r="29" spans="2:8" x14ac:dyDescent="0.25">
      <c r="B29" s="86">
        <f>RANK('1_bezr.'!C28,'1_bezr.'!$C$3:'1_bezr.'!$C$28,1)+COUNTIF('1_bezr.'!$C$3:'1_bezr.'!C28,'1_bezr.'!C28)-1</f>
        <v>26</v>
      </c>
      <c r="C29" s="87" t="str">
        <f>INDEX('1_bezr.'!B3:G28,MATCH(26,B4:B29,0),1)</f>
        <v>województwo</v>
      </c>
      <c r="D29" s="86">
        <f>INDEX('1_bezr.'!B3:G28,MATCH(26,B4:B29,0),2)</f>
        <v>80944</v>
      </c>
      <c r="E29" s="40">
        <f>INDEX('1_bezr.'!B3:G28,MATCH(26,B4:B29,0),3)</f>
        <v>83259</v>
      </c>
      <c r="F29" s="86">
        <f>INDEX('1_bezr.'!B3:G28,MATCH(26,B4:B29,0),4)</f>
        <v>-2315</v>
      </c>
      <c r="G29" s="40">
        <f>INDEX('1_bezr.'!B3:G28,MATCH(26,B4:B29,0),5)</f>
        <v>86159</v>
      </c>
      <c r="H29" s="86">
        <f>INDEX('1_bezr.'!B3:G28,MATCH(26,B4:B29,0),6)</f>
        <v>-5215</v>
      </c>
    </row>
    <row r="30" spans="2:8" x14ac:dyDescent="0.25">
      <c r="F30" s="30"/>
      <c r="H30" s="30"/>
    </row>
  </sheetData>
  <pageMargins left="0" right="0" top="0.31496062992125984" bottom="0.31496062992125984" header="0" footer="0"/>
  <pageSetup paperSize="9" scale="71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29"/>
  <sheetViews>
    <sheetView zoomScale="90" zoomScaleNormal="90" workbookViewId="0">
      <selection activeCell="B1" sqref="B1"/>
    </sheetView>
  </sheetViews>
  <sheetFormatPr defaultRowHeight="15" x14ac:dyDescent="0.25"/>
  <cols>
    <col min="1" max="1" width="3" style="1" customWidth="1"/>
    <col min="2" max="2" width="7.140625" style="1" customWidth="1"/>
    <col min="3" max="3" width="23.5703125" style="1" customWidth="1"/>
    <col min="4" max="4" width="11.7109375" style="1" customWidth="1"/>
    <col min="5" max="5" width="10.140625" style="1" customWidth="1"/>
    <col min="6" max="6" width="15" style="1" customWidth="1"/>
    <col min="7" max="7" width="11.28515625" style="1" customWidth="1"/>
    <col min="8" max="8" width="16" style="1" customWidth="1"/>
    <col min="9" max="9" width="5.5703125" style="1" customWidth="1"/>
    <col min="10" max="10" width="4.5703125" style="1" customWidth="1"/>
    <col min="11" max="19" width="9.140625" style="1"/>
    <col min="20" max="20" width="4.5703125" style="1" customWidth="1"/>
    <col min="21" max="16384" width="9.140625" style="1"/>
  </cols>
  <sheetData>
    <row r="1" spans="2:8" ht="18.75" customHeight="1" x14ac:dyDescent="0.25">
      <c r="B1" s="76" t="s">
        <v>90</v>
      </c>
      <c r="C1" s="76"/>
      <c r="D1" s="76"/>
      <c r="E1" s="76"/>
      <c r="F1" s="76"/>
      <c r="G1" s="76"/>
      <c r="H1" s="76"/>
    </row>
    <row r="2" spans="2:8" ht="18.75" x14ac:dyDescent="0.3">
      <c r="B2" s="13"/>
      <c r="C2" s="58"/>
      <c r="D2" s="60"/>
      <c r="E2" s="13"/>
      <c r="F2" s="13"/>
      <c r="G2" s="13"/>
      <c r="H2" s="13"/>
    </row>
    <row r="3" spans="2:8" ht="45" x14ac:dyDescent="0.25">
      <c r="B3" s="64" t="s">
        <v>91</v>
      </c>
      <c r="C3" s="20" t="str">
        <f>T('10_oferty s.'!B3)</f>
        <v>powiaty</v>
      </c>
      <c r="D3" s="20" t="str">
        <f>T('10_oferty s.'!C3)</f>
        <v>liczba ofert w VI '21 r.</v>
      </c>
      <c r="E3" s="20" t="str">
        <f>T('10_oferty s.'!D3)</f>
        <v>liczba ofert w V '21 r.</v>
      </c>
      <c r="F3" s="20" t="str">
        <f>T('10_oferty s.'!E3)</f>
        <v>wzrost/spadek do poprzedniego  miesiąca</v>
      </c>
      <c r="G3" s="20" t="str">
        <f>T('10_oferty s.'!F3)</f>
        <v>liczba ofert w VI '20 r.</v>
      </c>
      <c r="H3" s="20" t="str">
        <f>T('10_oferty s.'!G3)</f>
        <v>wzrost/spadek do analogicznego okresu ubr.</v>
      </c>
    </row>
    <row r="4" spans="2:8" x14ac:dyDescent="0.25">
      <c r="B4" s="24">
        <f>RANK('10_oferty s.'!C4,'10_oferty s.'!$C$4:'10_oferty s.'!$C$29,1)+COUNTIF('10_oferty s.'!$C$4:'10_oferty s.'!C4,'10_oferty s.'!C4)-1</f>
        <v>2</v>
      </c>
      <c r="C4" s="23" t="str">
        <f>INDEX('10_oferty s.'!B4:G29,MATCH(1,B4:B29,0),1)</f>
        <v>leski</v>
      </c>
      <c r="D4" s="12">
        <f>INDEX('10_oferty s.'!B4:G29,MATCH(1,B4:B29,0),2)</f>
        <v>13</v>
      </c>
      <c r="E4" s="25">
        <f>INDEX('10_oferty s.'!B4:G29,MATCH(1,B4:B29,0),3)</f>
        <v>41</v>
      </c>
      <c r="F4" s="24">
        <f>INDEX('10_oferty s.'!B4:G29,MATCH(1,B4:B29,0),4)</f>
        <v>-28</v>
      </c>
      <c r="G4" s="25">
        <f>INDEX('10_oferty s.'!B4:G29,MATCH(1,B4:B29,0),5)</f>
        <v>36</v>
      </c>
      <c r="H4" s="24">
        <f>INDEX('10_oferty s.'!B4:G29,MATCH(1,B4:B29,0),6)</f>
        <v>-23</v>
      </c>
    </row>
    <row r="5" spans="2:8" x14ac:dyDescent="0.25">
      <c r="B5" s="24">
        <f>RANK('10_oferty s.'!C5,'10_oferty s.'!$C$4:'10_oferty s.'!$C$29,1)+COUNTIF('10_oferty s.'!$C$4:'10_oferty s.'!C5,'10_oferty s.'!C5)-1</f>
        <v>18</v>
      </c>
      <c r="C5" s="23" t="str">
        <f>INDEX('10_oferty s.'!B4:G29,MATCH(2,B4:B29,0),1)</f>
        <v>bieszczadzki</v>
      </c>
      <c r="D5" s="24">
        <f>INDEX('10_oferty s.'!B4:G29,MATCH(2,B4:B29,0),2)</f>
        <v>21</v>
      </c>
      <c r="E5" s="25">
        <f>INDEX('10_oferty s.'!B4:G29,MATCH(2,B4:B29,0),3)</f>
        <v>38</v>
      </c>
      <c r="F5" s="24">
        <f>INDEX('10_oferty s.'!B4:G29,MATCH(2,B4:B29,0),4)</f>
        <v>-17</v>
      </c>
      <c r="G5" s="25">
        <f>INDEX('10_oferty s.'!B4:G29,MATCH(2,B4:B29,0),5)</f>
        <v>35</v>
      </c>
      <c r="H5" s="24">
        <f>INDEX('10_oferty s.'!B4:G29,MATCH(2,B4:B29,0),6)</f>
        <v>-14</v>
      </c>
    </row>
    <row r="6" spans="2:8" x14ac:dyDescent="0.25">
      <c r="B6" s="24">
        <f>RANK('10_oferty s.'!C6,'10_oferty s.'!$C$4:'10_oferty s.'!$C$29,1)+COUNTIF('10_oferty s.'!$C$4:'10_oferty s.'!C6,'10_oferty s.'!C6)-1</f>
        <v>8</v>
      </c>
      <c r="C6" s="23" t="str">
        <f>INDEX('10_oferty s.'!B4:G29,MATCH(3,B4:B29,0),1)</f>
        <v>przemyski</v>
      </c>
      <c r="D6" s="24">
        <f>INDEX('10_oferty s.'!B4:G29,MATCH(3,B4:B29,0),2)</f>
        <v>22</v>
      </c>
      <c r="E6" s="25">
        <f>INDEX('10_oferty s.'!B4:G29,MATCH(3,B4:B29,0),3)</f>
        <v>28</v>
      </c>
      <c r="F6" s="24">
        <f>INDEX('10_oferty s.'!B4:G29,MATCH(3,B4:B29,0),4)</f>
        <v>-6</v>
      </c>
      <c r="G6" s="25">
        <f>INDEX('10_oferty s.'!B4:G29,MATCH(3,B4:B29,0),5)</f>
        <v>10</v>
      </c>
      <c r="H6" s="24">
        <f>INDEX('10_oferty s.'!B4:G29,MATCH(3,B4:B29,0),6)</f>
        <v>12</v>
      </c>
    </row>
    <row r="7" spans="2:8" x14ac:dyDescent="0.25">
      <c r="B7" s="24">
        <f>RANK('10_oferty s.'!C7,'10_oferty s.'!$C$4:'10_oferty s.'!$C$29,1)+COUNTIF('10_oferty s.'!$C$4:'10_oferty s.'!C7,'10_oferty s.'!C7)-1</f>
        <v>25</v>
      </c>
      <c r="C7" s="23" t="str">
        <f>INDEX('10_oferty s.'!B4:G29,MATCH(4,B4:B29,0),1)</f>
        <v>Tarnobrzeg</v>
      </c>
      <c r="D7" s="24">
        <f>INDEX('10_oferty s.'!B4:G29,MATCH(4,B4:B29,0),2)</f>
        <v>22</v>
      </c>
      <c r="E7" s="25">
        <f>INDEX('10_oferty s.'!B4:G29,MATCH(4,B4:B29,0),3)</f>
        <v>63</v>
      </c>
      <c r="F7" s="24">
        <f>INDEX('10_oferty s.'!B4:G29,MATCH(4,B4:B29,0),4)</f>
        <v>-41</v>
      </c>
      <c r="G7" s="25">
        <f>INDEX('10_oferty s.'!B4:G29,MATCH(4,B4:B29,0),5)</f>
        <v>64</v>
      </c>
      <c r="H7" s="24">
        <f>INDEX('10_oferty s.'!B4:G29,MATCH(4,B4:B29,0),6)</f>
        <v>-42</v>
      </c>
    </row>
    <row r="8" spans="2:8" x14ac:dyDescent="0.25">
      <c r="B8" s="24">
        <f>RANK('10_oferty s.'!C8,'10_oferty s.'!$C$4:'10_oferty s.'!$C$29,1)+COUNTIF('10_oferty s.'!$C$4:'10_oferty s.'!C8,'10_oferty s.'!C8)-1</f>
        <v>23</v>
      </c>
      <c r="C8" s="23" t="str">
        <f>INDEX('10_oferty s.'!B4:G29,MATCH(5,B4:B29,0),1)</f>
        <v xml:space="preserve">tarnobrzeski </v>
      </c>
      <c r="D8" s="24">
        <f>INDEX('10_oferty s.'!B4:G29,MATCH(5,B4:B29,0),2)</f>
        <v>27</v>
      </c>
      <c r="E8" s="25">
        <f>INDEX('10_oferty s.'!B4:G29,MATCH(5,B4:B29,0),3)</f>
        <v>30</v>
      </c>
      <c r="F8" s="24">
        <f>INDEX('10_oferty s.'!B4:G29,MATCH(5,B4:B29,0),4)</f>
        <v>-3</v>
      </c>
      <c r="G8" s="25">
        <f>INDEX('10_oferty s.'!B4:G29,MATCH(5,B4:B29,0),5)</f>
        <v>35</v>
      </c>
      <c r="H8" s="24">
        <f>INDEX('10_oferty s.'!B4:G29,MATCH(5,B4:B29,0),6)</f>
        <v>-8</v>
      </c>
    </row>
    <row r="9" spans="2:8" x14ac:dyDescent="0.25">
      <c r="B9" s="24">
        <f>RANK('10_oferty s.'!C9,'10_oferty s.'!$C$4:'10_oferty s.'!$C$29,1)+COUNTIF('10_oferty s.'!$C$4:'10_oferty s.'!C9,'10_oferty s.'!C9)-1</f>
        <v>17</v>
      </c>
      <c r="C9" s="23" t="str">
        <f>INDEX('10_oferty s.'!B4:G29,MATCH(6,B4:B29,0),1)</f>
        <v>krośnieński</v>
      </c>
      <c r="D9" s="24">
        <f>INDEX('10_oferty s.'!B4:G29,MATCH(6,B4:B29,0),2)</f>
        <v>30</v>
      </c>
      <c r="E9" s="25">
        <f>INDEX('10_oferty s.'!B4:G29,MATCH(6,B4:B29,0),3)</f>
        <v>21</v>
      </c>
      <c r="F9" s="24">
        <f>INDEX('10_oferty s.'!B4:G29,MATCH(6,B4:B29,0),4)</f>
        <v>9</v>
      </c>
      <c r="G9" s="25">
        <f>INDEX('10_oferty s.'!B4:G29,MATCH(6,B4:B29,0),5)</f>
        <v>15</v>
      </c>
      <c r="H9" s="24">
        <f>INDEX('10_oferty s.'!B4:G29,MATCH(6,B4:B29,0),6)</f>
        <v>15</v>
      </c>
    </row>
    <row r="10" spans="2:8" x14ac:dyDescent="0.25">
      <c r="B10" s="24">
        <f>RANK('10_oferty s.'!C10,'10_oferty s.'!$C$4:'10_oferty s.'!$C$29,1)+COUNTIF('10_oferty s.'!$C$4:'10_oferty s.'!C10,'10_oferty s.'!C10)-1</f>
        <v>6</v>
      </c>
      <c r="C10" s="26" t="str">
        <f>INDEX('10_oferty s.'!B4:G29,MATCH(7,B4:B29,0),1)</f>
        <v>Krosno</v>
      </c>
      <c r="D10" s="24">
        <f>INDEX('10_oferty s.'!B4:G29,MATCH(7,B4:B29,0),2)</f>
        <v>36</v>
      </c>
      <c r="E10" s="25">
        <f>INDEX('10_oferty s.'!B4:G29,MATCH(7,B4:B29,0),3)</f>
        <v>27</v>
      </c>
      <c r="F10" s="24">
        <f>INDEX('10_oferty s.'!B4:G29,MATCH(7,B4:B29,0),4)</f>
        <v>9</v>
      </c>
      <c r="G10" s="25">
        <f>INDEX('10_oferty s.'!B4:G29,MATCH(7,B4:B29,0),5)</f>
        <v>11</v>
      </c>
      <c r="H10" s="24">
        <f>INDEX('10_oferty s.'!B4:G29,MATCH(7,B4:B29,0),6)</f>
        <v>25</v>
      </c>
    </row>
    <row r="11" spans="2:8" x14ac:dyDescent="0.25">
      <c r="B11" s="24">
        <f>RANK('10_oferty s.'!C11,'10_oferty s.'!$C$4:'10_oferty s.'!$C$29,1)+COUNTIF('10_oferty s.'!$C$4:'10_oferty s.'!C11,'10_oferty s.'!C11)-1</f>
        <v>1</v>
      </c>
      <c r="C11" s="23" t="str">
        <f>INDEX('10_oferty s.'!B4:G29,MATCH(8,B4:B29,0),1)</f>
        <v>dębicki</v>
      </c>
      <c r="D11" s="24">
        <f>INDEX('10_oferty s.'!B4:G29,MATCH(8,B4:B29,0),2)</f>
        <v>49</v>
      </c>
      <c r="E11" s="25">
        <f>INDEX('10_oferty s.'!B4:G29,MATCH(8,B4:B29,0),3)</f>
        <v>79</v>
      </c>
      <c r="F11" s="24">
        <f>INDEX('10_oferty s.'!B4:G29,MATCH(8,B4:B29,0),4)</f>
        <v>-30</v>
      </c>
      <c r="G11" s="25">
        <f>INDEX('10_oferty s.'!B4:G29,MATCH(8,B4:B29,0),5)</f>
        <v>25</v>
      </c>
      <c r="H11" s="24">
        <f>INDEX('10_oferty s.'!B4:G29,MATCH(8,B4:B29,0),6)</f>
        <v>24</v>
      </c>
    </row>
    <row r="12" spans="2:8" x14ac:dyDescent="0.25">
      <c r="B12" s="24">
        <f>RANK('10_oferty s.'!C12,'10_oferty s.'!$C$4:'10_oferty s.'!$C$29,1)+COUNTIF('10_oferty s.'!$C$4:'10_oferty s.'!C12,'10_oferty s.'!C12)-1</f>
        <v>22</v>
      </c>
      <c r="C12" s="23" t="str">
        <f>INDEX('10_oferty s.'!B4:G29,MATCH(9,B4:B29,0),1)</f>
        <v>lubaczowski</v>
      </c>
      <c r="D12" s="24">
        <f>INDEX('10_oferty s.'!B4:G29,MATCH(9,B4:B29,0),2)</f>
        <v>56</v>
      </c>
      <c r="E12" s="25">
        <f>INDEX('10_oferty s.'!B4:G29,MATCH(9,B4:B29,0),3)</f>
        <v>54</v>
      </c>
      <c r="F12" s="24">
        <f>INDEX('10_oferty s.'!B4:G29,MATCH(9,B4:B29,0),4)</f>
        <v>2</v>
      </c>
      <c r="G12" s="25">
        <f>INDEX('10_oferty s.'!B4:G29,MATCH(9,B4:B29,0),5)</f>
        <v>41</v>
      </c>
      <c r="H12" s="24">
        <f>INDEX('10_oferty s.'!B4:G29,MATCH(9,B4:B29,0),6)</f>
        <v>15</v>
      </c>
    </row>
    <row r="13" spans="2:8" x14ac:dyDescent="0.25">
      <c r="B13" s="24">
        <f>RANK('10_oferty s.'!C13,'10_oferty s.'!$C$4:'10_oferty s.'!$C$29,1)+COUNTIF('10_oferty s.'!$C$4:'10_oferty s.'!C13,'10_oferty s.'!C13)-1</f>
        <v>9</v>
      </c>
      <c r="C13" s="23" t="str">
        <f>INDEX('10_oferty s.'!B4:G29,MATCH(10,B4:B29,0),1)</f>
        <v>stalowowolski</v>
      </c>
      <c r="D13" s="24">
        <f>INDEX('10_oferty s.'!B4:G29,MATCH(10,B4:B29,0),2)</f>
        <v>56</v>
      </c>
      <c r="E13" s="25">
        <f>INDEX('10_oferty s.'!B4:G29,MATCH(10,B4:B29,0),3)</f>
        <v>58</v>
      </c>
      <c r="F13" s="24">
        <f>INDEX('10_oferty s.'!B4:G29,MATCH(10,B4:B29,0),4)</f>
        <v>-2</v>
      </c>
      <c r="G13" s="25">
        <f>INDEX('10_oferty s.'!B4:G29,MATCH(10,B4:B29,0),5)</f>
        <v>57</v>
      </c>
      <c r="H13" s="24">
        <f>INDEX('10_oferty s.'!B4:G29,MATCH(10,B4:B29,0),6)</f>
        <v>-1</v>
      </c>
    </row>
    <row r="14" spans="2:8" x14ac:dyDescent="0.25">
      <c r="B14" s="24">
        <f>RANK('10_oferty s.'!C14,'10_oferty s.'!$C$4:'10_oferty s.'!$C$29,1)+COUNTIF('10_oferty s.'!$C$4:'10_oferty s.'!C14,'10_oferty s.'!C14)-1</f>
        <v>15</v>
      </c>
      <c r="C14" s="23" t="str">
        <f>INDEX('10_oferty s.'!B4:G29,MATCH(11,B4:B29,0),1)</f>
        <v>strzyżowski</v>
      </c>
      <c r="D14" s="24">
        <f>INDEX('10_oferty s.'!B4:G29,MATCH(11,B4:B29,0),2)</f>
        <v>58</v>
      </c>
      <c r="E14" s="25">
        <f>INDEX('10_oferty s.'!B4:G29,MATCH(11,B4:B29,0),3)</f>
        <v>80</v>
      </c>
      <c r="F14" s="24">
        <f>INDEX('10_oferty s.'!B4:G29,MATCH(11,B4:B29,0),4)</f>
        <v>-22</v>
      </c>
      <c r="G14" s="25">
        <f>INDEX('10_oferty s.'!B4:G29,MATCH(11,B4:B29,0),5)</f>
        <v>64</v>
      </c>
      <c r="H14" s="24">
        <f>INDEX('10_oferty s.'!B4:G29,MATCH(11,B4:B29,0),6)</f>
        <v>-6</v>
      </c>
    </row>
    <row r="15" spans="2:8" x14ac:dyDescent="0.25">
      <c r="B15" s="24">
        <f>RANK('10_oferty s.'!C15,'10_oferty s.'!$C$4:'10_oferty s.'!$C$29,1)+COUNTIF('10_oferty s.'!$C$4:'10_oferty s.'!C15,'10_oferty s.'!C15)-1</f>
        <v>24</v>
      </c>
      <c r="C15" s="23" t="str">
        <f>INDEX('10_oferty s.'!B4:G29,MATCH(12,B4:B29,0),1)</f>
        <v>Przemyśl</v>
      </c>
      <c r="D15" s="24">
        <f>INDEX('10_oferty s.'!B4:G29,MATCH(12,B4:B29,0),2)</f>
        <v>58</v>
      </c>
      <c r="E15" s="25">
        <f>INDEX('10_oferty s.'!B4:G29,MATCH(12,B4:B29,0),3)</f>
        <v>43</v>
      </c>
      <c r="F15" s="24">
        <f>INDEX('10_oferty s.'!B4:G29,MATCH(12,B4:B29,0),4)</f>
        <v>15</v>
      </c>
      <c r="G15" s="25">
        <f>INDEX('10_oferty s.'!B4:G29,MATCH(12,B4:B29,0),5)</f>
        <v>40</v>
      </c>
      <c r="H15" s="24">
        <f>INDEX('10_oferty s.'!B4:G29,MATCH(12,B4:B29,0),6)</f>
        <v>18</v>
      </c>
    </row>
    <row r="16" spans="2:8" x14ac:dyDescent="0.25">
      <c r="B16" s="24">
        <f>RANK('10_oferty s.'!C16,'10_oferty s.'!$C$4:'10_oferty s.'!$C$29,1)+COUNTIF('10_oferty s.'!$C$4:'10_oferty s.'!C16,'10_oferty s.'!C16)-1</f>
        <v>19</v>
      </c>
      <c r="C16" s="23" t="str">
        <f>INDEX('10_oferty s.'!B4:G29,MATCH(13,B4:B29,0),1)</f>
        <v>sanocki</v>
      </c>
      <c r="D16" s="24">
        <f>INDEX('10_oferty s.'!B4:G29,MATCH(13,B4:B29,0),2)</f>
        <v>59</v>
      </c>
      <c r="E16" s="25">
        <f>INDEX('10_oferty s.'!B4:G29,MATCH(13,B4:B29,0),3)</f>
        <v>55</v>
      </c>
      <c r="F16" s="24">
        <f>INDEX('10_oferty s.'!B4:G29,MATCH(13,B4:B29,0),4)</f>
        <v>4</v>
      </c>
      <c r="G16" s="25">
        <f>INDEX('10_oferty s.'!B4:G29,MATCH(13,B4:B29,0),5)</f>
        <v>47</v>
      </c>
      <c r="H16" s="24">
        <f>INDEX('10_oferty s.'!B4:G29,MATCH(13,B4:B29,0),6)</f>
        <v>12</v>
      </c>
    </row>
    <row r="17" spans="2:8" x14ac:dyDescent="0.25">
      <c r="B17" s="24">
        <f>RANK('10_oferty s.'!C17,'10_oferty s.'!$C$4:'10_oferty s.'!$C$29,1)+COUNTIF('10_oferty s.'!$C$4:'10_oferty s.'!C17,'10_oferty s.'!C17)-1</f>
        <v>3</v>
      </c>
      <c r="C17" s="23" t="str">
        <f>INDEX('10_oferty s.'!B4:G29,MATCH(14,B4:B29,0),1)</f>
        <v>ropczycko-sędziszowski</v>
      </c>
      <c r="D17" s="24">
        <f>INDEX('10_oferty s.'!B4:G29,MATCH(14,B4:B29,0),2)</f>
        <v>61</v>
      </c>
      <c r="E17" s="25">
        <f>INDEX('10_oferty s.'!B4:G29,MATCH(14,B4:B29,0),3)</f>
        <v>69</v>
      </c>
      <c r="F17" s="24">
        <f>INDEX('10_oferty s.'!B4:G29,MATCH(14,B4:B29,0),4)</f>
        <v>-8</v>
      </c>
      <c r="G17" s="25">
        <f>INDEX('10_oferty s.'!B4:G29,MATCH(14,B4:B29,0),5)</f>
        <v>76</v>
      </c>
      <c r="H17" s="24">
        <f>INDEX('10_oferty s.'!B4:G29,MATCH(14,B4:B29,0),6)</f>
        <v>-15</v>
      </c>
    </row>
    <row r="18" spans="2:8" x14ac:dyDescent="0.25">
      <c r="B18" s="24">
        <f>RANK('10_oferty s.'!C18,'10_oferty s.'!$C$4:'10_oferty s.'!$C$29,1)+COUNTIF('10_oferty s.'!$C$4:'10_oferty s.'!C18,'10_oferty s.'!C18)-1</f>
        <v>20</v>
      </c>
      <c r="C18" s="23" t="str">
        <f>INDEX('10_oferty s.'!B4:G29,MATCH(15,B4:B29,0),1)</f>
        <v>łańcucki</v>
      </c>
      <c r="D18" s="24">
        <f>INDEX('10_oferty s.'!B4:G29,MATCH(15,B4:B29,0),2)</f>
        <v>62</v>
      </c>
      <c r="E18" s="25">
        <f>INDEX('10_oferty s.'!B4:G29,MATCH(15,B4:B29,0),3)</f>
        <v>63</v>
      </c>
      <c r="F18" s="24">
        <f>INDEX('10_oferty s.'!B4:G29,MATCH(15,B4:B29,0),4)</f>
        <v>-1</v>
      </c>
      <c r="G18" s="25">
        <f>INDEX('10_oferty s.'!B4:G29,MATCH(15,B4:B29,0),5)</f>
        <v>52</v>
      </c>
      <c r="H18" s="24">
        <f>INDEX('10_oferty s.'!B4:G29,MATCH(15,B4:B29,0),6)</f>
        <v>10</v>
      </c>
    </row>
    <row r="19" spans="2:8" x14ac:dyDescent="0.25">
      <c r="B19" s="24">
        <f>RANK('10_oferty s.'!C19,'10_oferty s.'!$C$4:'10_oferty s.'!$C$29,1)+COUNTIF('10_oferty s.'!$C$4:'10_oferty s.'!C19,'10_oferty s.'!C19)-1</f>
        <v>14</v>
      </c>
      <c r="C19" s="23" t="str">
        <f>INDEX('10_oferty s.'!B4:G29,MATCH(16,B4:B29,0),1)</f>
        <v>rzeszowski</v>
      </c>
      <c r="D19" s="24">
        <f>INDEX('10_oferty s.'!B4:G29,MATCH(16,B4:B29,0),2)</f>
        <v>65</v>
      </c>
      <c r="E19" s="25">
        <f>INDEX('10_oferty s.'!B4:G29,MATCH(16,B4:B29,0),3)</f>
        <v>76</v>
      </c>
      <c r="F19" s="24">
        <f>INDEX('10_oferty s.'!B4:G29,MATCH(16,B4:B29,0),4)</f>
        <v>-11</v>
      </c>
      <c r="G19" s="25">
        <f>INDEX('10_oferty s.'!B4:G29,MATCH(16,B4:B29,0),5)</f>
        <v>34</v>
      </c>
      <c r="H19" s="24">
        <f>INDEX('10_oferty s.'!B4:G29,MATCH(16,B4:B29,0),6)</f>
        <v>31</v>
      </c>
    </row>
    <row r="20" spans="2:8" x14ac:dyDescent="0.25">
      <c r="B20" s="24">
        <f>RANK('10_oferty s.'!C20,'10_oferty s.'!$C$4:'10_oferty s.'!$C$29,1)+COUNTIF('10_oferty s.'!$C$4:'10_oferty s.'!C20,'10_oferty s.'!C20)-1</f>
        <v>16</v>
      </c>
      <c r="C20" s="23" t="str">
        <f>INDEX('10_oferty s.'!B4:G29,MATCH(17,B4:B29,0),1)</f>
        <v>kolbuszowski</v>
      </c>
      <c r="D20" s="24">
        <f>INDEX('10_oferty s.'!B4:G29,MATCH(17,B4:B29,0),2)</f>
        <v>73</v>
      </c>
      <c r="E20" s="25">
        <f>INDEX('10_oferty s.'!B4:G29,MATCH(17,B4:B29,0),3)</f>
        <v>68</v>
      </c>
      <c r="F20" s="24">
        <f>INDEX('10_oferty s.'!B4:G29,MATCH(17,B4:B29,0),4)</f>
        <v>5</v>
      </c>
      <c r="G20" s="25">
        <f>INDEX('10_oferty s.'!B4:G29,MATCH(17,B4:B29,0),5)</f>
        <v>49</v>
      </c>
      <c r="H20" s="24">
        <f>INDEX('10_oferty s.'!B4:G29,MATCH(17,B4:B29,0),6)</f>
        <v>24</v>
      </c>
    </row>
    <row r="21" spans="2:8" x14ac:dyDescent="0.25">
      <c r="B21" s="24">
        <f>RANK('10_oferty s.'!C21,'10_oferty s.'!$C$4:'10_oferty s.'!$C$29,1)+COUNTIF('10_oferty s.'!$C$4:'10_oferty s.'!C21,'10_oferty s.'!C21)-1</f>
        <v>13</v>
      </c>
      <c r="C21" s="23" t="str">
        <f>INDEX('10_oferty s.'!B4:G29,MATCH(18,B4:B29,0),1)</f>
        <v>brzozowski</v>
      </c>
      <c r="D21" s="24">
        <f>INDEX('10_oferty s.'!B4:G29,MATCH(18,B4:B29,0),2)</f>
        <v>74</v>
      </c>
      <c r="E21" s="25">
        <f>INDEX('10_oferty s.'!B4:G29,MATCH(18,B4:B29,0),3)</f>
        <v>69</v>
      </c>
      <c r="F21" s="24">
        <f>INDEX('10_oferty s.'!B4:G29,MATCH(18,B4:B29,0),4)</f>
        <v>5</v>
      </c>
      <c r="G21" s="25">
        <f>INDEX('10_oferty s.'!B4:G29,MATCH(18,B4:B29,0),5)</f>
        <v>54</v>
      </c>
      <c r="H21" s="24">
        <f>INDEX('10_oferty s.'!B4:G29,MATCH(18,B4:B29,0),6)</f>
        <v>20</v>
      </c>
    </row>
    <row r="22" spans="2:8" x14ac:dyDescent="0.25">
      <c r="B22" s="24">
        <f>RANK('10_oferty s.'!C22,'10_oferty s.'!$C$4:'10_oferty s.'!$C$29,1)+COUNTIF('10_oferty s.'!$C$4:'10_oferty s.'!C22,'10_oferty s.'!C22)-1</f>
        <v>10</v>
      </c>
      <c r="C22" s="23" t="str">
        <f>INDEX('10_oferty s.'!B4:G29,MATCH(19,B4:B29,0),1)</f>
        <v>niżański</v>
      </c>
      <c r="D22" s="24">
        <f>INDEX('10_oferty s.'!B4:G29,MATCH(19,B4:B29,0),2)</f>
        <v>83</v>
      </c>
      <c r="E22" s="25">
        <f>INDEX('10_oferty s.'!B4:G29,MATCH(19,B4:B29,0),3)</f>
        <v>96</v>
      </c>
      <c r="F22" s="24">
        <f>INDEX('10_oferty s.'!B4:G29,MATCH(19,B4:B29,0),4)</f>
        <v>-13</v>
      </c>
      <c r="G22" s="25">
        <f>INDEX('10_oferty s.'!B4:G29,MATCH(19,B4:B29,0),5)</f>
        <v>101</v>
      </c>
      <c r="H22" s="24">
        <f>INDEX('10_oferty s.'!B4:G29,MATCH(19,B4:B29,0),6)</f>
        <v>-18</v>
      </c>
    </row>
    <row r="23" spans="2:8" x14ac:dyDescent="0.25">
      <c r="B23" s="24">
        <f>RANK('10_oferty s.'!C23,'10_oferty s.'!$C$4:'10_oferty s.'!$C$29,1)+COUNTIF('10_oferty s.'!$C$4:'10_oferty s.'!C23,'10_oferty s.'!C23)-1</f>
        <v>11</v>
      </c>
      <c r="C23" s="23" t="str">
        <f>INDEX('10_oferty s.'!B4:G29,MATCH(20,B4:B29,0),1)</f>
        <v>przeworski</v>
      </c>
      <c r="D23" s="24">
        <f>INDEX('10_oferty s.'!B4:G29,MATCH(20,B4:B29,0),2)</f>
        <v>89</v>
      </c>
      <c r="E23" s="25">
        <f>INDEX('10_oferty s.'!B4:G29,MATCH(20,B4:B29,0),3)</f>
        <v>145</v>
      </c>
      <c r="F23" s="24">
        <f>INDEX('10_oferty s.'!B4:G29,MATCH(20,B4:B29,0),4)</f>
        <v>-56</v>
      </c>
      <c r="G23" s="25">
        <f>INDEX('10_oferty s.'!B4:G29,MATCH(20,B4:B29,0),5)</f>
        <v>143</v>
      </c>
      <c r="H23" s="24">
        <f>INDEX('10_oferty s.'!B4:G29,MATCH(20,B4:B29,0),6)</f>
        <v>-54</v>
      </c>
    </row>
    <row r="24" spans="2:8" x14ac:dyDescent="0.25">
      <c r="B24" s="24">
        <f>RANK('10_oferty s.'!C24,'10_oferty s.'!$C$4:'10_oferty s.'!$C$29,1)+COUNTIF('10_oferty s.'!$C$4:'10_oferty s.'!C24,'10_oferty s.'!C24)-1</f>
        <v>5</v>
      </c>
      <c r="C24" s="23" t="str">
        <f>INDEX('10_oferty s.'!B4:G29,MATCH(21,B4:B29,0),1)</f>
        <v>Rzeszów</v>
      </c>
      <c r="D24" s="24">
        <f>INDEX('10_oferty s.'!B4:G29,MATCH(21,B4:B29,0),2)</f>
        <v>90</v>
      </c>
      <c r="E24" s="25">
        <f>INDEX('10_oferty s.'!B4:G29,MATCH(21,B4:B29,0),3)</f>
        <v>110</v>
      </c>
      <c r="F24" s="24">
        <f>INDEX('10_oferty s.'!B4:G29,MATCH(21,B4:B29,0),4)</f>
        <v>-20</v>
      </c>
      <c r="G24" s="25">
        <f>INDEX('10_oferty s.'!B4:G29,MATCH(21,B4:B29,0),5)</f>
        <v>41</v>
      </c>
      <c r="H24" s="24">
        <f>INDEX('10_oferty s.'!B4:G29,MATCH(21,B4:B29,0),6)</f>
        <v>49</v>
      </c>
    </row>
    <row r="25" spans="2:8" x14ac:dyDescent="0.25">
      <c r="B25" s="24">
        <f>RANK('10_oferty s.'!C25,'10_oferty s.'!$C$4:'10_oferty s.'!$C$29,1)+COUNTIF('10_oferty s.'!$C$4:'10_oferty s.'!C25,'10_oferty s.'!C25)-1</f>
        <v>7</v>
      </c>
      <c r="C25" s="23" t="str">
        <f>INDEX('10_oferty s.'!B4:G29,MATCH(22,B4:B29,0),1)</f>
        <v>leżajski</v>
      </c>
      <c r="D25" s="24">
        <f>INDEX('10_oferty s.'!B4:G29,MATCH(22,B4:B29,0),2)</f>
        <v>106</v>
      </c>
      <c r="E25" s="25">
        <f>INDEX('10_oferty s.'!B4:G29,MATCH(22,B4:B29,0),3)</f>
        <v>45</v>
      </c>
      <c r="F25" s="24">
        <f>INDEX('10_oferty s.'!B4:G29,MATCH(22,B4:B29,0),4)</f>
        <v>61</v>
      </c>
      <c r="G25" s="25">
        <f>INDEX('10_oferty s.'!B4:G29,MATCH(22,B4:B29,0),5)</f>
        <v>19</v>
      </c>
      <c r="H25" s="24">
        <f>INDEX('10_oferty s.'!B4:G29,MATCH(22,B4:B29,0),6)</f>
        <v>87</v>
      </c>
    </row>
    <row r="26" spans="2:8" x14ac:dyDescent="0.25">
      <c r="B26" s="24">
        <f>RANK('10_oferty s.'!C26,'10_oferty s.'!$C$4:'10_oferty s.'!$C$29,1)+COUNTIF('10_oferty s.'!$C$4:'10_oferty s.'!C26,'10_oferty s.'!C26)-1</f>
        <v>12</v>
      </c>
      <c r="C26" s="23" t="str">
        <f>INDEX('10_oferty s.'!B4:G29,MATCH(23,B4:B29,0),1)</f>
        <v>jasielski</v>
      </c>
      <c r="D26" s="24">
        <f>INDEX('10_oferty s.'!B4:G29,MATCH(23,B4:B29,0),2)</f>
        <v>114</v>
      </c>
      <c r="E26" s="25">
        <f>INDEX('10_oferty s.'!B4:G29,MATCH(23,B4:B29,0),3)</f>
        <v>90</v>
      </c>
      <c r="F26" s="24">
        <f>INDEX('10_oferty s.'!B4:G29,MATCH(23,B4:B29,0),4)</f>
        <v>24</v>
      </c>
      <c r="G26" s="25">
        <f>INDEX('10_oferty s.'!B4:G29,MATCH(23,B4:B29,0),5)</f>
        <v>34</v>
      </c>
      <c r="H26" s="24">
        <f>INDEX('10_oferty s.'!B4:G29,MATCH(23,B4:B29,0),6)</f>
        <v>80</v>
      </c>
    </row>
    <row r="27" spans="2:8" x14ac:dyDescent="0.25">
      <c r="B27" s="24">
        <f>RANK('10_oferty s.'!C27,'10_oferty s.'!$C$4:'10_oferty s.'!$C$29,1)+COUNTIF('10_oferty s.'!$C$4:'10_oferty s.'!C27,'10_oferty s.'!C27)-1</f>
        <v>21</v>
      </c>
      <c r="C27" s="23" t="str">
        <f>INDEX('10_oferty s.'!B4:G29,MATCH(24,B4:B29,0),1)</f>
        <v>mielecki</v>
      </c>
      <c r="D27" s="24">
        <f>INDEX('10_oferty s.'!B4:G29,MATCH(24,B4:B29,0),2)</f>
        <v>115</v>
      </c>
      <c r="E27" s="25">
        <f>INDEX('10_oferty s.'!B4:G29,MATCH(24,B4:B29,0),3)</f>
        <v>138</v>
      </c>
      <c r="F27" s="24">
        <f>INDEX('10_oferty s.'!B4:G29,MATCH(24,B4:B29,0),4)</f>
        <v>-23</v>
      </c>
      <c r="G27" s="25">
        <f>INDEX('10_oferty s.'!B4:G29,MATCH(24,B4:B29,0),5)</f>
        <v>56</v>
      </c>
      <c r="H27" s="24">
        <f>INDEX('10_oferty s.'!B4:G29,MATCH(24,B4:B29,0),6)</f>
        <v>59</v>
      </c>
    </row>
    <row r="28" spans="2:8" x14ac:dyDescent="0.25">
      <c r="B28" s="24">
        <f>RANK('10_oferty s.'!C28,'10_oferty s.'!$C$4:'10_oferty s.'!$C$29,1)+COUNTIF('10_oferty s.'!$C$4:'10_oferty s.'!C28,'10_oferty s.'!C28)-1</f>
        <v>4</v>
      </c>
      <c r="C28" s="23" t="str">
        <f>INDEX('10_oferty s.'!B4:G29,MATCH(25,B4:B29,0),1)</f>
        <v>jarosławski</v>
      </c>
      <c r="D28" s="24">
        <f>INDEX('10_oferty s.'!B4:G29,MATCH(25,B4:B29,0),2)</f>
        <v>117</v>
      </c>
      <c r="E28" s="25">
        <f>INDEX('10_oferty s.'!B4:G29,MATCH(25,B4:B29,0),3)</f>
        <v>89</v>
      </c>
      <c r="F28" s="24">
        <f>INDEX('10_oferty s.'!B4:G29,MATCH(25,B4:B29,0),4)</f>
        <v>28</v>
      </c>
      <c r="G28" s="25">
        <f>INDEX('10_oferty s.'!B4:G29,MATCH(25,B4:B29,0),5)</f>
        <v>54</v>
      </c>
      <c r="H28" s="24">
        <f>INDEX('10_oferty s.'!B4:G29,MATCH(25,B4:B29,0),6)</f>
        <v>63</v>
      </c>
    </row>
    <row r="29" spans="2:8" x14ac:dyDescent="0.25">
      <c r="B29" s="86">
        <f>RANK('10_oferty s.'!C29,'10_oferty s.'!$C$4:'10_oferty s.'!$C$29,1)+COUNTIF('10_oferty s.'!$C$4:'10_oferty s.'!C29,'10_oferty s.'!C29)-1</f>
        <v>26</v>
      </c>
      <c r="C29" s="87" t="str">
        <f>INDEX('10_oferty s.'!B4:G29,MATCH(26,B4:B29,0),1)</f>
        <v>województwo</v>
      </c>
      <c r="D29" s="86">
        <f>INDEX('10_oferty s.'!B4:G29,MATCH(26,B4:B29,0),2)</f>
        <v>1556</v>
      </c>
      <c r="E29" s="40">
        <f>INDEX('10_oferty s.'!B4:G29,MATCH(26,B4:B29,0),3)</f>
        <v>1675</v>
      </c>
      <c r="F29" s="86">
        <f>INDEX('10_oferty s.'!B4:G29,MATCH(26,B4:B29,0),4)</f>
        <v>-119</v>
      </c>
      <c r="G29" s="40">
        <f>INDEX('10_oferty s.'!B4:G29,MATCH(26,B4:B29,0),5)</f>
        <v>1193</v>
      </c>
      <c r="H29" s="86">
        <f>INDEX('10_oferty s.'!B4:G29,MATCH(26,B4:B29,0),6)</f>
        <v>363</v>
      </c>
    </row>
  </sheetData>
  <pageMargins left="0" right="0" top="0.31496062992125984" bottom="0" header="0" footer="0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L29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3" customWidth="1"/>
    <col min="2" max="2" width="22.28515625" style="13" customWidth="1"/>
    <col min="3" max="3" width="13" style="13" customWidth="1"/>
    <col min="4" max="4" width="12.85546875" style="13" customWidth="1"/>
    <col min="5" max="5" width="14.7109375" style="13" customWidth="1"/>
    <col min="6" max="6" width="13.28515625" style="13" customWidth="1"/>
    <col min="7" max="7" width="14.85546875" style="13" customWidth="1"/>
    <col min="8" max="8" width="1.5703125" style="13" customWidth="1"/>
    <col min="9" max="9" width="22.7109375" style="13" customWidth="1"/>
    <col min="10" max="10" width="13.7109375" style="13" customWidth="1"/>
    <col min="11" max="11" width="10.85546875" style="13" customWidth="1"/>
    <col min="12" max="12" width="10.42578125" style="13" customWidth="1"/>
    <col min="13" max="13" width="5.5703125" style="13" customWidth="1"/>
    <col min="14" max="16384" width="9.140625" style="13"/>
  </cols>
  <sheetData>
    <row r="1" spans="2:12" ht="18.75" x14ac:dyDescent="0.4">
      <c r="B1" s="59" t="s">
        <v>82</v>
      </c>
      <c r="I1" s="51" t="s">
        <v>88</v>
      </c>
    </row>
    <row r="2" spans="2:12" ht="75" customHeight="1" x14ac:dyDescent="0.25">
      <c r="B2" s="20" t="s">
        <v>27</v>
      </c>
      <c r="C2" s="21" t="s">
        <v>108</v>
      </c>
      <c r="D2" s="22" t="s">
        <v>99</v>
      </c>
      <c r="E2" s="21" t="s">
        <v>28</v>
      </c>
      <c r="F2" s="22" t="s">
        <v>107</v>
      </c>
      <c r="G2" s="21" t="s">
        <v>26</v>
      </c>
      <c r="I2" s="20" t="s">
        <v>27</v>
      </c>
      <c r="J2" s="21" t="str">
        <f>T('1_bezr.'!C2)</f>
        <v>liczba bezrobotnych ogółem stan na 30 VI '21 r.</v>
      </c>
      <c r="K2" s="21" t="s">
        <v>79</v>
      </c>
      <c r="L2" s="21" t="s">
        <v>81</v>
      </c>
    </row>
    <row r="3" spans="2:12" x14ac:dyDescent="0.25">
      <c r="B3" s="23" t="s">
        <v>0</v>
      </c>
      <c r="C3" s="24">
        <v>606</v>
      </c>
      <c r="D3" s="25">
        <v>640</v>
      </c>
      <c r="E3" s="24">
        <f t="shared" ref="E3:E26" si="0">SUM(C3)-D3</f>
        <v>-34</v>
      </c>
      <c r="F3" s="25">
        <v>668</v>
      </c>
      <c r="G3" s="24">
        <f t="shared" ref="G3:G27" si="1">SUM(C3)-F3</f>
        <v>-62</v>
      </c>
      <c r="I3" s="23" t="s">
        <v>0</v>
      </c>
      <c r="J3" s="24">
        <f>SUM('1_bezr.'!C3)</f>
        <v>1157</v>
      </c>
      <c r="K3" s="24">
        <f>SUM(C3)</f>
        <v>606</v>
      </c>
      <c r="L3" s="31">
        <f t="shared" ref="L3:L28" si="2">SUM(K3)/J3*100</f>
        <v>52.376836646499569</v>
      </c>
    </row>
    <row r="4" spans="2:12" x14ac:dyDescent="0.25">
      <c r="B4" s="23" t="s">
        <v>1</v>
      </c>
      <c r="C4" s="24">
        <v>2207</v>
      </c>
      <c r="D4" s="25">
        <v>2247</v>
      </c>
      <c r="E4" s="24">
        <f t="shared" si="0"/>
        <v>-40</v>
      </c>
      <c r="F4" s="25">
        <v>2380</v>
      </c>
      <c r="G4" s="24">
        <f t="shared" si="1"/>
        <v>-173</v>
      </c>
      <c r="I4" s="23" t="s">
        <v>1</v>
      </c>
      <c r="J4" s="24">
        <f>SUM('1_bezr.'!C4)</f>
        <v>4057</v>
      </c>
      <c r="K4" s="24">
        <f t="shared" ref="K4:K27" si="3">SUM(C4)</f>
        <v>2207</v>
      </c>
      <c r="L4" s="31">
        <f t="shared" si="2"/>
        <v>54.399802809958096</v>
      </c>
    </row>
    <row r="5" spans="2:12" x14ac:dyDescent="0.25">
      <c r="B5" s="23" t="s">
        <v>2</v>
      </c>
      <c r="C5" s="24">
        <v>1879</v>
      </c>
      <c r="D5" s="25">
        <v>1948</v>
      </c>
      <c r="E5" s="24">
        <f t="shared" si="0"/>
        <v>-69</v>
      </c>
      <c r="F5" s="25">
        <v>2065</v>
      </c>
      <c r="G5" s="24">
        <f t="shared" si="1"/>
        <v>-186</v>
      </c>
      <c r="I5" s="23" t="s">
        <v>2</v>
      </c>
      <c r="J5" s="24">
        <f>SUM('1_bezr.'!C5)</f>
        <v>3035</v>
      </c>
      <c r="K5" s="24">
        <f t="shared" si="3"/>
        <v>1879</v>
      </c>
      <c r="L5" s="31">
        <f t="shared" si="2"/>
        <v>61.911037891268542</v>
      </c>
    </row>
    <row r="6" spans="2:12" x14ac:dyDescent="0.25">
      <c r="B6" s="23" t="s">
        <v>3</v>
      </c>
      <c r="C6" s="24">
        <v>3085</v>
      </c>
      <c r="D6" s="25">
        <v>3196</v>
      </c>
      <c r="E6" s="24">
        <f t="shared" si="0"/>
        <v>-111</v>
      </c>
      <c r="F6" s="25">
        <v>3053</v>
      </c>
      <c r="G6" s="24">
        <f t="shared" si="1"/>
        <v>32</v>
      </c>
      <c r="I6" s="23" t="s">
        <v>3</v>
      </c>
      <c r="J6" s="24">
        <f>SUM('1_bezr.'!C6)</f>
        <v>5829</v>
      </c>
      <c r="K6" s="24">
        <f t="shared" si="3"/>
        <v>3085</v>
      </c>
      <c r="L6" s="31">
        <f t="shared" si="2"/>
        <v>52.92503002230228</v>
      </c>
    </row>
    <row r="7" spans="2:12" x14ac:dyDescent="0.25">
      <c r="B7" s="23" t="s">
        <v>4</v>
      </c>
      <c r="C7" s="24">
        <v>3207</v>
      </c>
      <c r="D7" s="25">
        <v>3278</v>
      </c>
      <c r="E7" s="24">
        <f t="shared" si="0"/>
        <v>-71</v>
      </c>
      <c r="F7" s="25">
        <v>3209</v>
      </c>
      <c r="G7" s="24">
        <f t="shared" si="1"/>
        <v>-2</v>
      </c>
      <c r="I7" s="23" t="s">
        <v>4</v>
      </c>
      <c r="J7" s="24">
        <f>SUM('1_bezr.'!C7)</f>
        <v>5581</v>
      </c>
      <c r="K7" s="24">
        <f t="shared" si="3"/>
        <v>3207</v>
      </c>
      <c r="L7" s="31">
        <f t="shared" si="2"/>
        <v>57.46282028310339</v>
      </c>
    </row>
    <row r="8" spans="2:12" x14ac:dyDescent="0.25">
      <c r="B8" s="23" t="s">
        <v>5</v>
      </c>
      <c r="C8" s="24">
        <v>1008</v>
      </c>
      <c r="D8" s="25">
        <v>1070</v>
      </c>
      <c r="E8" s="24">
        <f t="shared" si="0"/>
        <v>-62</v>
      </c>
      <c r="F8" s="25">
        <v>1111</v>
      </c>
      <c r="G8" s="24">
        <f t="shared" si="1"/>
        <v>-103</v>
      </c>
      <c r="I8" s="23" t="s">
        <v>5</v>
      </c>
      <c r="J8" s="24">
        <f>SUM('1_bezr.'!C8)</f>
        <v>1850</v>
      </c>
      <c r="K8" s="24">
        <f t="shared" si="3"/>
        <v>1008</v>
      </c>
      <c r="L8" s="31">
        <f>SUM(K8)/J8*100</f>
        <v>54.486486486486484</v>
      </c>
    </row>
    <row r="9" spans="2:12" x14ac:dyDescent="0.25">
      <c r="B9" s="26" t="s">
        <v>6</v>
      </c>
      <c r="C9" s="24">
        <v>1300</v>
      </c>
      <c r="D9" s="25">
        <v>1371</v>
      </c>
      <c r="E9" s="24">
        <f t="shared" si="0"/>
        <v>-71</v>
      </c>
      <c r="F9" s="25">
        <v>1296</v>
      </c>
      <c r="G9" s="24">
        <f t="shared" si="1"/>
        <v>4</v>
      </c>
      <c r="I9" s="26" t="s">
        <v>6</v>
      </c>
      <c r="J9" s="24">
        <f>SUM('1_bezr.'!C9)</f>
        <v>2267</v>
      </c>
      <c r="K9" s="24">
        <f t="shared" si="3"/>
        <v>1300</v>
      </c>
      <c r="L9" s="31">
        <f t="shared" si="2"/>
        <v>57.344508160564622</v>
      </c>
    </row>
    <row r="10" spans="2:12" x14ac:dyDescent="0.25">
      <c r="B10" s="23" t="s">
        <v>7</v>
      </c>
      <c r="C10" s="24">
        <v>737</v>
      </c>
      <c r="D10" s="25">
        <v>799</v>
      </c>
      <c r="E10" s="24">
        <f t="shared" si="0"/>
        <v>-62</v>
      </c>
      <c r="F10" s="25">
        <v>846</v>
      </c>
      <c r="G10" s="24">
        <f t="shared" si="1"/>
        <v>-109</v>
      </c>
      <c r="I10" s="23" t="s">
        <v>7</v>
      </c>
      <c r="J10" s="24">
        <f>SUM('1_bezr.'!C10)</f>
        <v>1602</v>
      </c>
      <c r="K10" s="24">
        <f t="shared" si="3"/>
        <v>737</v>
      </c>
      <c r="L10" s="31">
        <f t="shared" si="2"/>
        <v>46.004993757802751</v>
      </c>
    </row>
    <row r="11" spans="2:12" x14ac:dyDescent="0.25">
      <c r="B11" s="23" t="s">
        <v>8</v>
      </c>
      <c r="C11" s="24">
        <v>1925</v>
      </c>
      <c r="D11" s="25">
        <v>1937</v>
      </c>
      <c r="E11" s="24">
        <f t="shared" si="0"/>
        <v>-12</v>
      </c>
      <c r="F11" s="25">
        <v>1991</v>
      </c>
      <c r="G11" s="24">
        <f t="shared" si="1"/>
        <v>-66</v>
      </c>
      <c r="I11" s="23" t="s">
        <v>8</v>
      </c>
      <c r="J11" s="24">
        <f>SUM('1_bezr.'!C11)</f>
        <v>3722</v>
      </c>
      <c r="K11" s="24">
        <f t="shared" si="3"/>
        <v>1925</v>
      </c>
      <c r="L11" s="31">
        <f t="shared" si="2"/>
        <v>51.719505642127885</v>
      </c>
    </row>
    <row r="12" spans="2:12" x14ac:dyDescent="0.25">
      <c r="B12" s="23" t="s">
        <v>9</v>
      </c>
      <c r="C12" s="24">
        <v>939</v>
      </c>
      <c r="D12" s="25">
        <v>1013</v>
      </c>
      <c r="E12" s="24">
        <f t="shared" si="0"/>
        <v>-74</v>
      </c>
      <c r="F12" s="25">
        <v>955</v>
      </c>
      <c r="G12" s="24">
        <f t="shared" si="1"/>
        <v>-16</v>
      </c>
      <c r="I12" s="23" t="s">
        <v>9</v>
      </c>
      <c r="J12" s="24">
        <f>SUM('1_bezr.'!C12)</f>
        <v>1965</v>
      </c>
      <c r="K12" s="24">
        <f t="shared" si="3"/>
        <v>939</v>
      </c>
      <c r="L12" s="31">
        <f t="shared" si="2"/>
        <v>47.786259541984734</v>
      </c>
    </row>
    <row r="13" spans="2:12" x14ac:dyDescent="0.25">
      <c r="B13" s="23" t="s">
        <v>10</v>
      </c>
      <c r="C13" s="24">
        <v>1708</v>
      </c>
      <c r="D13" s="25">
        <v>1716</v>
      </c>
      <c r="E13" s="24">
        <f t="shared" si="0"/>
        <v>-8</v>
      </c>
      <c r="F13" s="25">
        <v>1740</v>
      </c>
      <c r="G13" s="24">
        <f t="shared" si="1"/>
        <v>-32</v>
      </c>
      <c r="I13" s="23" t="s">
        <v>10</v>
      </c>
      <c r="J13" s="24">
        <f>SUM('1_bezr.'!C13)</f>
        <v>3419</v>
      </c>
      <c r="K13" s="24">
        <f t="shared" si="3"/>
        <v>1708</v>
      </c>
      <c r="L13" s="31">
        <f t="shared" si="2"/>
        <v>49.956127522667451</v>
      </c>
    </row>
    <row r="14" spans="2:12" x14ac:dyDescent="0.25">
      <c r="B14" s="23" t="s">
        <v>11</v>
      </c>
      <c r="C14" s="24">
        <v>1723</v>
      </c>
      <c r="D14" s="25">
        <v>1725</v>
      </c>
      <c r="E14" s="24">
        <f t="shared" si="0"/>
        <v>-2</v>
      </c>
      <c r="F14" s="25">
        <v>1970</v>
      </c>
      <c r="G14" s="24">
        <f t="shared" si="1"/>
        <v>-247</v>
      </c>
      <c r="I14" s="23" t="s">
        <v>11</v>
      </c>
      <c r="J14" s="24">
        <f>SUM('1_bezr.'!C14)</f>
        <v>3173</v>
      </c>
      <c r="K14" s="24">
        <f t="shared" si="3"/>
        <v>1723</v>
      </c>
      <c r="L14" s="31">
        <f t="shared" si="2"/>
        <v>54.301922470847771</v>
      </c>
    </row>
    <row r="15" spans="2:12" x14ac:dyDescent="0.25">
      <c r="B15" s="23" t="s">
        <v>12</v>
      </c>
      <c r="C15" s="24">
        <v>1825</v>
      </c>
      <c r="D15" s="25">
        <v>1878</v>
      </c>
      <c r="E15" s="24">
        <f t="shared" si="0"/>
        <v>-53</v>
      </c>
      <c r="F15" s="25">
        <v>2045</v>
      </c>
      <c r="G15" s="24">
        <f t="shared" si="1"/>
        <v>-220</v>
      </c>
      <c r="I15" s="23" t="s">
        <v>12</v>
      </c>
      <c r="J15" s="24">
        <f>SUM('1_bezr.'!C15)</f>
        <v>3484</v>
      </c>
      <c r="K15" s="24">
        <f t="shared" si="3"/>
        <v>1825</v>
      </c>
      <c r="L15" s="31">
        <f t="shared" si="2"/>
        <v>52.382319173363946</v>
      </c>
    </row>
    <row r="16" spans="2:12" x14ac:dyDescent="0.25">
      <c r="B16" s="23" t="s">
        <v>13</v>
      </c>
      <c r="C16" s="24">
        <v>1866</v>
      </c>
      <c r="D16" s="25">
        <v>1942</v>
      </c>
      <c r="E16" s="24">
        <f t="shared" si="0"/>
        <v>-76</v>
      </c>
      <c r="F16" s="25">
        <v>1920</v>
      </c>
      <c r="G16" s="24">
        <f t="shared" si="1"/>
        <v>-54</v>
      </c>
      <c r="I16" s="23" t="s">
        <v>13</v>
      </c>
      <c r="J16" s="24">
        <f>SUM('1_bezr.'!C16)</f>
        <v>3536</v>
      </c>
      <c r="K16" s="24">
        <f t="shared" si="3"/>
        <v>1866</v>
      </c>
      <c r="L16" s="31">
        <f t="shared" si="2"/>
        <v>52.771493212669682</v>
      </c>
    </row>
    <row r="17" spans="2:12" x14ac:dyDescent="0.25">
      <c r="B17" s="23" t="s">
        <v>14</v>
      </c>
      <c r="C17" s="24">
        <v>2203</v>
      </c>
      <c r="D17" s="25">
        <v>2226</v>
      </c>
      <c r="E17" s="24">
        <f t="shared" si="0"/>
        <v>-23</v>
      </c>
      <c r="F17" s="25">
        <v>2249</v>
      </c>
      <c r="G17" s="24">
        <f t="shared" si="1"/>
        <v>-46</v>
      </c>
      <c r="I17" s="23" t="s">
        <v>14</v>
      </c>
      <c r="J17" s="24">
        <f>SUM('1_bezr.'!C17)</f>
        <v>3789</v>
      </c>
      <c r="K17" s="24">
        <f t="shared" si="3"/>
        <v>2203</v>
      </c>
      <c r="L17" s="31">
        <f t="shared" si="2"/>
        <v>58.141989970968588</v>
      </c>
    </row>
    <row r="18" spans="2:12" x14ac:dyDescent="0.25">
      <c r="B18" s="23" t="s">
        <v>15</v>
      </c>
      <c r="C18" s="24">
        <v>1855</v>
      </c>
      <c r="D18" s="25">
        <v>1856</v>
      </c>
      <c r="E18" s="24">
        <f t="shared" si="0"/>
        <v>-1</v>
      </c>
      <c r="F18" s="25">
        <v>1937</v>
      </c>
      <c r="G18" s="24">
        <f t="shared" si="1"/>
        <v>-82</v>
      </c>
      <c r="I18" s="23" t="s">
        <v>15</v>
      </c>
      <c r="J18" s="24">
        <f>SUM('1_bezr.'!C18)</f>
        <v>3413</v>
      </c>
      <c r="K18" s="24">
        <f t="shared" si="3"/>
        <v>1855</v>
      </c>
      <c r="L18" s="31">
        <f t="shared" si="2"/>
        <v>54.351010840902433</v>
      </c>
    </row>
    <row r="19" spans="2:12" x14ac:dyDescent="0.25">
      <c r="B19" s="23" t="s">
        <v>16</v>
      </c>
      <c r="C19" s="24">
        <v>3231</v>
      </c>
      <c r="D19" s="25">
        <v>3313</v>
      </c>
      <c r="E19" s="24">
        <f t="shared" si="0"/>
        <v>-82</v>
      </c>
      <c r="F19" s="25">
        <v>3332</v>
      </c>
      <c r="G19" s="24">
        <f t="shared" si="1"/>
        <v>-101</v>
      </c>
      <c r="I19" s="23" t="s">
        <v>16</v>
      </c>
      <c r="J19" s="24">
        <f>SUM('1_bezr.'!C19)</f>
        <v>6285</v>
      </c>
      <c r="K19" s="24">
        <f t="shared" si="3"/>
        <v>3231</v>
      </c>
      <c r="L19" s="31">
        <f t="shared" si="2"/>
        <v>51.408114558472548</v>
      </c>
    </row>
    <row r="20" spans="2:12" x14ac:dyDescent="0.25">
      <c r="B20" s="23" t="s">
        <v>17</v>
      </c>
      <c r="C20" s="24">
        <v>1388</v>
      </c>
      <c r="D20" s="25">
        <v>1431</v>
      </c>
      <c r="E20" s="24">
        <f t="shared" si="0"/>
        <v>-43</v>
      </c>
      <c r="F20" s="25">
        <v>1552</v>
      </c>
      <c r="G20" s="24">
        <f t="shared" si="1"/>
        <v>-164</v>
      </c>
      <c r="I20" s="23" t="s">
        <v>17</v>
      </c>
      <c r="J20" s="24">
        <f>SUM('1_bezr.'!C20)</f>
        <v>2679</v>
      </c>
      <c r="K20" s="24">
        <f t="shared" si="3"/>
        <v>1388</v>
      </c>
      <c r="L20" s="31">
        <f t="shared" si="2"/>
        <v>51.810377006345654</v>
      </c>
    </row>
    <row r="21" spans="2:12" x14ac:dyDescent="0.25">
      <c r="B21" s="23" t="s">
        <v>18</v>
      </c>
      <c r="C21" s="24">
        <v>1333</v>
      </c>
      <c r="D21" s="25">
        <v>1388</v>
      </c>
      <c r="E21" s="24">
        <f t="shared" si="0"/>
        <v>-55</v>
      </c>
      <c r="F21" s="25">
        <v>1445</v>
      </c>
      <c r="G21" s="24">
        <f t="shared" si="1"/>
        <v>-112</v>
      </c>
      <c r="I21" s="23" t="s">
        <v>18</v>
      </c>
      <c r="J21" s="24">
        <f>SUM('1_bezr.'!C21)</f>
        <v>2398</v>
      </c>
      <c r="K21" s="24">
        <f t="shared" si="3"/>
        <v>1333</v>
      </c>
      <c r="L21" s="31">
        <f t="shared" si="2"/>
        <v>55.587989991659711</v>
      </c>
    </row>
    <row r="22" spans="2:12" x14ac:dyDescent="0.25">
      <c r="B22" s="23" t="s">
        <v>19</v>
      </c>
      <c r="C22" s="24">
        <v>1955</v>
      </c>
      <c r="D22" s="25">
        <v>1976</v>
      </c>
      <c r="E22" s="24">
        <f t="shared" si="0"/>
        <v>-21</v>
      </c>
      <c r="F22" s="25">
        <v>2010</v>
      </c>
      <c r="G22" s="24">
        <f t="shared" si="1"/>
        <v>-55</v>
      </c>
      <c r="I22" s="23" t="s">
        <v>19</v>
      </c>
      <c r="J22" s="24">
        <f>SUM('1_bezr.'!C22)</f>
        <v>3573</v>
      </c>
      <c r="K22" s="24">
        <f t="shared" si="3"/>
        <v>1955</v>
      </c>
      <c r="L22" s="31">
        <f t="shared" si="2"/>
        <v>54.715924993003071</v>
      </c>
    </row>
    <row r="23" spans="2:12" x14ac:dyDescent="0.25">
      <c r="B23" s="23" t="s">
        <v>20</v>
      </c>
      <c r="C23" s="24">
        <v>859</v>
      </c>
      <c r="D23" s="25">
        <v>876</v>
      </c>
      <c r="E23" s="24">
        <f t="shared" si="0"/>
        <v>-17</v>
      </c>
      <c r="F23" s="25">
        <v>958</v>
      </c>
      <c r="G23" s="24">
        <f t="shared" si="1"/>
        <v>-99</v>
      </c>
      <c r="I23" s="23" t="s">
        <v>20</v>
      </c>
      <c r="J23" s="24">
        <f>SUM('1_bezr.'!C23)</f>
        <v>1643</v>
      </c>
      <c r="K23" s="24">
        <f t="shared" si="3"/>
        <v>859</v>
      </c>
      <c r="L23" s="31">
        <f t="shared" si="2"/>
        <v>52.282410225197808</v>
      </c>
    </row>
    <row r="24" spans="2:12" x14ac:dyDescent="0.25">
      <c r="B24" s="23" t="s">
        <v>21</v>
      </c>
      <c r="C24" s="24">
        <v>438</v>
      </c>
      <c r="D24" s="25">
        <v>454</v>
      </c>
      <c r="E24" s="24">
        <f t="shared" si="0"/>
        <v>-16</v>
      </c>
      <c r="F24" s="25">
        <v>476</v>
      </c>
      <c r="G24" s="24">
        <f t="shared" si="1"/>
        <v>-38</v>
      </c>
      <c r="I24" s="23" t="s">
        <v>21</v>
      </c>
      <c r="J24" s="24">
        <f>SUM('1_bezr.'!C24)</f>
        <v>846</v>
      </c>
      <c r="K24" s="24">
        <f t="shared" si="3"/>
        <v>438</v>
      </c>
      <c r="L24" s="31">
        <f t="shared" si="2"/>
        <v>51.773049645390067</v>
      </c>
    </row>
    <row r="25" spans="2:12" x14ac:dyDescent="0.25">
      <c r="B25" s="23" t="s">
        <v>22</v>
      </c>
      <c r="C25" s="24">
        <v>1514</v>
      </c>
      <c r="D25" s="25">
        <v>1551</v>
      </c>
      <c r="E25" s="24">
        <f t="shared" si="0"/>
        <v>-37</v>
      </c>
      <c r="F25" s="25">
        <v>1623</v>
      </c>
      <c r="G25" s="24">
        <f t="shared" si="1"/>
        <v>-109</v>
      </c>
      <c r="I25" s="23" t="s">
        <v>22</v>
      </c>
      <c r="J25" s="24">
        <f>SUM('1_bezr.'!C25)</f>
        <v>2986</v>
      </c>
      <c r="K25" s="24">
        <f t="shared" si="3"/>
        <v>1514</v>
      </c>
      <c r="L25" s="31">
        <f t="shared" si="2"/>
        <v>50.703281982585402</v>
      </c>
    </row>
    <row r="26" spans="2:12" x14ac:dyDescent="0.25">
      <c r="B26" s="23" t="s">
        <v>23</v>
      </c>
      <c r="C26" s="24">
        <v>3681</v>
      </c>
      <c r="D26" s="25">
        <v>3742</v>
      </c>
      <c r="E26" s="24">
        <f t="shared" si="0"/>
        <v>-61</v>
      </c>
      <c r="F26" s="25">
        <v>3737</v>
      </c>
      <c r="G26" s="24">
        <f t="shared" si="1"/>
        <v>-56</v>
      </c>
      <c r="I26" s="23" t="s">
        <v>23</v>
      </c>
      <c r="J26" s="24">
        <f>SUM('1_bezr.'!C26)</f>
        <v>7175</v>
      </c>
      <c r="K26" s="24">
        <f t="shared" si="3"/>
        <v>3681</v>
      </c>
      <c r="L26" s="31">
        <f t="shared" si="2"/>
        <v>51.303135888501735</v>
      </c>
    </row>
    <row r="27" spans="2:12" x14ac:dyDescent="0.25">
      <c r="B27" s="23" t="s">
        <v>24</v>
      </c>
      <c r="C27" s="24">
        <v>770</v>
      </c>
      <c r="D27" s="25">
        <v>785</v>
      </c>
      <c r="E27" s="24">
        <f>SUM(C27)-D27</f>
        <v>-15</v>
      </c>
      <c r="F27" s="25">
        <v>852</v>
      </c>
      <c r="G27" s="24">
        <f t="shared" si="1"/>
        <v>-82</v>
      </c>
      <c r="I27" s="23" t="s">
        <v>24</v>
      </c>
      <c r="J27" s="24">
        <f>SUM('1_bezr.'!C27)</f>
        <v>1480</v>
      </c>
      <c r="K27" s="24">
        <f t="shared" si="3"/>
        <v>770</v>
      </c>
      <c r="L27" s="31">
        <f t="shared" si="2"/>
        <v>52.027027027027032</v>
      </c>
    </row>
    <row r="28" spans="2:12" x14ac:dyDescent="0.25">
      <c r="B28" s="27" t="s">
        <v>25</v>
      </c>
      <c r="C28" s="28">
        <f>SUM(C3:C27)</f>
        <v>43242</v>
      </c>
      <c r="D28" s="29">
        <f>SUM(D3:D27)</f>
        <v>44358</v>
      </c>
      <c r="E28" s="28">
        <f>SUM(E3:E27)</f>
        <v>-1116</v>
      </c>
      <c r="F28" s="29">
        <f>SUM(F3:F27)</f>
        <v>45420</v>
      </c>
      <c r="G28" s="28">
        <f>SUM(G3:G27)</f>
        <v>-2178</v>
      </c>
      <c r="I28" s="27" t="s">
        <v>25</v>
      </c>
      <c r="J28" s="28">
        <f>SUM(J3:J27)</f>
        <v>80944</v>
      </c>
      <c r="K28" s="28">
        <f>SUM(K3:K27)</f>
        <v>43242</v>
      </c>
      <c r="L28" s="32">
        <f t="shared" si="2"/>
        <v>53.422118995848976</v>
      </c>
    </row>
    <row r="29" spans="2:12" x14ac:dyDescent="0.25">
      <c r="E29" s="30"/>
    </row>
  </sheetData>
  <printOptions horizontalCentered="1" verticalCentered="1"/>
  <pageMargins left="0" right="0" top="0.31496062992125984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29"/>
  <sheetViews>
    <sheetView zoomScale="80" zoomScaleNormal="80" workbookViewId="0">
      <selection activeCell="B1" sqref="B1"/>
    </sheetView>
  </sheetViews>
  <sheetFormatPr defaultRowHeight="15" x14ac:dyDescent="0.25"/>
  <cols>
    <col min="1" max="1" width="2.7109375" style="1" customWidth="1"/>
    <col min="2" max="2" width="6.42578125" style="1" customWidth="1"/>
    <col min="3" max="3" width="24.140625" style="1" customWidth="1"/>
    <col min="4" max="4" width="15.42578125" style="1" customWidth="1"/>
    <col min="5" max="5" width="14.42578125" style="1" customWidth="1"/>
    <col min="6" max="6" width="14.28515625" style="1" customWidth="1"/>
    <col min="7" max="7" width="13.5703125" style="1" customWidth="1"/>
    <col min="8" max="8" width="15.28515625" style="1" customWidth="1"/>
    <col min="9" max="9" width="5.85546875" style="1" customWidth="1"/>
    <col min="10" max="16384" width="9.140625" style="1"/>
  </cols>
  <sheetData>
    <row r="1" spans="2:8" ht="18.75" x14ac:dyDescent="0.25">
      <c r="B1" s="59" t="s">
        <v>82</v>
      </c>
      <c r="C1" s="13"/>
      <c r="D1" s="13"/>
      <c r="E1" s="13"/>
      <c r="F1" s="13"/>
      <c r="G1" s="13"/>
      <c r="H1" s="13"/>
    </row>
    <row r="2" spans="2:8" ht="18.75" x14ac:dyDescent="0.3">
      <c r="B2" s="13"/>
      <c r="C2" s="58"/>
      <c r="D2" s="60"/>
      <c r="E2" s="13"/>
      <c r="F2" s="13"/>
      <c r="G2" s="13"/>
      <c r="H2" s="13"/>
    </row>
    <row r="3" spans="2:8" ht="60" x14ac:dyDescent="0.25">
      <c r="B3" s="64" t="s">
        <v>91</v>
      </c>
      <c r="C3" s="20" t="str">
        <f>T('2_kob.'!B2)</f>
        <v>powiaty</v>
      </c>
      <c r="D3" s="20" t="str">
        <f>T('2_kob.'!C2)</f>
        <v>liczba bezrobotnych kobiet stan na 30 VI '21 r.</v>
      </c>
      <c r="E3" s="20" t="str">
        <f>T('2_kob.'!D2)</f>
        <v>liczba bezrobotnych kobiet stan na 31 V '21 r.</v>
      </c>
      <c r="F3" s="20" t="str">
        <f>T('2_kob.'!E2)</f>
        <v>wzrost/spadek do poprzedniego  miesiąca</v>
      </c>
      <c r="G3" s="20" t="str">
        <f>T('2_kob.'!F2)</f>
        <v>liczba bezrobotnych kobiet stan na 30 VI '20 r.</v>
      </c>
      <c r="H3" s="20" t="str">
        <f>T('2_kob.'!G2)</f>
        <v>wzrost/spadek do analogicznego okresu ubr.</v>
      </c>
    </row>
    <row r="4" spans="2:8" x14ac:dyDescent="0.25">
      <c r="B4" s="24">
        <f>RANK('2_kob.'!C3,'2_kob.'!$C$3:'2_kob.'!$C$28,1)+COUNTIF('2_kob.'!$C$3:'2_kob.'!C3,'2_kob.'!C3)-1</f>
        <v>2</v>
      </c>
      <c r="C4" s="23" t="str">
        <f>INDEX('2_kob.'!B3:G28,MATCH(1,B4:B29,0),1)</f>
        <v>Krosno</v>
      </c>
      <c r="D4" s="12">
        <f>INDEX('2_kob.'!B3:G28,MATCH(1,B4:B29,0),2)</f>
        <v>438</v>
      </c>
      <c r="E4" s="25">
        <f>INDEX('2_kob.'!B3:G28,MATCH(1,B4:B29,0),3)</f>
        <v>454</v>
      </c>
      <c r="F4" s="24">
        <f>INDEX('2_kob.'!B3:G28,MATCH(1,B4:B29,0),4)</f>
        <v>-16</v>
      </c>
      <c r="G4" s="25">
        <f>INDEX('2_kob.'!B3:G28,MATCH(1,B4:B29,0),5)</f>
        <v>476</v>
      </c>
      <c r="H4" s="24">
        <f>INDEX('2_kob.'!B3:G28,MATCH(1,B4:B29,0),6)</f>
        <v>-38</v>
      </c>
    </row>
    <row r="5" spans="2:8" x14ac:dyDescent="0.25">
      <c r="B5" s="24">
        <f>RANK('2_kob.'!C4,'2_kob.'!$C$3:'2_kob.'!$C$28,1)+COUNTIF('2_kob.'!$C$3:'2_kob.'!C4,'2_kob.'!C4)-1</f>
        <v>21</v>
      </c>
      <c r="C5" s="23" t="str">
        <f>INDEX('2_kob.'!B3:G28,MATCH(2,B4:B29,0),1)</f>
        <v>bieszczadzki</v>
      </c>
      <c r="D5" s="24">
        <f>INDEX('2_kob.'!B3:G28,MATCH(2,B4:B29,0),2)</f>
        <v>606</v>
      </c>
      <c r="E5" s="25">
        <f>INDEX('2_kob.'!B3:G28,MATCH(2,B4:B29,0),3)</f>
        <v>640</v>
      </c>
      <c r="F5" s="24">
        <f>INDEX('2_kob.'!B3:G28,MATCH(2,B4:B29,0),4)</f>
        <v>-34</v>
      </c>
      <c r="G5" s="25">
        <f>INDEX('2_kob.'!B3:G28,MATCH(2,B4:B29,0),5)</f>
        <v>668</v>
      </c>
      <c r="H5" s="24">
        <f>INDEX('2_kob.'!B3:G28,MATCH(2,B4:B29,0),6)</f>
        <v>-62</v>
      </c>
    </row>
    <row r="6" spans="2:8" x14ac:dyDescent="0.25">
      <c r="B6" s="24">
        <f>RANK('2_kob.'!C5,'2_kob.'!$C$3:'2_kob.'!$C$28,1)+COUNTIF('2_kob.'!$C$3:'2_kob.'!C5,'2_kob.'!C5)-1</f>
        <v>17</v>
      </c>
      <c r="C6" s="23" t="str">
        <f>INDEX('2_kob.'!B3:G28,MATCH(3,B4:B29,0),1)</f>
        <v>leski</v>
      </c>
      <c r="D6" s="24">
        <f>INDEX('2_kob.'!B3:G28,MATCH(3,B4:B29,0),2)</f>
        <v>737</v>
      </c>
      <c r="E6" s="25">
        <f>INDEX('2_kob.'!B3:G28,MATCH(3,B4:B29,0),3)</f>
        <v>799</v>
      </c>
      <c r="F6" s="24">
        <f>INDEX('2_kob.'!B3:G28,MATCH(3,B4:B29,0),4)</f>
        <v>-62</v>
      </c>
      <c r="G6" s="25">
        <f>INDEX('2_kob.'!B3:G28,MATCH(3,B4:B29,0),5)</f>
        <v>846</v>
      </c>
      <c r="H6" s="24">
        <f>INDEX('2_kob.'!B3:G28,MATCH(3,B4:B29,0),6)</f>
        <v>-109</v>
      </c>
    </row>
    <row r="7" spans="2:8" x14ac:dyDescent="0.25">
      <c r="B7" s="24">
        <f>RANK('2_kob.'!C6,'2_kob.'!$C$3:'2_kob.'!$C$28,1)+COUNTIF('2_kob.'!$C$3:'2_kob.'!C6,'2_kob.'!C6)-1</f>
        <v>22</v>
      </c>
      <c r="C7" s="23" t="str">
        <f>INDEX('2_kob.'!B3:G28,MATCH(4,B4:B29,0),1)</f>
        <v>Tarnobrzeg</v>
      </c>
      <c r="D7" s="24">
        <f>INDEX('2_kob.'!B3:G28,MATCH(4,B4:B29,0),2)</f>
        <v>770</v>
      </c>
      <c r="E7" s="25">
        <f>INDEX('2_kob.'!B3:G28,MATCH(4,B4:B29,0),3)</f>
        <v>785</v>
      </c>
      <c r="F7" s="24">
        <f>INDEX('2_kob.'!B3:G28,MATCH(4,B4:B29,0),4)</f>
        <v>-15</v>
      </c>
      <c r="G7" s="25">
        <f>INDEX('2_kob.'!B3:G28,MATCH(4,B4:B29,0),5)</f>
        <v>852</v>
      </c>
      <c r="H7" s="24">
        <f>INDEX('2_kob.'!B3:G28,MATCH(4,B4:B29,0),6)</f>
        <v>-82</v>
      </c>
    </row>
    <row r="8" spans="2:8" x14ac:dyDescent="0.25">
      <c r="B8" s="24">
        <f>RANK('2_kob.'!C7,'2_kob.'!$C$3:'2_kob.'!$C$28,1)+COUNTIF('2_kob.'!$C$3:'2_kob.'!C7,'2_kob.'!C7)-1</f>
        <v>23</v>
      </c>
      <c r="C8" s="23" t="str">
        <f>INDEX('2_kob.'!B3:G28,MATCH(5,B4:B29,0),1)</f>
        <v xml:space="preserve">tarnobrzeski </v>
      </c>
      <c r="D8" s="24">
        <f>INDEX('2_kob.'!B3:G28,MATCH(5,B4:B29,0),2)</f>
        <v>859</v>
      </c>
      <c r="E8" s="25">
        <f>INDEX('2_kob.'!B3:G28,MATCH(5,B4:B29,0),3)</f>
        <v>876</v>
      </c>
      <c r="F8" s="24">
        <f>INDEX('2_kob.'!B3:G28,MATCH(5,B4:B29,0),4)</f>
        <v>-17</v>
      </c>
      <c r="G8" s="25">
        <f>INDEX('2_kob.'!B3:G28,MATCH(5,B4:B29,0),5)</f>
        <v>958</v>
      </c>
      <c r="H8" s="24">
        <f>INDEX('2_kob.'!B3:G28,MATCH(5,B4:B29,0),6)</f>
        <v>-99</v>
      </c>
    </row>
    <row r="9" spans="2:8" x14ac:dyDescent="0.25">
      <c r="B9" s="24">
        <f>RANK('2_kob.'!C8,'2_kob.'!$C$3:'2_kob.'!$C$28,1)+COUNTIF('2_kob.'!$C$3:'2_kob.'!C8,'2_kob.'!C8)-1</f>
        <v>7</v>
      </c>
      <c r="C9" s="23" t="str">
        <f>INDEX('2_kob.'!B3:G28,MATCH(6,B4:B29,0),1)</f>
        <v>lubaczowski</v>
      </c>
      <c r="D9" s="24">
        <f>INDEX('2_kob.'!B3:G28,MATCH(6,B4:B29,0),2)</f>
        <v>939</v>
      </c>
      <c r="E9" s="25">
        <f>INDEX('2_kob.'!B3:G28,MATCH(6,B4:B29,0),3)</f>
        <v>1013</v>
      </c>
      <c r="F9" s="24">
        <f>INDEX('2_kob.'!B3:G28,MATCH(6,B4:B29,0),4)</f>
        <v>-74</v>
      </c>
      <c r="G9" s="25">
        <f>INDEX('2_kob.'!B3:G28,MATCH(6,B4:B29,0),5)</f>
        <v>955</v>
      </c>
      <c r="H9" s="24">
        <f>INDEX('2_kob.'!B3:G28,MATCH(6,B4:B29,0),6)</f>
        <v>-16</v>
      </c>
    </row>
    <row r="10" spans="2:8" x14ac:dyDescent="0.25">
      <c r="B10" s="24">
        <f>RANK('2_kob.'!C9,'2_kob.'!$C$3:'2_kob.'!$C$28,1)+COUNTIF('2_kob.'!$C$3:'2_kob.'!C9,'2_kob.'!C9)-1</f>
        <v>8</v>
      </c>
      <c r="C10" s="26" t="str">
        <f>INDEX('2_kob.'!B3:G28,MATCH(7,B4:B29,0),1)</f>
        <v>kolbuszowski</v>
      </c>
      <c r="D10" s="24">
        <f>INDEX('2_kob.'!B3:G28,MATCH(7,B4:B29,0),2)</f>
        <v>1008</v>
      </c>
      <c r="E10" s="25">
        <f>INDEX('2_kob.'!B3:G28,MATCH(7,B4:B29,0),3)</f>
        <v>1070</v>
      </c>
      <c r="F10" s="24">
        <f>INDEX('2_kob.'!B3:G28,MATCH(7,B4:B29,0),4)</f>
        <v>-62</v>
      </c>
      <c r="G10" s="25">
        <f>INDEX('2_kob.'!B3:G28,MATCH(7,B4:B29,0),5)</f>
        <v>1111</v>
      </c>
      <c r="H10" s="24">
        <f>INDEX('2_kob.'!B3:G28,MATCH(7,B4:B29,0),6)</f>
        <v>-103</v>
      </c>
    </row>
    <row r="11" spans="2:8" x14ac:dyDescent="0.25">
      <c r="B11" s="24">
        <f>RANK('2_kob.'!C10,'2_kob.'!$C$3:'2_kob.'!$C$28,1)+COUNTIF('2_kob.'!$C$3:'2_kob.'!C10,'2_kob.'!C10)-1</f>
        <v>3</v>
      </c>
      <c r="C11" s="23" t="str">
        <f>INDEX('2_kob.'!B3:G28,MATCH(8,B4:B29,0),1)</f>
        <v>krośnieński</v>
      </c>
      <c r="D11" s="24">
        <f>INDEX('2_kob.'!B3:G28,MATCH(8,B4:B29,0),2)</f>
        <v>1300</v>
      </c>
      <c r="E11" s="25">
        <f>INDEX('2_kob.'!B3:G28,MATCH(8,B4:B29,0),3)</f>
        <v>1371</v>
      </c>
      <c r="F11" s="24">
        <f>INDEX('2_kob.'!B3:G28,MATCH(8,B4:B29,0),4)</f>
        <v>-71</v>
      </c>
      <c r="G11" s="25">
        <f>INDEX('2_kob.'!B3:G28,MATCH(8,B4:B29,0),5)</f>
        <v>1296</v>
      </c>
      <c r="H11" s="24">
        <f>INDEX('2_kob.'!B3:G28,MATCH(8,B4:B29,0),6)</f>
        <v>4</v>
      </c>
    </row>
    <row r="12" spans="2:8" x14ac:dyDescent="0.25">
      <c r="B12" s="24">
        <f>RANK('2_kob.'!C11,'2_kob.'!$C$3:'2_kob.'!$C$28,1)+COUNTIF('2_kob.'!$C$3:'2_kob.'!C11,'2_kob.'!C11)-1</f>
        <v>18</v>
      </c>
      <c r="C12" s="23" t="str">
        <f>INDEX('2_kob.'!B3:G28,MATCH(9,B4:B29,0),1)</f>
        <v>stalowowolski</v>
      </c>
      <c r="D12" s="24">
        <f>INDEX('2_kob.'!B3:G28,MATCH(9,B4:B29,0),2)</f>
        <v>1333</v>
      </c>
      <c r="E12" s="25">
        <f>INDEX('2_kob.'!B3:G28,MATCH(9,B4:B29,0),3)</f>
        <v>1388</v>
      </c>
      <c r="F12" s="24">
        <f>INDEX('2_kob.'!B3:G28,MATCH(9,B4:B29,0),4)</f>
        <v>-55</v>
      </c>
      <c r="G12" s="25">
        <f>INDEX('2_kob.'!B3:G28,MATCH(9,B4:B29,0),5)</f>
        <v>1445</v>
      </c>
      <c r="H12" s="24">
        <f>INDEX('2_kob.'!B3:G28,MATCH(9,B4:B29,0),6)</f>
        <v>-112</v>
      </c>
    </row>
    <row r="13" spans="2:8" x14ac:dyDescent="0.25">
      <c r="B13" s="24">
        <f>RANK('2_kob.'!C12,'2_kob.'!$C$3:'2_kob.'!$C$28,1)+COUNTIF('2_kob.'!$C$3:'2_kob.'!C12,'2_kob.'!C12)-1</f>
        <v>6</v>
      </c>
      <c r="C13" s="23" t="str">
        <f>INDEX('2_kob.'!B3:G28,MATCH(10,B4:B29,0),1)</f>
        <v>sanocki</v>
      </c>
      <c r="D13" s="24">
        <f>INDEX('2_kob.'!B3:G28,MATCH(10,B4:B29,0),2)</f>
        <v>1388</v>
      </c>
      <c r="E13" s="25">
        <f>INDEX('2_kob.'!B3:G28,MATCH(10,B4:B29,0),3)</f>
        <v>1431</v>
      </c>
      <c r="F13" s="24">
        <f>INDEX('2_kob.'!B3:G28,MATCH(10,B4:B29,0),4)</f>
        <v>-43</v>
      </c>
      <c r="G13" s="25">
        <f>INDEX('2_kob.'!B3:G28,MATCH(10,B4:B29,0),5)</f>
        <v>1552</v>
      </c>
      <c r="H13" s="24">
        <f>INDEX('2_kob.'!B3:G28,MATCH(10,B4:B29,0),6)</f>
        <v>-164</v>
      </c>
    </row>
    <row r="14" spans="2:8" x14ac:dyDescent="0.25">
      <c r="B14" s="24">
        <f>RANK('2_kob.'!C13,'2_kob.'!$C$3:'2_kob.'!$C$28,1)+COUNTIF('2_kob.'!$C$3:'2_kob.'!C13,'2_kob.'!C13)-1</f>
        <v>12</v>
      </c>
      <c r="C14" s="23" t="str">
        <f>INDEX('2_kob.'!B3:G28,MATCH(11,B4:B29,0),1)</f>
        <v>Przemyśl</v>
      </c>
      <c r="D14" s="24">
        <f>INDEX('2_kob.'!B3:G28,MATCH(11,B4:B29,0),2)</f>
        <v>1514</v>
      </c>
      <c r="E14" s="25">
        <f>INDEX('2_kob.'!B3:G28,MATCH(11,B4:B29,0),3)</f>
        <v>1551</v>
      </c>
      <c r="F14" s="24">
        <f>INDEX('2_kob.'!B3:G28,MATCH(11,B4:B29,0),4)</f>
        <v>-37</v>
      </c>
      <c r="G14" s="25">
        <f>INDEX('2_kob.'!B3:G28,MATCH(11,B4:B29,0),5)</f>
        <v>1623</v>
      </c>
      <c r="H14" s="24">
        <f>INDEX('2_kob.'!B3:G28,MATCH(11,B4:B29,0),6)</f>
        <v>-109</v>
      </c>
    </row>
    <row r="15" spans="2:8" x14ac:dyDescent="0.25">
      <c r="B15" s="24">
        <f>RANK('2_kob.'!C14,'2_kob.'!$C$3:'2_kob.'!$C$28,1)+COUNTIF('2_kob.'!$C$3:'2_kob.'!C14,'2_kob.'!C14)-1</f>
        <v>13</v>
      </c>
      <c r="C15" s="23" t="str">
        <f>INDEX('2_kob.'!B3:G28,MATCH(12,B4:B29,0),1)</f>
        <v>łańcucki</v>
      </c>
      <c r="D15" s="24">
        <f>INDEX('2_kob.'!B3:G28,MATCH(12,B4:B29,0),2)</f>
        <v>1708</v>
      </c>
      <c r="E15" s="25">
        <f>INDEX('2_kob.'!B3:G28,MATCH(12,B4:B29,0),3)</f>
        <v>1716</v>
      </c>
      <c r="F15" s="24">
        <f>INDEX('2_kob.'!B3:G28,MATCH(12,B4:B29,0),4)</f>
        <v>-8</v>
      </c>
      <c r="G15" s="25">
        <f>INDEX('2_kob.'!B3:G28,MATCH(12,B4:B29,0),5)</f>
        <v>1740</v>
      </c>
      <c r="H15" s="24">
        <f>INDEX('2_kob.'!B3:G28,MATCH(12,B4:B29,0),6)</f>
        <v>-32</v>
      </c>
    </row>
    <row r="16" spans="2:8" x14ac:dyDescent="0.25">
      <c r="B16" s="24">
        <f>RANK('2_kob.'!C15,'2_kob.'!$C$3:'2_kob.'!$C$28,1)+COUNTIF('2_kob.'!$C$3:'2_kob.'!C15,'2_kob.'!C15)-1</f>
        <v>14</v>
      </c>
      <c r="C16" s="23" t="str">
        <f>INDEX('2_kob.'!B3:G28,MATCH(13,B4:B29,0),1)</f>
        <v>mielecki</v>
      </c>
      <c r="D16" s="24">
        <f>INDEX('2_kob.'!B3:G28,MATCH(13,B4:B29,0),2)</f>
        <v>1723</v>
      </c>
      <c r="E16" s="25">
        <f>INDEX('2_kob.'!B3:G28,MATCH(13,B4:B29,0),3)</f>
        <v>1725</v>
      </c>
      <c r="F16" s="24">
        <f>INDEX('2_kob.'!B3:G28,MATCH(13,B4:B29,0),4)</f>
        <v>-2</v>
      </c>
      <c r="G16" s="25">
        <f>INDEX('2_kob.'!B3:G28,MATCH(13,B4:B29,0),5)</f>
        <v>1970</v>
      </c>
      <c r="H16" s="24">
        <f>INDEX('2_kob.'!B3:G28,MATCH(13,B4:B29,0),6)</f>
        <v>-247</v>
      </c>
    </row>
    <row r="17" spans="2:8" x14ac:dyDescent="0.25">
      <c r="B17" s="24">
        <f>RANK('2_kob.'!C16,'2_kob.'!$C$3:'2_kob.'!$C$28,1)+COUNTIF('2_kob.'!$C$3:'2_kob.'!C16,'2_kob.'!C16)-1</f>
        <v>16</v>
      </c>
      <c r="C17" s="23" t="str">
        <f>INDEX('2_kob.'!B3:G28,MATCH(14,B4:B29,0),1)</f>
        <v>niżański</v>
      </c>
      <c r="D17" s="24">
        <f>INDEX('2_kob.'!B3:G28,MATCH(14,B4:B29,0),2)</f>
        <v>1825</v>
      </c>
      <c r="E17" s="25">
        <f>INDEX('2_kob.'!B3:G28,MATCH(14,B4:B29,0),3)</f>
        <v>1878</v>
      </c>
      <c r="F17" s="24">
        <f>INDEX('2_kob.'!B3:G28,MATCH(14,B4:B29,0),4)</f>
        <v>-53</v>
      </c>
      <c r="G17" s="25">
        <f>INDEX('2_kob.'!B3:G28,MATCH(14,B4:B29,0),5)</f>
        <v>2045</v>
      </c>
      <c r="H17" s="24">
        <f>INDEX('2_kob.'!B3:G28,MATCH(14,B4:B29,0),6)</f>
        <v>-220</v>
      </c>
    </row>
    <row r="18" spans="2:8" x14ac:dyDescent="0.25">
      <c r="B18" s="24">
        <f>RANK('2_kob.'!C17,'2_kob.'!$C$3:'2_kob.'!$C$28,1)+COUNTIF('2_kob.'!$C$3:'2_kob.'!C17,'2_kob.'!C17)-1</f>
        <v>20</v>
      </c>
      <c r="C18" s="23" t="str">
        <f>INDEX('2_kob.'!B3:G28,MATCH(15,B4:B29,0),1)</f>
        <v>ropczycko-sędziszowski</v>
      </c>
      <c r="D18" s="24">
        <f>INDEX('2_kob.'!B3:G28,MATCH(15,B4:B29,0),2)</f>
        <v>1855</v>
      </c>
      <c r="E18" s="25">
        <f>INDEX('2_kob.'!B3:G28,MATCH(15,B4:B29,0),3)</f>
        <v>1856</v>
      </c>
      <c r="F18" s="24">
        <f>INDEX('2_kob.'!B3:G28,MATCH(15,B4:B29,0),4)</f>
        <v>-1</v>
      </c>
      <c r="G18" s="25">
        <f>INDEX('2_kob.'!B3:G28,MATCH(15,B4:B29,0),5)</f>
        <v>1937</v>
      </c>
      <c r="H18" s="24">
        <f>INDEX('2_kob.'!B3:G28,MATCH(15,B4:B29,0),6)</f>
        <v>-82</v>
      </c>
    </row>
    <row r="19" spans="2:8" x14ac:dyDescent="0.25">
      <c r="B19" s="24">
        <f>RANK('2_kob.'!C18,'2_kob.'!$C$3:'2_kob.'!$C$28,1)+COUNTIF('2_kob.'!$C$3:'2_kob.'!C18,'2_kob.'!C18)-1</f>
        <v>15</v>
      </c>
      <c r="C19" s="23" t="str">
        <f>INDEX('2_kob.'!B3:G28,MATCH(16,B4:B29,0),1)</f>
        <v>przemyski</v>
      </c>
      <c r="D19" s="24">
        <f>INDEX('2_kob.'!B3:G28,MATCH(16,B4:B29,0),2)</f>
        <v>1866</v>
      </c>
      <c r="E19" s="25">
        <f>INDEX('2_kob.'!B3:G28,MATCH(16,B4:B29,0),3)</f>
        <v>1942</v>
      </c>
      <c r="F19" s="24">
        <f>INDEX('2_kob.'!B3:G28,MATCH(16,B4:B29,0),4)</f>
        <v>-76</v>
      </c>
      <c r="G19" s="25">
        <f>INDEX('2_kob.'!B3:G28,MATCH(16,B4:B29,0),5)</f>
        <v>1920</v>
      </c>
      <c r="H19" s="24">
        <f>INDEX('2_kob.'!B3:G28,MATCH(16,B4:B29,0),6)</f>
        <v>-54</v>
      </c>
    </row>
    <row r="20" spans="2:8" x14ac:dyDescent="0.25">
      <c r="B20" s="24">
        <f>RANK('2_kob.'!C19,'2_kob.'!$C$3:'2_kob.'!$C$28,1)+COUNTIF('2_kob.'!$C$3:'2_kob.'!C19,'2_kob.'!C19)-1</f>
        <v>24</v>
      </c>
      <c r="C20" s="23" t="str">
        <f>INDEX('2_kob.'!B3:G28,MATCH(17,B4:B29,0),1)</f>
        <v>dębicki</v>
      </c>
      <c r="D20" s="24">
        <f>INDEX('2_kob.'!B3:G28,MATCH(17,B4:B29,0),2)</f>
        <v>1879</v>
      </c>
      <c r="E20" s="25">
        <f>INDEX('2_kob.'!B3:G28,MATCH(17,B4:B29,0),3)</f>
        <v>1948</v>
      </c>
      <c r="F20" s="24">
        <f>INDEX('2_kob.'!B3:G28,MATCH(17,B4:B29,0),4)</f>
        <v>-69</v>
      </c>
      <c r="G20" s="25">
        <f>INDEX('2_kob.'!B3:G28,MATCH(17,B4:B29,0),5)</f>
        <v>2065</v>
      </c>
      <c r="H20" s="24">
        <f>INDEX('2_kob.'!B3:G28,MATCH(17,B4:B29,0),6)</f>
        <v>-186</v>
      </c>
    </row>
    <row r="21" spans="2:8" x14ac:dyDescent="0.25">
      <c r="B21" s="24">
        <f>RANK('2_kob.'!C20,'2_kob.'!$C$3:'2_kob.'!$C$28,1)+COUNTIF('2_kob.'!$C$3:'2_kob.'!C20,'2_kob.'!C20)-1</f>
        <v>10</v>
      </c>
      <c r="C21" s="23" t="str">
        <f>INDEX('2_kob.'!B3:G28,MATCH(18,B4:B29,0),1)</f>
        <v>leżajski</v>
      </c>
      <c r="D21" s="24">
        <f>INDEX('2_kob.'!B3:G28,MATCH(18,B4:B29,0),2)</f>
        <v>1925</v>
      </c>
      <c r="E21" s="25">
        <f>INDEX('2_kob.'!B3:G28,MATCH(18,B4:B29,0),3)</f>
        <v>1937</v>
      </c>
      <c r="F21" s="24">
        <f>INDEX('2_kob.'!B3:G28,MATCH(18,B4:B29,0),4)</f>
        <v>-12</v>
      </c>
      <c r="G21" s="25">
        <f>INDEX('2_kob.'!B3:G28,MATCH(18,B4:B29,0),5)</f>
        <v>1991</v>
      </c>
      <c r="H21" s="24">
        <f>INDEX('2_kob.'!B3:G28,MATCH(18,B4:B29,0),6)</f>
        <v>-66</v>
      </c>
    </row>
    <row r="22" spans="2:8" x14ac:dyDescent="0.25">
      <c r="B22" s="24">
        <f>RANK('2_kob.'!C21,'2_kob.'!$C$3:'2_kob.'!$C$28,1)+COUNTIF('2_kob.'!$C$3:'2_kob.'!C21,'2_kob.'!C21)-1</f>
        <v>9</v>
      </c>
      <c r="C22" s="23" t="str">
        <f>INDEX('2_kob.'!B3:G28,MATCH(19,B4:B29,0),1)</f>
        <v>strzyżowski</v>
      </c>
      <c r="D22" s="24">
        <f>INDEX('2_kob.'!B3:G28,MATCH(19,B4:B29,0),2)</f>
        <v>1955</v>
      </c>
      <c r="E22" s="25">
        <f>INDEX('2_kob.'!B3:G28,MATCH(19,B4:B29,0),3)</f>
        <v>1976</v>
      </c>
      <c r="F22" s="24">
        <f>INDEX('2_kob.'!B3:G28,MATCH(19,B4:B29,0),4)</f>
        <v>-21</v>
      </c>
      <c r="G22" s="25">
        <f>INDEX('2_kob.'!B3:G28,MATCH(19,B4:B29,0),5)</f>
        <v>2010</v>
      </c>
      <c r="H22" s="24">
        <f>INDEX('2_kob.'!B3:G28,MATCH(19,B4:B29,0),6)</f>
        <v>-55</v>
      </c>
    </row>
    <row r="23" spans="2:8" x14ac:dyDescent="0.25">
      <c r="B23" s="24">
        <f>RANK('2_kob.'!C22,'2_kob.'!$C$3:'2_kob.'!$C$28,1)+COUNTIF('2_kob.'!$C$3:'2_kob.'!C22,'2_kob.'!C22)-1</f>
        <v>19</v>
      </c>
      <c r="C23" s="23" t="str">
        <f>INDEX('2_kob.'!B3:G28,MATCH(20,B4:B29,0),1)</f>
        <v>przeworski</v>
      </c>
      <c r="D23" s="24">
        <f>INDEX('2_kob.'!B3:G28,MATCH(20,B4:B29,0),2)</f>
        <v>2203</v>
      </c>
      <c r="E23" s="25">
        <f>INDEX('2_kob.'!B3:G28,MATCH(20,B4:B29,0),3)</f>
        <v>2226</v>
      </c>
      <c r="F23" s="24">
        <f>INDEX('2_kob.'!B3:G28,MATCH(20,B4:B29,0),4)</f>
        <v>-23</v>
      </c>
      <c r="G23" s="25">
        <f>INDEX('2_kob.'!B3:G28,MATCH(20,B4:B29,0),5)</f>
        <v>2249</v>
      </c>
      <c r="H23" s="24">
        <f>INDEX('2_kob.'!B3:G28,MATCH(20,B4:B29,0),6)</f>
        <v>-46</v>
      </c>
    </row>
    <row r="24" spans="2:8" x14ac:dyDescent="0.25">
      <c r="B24" s="24">
        <f>RANK('2_kob.'!C23,'2_kob.'!$C$3:'2_kob.'!$C$28,1)+COUNTIF('2_kob.'!$C$3:'2_kob.'!C23,'2_kob.'!C23)-1</f>
        <v>5</v>
      </c>
      <c r="C24" s="23" t="str">
        <f>INDEX('2_kob.'!B3:G28,MATCH(21,B4:B29,0),1)</f>
        <v>brzozowski</v>
      </c>
      <c r="D24" s="24">
        <f>INDEX('2_kob.'!B3:G28,MATCH(21,B4:B29,0),2)</f>
        <v>2207</v>
      </c>
      <c r="E24" s="25">
        <f>INDEX('2_kob.'!B3:G28,MATCH(21,B4:B29,0),3)</f>
        <v>2247</v>
      </c>
      <c r="F24" s="24">
        <f>INDEX('2_kob.'!B3:G28,MATCH(21,B4:B29,0),4)</f>
        <v>-40</v>
      </c>
      <c r="G24" s="25">
        <f>INDEX('2_kob.'!B3:G28,MATCH(21,B4:B29,0),5)</f>
        <v>2380</v>
      </c>
      <c r="H24" s="24">
        <f>INDEX('2_kob.'!B3:G28,MATCH(21,B4:B29,0),6)</f>
        <v>-173</v>
      </c>
    </row>
    <row r="25" spans="2:8" x14ac:dyDescent="0.25">
      <c r="B25" s="24">
        <f>RANK('2_kob.'!C24,'2_kob.'!$C$3:'2_kob.'!$C$28,1)+COUNTIF('2_kob.'!$C$3:'2_kob.'!C24,'2_kob.'!C24)-1</f>
        <v>1</v>
      </c>
      <c r="C25" s="23" t="str">
        <f>INDEX('2_kob.'!B3:G28,MATCH(22,B4:B29,0),1)</f>
        <v>jarosławski</v>
      </c>
      <c r="D25" s="24">
        <f>INDEX('2_kob.'!B3:G28,MATCH(22,B4:B29,0),2)</f>
        <v>3085</v>
      </c>
      <c r="E25" s="25">
        <f>INDEX('2_kob.'!B3:G28,MATCH(22,B4:B29,0),3)</f>
        <v>3196</v>
      </c>
      <c r="F25" s="24">
        <f>INDEX('2_kob.'!B3:G28,MATCH(22,B4:B29,0),4)</f>
        <v>-111</v>
      </c>
      <c r="G25" s="25">
        <f>INDEX('2_kob.'!B3:G28,MATCH(22,B4:B29,0),5)</f>
        <v>3053</v>
      </c>
      <c r="H25" s="24">
        <f>INDEX('2_kob.'!B3:G28,MATCH(22,B4:B29,0),6)</f>
        <v>32</v>
      </c>
    </row>
    <row r="26" spans="2:8" x14ac:dyDescent="0.25">
      <c r="B26" s="24">
        <f>RANK('2_kob.'!C25,'2_kob.'!$C$3:'2_kob.'!$C$28,1)+COUNTIF('2_kob.'!$C$3:'2_kob.'!C25,'2_kob.'!C25)-1</f>
        <v>11</v>
      </c>
      <c r="C26" s="23" t="str">
        <f>INDEX('2_kob.'!B3:G28,MATCH(23,B4:B29,0),1)</f>
        <v>jasielski</v>
      </c>
      <c r="D26" s="24">
        <f>INDEX('2_kob.'!B3:G28,MATCH(23,B4:B29,0),2)</f>
        <v>3207</v>
      </c>
      <c r="E26" s="25">
        <f>INDEX('2_kob.'!B3:G28,MATCH(23,B4:B29,0),3)</f>
        <v>3278</v>
      </c>
      <c r="F26" s="24">
        <f>INDEX('2_kob.'!B3:G28,MATCH(23,B4:B29,0),4)</f>
        <v>-71</v>
      </c>
      <c r="G26" s="25">
        <f>INDEX('2_kob.'!B3:G28,MATCH(23,B4:B29,0),5)</f>
        <v>3209</v>
      </c>
      <c r="H26" s="24">
        <f>INDEX('2_kob.'!B3:G28,MATCH(23,B4:B29,0),6)</f>
        <v>-2</v>
      </c>
    </row>
    <row r="27" spans="2:8" x14ac:dyDescent="0.25">
      <c r="B27" s="24">
        <f>RANK('2_kob.'!C26,'2_kob.'!$C$3:'2_kob.'!$C$28,1)+COUNTIF('2_kob.'!$C$3:'2_kob.'!C26,'2_kob.'!C26)-1</f>
        <v>25</v>
      </c>
      <c r="C27" s="23" t="str">
        <f>INDEX('2_kob.'!B3:G28,MATCH(24,B4:B29,0),1)</f>
        <v>rzeszowski</v>
      </c>
      <c r="D27" s="24">
        <f>INDEX('2_kob.'!B3:G28,MATCH(24,B4:B29,0),2)</f>
        <v>3231</v>
      </c>
      <c r="E27" s="25">
        <f>INDEX('2_kob.'!B3:G28,MATCH(24,B4:B29,0),3)</f>
        <v>3313</v>
      </c>
      <c r="F27" s="24">
        <f>INDEX('2_kob.'!B3:G28,MATCH(24,B4:B29,0),4)</f>
        <v>-82</v>
      </c>
      <c r="G27" s="25">
        <f>INDEX('2_kob.'!B3:G28,MATCH(24,B4:B29,0),5)</f>
        <v>3332</v>
      </c>
      <c r="H27" s="24">
        <f>INDEX('2_kob.'!B3:G28,MATCH(24,B4:B29,0),6)</f>
        <v>-101</v>
      </c>
    </row>
    <row r="28" spans="2:8" x14ac:dyDescent="0.25">
      <c r="B28" s="24">
        <f>RANK('2_kob.'!C27,'2_kob.'!$C$3:'2_kob.'!$C$28,1)+COUNTIF('2_kob.'!$C$3:'2_kob.'!C27,'2_kob.'!C27)-1</f>
        <v>4</v>
      </c>
      <c r="C28" s="23" t="str">
        <f>INDEX('2_kob.'!B3:G28,MATCH(25,B4:B29,0),1)</f>
        <v>Rzeszów</v>
      </c>
      <c r="D28" s="24">
        <f>INDEX('2_kob.'!B3:G28,MATCH(25,B4:B29,0),2)</f>
        <v>3681</v>
      </c>
      <c r="E28" s="25">
        <f>INDEX('2_kob.'!B3:G28,MATCH(25,B4:B29,0),3)</f>
        <v>3742</v>
      </c>
      <c r="F28" s="24">
        <f>INDEX('2_kob.'!B3:G28,MATCH(25,B4:B29,0),4)</f>
        <v>-61</v>
      </c>
      <c r="G28" s="25">
        <f>INDEX('2_kob.'!B3:G28,MATCH(25,B4:B29,0),5)</f>
        <v>3737</v>
      </c>
      <c r="H28" s="24">
        <f>INDEX('2_kob.'!B3:G28,MATCH(25,B4:B29,0),6)</f>
        <v>-56</v>
      </c>
    </row>
    <row r="29" spans="2:8" x14ac:dyDescent="0.25">
      <c r="B29" s="86">
        <f>RANK('2_kob.'!C28,'2_kob.'!$C$3:'2_kob.'!$C$28,1)+COUNTIF('2_kob.'!$C$3:'2_kob.'!C28,'2_kob.'!C28)-1</f>
        <v>26</v>
      </c>
      <c r="C29" s="87" t="str">
        <f>INDEX('2_kob.'!B3:G28,MATCH(26,B4:B29,0),1)</f>
        <v>województwo</v>
      </c>
      <c r="D29" s="86">
        <f>INDEX('2_kob.'!B3:G28,MATCH(26,B4:B29,0),2)</f>
        <v>43242</v>
      </c>
      <c r="E29" s="40">
        <f>INDEX('2_kob.'!B3:G28,MATCH(26,B4:B29,0),3)</f>
        <v>44358</v>
      </c>
      <c r="F29" s="86">
        <f>INDEX('2_kob.'!B3:G28,MATCH(26,B4:B29,0),4)</f>
        <v>-1116</v>
      </c>
      <c r="G29" s="40">
        <f>INDEX('2_kob.'!B3:G28,MATCH(26,B4:B29,0),5)</f>
        <v>45420</v>
      </c>
      <c r="H29" s="86">
        <f>INDEX('2_kob.'!B3:G28,MATCH(26,B4:B29,0),6)</f>
        <v>-2178</v>
      </c>
    </row>
  </sheetData>
  <pageMargins left="0" right="0" top="0.31496062992125984" bottom="0.31496062992125984" header="0" footer="0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1"/>
  <sheetViews>
    <sheetView zoomScaleNormal="100" workbookViewId="0">
      <selection activeCell="B1" sqref="B1"/>
    </sheetView>
  </sheetViews>
  <sheetFormatPr defaultRowHeight="15" x14ac:dyDescent="0.25"/>
  <cols>
    <col min="1" max="1" width="3.28515625" style="12" customWidth="1"/>
    <col min="2" max="2" width="32.28515625" style="13" customWidth="1"/>
    <col min="3" max="4" width="14.42578125" style="13" customWidth="1"/>
    <col min="5" max="5" width="13.7109375" style="13" customWidth="1"/>
    <col min="6" max="6" width="14.140625" style="13" customWidth="1"/>
    <col min="7" max="7" width="13.5703125" style="13" customWidth="1"/>
    <col min="8" max="8" width="9.140625" style="12"/>
    <col min="9" max="16384" width="9.140625" style="13"/>
  </cols>
  <sheetData>
    <row r="1" spans="1:8" ht="15" customHeight="1" x14ac:dyDescent="0.25">
      <c r="B1" s="58" t="s">
        <v>92</v>
      </c>
    </row>
    <row r="2" spans="1:8" ht="75" x14ac:dyDescent="0.25">
      <c r="B2" s="14" t="s">
        <v>27</v>
      </c>
      <c r="C2" s="14" t="s">
        <v>111</v>
      </c>
      <c r="D2" s="15" t="s">
        <v>109</v>
      </c>
      <c r="E2" s="14" t="s">
        <v>83</v>
      </c>
      <c r="F2" s="15" t="s">
        <v>110</v>
      </c>
      <c r="G2" s="14" t="s">
        <v>84</v>
      </c>
    </row>
    <row r="3" spans="1:8" x14ac:dyDescent="0.25">
      <c r="A3" s="12">
        <v>1</v>
      </c>
      <c r="B3" s="90" t="s">
        <v>34</v>
      </c>
      <c r="C3" s="91">
        <v>5.9</v>
      </c>
      <c r="D3" s="92">
        <v>6.1</v>
      </c>
      <c r="E3" s="91">
        <f t="shared" ref="E3:E19" si="0">SUM(C3)-D3</f>
        <v>-0.19999999999999929</v>
      </c>
      <c r="F3" s="93">
        <v>6.1</v>
      </c>
      <c r="G3" s="91">
        <f t="shared" ref="G3:G19" si="1">SUM(C3)-F3</f>
        <v>-0.19999999999999929</v>
      </c>
      <c r="H3" s="57"/>
    </row>
    <row r="4" spans="1:8" x14ac:dyDescent="0.25">
      <c r="A4" s="12">
        <v>2</v>
      </c>
      <c r="B4" s="16" t="s">
        <v>35</v>
      </c>
      <c r="C4" s="17">
        <v>5.4</v>
      </c>
      <c r="D4" s="49">
        <v>5.6</v>
      </c>
      <c r="E4" s="17">
        <f t="shared" si="0"/>
        <v>-0.19999999999999929</v>
      </c>
      <c r="F4" s="49">
        <v>5.6</v>
      </c>
      <c r="G4" s="17">
        <f t="shared" si="1"/>
        <v>-0.19999999999999929</v>
      </c>
      <c r="H4" s="57"/>
    </row>
    <row r="5" spans="1:8" x14ac:dyDescent="0.25">
      <c r="A5" s="12">
        <v>3</v>
      </c>
      <c r="B5" s="16" t="s">
        <v>36</v>
      </c>
      <c r="C5" s="18">
        <v>8.4</v>
      </c>
      <c r="D5" s="49">
        <v>8.6999999999999993</v>
      </c>
      <c r="E5" s="18">
        <f t="shared" si="0"/>
        <v>-0.29999999999999893</v>
      </c>
      <c r="F5" s="49">
        <v>8.8000000000000007</v>
      </c>
      <c r="G5" s="17">
        <f t="shared" si="1"/>
        <v>-0.40000000000000036</v>
      </c>
      <c r="H5" s="57"/>
    </row>
    <row r="6" spans="1:8" x14ac:dyDescent="0.25">
      <c r="A6" s="12">
        <v>4</v>
      </c>
      <c r="B6" s="16" t="s">
        <v>37</v>
      </c>
      <c r="C6" s="17">
        <v>7.7</v>
      </c>
      <c r="D6" s="49">
        <v>7.9</v>
      </c>
      <c r="E6" s="17">
        <f t="shared" si="0"/>
        <v>-0.20000000000000018</v>
      </c>
      <c r="F6" s="49">
        <v>8.1</v>
      </c>
      <c r="G6" s="17">
        <f t="shared" si="1"/>
        <v>-0.39999999999999947</v>
      </c>
      <c r="H6" s="57"/>
    </row>
    <row r="7" spans="1:8" x14ac:dyDescent="0.25">
      <c r="A7" s="12">
        <v>5</v>
      </c>
      <c r="B7" s="16" t="s">
        <v>38</v>
      </c>
      <c r="C7" s="17">
        <v>5.7</v>
      </c>
      <c r="D7" s="49">
        <v>5.8</v>
      </c>
      <c r="E7" s="17">
        <f t="shared" si="0"/>
        <v>-9.9999999999999645E-2</v>
      </c>
      <c r="F7" s="49">
        <v>6.1</v>
      </c>
      <c r="G7" s="17">
        <f t="shared" si="1"/>
        <v>-0.39999999999999947</v>
      </c>
      <c r="H7" s="57"/>
    </row>
    <row r="8" spans="1:8" x14ac:dyDescent="0.25">
      <c r="A8" s="12">
        <v>6</v>
      </c>
      <c r="B8" s="16" t="s">
        <v>39</v>
      </c>
      <c r="C8" s="17">
        <v>6.1</v>
      </c>
      <c r="D8" s="49">
        <v>6.3</v>
      </c>
      <c r="E8" s="17">
        <f t="shared" si="0"/>
        <v>-0.20000000000000018</v>
      </c>
      <c r="F8" s="49">
        <v>6.2</v>
      </c>
      <c r="G8" s="17">
        <f t="shared" si="1"/>
        <v>-0.10000000000000053</v>
      </c>
      <c r="H8" s="57"/>
    </row>
    <row r="9" spans="1:8" x14ac:dyDescent="0.25">
      <c r="A9" s="12">
        <v>7</v>
      </c>
      <c r="B9" s="16" t="s">
        <v>40</v>
      </c>
      <c r="C9" s="17">
        <v>5.0999999999999996</v>
      </c>
      <c r="D9" s="49">
        <v>5.3</v>
      </c>
      <c r="E9" s="17">
        <f t="shared" si="0"/>
        <v>-0.20000000000000018</v>
      </c>
      <c r="F9" s="49">
        <v>5.0999999999999996</v>
      </c>
      <c r="G9" s="17">
        <f t="shared" si="1"/>
        <v>0</v>
      </c>
      <c r="H9" s="57"/>
    </row>
    <row r="10" spans="1:8" x14ac:dyDescent="0.25">
      <c r="A10" s="12">
        <v>8</v>
      </c>
      <c r="B10" s="16" t="s">
        <v>41</v>
      </c>
      <c r="C10" s="17">
        <v>5</v>
      </c>
      <c r="D10" s="49">
        <v>5.0999999999999996</v>
      </c>
      <c r="E10" s="17">
        <f t="shared" si="0"/>
        <v>-9.9999999999999645E-2</v>
      </c>
      <c r="F10" s="49">
        <v>5</v>
      </c>
      <c r="G10" s="17">
        <f t="shared" si="1"/>
        <v>0</v>
      </c>
      <c r="H10" s="57"/>
    </row>
    <row r="11" spans="1:8" x14ac:dyDescent="0.25">
      <c r="A11" s="12">
        <v>9</v>
      </c>
      <c r="B11" s="16" t="s">
        <v>42</v>
      </c>
      <c r="C11" s="17">
        <v>6.4</v>
      </c>
      <c r="D11" s="49">
        <v>6.6</v>
      </c>
      <c r="E11" s="17">
        <f t="shared" si="0"/>
        <v>-0.19999999999999929</v>
      </c>
      <c r="F11" s="49">
        <v>6.9</v>
      </c>
      <c r="G11" s="17">
        <f t="shared" si="1"/>
        <v>-0.5</v>
      </c>
      <c r="H11" s="57"/>
    </row>
    <row r="12" spans="1:8" x14ac:dyDescent="0.25">
      <c r="A12" s="12">
        <v>10</v>
      </c>
      <c r="B12" s="90" t="s">
        <v>43</v>
      </c>
      <c r="C12" s="91">
        <v>8.5</v>
      </c>
      <c r="D12" s="93">
        <v>8.6999999999999993</v>
      </c>
      <c r="E12" s="91">
        <f t="shared" si="0"/>
        <v>-0.19999999999999929</v>
      </c>
      <c r="F12" s="93">
        <v>9</v>
      </c>
      <c r="G12" s="91">
        <f t="shared" si="1"/>
        <v>-0.5</v>
      </c>
      <c r="H12" s="57"/>
    </row>
    <row r="13" spans="1:8" x14ac:dyDescent="0.25">
      <c r="A13" s="12">
        <v>11</v>
      </c>
      <c r="B13" s="16" t="s">
        <v>44</v>
      </c>
      <c r="C13" s="17">
        <v>7.5</v>
      </c>
      <c r="D13" s="49">
        <v>7.7</v>
      </c>
      <c r="E13" s="17">
        <f t="shared" si="0"/>
        <v>-0.20000000000000018</v>
      </c>
      <c r="F13" s="49">
        <v>7.7</v>
      </c>
      <c r="G13" s="17">
        <f t="shared" si="1"/>
        <v>-0.20000000000000018</v>
      </c>
      <c r="H13" s="57"/>
    </row>
    <row r="14" spans="1:8" x14ac:dyDescent="0.25">
      <c r="A14" s="12">
        <v>12</v>
      </c>
      <c r="B14" s="16" t="s">
        <v>45</v>
      </c>
      <c r="C14" s="17">
        <v>5.8</v>
      </c>
      <c r="D14" s="49">
        <v>6</v>
      </c>
      <c r="E14" s="17">
        <f t="shared" si="0"/>
        <v>-0.20000000000000018</v>
      </c>
      <c r="F14" s="49">
        <v>5.5</v>
      </c>
      <c r="G14" s="17">
        <f t="shared" si="1"/>
        <v>0.29999999999999982</v>
      </c>
      <c r="H14" s="57"/>
    </row>
    <row r="15" spans="1:8" x14ac:dyDescent="0.25">
      <c r="A15" s="12">
        <v>13</v>
      </c>
      <c r="B15" s="16" t="s">
        <v>46</v>
      </c>
      <c r="C15" s="17">
        <v>4.8</v>
      </c>
      <c r="D15" s="49">
        <v>4.9000000000000004</v>
      </c>
      <c r="E15" s="17">
        <f t="shared" si="0"/>
        <v>-0.10000000000000053</v>
      </c>
      <c r="F15" s="49">
        <v>4.7</v>
      </c>
      <c r="G15" s="17">
        <f t="shared" si="1"/>
        <v>9.9999999999999645E-2</v>
      </c>
      <c r="H15" s="57"/>
    </row>
    <row r="16" spans="1:8" x14ac:dyDescent="0.25">
      <c r="A16" s="12">
        <v>14</v>
      </c>
      <c r="B16" s="16" t="s">
        <v>47</v>
      </c>
      <c r="C16" s="17">
        <v>7.9</v>
      </c>
      <c r="D16" s="49">
        <v>8.1999999999999993</v>
      </c>
      <c r="E16" s="17">
        <f t="shared" si="0"/>
        <v>-0.29999999999999893</v>
      </c>
      <c r="F16" s="49">
        <v>8.6</v>
      </c>
      <c r="G16" s="17">
        <f t="shared" si="1"/>
        <v>-0.69999999999999929</v>
      </c>
      <c r="H16" s="57"/>
    </row>
    <row r="17" spans="1:8" x14ac:dyDescent="0.25">
      <c r="A17" s="12">
        <v>15</v>
      </c>
      <c r="B17" s="16" t="s">
        <v>48</v>
      </c>
      <c r="C17" s="17">
        <v>9.1999999999999993</v>
      </c>
      <c r="D17" s="49">
        <v>9.6999999999999993</v>
      </c>
      <c r="E17" s="17">
        <f t="shared" si="0"/>
        <v>-0.5</v>
      </c>
      <c r="F17" s="49">
        <v>10.4</v>
      </c>
      <c r="G17" s="17">
        <f t="shared" si="1"/>
        <v>-1.2000000000000011</v>
      </c>
      <c r="H17" s="57"/>
    </row>
    <row r="18" spans="1:8" x14ac:dyDescent="0.25">
      <c r="A18" s="12">
        <v>16</v>
      </c>
      <c r="B18" s="16" t="s">
        <v>49</v>
      </c>
      <c r="C18" s="17">
        <v>3.5</v>
      </c>
      <c r="D18" s="49">
        <v>3.7</v>
      </c>
      <c r="E18" s="17">
        <f t="shared" si="0"/>
        <v>-0.20000000000000018</v>
      </c>
      <c r="F18" s="49">
        <v>3.7</v>
      </c>
      <c r="G18" s="17">
        <f t="shared" si="1"/>
        <v>-0.20000000000000018</v>
      </c>
      <c r="H18" s="57"/>
    </row>
    <row r="19" spans="1:8" x14ac:dyDescent="0.25">
      <c r="A19" s="12">
        <v>17</v>
      </c>
      <c r="B19" s="16" t="s">
        <v>50</v>
      </c>
      <c r="C19" s="17">
        <v>7.8</v>
      </c>
      <c r="D19" s="49">
        <v>8.1999999999999993</v>
      </c>
      <c r="E19" s="17">
        <f t="shared" si="0"/>
        <v>-0.39999999999999947</v>
      </c>
      <c r="F19" s="49">
        <v>8</v>
      </c>
      <c r="G19" s="17">
        <f t="shared" si="1"/>
        <v>-0.20000000000000018</v>
      </c>
      <c r="H19" s="57"/>
    </row>
    <row r="20" spans="1:8" ht="12.75" customHeight="1" x14ac:dyDescent="0.25">
      <c r="B20" s="7" t="s">
        <v>95</v>
      </c>
    </row>
    <row r="21" spans="1:8" ht="13.5" customHeight="1" x14ac:dyDescent="0.25">
      <c r="B21" s="7"/>
    </row>
  </sheetData>
  <printOptions horizontalCentered="1" verticalCentered="1"/>
  <pageMargins left="0" right="0" top="3.1496062992125991E-2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zoomScale="90" zoomScaleNormal="90" workbookViewId="0">
      <selection activeCell="B1" sqref="B1"/>
    </sheetView>
  </sheetViews>
  <sheetFormatPr defaultRowHeight="15" x14ac:dyDescent="0.25"/>
  <cols>
    <col min="1" max="1" width="3.5703125" style="1" customWidth="1"/>
    <col min="2" max="2" width="8.140625" style="1" customWidth="1"/>
    <col min="3" max="3" width="26.7109375" style="1" customWidth="1"/>
    <col min="4" max="5" width="14.85546875" style="1" customWidth="1"/>
    <col min="6" max="6" width="17.140625" style="1" customWidth="1"/>
    <col min="7" max="7" width="15.140625" style="1" customWidth="1"/>
    <col min="8" max="8" width="16.28515625" style="1" customWidth="1"/>
    <col min="9" max="17" width="9.140625" style="1"/>
    <col min="18" max="18" width="3.5703125" style="1" customWidth="1"/>
    <col min="19" max="16384" width="9.140625" style="1"/>
  </cols>
  <sheetData>
    <row r="1" spans="1:8" ht="18.75" x14ac:dyDescent="0.25">
      <c r="B1" s="58" t="s">
        <v>92</v>
      </c>
      <c r="C1" s="13"/>
      <c r="D1" s="13"/>
      <c r="E1" s="13"/>
      <c r="F1" s="13"/>
      <c r="G1" s="13"/>
      <c r="H1" s="13"/>
    </row>
    <row r="2" spans="1:8" ht="18.75" x14ac:dyDescent="0.3">
      <c r="B2" s="13"/>
      <c r="C2" s="58"/>
      <c r="D2" s="60"/>
      <c r="E2" s="13"/>
      <c r="F2" s="13"/>
      <c r="G2" s="13"/>
      <c r="H2" s="13"/>
    </row>
    <row r="3" spans="1:8" ht="60" x14ac:dyDescent="0.25">
      <c r="B3" s="64" t="s">
        <v>91</v>
      </c>
      <c r="C3" s="20" t="str">
        <f>T('3_s.bezr.Polska'!B2)</f>
        <v>powiaty</v>
      </c>
      <c r="D3" s="20" t="str">
        <f>T('3_s.bezr.Polska'!C2)</f>
        <v>Stopa bezrobocia stan na 30 VI '21 r. (%) **</v>
      </c>
      <c r="E3" s="20" t="str">
        <f>T('3_s.bezr.Polska'!D2)</f>
        <v>Stopa bezrobocia stan na 31 V '21 r.(%) **</v>
      </c>
      <c r="F3" s="15" t="str">
        <f>T('3_s.bezr.Polska'!E2)</f>
        <v>wzrost lub spadek do poprzedniego miesiąca (pkt. proc.)</v>
      </c>
      <c r="G3" s="20" t="str">
        <f>T('3_s.bezr.Polska'!F2)</f>
        <v>Stopa bezrobocia stan na 30 VI '20 r. (w%) **</v>
      </c>
      <c r="H3" s="15" t="str">
        <f>T('3_s.bezr.Polska'!G2)</f>
        <v>wzrost lub spadek do analogicznego okresu ubr. (pkt. proc.)</v>
      </c>
    </row>
    <row r="4" spans="1:8" x14ac:dyDescent="0.25">
      <c r="A4" s="1">
        <v>1</v>
      </c>
      <c r="B4" s="24">
        <f>RANK('3_s.bezr.Polska'!C3,'3_s.bezr.Polska'!$C$3:'3_s.bezr.Polska'!$C$19,1)+COUNTIF('3_s.bezr.Polska'!$C$3:'3_s.bezr.Polska'!C3,'3_s.bezr.Polska'!C3)-1</f>
        <v>8</v>
      </c>
      <c r="C4" s="23" t="str">
        <f>INDEX('3_s.bezr.Polska'!B3:G19,MATCH(1,B4:B20,0),1)</f>
        <v>WIELKOPOLSKIE</v>
      </c>
      <c r="D4" s="57">
        <f>INDEX('3_s.bezr.Polska'!B3:G19,MATCH(1,B4:B20,0),2)</f>
        <v>3.5</v>
      </c>
      <c r="E4" s="18">
        <f>INDEX('3_s.bezr.Polska'!B3:G19,MATCH(1,B4:B20,0),3)</f>
        <v>3.7</v>
      </c>
      <c r="F4" s="49">
        <f>INDEX('3_s.bezr.Polska'!B3:G19,MATCH(1,B4:B20,0),4)</f>
        <v>-0.20000000000000018</v>
      </c>
      <c r="G4" s="18">
        <f>INDEX('3_s.bezr.Polska'!B3:G19,MATCH(1,B4:B20,0),5)</f>
        <v>3.7</v>
      </c>
      <c r="H4" s="49">
        <f>INDEX('3_s.bezr.Polska'!B3:G19,MATCH(1,B4:B20,0),6)</f>
        <v>-0.20000000000000018</v>
      </c>
    </row>
    <row r="5" spans="1:8" x14ac:dyDescent="0.25">
      <c r="A5" s="1">
        <v>2</v>
      </c>
      <c r="B5" s="24">
        <f>RANK('3_s.bezr.Polska'!C4,'3_s.bezr.Polska'!$C$3:'3_s.bezr.Polska'!$C$19,1)+COUNTIF('3_s.bezr.Polska'!$C$3:'3_s.bezr.Polska'!C4,'3_s.bezr.Polska'!C4)-1</f>
        <v>5</v>
      </c>
      <c r="C5" s="23" t="str">
        <f>INDEX('3_s.bezr.Polska'!B3:G19,MATCH(2,B4:B20,0),1)</f>
        <v>ŚLĄSKIE</v>
      </c>
      <c r="D5" s="34">
        <f>INDEX('3_s.bezr.Polska'!B3:G19,MATCH(2,B4:B20,0),2)</f>
        <v>4.8</v>
      </c>
      <c r="E5" s="18">
        <f>INDEX('3_s.bezr.Polska'!B3:G19,MATCH(2,B4:B20,0),3)</f>
        <v>4.9000000000000004</v>
      </c>
      <c r="F5" s="49">
        <f>INDEX('3_s.bezr.Polska'!B3:G19,MATCH(2,B4:B20,0),4)</f>
        <v>-0.10000000000000053</v>
      </c>
      <c r="G5" s="18">
        <f>INDEX('3_s.bezr.Polska'!B3:G19,MATCH(2,B4:B20,0),5)</f>
        <v>4.7</v>
      </c>
      <c r="H5" s="49">
        <f>INDEX('3_s.bezr.Polska'!B3:G19,MATCH(2,B4:B20,0),6)</f>
        <v>9.9999999999999645E-2</v>
      </c>
    </row>
    <row r="6" spans="1:8" x14ac:dyDescent="0.25">
      <c r="A6" s="1">
        <v>3</v>
      </c>
      <c r="B6" s="24">
        <f>RANK('3_s.bezr.Polska'!C5,'3_s.bezr.Polska'!$C$3:'3_s.bezr.Polska'!$C$19,1)+COUNTIF('3_s.bezr.Polska'!$C$3:'3_s.bezr.Polska'!C5,'3_s.bezr.Polska'!C5)-1</f>
        <v>15</v>
      </c>
      <c r="C6" s="23" t="str">
        <f>INDEX('3_s.bezr.Polska'!B3:G19,MATCH(3,B4:B20,0),1)</f>
        <v>MAZOWIECKIE</v>
      </c>
      <c r="D6" s="34">
        <f>INDEX('3_s.bezr.Polska'!B3:G19,MATCH(3,B4:B20,0),2)</f>
        <v>5</v>
      </c>
      <c r="E6" s="18">
        <f>INDEX('3_s.bezr.Polska'!B3:G19,MATCH(3,B4:B20,0),3)</f>
        <v>5.0999999999999996</v>
      </c>
      <c r="F6" s="49">
        <f>INDEX('3_s.bezr.Polska'!B3:G19,MATCH(3,B4:B20,0),4)</f>
        <v>-9.9999999999999645E-2</v>
      </c>
      <c r="G6" s="18">
        <f>INDEX('3_s.bezr.Polska'!B3:G19,MATCH(3,B4:B20,0),5)</f>
        <v>5</v>
      </c>
      <c r="H6" s="49">
        <f>INDEX('3_s.bezr.Polska'!B3:G19,MATCH(3,B4:B20,0),6)</f>
        <v>0</v>
      </c>
    </row>
    <row r="7" spans="1:8" x14ac:dyDescent="0.25">
      <c r="A7" s="1">
        <v>4</v>
      </c>
      <c r="B7" s="24">
        <f>RANK('3_s.bezr.Polska'!C6,'3_s.bezr.Polska'!$C$3:'3_s.bezr.Polska'!$C$19,1)+COUNTIF('3_s.bezr.Polska'!$C$3:'3_s.bezr.Polska'!C6,'3_s.bezr.Polska'!C6)-1</f>
        <v>12</v>
      </c>
      <c r="C7" s="23" t="str">
        <f>INDEX('3_s.bezr.Polska'!B3:G19,MATCH(4,B4:B20,0),1)</f>
        <v>MAŁOPOLSKIE</v>
      </c>
      <c r="D7" s="34">
        <f>INDEX('3_s.bezr.Polska'!B3:G19,MATCH(4,B4:B20,0),2)</f>
        <v>5.0999999999999996</v>
      </c>
      <c r="E7" s="18">
        <f>INDEX('3_s.bezr.Polska'!B3:G19,MATCH(4,B4:B20,0),3)</f>
        <v>5.3</v>
      </c>
      <c r="F7" s="49">
        <f>INDEX('3_s.bezr.Polska'!B3:G19,MATCH(4,B4:B20,0),4)</f>
        <v>-0.20000000000000018</v>
      </c>
      <c r="G7" s="18">
        <f>INDEX('3_s.bezr.Polska'!B3:G19,MATCH(4,B4:B20,0),5)</f>
        <v>5.0999999999999996</v>
      </c>
      <c r="H7" s="49">
        <f>INDEX('3_s.bezr.Polska'!B3:G19,MATCH(4,B4:B20,0),6)</f>
        <v>0</v>
      </c>
    </row>
    <row r="8" spans="1:8" x14ac:dyDescent="0.25">
      <c r="A8" s="1">
        <v>5</v>
      </c>
      <c r="B8" s="24">
        <f>RANK('3_s.bezr.Polska'!C7,'3_s.bezr.Polska'!$C$3:'3_s.bezr.Polska'!$C$19,1)+COUNTIF('3_s.bezr.Polska'!$C$3:'3_s.bezr.Polska'!C7,'3_s.bezr.Polska'!C7)-1</f>
        <v>6</v>
      </c>
      <c r="C8" s="23" t="str">
        <f>INDEX('3_s.bezr.Polska'!B3:G19,MATCH(5,B4:B20,0),1)</f>
        <v>DOLNOŚLĄSKIE</v>
      </c>
      <c r="D8" s="34">
        <f>INDEX('3_s.bezr.Polska'!B3:G19,MATCH(5,B4:B20,0),2)</f>
        <v>5.4</v>
      </c>
      <c r="E8" s="18">
        <f>INDEX('3_s.bezr.Polska'!B3:G19,MATCH(5,B4:B20,0),3)</f>
        <v>5.6</v>
      </c>
      <c r="F8" s="49">
        <f>INDEX('3_s.bezr.Polska'!B3:G19,MATCH(5,B4:B20,0),4)</f>
        <v>-0.19999999999999929</v>
      </c>
      <c r="G8" s="18">
        <f>INDEX('3_s.bezr.Polska'!B3:G19,MATCH(5,B4:B20,0),5)</f>
        <v>5.6</v>
      </c>
      <c r="H8" s="49">
        <f>INDEX('3_s.bezr.Polska'!B3:G19,MATCH(5,B4:B20,0),6)</f>
        <v>-0.19999999999999929</v>
      </c>
    </row>
    <row r="9" spans="1:8" x14ac:dyDescent="0.25">
      <c r="A9" s="1">
        <v>6</v>
      </c>
      <c r="B9" s="24">
        <f>RANK('3_s.bezr.Polska'!C8,'3_s.bezr.Polska'!$C$3:'3_s.bezr.Polska'!$C$19,1)+COUNTIF('3_s.bezr.Polska'!$C$3:'3_s.bezr.Polska'!C8,'3_s.bezr.Polska'!C8)-1</f>
        <v>9</v>
      </c>
      <c r="C9" s="23" t="str">
        <f>INDEX('3_s.bezr.Polska'!B3:G19,MATCH(6,B4:B20,0),1)</f>
        <v>LUBUSKIE</v>
      </c>
      <c r="D9" s="34">
        <f>INDEX('3_s.bezr.Polska'!B3:G19,MATCH(6,B4:B20,0),2)</f>
        <v>5.7</v>
      </c>
      <c r="E9" s="18">
        <f>INDEX('3_s.bezr.Polska'!B3:G19,MATCH(6,B4:B20,0),3)</f>
        <v>5.8</v>
      </c>
      <c r="F9" s="49">
        <f>INDEX('3_s.bezr.Polska'!B3:G19,MATCH(6,B4:B20,0),4)</f>
        <v>-9.9999999999999645E-2</v>
      </c>
      <c r="G9" s="18">
        <f>INDEX('3_s.bezr.Polska'!B3:G19,MATCH(6,B4:B20,0),5)</f>
        <v>6.1</v>
      </c>
      <c r="H9" s="49">
        <f>INDEX('3_s.bezr.Polska'!B3:G19,MATCH(6,B4:B20,0),6)</f>
        <v>-0.39999999999999947</v>
      </c>
    </row>
    <row r="10" spans="1:8" x14ac:dyDescent="0.25">
      <c r="A10" s="1">
        <v>7</v>
      </c>
      <c r="B10" s="24">
        <f>RANK('3_s.bezr.Polska'!C9,'3_s.bezr.Polska'!$C$3:'3_s.bezr.Polska'!$C$19,1)+COUNTIF('3_s.bezr.Polska'!$C$3:'3_s.bezr.Polska'!C9,'3_s.bezr.Polska'!C9)-1</f>
        <v>4</v>
      </c>
      <c r="C10" s="26" t="str">
        <f>INDEX('3_s.bezr.Polska'!B3:G19,MATCH(7,B4:B20,0),1)</f>
        <v>POMORSKIE</v>
      </c>
      <c r="D10" s="34">
        <f>INDEX('3_s.bezr.Polska'!B3:G19,MATCH(7,B4:B20,0),2)</f>
        <v>5.8</v>
      </c>
      <c r="E10" s="18">
        <f>INDEX('3_s.bezr.Polska'!B3:G19,MATCH(7,B4:B20,0),3)</f>
        <v>6</v>
      </c>
      <c r="F10" s="49">
        <f>INDEX('3_s.bezr.Polska'!B3:G19,MATCH(7,B4:B20,0),4)</f>
        <v>-0.20000000000000018</v>
      </c>
      <c r="G10" s="18">
        <f>INDEX('3_s.bezr.Polska'!B3:G19,MATCH(7,B4:B20,0),5)</f>
        <v>5.5</v>
      </c>
      <c r="H10" s="49">
        <f>INDEX('3_s.bezr.Polska'!B3:G19,MATCH(7,B4:B20,0),6)</f>
        <v>0.29999999999999982</v>
      </c>
    </row>
    <row r="11" spans="1:8" x14ac:dyDescent="0.25">
      <c r="A11" s="1">
        <v>8</v>
      </c>
      <c r="B11" s="24">
        <f>RANK('3_s.bezr.Polska'!C10,'3_s.bezr.Polska'!$C$3:'3_s.bezr.Polska'!$C$19,1)+COUNTIF('3_s.bezr.Polska'!$C$3:'3_s.bezr.Polska'!C10,'3_s.bezr.Polska'!C10)-1</f>
        <v>3</v>
      </c>
      <c r="C11" s="23" t="str">
        <f>INDEX('3_s.bezr.Polska'!B3:G19,MATCH(8,B4:B20,0),1)</f>
        <v>POLSKA</v>
      </c>
      <c r="D11" s="34">
        <f>INDEX('3_s.bezr.Polska'!B3:G19,MATCH(8,B4:B20,0),2)</f>
        <v>5.9</v>
      </c>
      <c r="E11" s="18">
        <f>INDEX('3_s.bezr.Polska'!B3:G19,MATCH(8,B4:B20,0),3)</f>
        <v>6.1</v>
      </c>
      <c r="F11" s="49">
        <f>INDEX('3_s.bezr.Polska'!B3:G19,MATCH(8,B4:B20,0),4)</f>
        <v>-0.19999999999999929</v>
      </c>
      <c r="G11" s="18">
        <f>INDEX('3_s.bezr.Polska'!B3:G19,MATCH(8,B4:B20,0),5)</f>
        <v>6.1</v>
      </c>
      <c r="H11" s="49">
        <f>INDEX('3_s.bezr.Polska'!B3:G19,MATCH(8,B4:B20,0),6)</f>
        <v>-0.19999999999999929</v>
      </c>
    </row>
    <row r="12" spans="1:8" x14ac:dyDescent="0.25">
      <c r="A12" s="1">
        <v>9</v>
      </c>
      <c r="B12" s="24">
        <f>RANK('3_s.bezr.Polska'!C11,'3_s.bezr.Polska'!$C$3:'3_s.bezr.Polska'!$C$19,1)+COUNTIF('3_s.bezr.Polska'!$C$3:'3_s.bezr.Polska'!C11,'3_s.bezr.Polska'!C11)-1</f>
        <v>10</v>
      </c>
      <c r="C12" s="23" t="str">
        <f>INDEX('3_s.bezr.Polska'!B3:G19,MATCH(9,B4:B20,0),1)</f>
        <v>ŁÓDZKIE</v>
      </c>
      <c r="D12" s="34">
        <f>INDEX('3_s.bezr.Polska'!B3:G19,MATCH(9,B4:B20,0),2)</f>
        <v>6.1</v>
      </c>
      <c r="E12" s="18">
        <f>INDEX('3_s.bezr.Polska'!B3:G19,MATCH(9,B4:B20,0),3)</f>
        <v>6.3</v>
      </c>
      <c r="F12" s="49">
        <f>INDEX('3_s.bezr.Polska'!B3:G19,MATCH(9,B4:B20,0),4)</f>
        <v>-0.20000000000000018</v>
      </c>
      <c r="G12" s="18">
        <f>INDEX('3_s.bezr.Polska'!B3:G19,MATCH(9,B4:B20,0),5)</f>
        <v>6.2</v>
      </c>
      <c r="H12" s="49">
        <f>INDEX('3_s.bezr.Polska'!B3:G19,MATCH(9,B4:B20,0),6)</f>
        <v>-0.10000000000000053</v>
      </c>
    </row>
    <row r="13" spans="1:8" x14ac:dyDescent="0.25">
      <c r="A13" s="1">
        <v>10</v>
      </c>
      <c r="B13" s="24">
        <f>RANK('3_s.bezr.Polska'!C12,'3_s.bezr.Polska'!$C$3:'3_s.bezr.Polska'!$C$19,1)+COUNTIF('3_s.bezr.Polska'!$C$3:'3_s.bezr.Polska'!C12,'3_s.bezr.Polska'!C12)-1</f>
        <v>16</v>
      </c>
      <c r="C13" s="23" t="str">
        <f>INDEX('3_s.bezr.Polska'!B3:G19,MATCH(10,B4:B20,0),1)</f>
        <v>OPOLSKIE</v>
      </c>
      <c r="D13" s="34">
        <f>INDEX('3_s.bezr.Polska'!B3:G19,MATCH(10,B4:B20,0),2)</f>
        <v>6.4</v>
      </c>
      <c r="E13" s="18">
        <f>INDEX('3_s.bezr.Polska'!B3:G19,MATCH(10,B4:B20,0),3)</f>
        <v>6.6</v>
      </c>
      <c r="F13" s="49">
        <f>INDEX('3_s.bezr.Polska'!B3:G19,MATCH(10,B4:B20,0),4)</f>
        <v>-0.19999999999999929</v>
      </c>
      <c r="G13" s="18">
        <f>INDEX('3_s.bezr.Polska'!B3:G19,MATCH(10,B4:B20,0),5)</f>
        <v>6.9</v>
      </c>
      <c r="H13" s="49">
        <f>INDEX('3_s.bezr.Polska'!B3:G19,MATCH(10,B4:B20,0),6)</f>
        <v>-0.5</v>
      </c>
    </row>
    <row r="14" spans="1:8" x14ac:dyDescent="0.25">
      <c r="A14" s="1">
        <v>11</v>
      </c>
      <c r="B14" s="24">
        <f>RANK('3_s.bezr.Polska'!C13,'3_s.bezr.Polska'!$C$3:'3_s.bezr.Polska'!$C$19,1)+COUNTIF('3_s.bezr.Polska'!$C$3:'3_s.bezr.Polska'!C13,'3_s.bezr.Polska'!C13)-1</f>
        <v>11</v>
      </c>
      <c r="C14" s="23" t="str">
        <f>INDEX('3_s.bezr.Polska'!B3:G19,MATCH(11,B4:B20,0),1)</f>
        <v>PODLASKIE</v>
      </c>
      <c r="D14" s="34">
        <f>INDEX('3_s.bezr.Polska'!B3:G19,MATCH(11,B4:B20,0),2)</f>
        <v>7.5</v>
      </c>
      <c r="E14" s="18">
        <f>INDEX('3_s.bezr.Polska'!B3:G19,MATCH(11,B4:B20,0),3)</f>
        <v>7.7</v>
      </c>
      <c r="F14" s="49">
        <f>INDEX('3_s.bezr.Polska'!B3:G19,MATCH(11,B4:B20,0),4)</f>
        <v>-0.20000000000000018</v>
      </c>
      <c r="G14" s="18">
        <f>INDEX('3_s.bezr.Polska'!B3:G19,MATCH(11,B4:B20,0),5)</f>
        <v>7.7</v>
      </c>
      <c r="H14" s="49">
        <f>INDEX('3_s.bezr.Polska'!B3:G19,MATCH(11,B4:B20,0),6)</f>
        <v>-0.20000000000000018</v>
      </c>
    </row>
    <row r="15" spans="1:8" x14ac:dyDescent="0.25">
      <c r="A15" s="1">
        <v>12</v>
      </c>
      <c r="B15" s="24">
        <f>RANK('3_s.bezr.Polska'!C14,'3_s.bezr.Polska'!$C$3:'3_s.bezr.Polska'!$C$19,1)+COUNTIF('3_s.bezr.Polska'!$C$3:'3_s.bezr.Polska'!C14,'3_s.bezr.Polska'!C14)-1</f>
        <v>7</v>
      </c>
      <c r="C15" s="23" t="str">
        <f>INDEX('3_s.bezr.Polska'!B3:G19,MATCH(12,B4:B20,0),1)</f>
        <v>LUBELSKIE</v>
      </c>
      <c r="D15" s="34">
        <f>INDEX('3_s.bezr.Polska'!B3:G19,MATCH(12,B4:B20,0),2)</f>
        <v>7.7</v>
      </c>
      <c r="E15" s="18">
        <f>INDEX('3_s.bezr.Polska'!B3:G19,MATCH(12,B4:B20,0),3)</f>
        <v>7.9</v>
      </c>
      <c r="F15" s="49">
        <f>INDEX('3_s.bezr.Polska'!B3:G19,MATCH(12,B4:B20,0),4)</f>
        <v>-0.20000000000000018</v>
      </c>
      <c r="G15" s="18">
        <f>INDEX('3_s.bezr.Polska'!B3:G19,MATCH(12,B4:B20,0),5)</f>
        <v>8.1</v>
      </c>
      <c r="H15" s="49">
        <f>INDEX('3_s.bezr.Polska'!B3:G19,MATCH(12,B4:B20,0),6)</f>
        <v>-0.39999999999999947</v>
      </c>
    </row>
    <row r="16" spans="1:8" x14ac:dyDescent="0.25">
      <c r="A16" s="1">
        <v>13</v>
      </c>
      <c r="B16" s="24">
        <f>RANK('3_s.bezr.Polska'!C15,'3_s.bezr.Polska'!$C$3:'3_s.bezr.Polska'!$C$19,1)+COUNTIF('3_s.bezr.Polska'!$C$3:'3_s.bezr.Polska'!C15,'3_s.bezr.Polska'!C15)-1</f>
        <v>2</v>
      </c>
      <c r="C16" s="23" t="str">
        <f>INDEX('3_s.bezr.Polska'!B3:G19,MATCH(13,B4:B20,0),1)</f>
        <v>ZACHODNIOPOMORSKIE</v>
      </c>
      <c r="D16" s="34">
        <f>INDEX('3_s.bezr.Polska'!B3:G19,MATCH(13,B4:B20,0),2)</f>
        <v>7.8</v>
      </c>
      <c r="E16" s="18">
        <f>INDEX('3_s.bezr.Polska'!B3:G19,MATCH(13,B4:B20,0),3)</f>
        <v>8.1999999999999993</v>
      </c>
      <c r="F16" s="49">
        <f>INDEX('3_s.bezr.Polska'!B3:G19,MATCH(13,B4:B20,0),4)</f>
        <v>-0.39999999999999947</v>
      </c>
      <c r="G16" s="18">
        <f>INDEX('3_s.bezr.Polska'!B3:G19,MATCH(13,B4:B20,0),5)</f>
        <v>8</v>
      </c>
      <c r="H16" s="49">
        <f>INDEX('3_s.bezr.Polska'!B3:G19,MATCH(13,B4:B20,0),6)</f>
        <v>-0.20000000000000018</v>
      </c>
    </row>
    <row r="17" spans="1:8" x14ac:dyDescent="0.25">
      <c r="A17" s="1">
        <v>14</v>
      </c>
      <c r="B17" s="24">
        <f>RANK('3_s.bezr.Polska'!C16,'3_s.bezr.Polska'!$C$3:'3_s.bezr.Polska'!$C$19,1)+COUNTIF('3_s.bezr.Polska'!$C$3:'3_s.bezr.Polska'!C16,'3_s.bezr.Polska'!C16)-1</f>
        <v>14</v>
      </c>
      <c r="C17" s="23" t="str">
        <f>INDEX('3_s.bezr.Polska'!B3:G19,MATCH(14,B4:B20,0),1)</f>
        <v>ŚWIĘTOKRZYSKIE</v>
      </c>
      <c r="D17" s="34">
        <f>INDEX('3_s.bezr.Polska'!B3:G19,MATCH(14,B4:B20,0),2)</f>
        <v>7.9</v>
      </c>
      <c r="E17" s="18">
        <f>INDEX('3_s.bezr.Polska'!B3:G19,MATCH(14,B4:B20,0),3)</f>
        <v>8.1999999999999993</v>
      </c>
      <c r="F17" s="49">
        <f>INDEX('3_s.bezr.Polska'!B3:G19,MATCH(14,B4:B20,0),4)</f>
        <v>-0.29999999999999893</v>
      </c>
      <c r="G17" s="18">
        <f>INDEX('3_s.bezr.Polska'!B3:G19,MATCH(14,B4:B20,0),5)</f>
        <v>8.6</v>
      </c>
      <c r="H17" s="49">
        <f>INDEX('3_s.bezr.Polska'!B3:G19,MATCH(14,B4:B20,0),6)</f>
        <v>-0.69999999999999929</v>
      </c>
    </row>
    <row r="18" spans="1:8" x14ac:dyDescent="0.25">
      <c r="A18" s="1">
        <v>15</v>
      </c>
      <c r="B18" s="24">
        <f>RANK('3_s.bezr.Polska'!C17,'3_s.bezr.Polska'!$C$3:'3_s.bezr.Polska'!$C$19,1)+COUNTIF('3_s.bezr.Polska'!$C$3:'3_s.bezr.Polska'!C17,'3_s.bezr.Polska'!C17)-1</f>
        <v>17</v>
      </c>
      <c r="C18" s="23" t="str">
        <f>INDEX('3_s.bezr.Polska'!B3:G19,MATCH(15,B4:B20,0),1)</f>
        <v>KUJAWSKO-POMORSKIE</v>
      </c>
      <c r="D18" s="34">
        <f>INDEX('3_s.bezr.Polska'!B3:G19,MATCH(15,B4:B20,0),2)</f>
        <v>8.4</v>
      </c>
      <c r="E18" s="18">
        <f>INDEX('3_s.bezr.Polska'!B3:G19,MATCH(15,B4:B20,0),3)</f>
        <v>8.6999999999999993</v>
      </c>
      <c r="F18" s="49">
        <f>INDEX('3_s.bezr.Polska'!B3:G19,MATCH(15,B4:B20,0),4)</f>
        <v>-0.29999999999999893</v>
      </c>
      <c r="G18" s="18">
        <f>INDEX('3_s.bezr.Polska'!B3:G19,MATCH(15,B4:B20,0),5)</f>
        <v>8.8000000000000007</v>
      </c>
      <c r="H18" s="49">
        <f>INDEX('3_s.bezr.Polska'!B3:G19,MATCH(15,B4:B20,0),6)</f>
        <v>-0.40000000000000036</v>
      </c>
    </row>
    <row r="19" spans="1:8" x14ac:dyDescent="0.25">
      <c r="A19" s="1">
        <v>16</v>
      </c>
      <c r="B19" s="24">
        <f>RANK('3_s.bezr.Polska'!C18,'3_s.bezr.Polska'!$C$3:'3_s.bezr.Polska'!$C$19,1)+COUNTIF('3_s.bezr.Polska'!$C$3:'3_s.bezr.Polska'!C18,'3_s.bezr.Polska'!C18)-1</f>
        <v>1</v>
      </c>
      <c r="C19" s="23" t="str">
        <f>INDEX('3_s.bezr.Polska'!B3:G19,MATCH(16,B4:B20,0),1)</f>
        <v>PODKARPACKIE</v>
      </c>
      <c r="D19" s="34">
        <f>INDEX('3_s.bezr.Polska'!B3:G19,MATCH(16,B4:B20,0),2)</f>
        <v>8.5</v>
      </c>
      <c r="E19" s="18">
        <f>INDEX('3_s.bezr.Polska'!B3:G19,MATCH(16,B4:B20,0),3)</f>
        <v>8.6999999999999993</v>
      </c>
      <c r="F19" s="49">
        <f>INDEX('3_s.bezr.Polska'!B3:G19,MATCH(16,B4:B20,0),4)</f>
        <v>-0.19999999999999929</v>
      </c>
      <c r="G19" s="18">
        <f>INDEX('3_s.bezr.Polska'!B3:G19,MATCH(16,B4:B20,0),5)</f>
        <v>9</v>
      </c>
      <c r="H19" s="49">
        <f>INDEX('3_s.bezr.Polska'!B3:G19,MATCH(16,B4:B20,0),6)</f>
        <v>-0.5</v>
      </c>
    </row>
    <row r="20" spans="1:8" x14ac:dyDescent="0.25">
      <c r="A20" s="1">
        <v>17</v>
      </c>
      <c r="B20" s="24">
        <f>RANK('3_s.bezr.Polska'!C19,'3_s.bezr.Polska'!$C$3:'3_s.bezr.Polska'!$C$19,1)+COUNTIF('3_s.bezr.Polska'!$C$3:'3_s.bezr.Polska'!C19,'3_s.bezr.Polska'!C19)-1</f>
        <v>13</v>
      </c>
      <c r="C20" s="26" t="str">
        <f>INDEX('3_s.bezr.Polska'!B3:G19,MATCH(17,B4:B20,0),1)</f>
        <v>WARMIŃSKO-MAZURSKIE</v>
      </c>
      <c r="D20" s="34">
        <f>INDEX('3_s.bezr.Polska'!B3:G19,MATCH(17,B4:B20,0),2)</f>
        <v>9.1999999999999993</v>
      </c>
      <c r="E20" s="18">
        <f>INDEX('3_s.bezr.Polska'!B3:G19,MATCH(17,B4:B20,0),3)</f>
        <v>9.6999999999999993</v>
      </c>
      <c r="F20" s="49">
        <f>INDEX('3_s.bezr.Polska'!B3:G19,MATCH(17,B4:B20,0),4)</f>
        <v>-0.5</v>
      </c>
      <c r="G20" s="18">
        <f>INDEX('3_s.bezr.Polska'!B3:G19,MATCH(17,B4:B20,0),5)</f>
        <v>10.4</v>
      </c>
      <c r="H20" s="49">
        <f>INDEX('3_s.bezr.Polska'!B3:G19,MATCH(17,B4:B20,0),6)</f>
        <v>-1.2000000000000011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31"/>
  <sheetViews>
    <sheetView zoomScale="110" zoomScaleNormal="110" workbookViewId="0">
      <selection activeCell="B1" sqref="B1"/>
    </sheetView>
  </sheetViews>
  <sheetFormatPr defaultRowHeight="15" x14ac:dyDescent="0.25"/>
  <cols>
    <col min="1" max="1" width="4.42578125" style="12" customWidth="1"/>
    <col min="2" max="2" width="28" style="13" customWidth="1"/>
    <col min="3" max="3" width="17" style="13" customWidth="1"/>
    <col min="4" max="4" width="16.140625" style="13" customWidth="1"/>
    <col min="5" max="5" width="14.7109375" style="13" customWidth="1"/>
    <col min="6" max="6" width="16.28515625" style="13" customWidth="1"/>
    <col min="7" max="7" width="16" style="13" customWidth="1"/>
    <col min="8" max="8" width="2.42578125" style="13" customWidth="1"/>
    <col min="9" max="9" width="10.140625" style="13" customWidth="1"/>
    <col min="10" max="16384" width="9.140625" style="13"/>
  </cols>
  <sheetData>
    <row r="1" spans="1:8" ht="16.5" customHeight="1" x14ac:dyDescent="0.4">
      <c r="B1" s="51" t="s">
        <v>93</v>
      </c>
    </row>
    <row r="2" spans="1:8" ht="60" x14ac:dyDescent="0.25">
      <c r="B2" s="21" t="s">
        <v>27</v>
      </c>
      <c r="C2" s="21" t="s">
        <v>112</v>
      </c>
      <c r="D2" s="22" t="s">
        <v>100</v>
      </c>
      <c r="E2" s="21" t="s">
        <v>76</v>
      </c>
      <c r="F2" s="22" t="s">
        <v>110</v>
      </c>
      <c r="G2" s="21" t="s">
        <v>77</v>
      </c>
    </row>
    <row r="3" spans="1:8" x14ac:dyDescent="0.25">
      <c r="A3" s="12">
        <v>1</v>
      </c>
      <c r="B3" s="52" t="s">
        <v>34</v>
      </c>
      <c r="C3" s="50">
        <v>5.9</v>
      </c>
      <c r="D3" s="53">
        <v>6.1</v>
      </c>
      <c r="E3" s="54">
        <f>($C$3)-$D$3</f>
        <v>-0.19999999999999929</v>
      </c>
      <c r="F3" s="53">
        <v>6.1</v>
      </c>
      <c r="G3" s="50">
        <f>($C$3)-$F$3</f>
        <v>-0.19999999999999929</v>
      </c>
      <c r="H3" s="12"/>
    </row>
    <row r="4" spans="1:8" x14ac:dyDescent="0.25">
      <c r="A4" s="12">
        <v>2</v>
      </c>
      <c r="B4" s="55" t="s">
        <v>43</v>
      </c>
      <c r="C4" s="56">
        <v>8.5</v>
      </c>
      <c r="D4" s="53">
        <v>8.6999999999999993</v>
      </c>
      <c r="E4" s="56">
        <f>($C$4)-$D$4</f>
        <v>-0.19999999999999929</v>
      </c>
      <c r="F4" s="53">
        <v>9</v>
      </c>
      <c r="G4" s="56">
        <f>($C$4)-$F$4</f>
        <v>-0.5</v>
      </c>
      <c r="H4" s="12"/>
    </row>
    <row r="5" spans="1:8" x14ac:dyDescent="0.25">
      <c r="A5" s="12">
        <v>3</v>
      </c>
      <c r="B5" s="16" t="s">
        <v>51</v>
      </c>
      <c r="C5" s="17">
        <v>13.5</v>
      </c>
      <c r="D5" s="33">
        <v>14</v>
      </c>
      <c r="E5" s="34">
        <f>($C$5)-$D$5</f>
        <v>-0.5</v>
      </c>
      <c r="F5" s="33">
        <v>14.5</v>
      </c>
      <c r="G5" s="34">
        <f>($C$5)-$F$5</f>
        <v>-1</v>
      </c>
      <c r="H5" s="12"/>
    </row>
    <row r="6" spans="1:8" x14ac:dyDescent="0.25">
      <c r="A6" s="12">
        <v>4</v>
      </c>
      <c r="B6" s="16" t="s">
        <v>52</v>
      </c>
      <c r="C6" s="17">
        <v>14.5</v>
      </c>
      <c r="D6" s="33">
        <v>14.9</v>
      </c>
      <c r="E6" s="34">
        <f>($C$6)-$D$6</f>
        <v>-0.40000000000000036</v>
      </c>
      <c r="F6" s="33">
        <v>15.6</v>
      </c>
      <c r="G6" s="34">
        <f>($C$6)-$F$6</f>
        <v>-1.0999999999999996</v>
      </c>
      <c r="H6" s="12"/>
    </row>
    <row r="7" spans="1:8" x14ac:dyDescent="0.25">
      <c r="A7" s="12">
        <v>5</v>
      </c>
      <c r="B7" s="16" t="s">
        <v>53</v>
      </c>
      <c r="C7" s="17">
        <v>4.9000000000000004</v>
      </c>
      <c r="D7" s="33">
        <v>5.0999999999999996</v>
      </c>
      <c r="E7" s="34">
        <f>($C$7)-$D$7</f>
        <v>-0.19999999999999929</v>
      </c>
      <c r="F7" s="33">
        <v>5.7</v>
      </c>
      <c r="G7" s="34">
        <f>($C$7)-$F$7</f>
        <v>-0.79999999999999982</v>
      </c>
      <c r="H7" s="12"/>
    </row>
    <row r="8" spans="1:8" x14ac:dyDescent="0.25">
      <c r="A8" s="12">
        <v>6</v>
      </c>
      <c r="B8" s="16" t="s">
        <v>54</v>
      </c>
      <c r="C8" s="17">
        <v>11.1</v>
      </c>
      <c r="D8" s="33">
        <v>11.4</v>
      </c>
      <c r="E8" s="34">
        <f>($C$8)-$D$8</f>
        <v>-0.30000000000000071</v>
      </c>
      <c r="F8" s="33">
        <v>11.3</v>
      </c>
      <c r="G8" s="34">
        <f>($C$8)-$F$8</f>
        <v>-0.20000000000000107</v>
      </c>
      <c r="H8" s="12"/>
    </row>
    <row r="9" spans="1:8" x14ac:dyDescent="0.25">
      <c r="A9" s="12">
        <v>7</v>
      </c>
      <c r="B9" s="16" t="s">
        <v>55</v>
      </c>
      <c r="C9" s="17">
        <v>10.5</v>
      </c>
      <c r="D9" s="33">
        <v>10.7</v>
      </c>
      <c r="E9" s="34">
        <f>($C$9)-$D$9</f>
        <v>-0.19999999999999929</v>
      </c>
      <c r="F9" s="33">
        <v>10.5</v>
      </c>
      <c r="G9" s="34">
        <f>($C$9)-$F$9</f>
        <v>0</v>
      </c>
      <c r="H9" s="12"/>
    </row>
    <row r="10" spans="1:8" x14ac:dyDescent="0.25">
      <c r="A10" s="12">
        <v>8</v>
      </c>
      <c r="B10" s="16" t="s">
        <v>56</v>
      </c>
      <c r="C10" s="17">
        <v>7.6</v>
      </c>
      <c r="D10" s="33">
        <v>8.1</v>
      </c>
      <c r="E10" s="34">
        <f>($C$10)-$D$10</f>
        <v>-0.5</v>
      </c>
      <c r="F10" s="33">
        <v>8.6999999999999993</v>
      </c>
      <c r="G10" s="34">
        <f>($C$10)-$F$10</f>
        <v>-1.0999999999999996</v>
      </c>
      <c r="H10" s="12"/>
    </row>
    <row r="11" spans="1:8" x14ac:dyDescent="0.25">
      <c r="A11" s="12">
        <v>9</v>
      </c>
      <c r="B11" s="16" t="s">
        <v>57</v>
      </c>
      <c r="C11" s="17">
        <v>6.3</v>
      </c>
      <c r="D11" s="33">
        <v>6.7</v>
      </c>
      <c r="E11" s="34">
        <f>($C$11)-$D$11</f>
        <v>-0.40000000000000036</v>
      </c>
      <c r="F11" s="33">
        <v>6.7</v>
      </c>
      <c r="G11" s="34">
        <f>($C$11)-$F$11</f>
        <v>-0.40000000000000036</v>
      </c>
      <c r="H11" s="12"/>
    </row>
    <row r="12" spans="1:8" x14ac:dyDescent="0.25">
      <c r="A12" s="12">
        <v>10</v>
      </c>
      <c r="B12" s="82" t="s">
        <v>58</v>
      </c>
      <c r="C12" s="83">
        <v>14.2</v>
      </c>
      <c r="D12" s="84">
        <v>14.9</v>
      </c>
      <c r="E12" s="85">
        <f>($C$12)-$D$12</f>
        <v>-0.70000000000000107</v>
      </c>
      <c r="F12" s="84">
        <v>13.7</v>
      </c>
      <c r="G12" s="85">
        <f>($C$12)-$F$12</f>
        <v>0.5</v>
      </c>
      <c r="H12" s="57"/>
    </row>
    <row r="13" spans="1:8" x14ac:dyDescent="0.25">
      <c r="A13" s="12">
        <v>11</v>
      </c>
      <c r="B13" s="16" t="s">
        <v>59</v>
      </c>
      <c r="C13" s="17">
        <v>13.5</v>
      </c>
      <c r="D13" s="33">
        <v>13.7</v>
      </c>
      <c r="E13" s="34">
        <f>($C$13)-$D$13</f>
        <v>-0.19999999999999929</v>
      </c>
      <c r="F13" s="33">
        <v>8.9</v>
      </c>
      <c r="G13" s="34">
        <f>($C$13)-$F$13</f>
        <v>4.5999999999999996</v>
      </c>
      <c r="H13" s="12"/>
    </row>
    <row r="14" spans="1:8" x14ac:dyDescent="0.25">
      <c r="A14" s="12">
        <v>12</v>
      </c>
      <c r="B14" s="16" t="s">
        <v>60</v>
      </c>
      <c r="C14" s="17">
        <v>8.4</v>
      </c>
      <c r="D14" s="33">
        <v>8.8000000000000007</v>
      </c>
      <c r="E14" s="34">
        <f>($C$14)-$D$14</f>
        <v>-0.40000000000000036</v>
      </c>
      <c r="F14" s="33">
        <v>10.6</v>
      </c>
      <c r="G14" s="34">
        <f>($C$14)-$F$14</f>
        <v>-2.1999999999999993</v>
      </c>
      <c r="H14" s="12"/>
    </row>
    <row r="15" spans="1:8" x14ac:dyDescent="0.25">
      <c r="A15" s="12">
        <v>13</v>
      </c>
      <c r="B15" s="16" t="s">
        <v>61</v>
      </c>
      <c r="C15" s="17">
        <v>10.5</v>
      </c>
      <c r="D15" s="33">
        <v>10.7</v>
      </c>
      <c r="E15" s="34">
        <f>($C$15)-$D$15</f>
        <v>-0.19999999999999929</v>
      </c>
      <c r="F15" s="33">
        <v>5.7</v>
      </c>
      <c r="G15" s="34">
        <f>($C$15)-$F$15</f>
        <v>4.8</v>
      </c>
      <c r="H15" s="12"/>
    </row>
    <row r="16" spans="1:8" x14ac:dyDescent="0.25">
      <c r="A16" s="12">
        <v>14</v>
      </c>
      <c r="B16" s="16" t="s">
        <v>62</v>
      </c>
      <c r="C16" s="17">
        <v>4.8</v>
      </c>
      <c r="D16" s="33">
        <v>4.8</v>
      </c>
      <c r="E16" s="34">
        <f>($C$16)-$D$16</f>
        <v>0</v>
      </c>
      <c r="F16" s="33">
        <v>16.600000000000001</v>
      </c>
      <c r="G16" s="34">
        <f>($C$16)-$F$16</f>
        <v>-11.8</v>
      </c>
      <c r="H16" s="12"/>
    </row>
    <row r="17" spans="1:8" x14ac:dyDescent="0.25">
      <c r="A17" s="12">
        <v>15</v>
      </c>
      <c r="B17" s="16" t="s">
        <v>63</v>
      </c>
      <c r="C17" s="17">
        <v>15.4</v>
      </c>
      <c r="D17" s="33">
        <v>15.9</v>
      </c>
      <c r="E17" s="34">
        <f>($C$17)-$D$17</f>
        <v>-0.5</v>
      </c>
      <c r="F17" s="33">
        <v>13.1</v>
      </c>
      <c r="G17" s="34">
        <f>($C$17)-$F$17</f>
        <v>2.3000000000000007</v>
      </c>
      <c r="H17" s="12"/>
    </row>
    <row r="18" spans="1:8" x14ac:dyDescent="0.25">
      <c r="A18" s="12">
        <v>16</v>
      </c>
      <c r="B18" s="16" t="s">
        <v>64</v>
      </c>
      <c r="C18" s="17">
        <v>12.7</v>
      </c>
      <c r="D18" s="33">
        <v>13.1</v>
      </c>
      <c r="E18" s="34">
        <f>($C$18)-$D$18</f>
        <v>-0.40000000000000036</v>
      </c>
      <c r="F18" s="33">
        <v>12</v>
      </c>
      <c r="G18" s="34">
        <f>($C$18)-$F$18</f>
        <v>0.69999999999999929</v>
      </c>
      <c r="H18" s="12"/>
    </row>
    <row r="19" spans="1:8" x14ac:dyDescent="0.25">
      <c r="A19" s="12">
        <v>17</v>
      </c>
      <c r="B19" s="16" t="s">
        <v>65</v>
      </c>
      <c r="C19" s="17">
        <v>11.3</v>
      </c>
      <c r="D19" s="33">
        <v>11.5</v>
      </c>
      <c r="E19" s="34">
        <f>($C$19)-$D$19</f>
        <v>-0.19999999999999929</v>
      </c>
      <c r="F19" s="33">
        <v>12.4</v>
      </c>
      <c r="G19" s="34">
        <f>($C$19)-$F$19</f>
        <v>-1.0999999999999996</v>
      </c>
      <c r="H19" s="12"/>
    </row>
    <row r="20" spans="1:8" x14ac:dyDescent="0.25">
      <c r="A20" s="12">
        <v>18</v>
      </c>
      <c r="B20" s="16" t="s">
        <v>66</v>
      </c>
      <c r="C20" s="17">
        <v>11.7</v>
      </c>
      <c r="D20" s="33">
        <v>11.9</v>
      </c>
      <c r="E20" s="34">
        <f>($C$20)-$D$20</f>
        <v>-0.20000000000000107</v>
      </c>
      <c r="F20" s="33">
        <v>8.6</v>
      </c>
      <c r="G20" s="34">
        <f>($C$20)-$F$20</f>
        <v>3.0999999999999996</v>
      </c>
      <c r="H20" s="12"/>
    </row>
    <row r="21" spans="1:8" x14ac:dyDescent="0.25">
      <c r="A21" s="12">
        <v>19</v>
      </c>
      <c r="B21" s="16" t="s">
        <v>67</v>
      </c>
      <c r="C21" s="17">
        <v>8.4</v>
      </c>
      <c r="D21" s="33">
        <v>8.6999999999999993</v>
      </c>
      <c r="E21" s="34">
        <f>($C$21)-$D$21</f>
        <v>-0.29999999999999893</v>
      </c>
      <c r="F21" s="33">
        <v>7.5</v>
      </c>
      <c r="G21" s="34">
        <f>($C$21)-$F$21</f>
        <v>0.90000000000000036</v>
      </c>
      <c r="H21" s="12"/>
    </row>
    <row r="22" spans="1:8" x14ac:dyDescent="0.25">
      <c r="A22" s="12">
        <v>20</v>
      </c>
      <c r="B22" s="16" t="s">
        <v>68</v>
      </c>
      <c r="C22" s="17">
        <v>6.4</v>
      </c>
      <c r="D22" s="33">
        <v>6.7</v>
      </c>
      <c r="E22" s="34">
        <f>($C$22)-$D$22</f>
        <v>-0.29999999999999982</v>
      </c>
      <c r="F22" s="33">
        <v>6.1</v>
      </c>
      <c r="G22" s="34">
        <f>($C$22)-$F$22</f>
        <v>0.30000000000000071</v>
      </c>
      <c r="H22" s="12"/>
    </row>
    <row r="23" spans="1:8" x14ac:dyDescent="0.25">
      <c r="A23" s="12">
        <v>21</v>
      </c>
      <c r="B23" s="16" t="s">
        <v>69</v>
      </c>
      <c r="C23" s="17">
        <v>5.4</v>
      </c>
      <c r="D23" s="33">
        <v>5.7</v>
      </c>
      <c r="E23" s="34">
        <f>($C$23)-$D$23</f>
        <v>-0.29999999999999982</v>
      </c>
      <c r="F23" s="33">
        <v>14</v>
      </c>
      <c r="G23" s="34">
        <f>($C$23)-$F$23</f>
        <v>-8.6</v>
      </c>
      <c r="H23" s="12"/>
    </row>
    <row r="24" spans="1:8" x14ac:dyDescent="0.25">
      <c r="A24" s="12">
        <v>22</v>
      </c>
      <c r="B24" s="16" t="s">
        <v>70</v>
      </c>
      <c r="C24" s="17">
        <v>13.4</v>
      </c>
      <c r="D24" s="33">
        <v>13.6</v>
      </c>
      <c r="E24" s="34">
        <f>($C$24)-$D$24</f>
        <v>-0.19999999999999929</v>
      </c>
      <c r="F24" s="33">
        <v>7.5</v>
      </c>
      <c r="G24" s="34">
        <f>($C$24)-$F$24</f>
        <v>5.9</v>
      </c>
      <c r="H24" s="12"/>
    </row>
    <row r="25" spans="1:8" x14ac:dyDescent="0.25">
      <c r="A25" s="12">
        <v>23</v>
      </c>
      <c r="B25" s="16" t="s">
        <v>71</v>
      </c>
      <c r="C25" s="17">
        <v>7</v>
      </c>
      <c r="D25" s="33">
        <v>7.1</v>
      </c>
      <c r="E25" s="34">
        <f>($C$25)-$D$25</f>
        <v>-9.9999999999999645E-2</v>
      </c>
      <c r="F25" s="33">
        <v>15.7</v>
      </c>
      <c r="G25" s="34">
        <f>($C$25)-$F$25</f>
        <v>-8.6999999999999993</v>
      </c>
      <c r="H25" s="12"/>
    </row>
    <row r="26" spans="1:8" x14ac:dyDescent="0.25">
      <c r="A26" s="12">
        <v>24</v>
      </c>
      <c r="B26" s="16" t="s">
        <v>72</v>
      </c>
      <c r="C26" s="35">
        <v>2.8</v>
      </c>
      <c r="D26" s="33">
        <v>2.9</v>
      </c>
      <c r="E26" s="34">
        <f>($C$26)-$D$26</f>
        <v>-0.10000000000000009</v>
      </c>
      <c r="F26" s="33">
        <v>3.2</v>
      </c>
      <c r="G26" s="34">
        <f>($C$26)-$F$26</f>
        <v>-0.40000000000000036</v>
      </c>
      <c r="H26" s="12"/>
    </row>
    <row r="27" spans="1:8" x14ac:dyDescent="0.25">
      <c r="A27" s="12">
        <v>25</v>
      </c>
      <c r="B27" s="16" t="s">
        <v>73</v>
      </c>
      <c r="C27" s="17">
        <v>10.9</v>
      </c>
      <c r="D27" s="33">
        <v>11.1</v>
      </c>
      <c r="E27" s="34">
        <f>($C$27)-$D$27</f>
        <v>-0.19999999999999929</v>
      </c>
      <c r="F27" s="33">
        <v>11.5</v>
      </c>
      <c r="G27" s="34">
        <f>($C$27)-$F$27</f>
        <v>-0.59999999999999964</v>
      </c>
      <c r="H27" s="12"/>
    </row>
    <row r="28" spans="1:8" x14ac:dyDescent="0.25">
      <c r="A28" s="12">
        <v>26</v>
      </c>
      <c r="B28" s="16" t="s">
        <v>74</v>
      </c>
      <c r="C28" s="17">
        <v>5.5</v>
      </c>
      <c r="D28" s="33">
        <v>5.6</v>
      </c>
      <c r="E28" s="34">
        <f>($C$28)-$D$28</f>
        <v>-9.9999999999999645E-2</v>
      </c>
      <c r="F28" s="33">
        <v>5.5</v>
      </c>
      <c r="G28" s="34">
        <f>($C$28)-$F$28</f>
        <v>0</v>
      </c>
      <c r="H28" s="12"/>
    </row>
    <row r="29" spans="1:8" x14ac:dyDescent="0.25">
      <c r="A29" s="12">
        <v>27</v>
      </c>
      <c r="B29" s="16" t="s">
        <v>75</v>
      </c>
      <c r="C29" s="17">
        <v>8.5</v>
      </c>
      <c r="D29" s="36">
        <v>8.8000000000000007</v>
      </c>
      <c r="E29" s="34">
        <f>($C$29)-$D$29</f>
        <v>-0.30000000000000071</v>
      </c>
      <c r="F29" s="36">
        <v>9.1999999999999993</v>
      </c>
      <c r="G29" s="34">
        <f>($C$29)-$F$29</f>
        <v>-0.69999999999999929</v>
      </c>
      <c r="H29" s="12"/>
    </row>
    <row r="30" spans="1:8" x14ac:dyDescent="0.25">
      <c r="B30" s="7" t="s">
        <v>95</v>
      </c>
    </row>
    <row r="31" spans="1:8" x14ac:dyDescent="0.25">
      <c r="B31" s="7"/>
    </row>
  </sheetData>
  <printOptions horizontalCentered="1"/>
  <pageMargins left="0" right="0" top="0.7086614173228347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zoomScale="110" zoomScaleNormal="110" workbookViewId="0">
      <selection activeCell="B1" sqref="B1"/>
    </sheetView>
  </sheetViews>
  <sheetFormatPr defaultRowHeight="15" x14ac:dyDescent="0.25"/>
  <cols>
    <col min="1" max="1" width="3.28515625" style="77" customWidth="1"/>
    <col min="2" max="2" width="5.85546875" style="1" customWidth="1"/>
    <col min="3" max="3" width="27.7109375" style="1" customWidth="1"/>
    <col min="4" max="4" width="16.5703125" style="1" customWidth="1"/>
    <col min="5" max="5" width="16.85546875" style="1" customWidth="1"/>
    <col min="6" max="6" width="15.7109375" style="1" customWidth="1"/>
    <col min="7" max="7" width="16.140625" style="1" customWidth="1"/>
    <col min="8" max="8" width="15.7109375" style="1" customWidth="1"/>
    <col min="9" max="17" width="9.140625" style="1"/>
    <col min="18" max="18" width="3.5703125" style="1" customWidth="1"/>
    <col min="19" max="16384" width="9.140625" style="1"/>
  </cols>
  <sheetData>
    <row r="1" spans="1:8" ht="18.75" x14ac:dyDescent="0.4">
      <c r="B1" s="51" t="s">
        <v>93</v>
      </c>
      <c r="C1" s="13"/>
      <c r="D1" s="13"/>
      <c r="E1" s="13"/>
      <c r="F1" s="13"/>
      <c r="G1" s="13"/>
      <c r="H1" s="13"/>
    </row>
    <row r="2" spans="1:8" ht="18.75" x14ac:dyDescent="0.3">
      <c r="B2" s="13"/>
      <c r="C2" s="58"/>
      <c r="D2" s="60"/>
      <c r="E2" s="13"/>
      <c r="F2" s="13"/>
      <c r="G2" s="13"/>
      <c r="H2" s="13"/>
    </row>
    <row r="3" spans="1:8" ht="60" x14ac:dyDescent="0.25">
      <c r="B3" s="64" t="s">
        <v>91</v>
      </c>
      <c r="C3" s="20" t="str">
        <f>T('4_s.bezr.pow.'!B2)</f>
        <v>powiaty</v>
      </c>
      <c r="D3" s="20" t="str">
        <f>T('4_s.bezr.pow.'!C2)</f>
        <v>Stopa bezrobocia stan na 30 VI '21 r. (w%) **</v>
      </c>
      <c r="E3" s="20" t="str">
        <f>T('4_s.bezr.pow.'!D2)</f>
        <v>Stopa bezrobocia stan na 31 V '21 r. (w%) **</v>
      </c>
      <c r="F3" s="20" t="str">
        <f>T('4_s.bezr.pow.'!E2)</f>
        <v>wzrost/spadek do poprzedniego miesiąca (pkt. proc.)</v>
      </c>
      <c r="G3" s="20" t="str">
        <f>T('4_s.bezr.pow.'!F2)</f>
        <v>Stopa bezrobocia stan na 30 VI '20 r. (w%) **</v>
      </c>
      <c r="H3" s="20" t="str">
        <f>T('4_s.bezr.pow.'!G2)</f>
        <v>wzrost/spadek do analogicznego okresu ubr. (pkt. proc.)</v>
      </c>
    </row>
    <row r="4" spans="1:8" x14ac:dyDescent="0.25">
      <c r="A4" s="77">
        <v>1</v>
      </c>
      <c r="B4" s="24">
        <f>RANK('4_s.bezr.pow.'!C3,'4_s.bezr.pow.'!$C$3:'4_s.bezr.pow.'!$C$29,1)+COUNTIF('4_s.bezr.pow.'!$C$3:'4_s.bezr.pow.'!C3,'4_s.bezr.pow.'!C3)-1</f>
        <v>6</v>
      </c>
      <c r="C4" s="65" t="str">
        <f>INDEX('4_s.bezr.pow.'!B3:G29,MATCH(1,B4:B30,0),1)</f>
        <v>Powiat m.Krosno</v>
      </c>
      <c r="D4" s="57">
        <f>INDEX('4_s.bezr.pow.'!B3:G29,MATCH(1,B4:B30,0),2)</f>
        <v>2.8</v>
      </c>
      <c r="E4" s="33">
        <f>INDEX('4_s.bezr.pow.'!B3:G29,MATCH(1,B4:B30,0),3)</f>
        <v>2.9</v>
      </c>
      <c r="F4" s="31">
        <f>INDEX('4_s.bezr.pow.'!B3:G29,MATCH(1,B4:B30,0),4)</f>
        <v>-0.10000000000000009</v>
      </c>
      <c r="G4" s="33">
        <f>INDEX('4_s.bezr.pow.'!B3:G29,MATCH(1,B4:B30,0),5)</f>
        <v>3.2</v>
      </c>
      <c r="H4" s="31">
        <f>INDEX('4_s.bezr.pow.'!B3:G29,MATCH(1,B4:B30,0),6)</f>
        <v>-0.40000000000000036</v>
      </c>
    </row>
    <row r="5" spans="1:8" x14ac:dyDescent="0.25">
      <c r="A5" s="77">
        <v>2</v>
      </c>
      <c r="B5" s="24">
        <f>RANK('4_s.bezr.pow.'!C4,'4_s.bezr.pow.'!$C$3:'4_s.bezr.pow.'!$C$29,1)+COUNTIF('4_s.bezr.pow.'!$C$3:'4_s.bezr.pow.'!C4,'4_s.bezr.pow.'!C4)-1</f>
        <v>13</v>
      </c>
      <c r="C5" s="23" t="str">
        <f>INDEX('4_s.bezr.pow.'!B3:G29,MATCH(2,B4:B30,0),1)</f>
        <v>Powiat mielecki</v>
      </c>
      <c r="D5" s="34">
        <f>INDEX('4_s.bezr.pow.'!B3:G29,MATCH(2,B4:B30,0),2)</f>
        <v>4.8</v>
      </c>
      <c r="E5" s="33">
        <f>INDEX('4_s.bezr.pow.'!B3:G29,MATCH(2,B4:B30,0),3)</f>
        <v>4.8</v>
      </c>
      <c r="F5" s="31">
        <f>INDEX('4_s.bezr.pow.'!B3:G29,MATCH(2,B4:B30,0),4)</f>
        <v>0</v>
      </c>
      <c r="G5" s="33">
        <f>INDEX('4_s.bezr.pow.'!B3:G29,MATCH(2,B4:B30,0),5)</f>
        <v>16.600000000000001</v>
      </c>
      <c r="H5" s="31">
        <f>INDEX('4_s.bezr.pow.'!B3:G29,MATCH(2,B4:B30,0),6)</f>
        <v>-11.8</v>
      </c>
    </row>
    <row r="6" spans="1:8" x14ac:dyDescent="0.25">
      <c r="A6" s="77">
        <v>3</v>
      </c>
      <c r="B6" s="24">
        <f>RANK('4_s.bezr.pow.'!C5,'4_s.bezr.pow.'!$C$3:'4_s.bezr.pow.'!$C$29,1)+COUNTIF('4_s.bezr.pow.'!$C$3:'4_s.bezr.pow.'!C5,'4_s.bezr.pow.'!C5)-1</f>
        <v>23</v>
      </c>
      <c r="C6" s="23" t="str">
        <f>INDEX('4_s.bezr.pow.'!B3:G29,MATCH(3,B4:B30,0),1)</f>
        <v>Powiat dębicki</v>
      </c>
      <c r="D6" s="34">
        <f>INDEX('4_s.bezr.pow.'!B3:G29,MATCH(3,B4:B30,0),2)</f>
        <v>4.9000000000000004</v>
      </c>
      <c r="E6" s="33">
        <f>INDEX('4_s.bezr.pow.'!B3:G29,MATCH(3,B4:B30,0),3)</f>
        <v>5.0999999999999996</v>
      </c>
      <c r="F6" s="31">
        <f>INDEX('4_s.bezr.pow.'!B3:G29,MATCH(3,B4:B30,0),4)</f>
        <v>-0.19999999999999929</v>
      </c>
      <c r="G6" s="33">
        <f>INDEX('4_s.bezr.pow.'!B3:G29,MATCH(3,B4:B30,0),5)</f>
        <v>5.7</v>
      </c>
      <c r="H6" s="31">
        <f>INDEX('4_s.bezr.pow.'!B3:G29,MATCH(3,B4:B30,0),6)</f>
        <v>-0.79999999999999982</v>
      </c>
    </row>
    <row r="7" spans="1:8" x14ac:dyDescent="0.25">
      <c r="A7" s="77">
        <v>4</v>
      </c>
      <c r="B7" s="24">
        <f>RANK('4_s.bezr.pow.'!C6,'4_s.bezr.pow.'!$C$3:'4_s.bezr.pow.'!$C$29,1)+COUNTIF('4_s.bezr.pow.'!$C$3:'4_s.bezr.pow.'!C6,'4_s.bezr.pow.'!C6)-1</f>
        <v>26</v>
      </c>
      <c r="C7" s="23" t="str">
        <f>INDEX('4_s.bezr.pow.'!B3:G29,MATCH(4,B4:B30,0),1)</f>
        <v>Powiat stalowowolski</v>
      </c>
      <c r="D7" s="34">
        <f>INDEX('4_s.bezr.pow.'!B3:G29,MATCH(4,B4:B30,0),2)</f>
        <v>5.4</v>
      </c>
      <c r="E7" s="33">
        <f>INDEX('4_s.bezr.pow.'!B3:G29,MATCH(4,B4:B30,0),3)</f>
        <v>5.7</v>
      </c>
      <c r="F7" s="31">
        <f>INDEX('4_s.bezr.pow.'!B3:G29,MATCH(4,B4:B30,0),4)</f>
        <v>-0.29999999999999982</v>
      </c>
      <c r="G7" s="33">
        <f>INDEX('4_s.bezr.pow.'!B3:G29,MATCH(4,B4:B30,0),5)</f>
        <v>14</v>
      </c>
      <c r="H7" s="31">
        <f>INDEX('4_s.bezr.pow.'!B3:G29,MATCH(4,B4:B30,0),6)</f>
        <v>-8.6</v>
      </c>
    </row>
    <row r="8" spans="1:8" x14ac:dyDescent="0.25">
      <c r="A8" s="77">
        <v>5</v>
      </c>
      <c r="B8" s="24">
        <f>RANK('4_s.bezr.pow.'!C7,'4_s.bezr.pow.'!$C$3:'4_s.bezr.pow.'!$C$29,1)+COUNTIF('4_s.bezr.pow.'!$C$3:'4_s.bezr.pow.'!C7,'4_s.bezr.pow.'!C7)-1</f>
        <v>3</v>
      </c>
      <c r="C8" s="23" t="str">
        <f>INDEX('4_s.bezr.pow.'!B3:G29,MATCH(5,B4:B30,0),1)</f>
        <v>Powiat m.Rzeszów</v>
      </c>
      <c r="D8" s="34">
        <f>INDEX('4_s.bezr.pow.'!B3:G29,MATCH(5,B4:B30,0),2)</f>
        <v>5.5</v>
      </c>
      <c r="E8" s="33">
        <f>INDEX('4_s.bezr.pow.'!B3:G29,MATCH(5,B4:B30,0),3)</f>
        <v>5.6</v>
      </c>
      <c r="F8" s="31">
        <f>INDEX('4_s.bezr.pow.'!B3:G29,MATCH(5,B4:B30,0),4)</f>
        <v>-9.9999999999999645E-2</v>
      </c>
      <c r="G8" s="33">
        <f>INDEX('4_s.bezr.pow.'!B3:G29,MATCH(5,B4:B30,0),5)</f>
        <v>5.5</v>
      </c>
      <c r="H8" s="31">
        <f>INDEX('4_s.bezr.pow.'!B3:G29,MATCH(5,B4:B30,0),6)</f>
        <v>0</v>
      </c>
    </row>
    <row r="9" spans="1:8" x14ac:dyDescent="0.25">
      <c r="A9" s="77">
        <v>6</v>
      </c>
      <c r="B9" s="24">
        <f>RANK('4_s.bezr.pow.'!C8,'4_s.bezr.pow.'!$C$3:'4_s.bezr.pow.'!$C$29,1)+COUNTIF('4_s.bezr.pow.'!$C$3:'4_s.bezr.pow.'!C8,'4_s.bezr.pow.'!C8)-1</f>
        <v>18</v>
      </c>
      <c r="C9" s="23" t="str">
        <f>INDEX('4_s.bezr.pow.'!B3:G29,MATCH(6,B4:B30,0),1)</f>
        <v>POLSKA</v>
      </c>
      <c r="D9" s="34">
        <f>INDEX('4_s.bezr.pow.'!B3:G29,MATCH(6,B4:B30,0),2)</f>
        <v>5.9</v>
      </c>
      <c r="E9" s="33">
        <f>INDEX('4_s.bezr.pow.'!B3:G29,MATCH(6,B4:B30,0),3)</f>
        <v>6.1</v>
      </c>
      <c r="F9" s="31">
        <f>INDEX('4_s.bezr.pow.'!B3:G29,MATCH(6,B4:B30,0),4)</f>
        <v>-0.19999999999999929</v>
      </c>
      <c r="G9" s="33">
        <f>INDEX('4_s.bezr.pow.'!B3:G29,MATCH(6,B4:B30,0),5)</f>
        <v>6.1</v>
      </c>
      <c r="H9" s="31">
        <f>INDEX('4_s.bezr.pow.'!B3:G29,MATCH(6,B4:B30,0),6)</f>
        <v>-0.19999999999999929</v>
      </c>
    </row>
    <row r="10" spans="1:8" x14ac:dyDescent="0.25">
      <c r="A10" s="77">
        <v>7</v>
      </c>
      <c r="B10" s="24">
        <f>RANK('4_s.bezr.pow.'!C9,'4_s.bezr.pow.'!$C$3:'4_s.bezr.pow.'!$C$29,1)+COUNTIF('4_s.bezr.pow.'!$C$3:'4_s.bezr.pow.'!C9,'4_s.bezr.pow.'!C9)-1</f>
        <v>15</v>
      </c>
      <c r="C10" s="26" t="str">
        <f>INDEX('4_s.bezr.pow.'!B3:G29,MATCH(7,B4:B30,0),1)</f>
        <v>Powiat krośnieński</v>
      </c>
      <c r="D10" s="34">
        <f>INDEX('4_s.bezr.pow.'!B3:G29,MATCH(7,B4:B30,0),2)</f>
        <v>6.3</v>
      </c>
      <c r="E10" s="33">
        <f>INDEX('4_s.bezr.pow.'!B3:G29,MATCH(7,B4:B30,0),3)</f>
        <v>6.7</v>
      </c>
      <c r="F10" s="31">
        <f>INDEX('4_s.bezr.pow.'!B3:G29,MATCH(7,B4:B30,0),4)</f>
        <v>-0.40000000000000036</v>
      </c>
      <c r="G10" s="33">
        <f>INDEX('4_s.bezr.pow.'!B3:G29,MATCH(7,B4:B30,0),5)</f>
        <v>6.7</v>
      </c>
      <c r="H10" s="31">
        <f>INDEX('4_s.bezr.pow.'!B3:G29,MATCH(7,B4:B30,0),6)</f>
        <v>-0.40000000000000036</v>
      </c>
    </row>
    <row r="11" spans="1:8" x14ac:dyDescent="0.25">
      <c r="A11" s="77">
        <v>8</v>
      </c>
      <c r="B11" s="24">
        <f>RANK('4_s.bezr.pow.'!C10,'4_s.bezr.pow.'!$C$3:'4_s.bezr.pow.'!$C$29,1)+COUNTIF('4_s.bezr.pow.'!$C$3:'4_s.bezr.pow.'!C10,'4_s.bezr.pow.'!C10)-1</f>
        <v>10</v>
      </c>
      <c r="C11" s="23" t="str">
        <f>INDEX('4_s.bezr.pow.'!B3:G29,MATCH(8,B4:B30,0),1)</f>
        <v>Powiat sanocki</v>
      </c>
      <c r="D11" s="34">
        <f>INDEX('4_s.bezr.pow.'!B3:G29,MATCH(8,B4:B30,0),2)</f>
        <v>6.4</v>
      </c>
      <c r="E11" s="33">
        <f>INDEX('4_s.bezr.pow.'!B3:G29,MATCH(8,B4:B30,0),3)</f>
        <v>6.7</v>
      </c>
      <c r="F11" s="31">
        <f>INDEX('4_s.bezr.pow.'!B3:G29,MATCH(8,B4:B30,0),4)</f>
        <v>-0.29999999999999982</v>
      </c>
      <c r="G11" s="33">
        <f>INDEX('4_s.bezr.pow.'!B3:G29,MATCH(8,B4:B30,0),5)</f>
        <v>6.1</v>
      </c>
      <c r="H11" s="31">
        <f>INDEX('4_s.bezr.pow.'!B3:G29,MATCH(8,B4:B30,0),6)</f>
        <v>0.30000000000000071</v>
      </c>
    </row>
    <row r="12" spans="1:8" x14ac:dyDescent="0.25">
      <c r="A12" s="77">
        <v>9</v>
      </c>
      <c r="B12" s="24">
        <f>RANK('4_s.bezr.pow.'!C11,'4_s.bezr.pow.'!$C$3:'4_s.bezr.pow.'!$C$29,1)+COUNTIF('4_s.bezr.pow.'!$C$3:'4_s.bezr.pow.'!C11,'4_s.bezr.pow.'!C11)-1</f>
        <v>7</v>
      </c>
      <c r="C12" s="23" t="str">
        <f>INDEX('4_s.bezr.pow.'!B3:G29,MATCH(9,B4:B30,0),1)</f>
        <v>Powiat tarnobrzeski</v>
      </c>
      <c r="D12" s="34">
        <f>INDEX('4_s.bezr.pow.'!B3:G29,MATCH(9,B4:B30,0),2)</f>
        <v>7</v>
      </c>
      <c r="E12" s="33">
        <f>INDEX('4_s.bezr.pow.'!B3:G29,MATCH(9,B4:B30,0),3)</f>
        <v>7.1</v>
      </c>
      <c r="F12" s="31">
        <f>INDEX('4_s.bezr.pow.'!B3:G29,MATCH(9,B4:B30,0),4)</f>
        <v>-9.9999999999999645E-2</v>
      </c>
      <c r="G12" s="33">
        <f>INDEX('4_s.bezr.pow.'!B3:G29,MATCH(9,B4:B30,0),5)</f>
        <v>15.7</v>
      </c>
      <c r="H12" s="31">
        <f>INDEX('4_s.bezr.pow.'!B3:G29,MATCH(9,B4:B30,0),6)</f>
        <v>-8.6999999999999993</v>
      </c>
    </row>
    <row r="13" spans="1:8" x14ac:dyDescent="0.25">
      <c r="A13" s="77">
        <v>10</v>
      </c>
      <c r="B13" s="24">
        <f>RANK('4_s.bezr.pow.'!C12,'4_s.bezr.pow.'!$C$3:'4_s.bezr.pow.'!$C$29,1)+COUNTIF('4_s.bezr.pow.'!$C$3:'4_s.bezr.pow.'!C12,'4_s.bezr.pow.'!C12)-1</f>
        <v>25</v>
      </c>
      <c r="C13" s="23" t="str">
        <f>INDEX('4_s.bezr.pow.'!B3:G29,MATCH(10,B4:B30,0),1)</f>
        <v>Powiat kolbuszowski</v>
      </c>
      <c r="D13" s="34">
        <f>INDEX('4_s.bezr.pow.'!B3:G29,MATCH(10,B4:B30,0),2)</f>
        <v>7.6</v>
      </c>
      <c r="E13" s="33">
        <f>INDEX('4_s.bezr.pow.'!B3:G29,MATCH(10,B4:B30,0),3)</f>
        <v>8.1</v>
      </c>
      <c r="F13" s="31">
        <f>INDEX('4_s.bezr.pow.'!B3:G29,MATCH(10,B4:B30,0),4)</f>
        <v>-0.5</v>
      </c>
      <c r="G13" s="33">
        <f>INDEX('4_s.bezr.pow.'!B3:G29,MATCH(10,B4:B30,0),5)</f>
        <v>8.6999999999999993</v>
      </c>
      <c r="H13" s="31">
        <f>INDEX('4_s.bezr.pow.'!B3:G29,MATCH(10,B4:B30,0),6)</f>
        <v>-1.0999999999999996</v>
      </c>
    </row>
    <row r="14" spans="1:8" x14ac:dyDescent="0.25">
      <c r="A14" s="77">
        <v>11</v>
      </c>
      <c r="B14" s="24">
        <f>RANK('4_s.bezr.pow.'!C13,'4_s.bezr.pow.'!$C$3:'4_s.bezr.pow.'!$C$29,1)+COUNTIF('4_s.bezr.pow.'!$C$3:'4_s.bezr.pow.'!C13,'4_s.bezr.pow.'!C13)-1</f>
        <v>24</v>
      </c>
      <c r="C14" s="23" t="str">
        <f>INDEX('4_s.bezr.pow.'!B3:G29,MATCH(11,B4:B30,0),1)</f>
        <v>Powiat lubaczowski</v>
      </c>
      <c r="D14" s="34">
        <f>INDEX('4_s.bezr.pow.'!B3:G29,MATCH(11,B4:B30,0),2)</f>
        <v>8.4</v>
      </c>
      <c r="E14" s="33">
        <f>INDEX('4_s.bezr.pow.'!B3:G29,MATCH(11,B4:B30,0),3)</f>
        <v>8.8000000000000007</v>
      </c>
      <c r="F14" s="31">
        <f>INDEX('4_s.bezr.pow.'!B3:G29,MATCH(11,B4:B30,0),4)</f>
        <v>-0.40000000000000036</v>
      </c>
      <c r="G14" s="33">
        <f>INDEX('4_s.bezr.pow.'!B3:G29,MATCH(11,B4:B30,0),5)</f>
        <v>10.6</v>
      </c>
      <c r="H14" s="31">
        <f>INDEX('4_s.bezr.pow.'!B3:G29,MATCH(11,B4:B30,0),6)</f>
        <v>-2.1999999999999993</v>
      </c>
    </row>
    <row r="15" spans="1:8" x14ac:dyDescent="0.25">
      <c r="A15" s="77">
        <v>12</v>
      </c>
      <c r="B15" s="24">
        <f>RANK('4_s.bezr.pow.'!C14,'4_s.bezr.pow.'!$C$3:'4_s.bezr.pow.'!$C$29,1)+COUNTIF('4_s.bezr.pow.'!$C$3:'4_s.bezr.pow.'!C14,'4_s.bezr.pow.'!C14)-1</f>
        <v>11</v>
      </c>
      <c r="C15" s="70" t="str">
        <f>INDEX('4_s.bezr.pow.'!B3:G29,MATCH(12,B4:B30,0),1)</f>
        <v>Powiat rzeszowski</v>
      </c>
      <c r="D15" s="34">
        <f>INDEX('4_s.bezr.pow.'!B3:G29,MATCH(12,B4:B30,0),2)</f>
        <v>8.4</v>
      </c>
      <c r="E15" s="33">
        <f>INDEX('4_s.bezr.pow.'!B3:G29,MATCH(12,B4:B30,0),3)</f>
        <v>8.6999999999999993</v>
      </c>
      <c r="F15" s="31">
        <f>INDEX('4_s.bezr.pow.'!B3:G29,MATCH(12,B4:B30,0),4)</f>
        <v>-0.29999999999999893</v>
      </c>
      <c r="G15" s="33">
        <f>INDEX('4_s.bezr.pow.'!B3:G29,MATCH(12,B4:B30,0),5)</f>
        <v>7.5</v>
      </c>
      <c r="H15" s="31">
        <f>INDEX('4_s.bezr.pow.'!B3:G29,MATCH(12,B4:B30,0),6)</f>
        <v>0.90000000000000036</v>
      </c>
    </row>
    <row r="16" spans="1:8" x14ac:dyDescent="0.25">
      <c r="A16" s="77">
        <v>13</v>
      </c>
      <c r="B16" s="24">
        <f>RANK('4_s.bezr.pow.'!C15,'4_s.bezr.pow.'!$C$3:'4_s.bezr.pow.'!$C$29,1)+COUNTIF('4_s.bezr.pow.'!$C$3:'4_s.bezr.pow.'!C15,'4_s.bezr.pow.'!C15)-1</f>
        <v>16</v>
      </c>
      <c r="C16" s="23" t="str">
        <f>INDEX('4_s.bezr.pow.'!B3:G29,MATCH(13,B4:B30,0),1)</f>
        <v>PODKARPACKIE</v>
      </c>
      <c r="D16" s="34">
        <f>INDEX('4_s.bezr.pow.'!B3:G29,MATCH(13,B4:B30,0),2)</f>
        <v>8.5</v>
      </c>
      <c r="E16" s="33">
        <f>INDEX('4_s.bezr.pow.'!B3:G29,MATCH(13,B4:B30,0),3)</f>
        <v>8.6999999999999993</v>
      </c>
      <c r="F16" s="31">
        <f>INDEX('4_s.bezr.pow.'!B3:G29,MATCH(13,B4:B30,0),4)</f>
        <v>-0.19999999999999929</v>
      </c>
      <c r="G16" s="33">
        <f>INDEX('4_s.bezr.pow.'!B3:G29,MATCH(13,B4:B30,0),5)</f>
        <v>9</v>
      </c>
      <c r="H16" s="31">
        <f>INDEX('4_s.bezr.pow.'!B3:G29,MATCH(13,B4:B30,0),6)</f>
        <v>-0.5</v>
      </c>
    </row>
    <row r="17" spans="1:8" x14ac:dyDescent="0.25">
      <c r="A17" s="77">
        <v>14</v>
      </c>
      <c r="B17" s="24">
        <f>RANK('4_s.bezr.pow.'!C16,'4_s.bezr.pow.'!$C$3:'4_s.bezr.pow.'!$C$29,1)+COUNTIF('4_s.bezr.pow.'!$C$3:'4_s.bezr.pow.'!C16,'4_s.bezr.pow.'!C16)-1</f>
        <v>2</v>
      </c>
      <c r="C17" s="23" t="str">
        <f>INDEX('4_s.bezr.pow.'!B3:G29,MATCH(14,B4:B30,0),1)</f>
        <v>Powiat m.Tarnobrzeg</v>
      </c>
      <c r="D17" s="34">
        <f>INDEX('4_s.bezr.pow.'!B3:G29,MATCH(14,B4:B30,0),2)</f>
        <v>8.5</v>
      </c>
      <c r="E17" s="33">
        <f>INDEX('4_s.bezr.pow.'!B3:G29,MATCH(14,B4:B30,0),3)</f>
        <v>8.8000000000000007</v>
      </c>
      <c r="F17" s="31">
        <f>INDEX('4_s.bezr.pow.'!B3:G29,MATCH(14,B4:B30,0),4)</f>
        <v>-0.30000000000000071</v>
      </c>
      <c r="G17" s="33">
        <f>INDEX('4_s.bezr.pow.'!B3:G29,MATCH(14,B4:B30,0),5)</f>
        <v>9.1999999999999993</v>
      </c>
      <c r="H17" s="31">
        <f>INDEX('4_s.bezr.pow.'!B3:G29,MATCH(14,B4:B30,0),6)</f>
        <v>-0.69999999999999929</v>
      </c>
    </row>
    <row r="18" spans="1:8" x14ac:dyDescent="0.25">
      <c r="A18" s="77">
        <v>15</v>
      </c>
      <c r="B18" s="24">
        <f>RANK('4_s.bezr.pow.'!C17,'4_s.bezr.pow.'!$C$3:'4_s.bezr.pow.'!$C$29,1)+COUNTIF('4_s.bezr.pow.'!$C$3:'4_s.bezr.pow.'!C17,'4_s.bezr.pow.'!C17)-1</f>
        <v>27</v>
      </c>
      <c r="C18" s="23" t="str">
        <f>INDEX('4_s.bezr.pow.'!B3:G29,MATCH(15,B4:B30,0),1)</f>
        <v>Powiat jasielski</v>
      </c>
      <c r="D18" s="34">
        <f>INDEX('4_s.bezr.pow.'!B3:G29,MATCH(15,B4:B30,0),2)</f>
        <v>10.5</v>
      </c>
      <c r="E18" s="33">
        <f>INDEX('4_s.bezr.pow.'!B3:G29,MATCH(15,B4:B30,0),3)</f>
        <v>10.7</v>
      </c>
      <c r="F18" s="31">
        <f>INDEX('4_s.bezr.pow.'!B3:G29,MATCH(15,B4:B30,0),4)</f>
        <v>-0.19999999999999929</v>
      </c>
      <c r="G18" s="33">
        <f>INDEX('4_s.bezr.pow.'!B3:G29,MATCH(15,B4:B30,0),5)</f>
        <v>10.5</v>
      </c>
      <c r="H18" s="31">
        <f>INDEX('4_s.bezr.pow.'!B3:G29,MATCH(15,B4:B30,0),6)</f>
        <v>0</v>
      </c>
    </row>
    <row r="19" spans="1:8" x14ac:dyDescent="0.25">
      <c r="A19" s="77">
        <v>16</v>
      </c>
      <c r="B19" s="24">
        <f>RANK('4_s.bezr.pow.'!C18,'4_s.bezr.pow.'!$C$3:'4_s.bezr.pow.'!$C$29,1)+COUNTIF('4_s.bezr.pow.'!$C$3:'4_s.bezr.pow.'!C18,'4_s.bezr.pow.'!C18)-1</f>
        <v>21</v>
      </c>
      <c r="C19" s="23" t="str">
        <f>INDEX('4_s.bezr.pow.'!B3:G29,MATCH(16,B4:B30,0),1)</f>
        <v>Powiat łańcucki</v>
      </c>
      <c r="D19" s="34">
        <f>INDEX('4_s.bezr.pow.'!B3:G29,MATCH(16,B4:B30,0),2)</f>
        <v>10.5</v>
      </c>
      <c r="E19" s="33">
        <f>INDEX('4_s.bezr.pow.'!B3:G29,MATCH(16,B4:B30,0),3)</f>
        <v>10.7</v>
      </c>
      <c r="F19" s="31">
        <f>INDEX('4_s.bezr.pow.'!B3:G29,MATCH(16,B4:B30,0),4)</f>
        <v>-0.19999999999999929</v>
      </c>
      <c r="G19" s="33">
        <f>INDEX('4_s.bezr.pow.'!B3:G29,MATCH(16,B4:B30,0),5)</f>
        <v>5.7</v>
      </c>
      <c r="H19" s="31">
        <f>INDEX('4_s.bezr.pow.'!B3:G29,MATCH(16,B4:B30,0),6)</f>
        <v>4.8</v>
      </c>
    </row>
    <row r="20" spans="1:8" x14ac:dyDescent="0.25">
      <c r="A20" s="77">
        <v>17</v>
      </c>
      <c r="B20" s="24">
        <f>RANK('4_s.bezr.pow.'!C19,'4_s.bezr.pow.'!$C$3:'4_s.bezr.pow.'!$C$29,1)+COUNTIF('4_s.bezr.pow.'!$C$3:'4_s.bezr.pow.'!C19,'4_s.bezr.pow.'!C19)-1</f>
        <v>19</v>
      </c>
      <c r="C20" s="23" t="str">
        <f>INDEX('4_s.bezr.pow.'!B3:G29,MATCH(17,B4:B30,0),1)</f>
        <v>Powiat m.Przemyśl</v>
      </c>
      <c r="D20" s="34">
        <f>INDEX('4_s.bezr.pow.'!B3:G29,MATCH(17,B4:B30,0),2)</f>
        <v>10.9</v>
      </c>
      <c r="E20" s="33">
        <f>INDEX('4_s.bezr.pow.'!B3:G29,MATCH(17,B4:B30,0),3)</f>
        <v>11.1</v>
      </c>
      <c r="F20" s="31">
        <f>INDEX('4_s.bezr.pow.'!B3:G29,MATCH(17,B4:B30,0),4)</f>
        <v>-0.19999999999999929</v>
      </c>
      <c r="G20" s="33">
        <f>INDEX('4_s.bezr.pow.'!B3:G29,MATCH(17,B4:B30,0),5)</f>
        <v>11.5</v>
      </c>
      <c r="H20" s="31">
        <f>INDEX('4_s.bezr.pow.'!B3:G29,MATCH(17,B4:B30,0),6)</f>
        <v>-0.59999999999999964</v>
      </c>
    </row>
    <row r="21" spans="1:8" x14ac:dyDescent="0.25">
      <c r="A21" s="77">
        <v>18</v>
      </c>
      <c r="B21" s="24">
        <f>RANK('4_s.bezr.pow.'!C20,'4_s.bezr.pow.'!$C$3:'4_s.bezr.pow.'!$C$29,1)+COUNTIF('4_s.bezr.pow.'!$C$3:'4_s.bezr.pow.'!C20,'4_s.bezr.pow.'!C20)-1</f>
        <v>20</v>
      </c>
      <c r="C21" s="23" t="str">
        <f>INDEX('4_s.bezr.pow.'!B3:G29,MATCH(18,B4:B30,0),1)</f>
        <v>Powiat jarosławski</v>
      </c>
      <c r="D21" s="34">
        <f>INDEX('4_s.bezr.pow.'!B3:G29,MATCH(18,B4:B30,0),2)</f>
        <v>11.1</v>
      </c>
      <c r="E21" s="33">
        <f>INDEX('4_s.bezr.pow.'!B3:G29,MATCH(18,B4:B30,0),3)</f>
        <v>11.4</v>
      </c>
      <c r="F21" s="31">
        <f>INDEX('4_s.bezr.pow.'!B3:G29,MATCH(18,B4:B30,0),4)</f>
        <v>-0.30000000000000071</v>
      </c>
      <c r="G21" s="33">
        <f>INDEX('4_s.bezr.pow.'!B3:G29,MATCH(18,B4:B30,0),5)</f>
        <v>11.3</v>
      </c>
      <c r="H21" s="31">
        <f>INDEX('4_s.bezr.pow.'!B3:G29,MATCH(18,B4:B30,0),6)</f>
        <v>-0.20000000000000107</v>
      </c>
    </row>
    <row r="22" spans="1:8" x14ac:dyDescent="0.25">
      <c r="A22" s="77">
        <v>19</v>
      </c>
      <c r="B22" s="24">
        <f>RANK('4_s.bezr.pow.'!C21,'4_s.bezr.pow.'!$C$3:'4_s.bezr.pow.'!$C$29,1)+COUNTIF('4_s.bezr.pow.'!$C$3:'4_s.bezr.pow.'!C21,'4_s.bezr.pow.'!C21)-1</f>
        <v>12</v>
      </c>
      <c r="C22" s="23" t="str">
        <f>INDEX('4_s.bezr.pow.'!B3:G29,MATCH(19,B4:B30,0),1)</f>
        <v>Powiat przeworski</v>
      </c>
      <c r="D22" s="34">
        <f>INDEX('4_s.bezr.pow.'!B3:G29,MATCH(19,B4:B30,0),2)</f>
        <v>11.3</v>
      </c>
      <c r="E22" s="33">
        <f>INDEX('4_s.bezr.pow.'!B3:G29,MATCH(19,B4:B30,0),3)</f>
        <v>11.5</v>
      </c>
      <c r="F22" s="31">
        <f>INDEX('4_s.bezr.pow.'!B3:G29,MATCH(19,B4:B30,0),4)</f>
        <v>-0.19999999999999929</v>
      </c>
      <c r="G22" s="33">
        <f>INDEX('4_s.bezr.pow.'!B3:G29,MATCH(19,B4:B30,0),5)</f>
        <v>12.4</v>
      </c>
      <c r="H22" s="31">
        <f>INDEX('4_s.bezr.pow.'!B3:G29,MATCH(19,B4:B30,0),6)</f>
        <v>-1.0999999999999996</v>
      </c>
    </row>
    <row r="23" spans="1:8" x14ac:dyDescent="0.25">
      <c r="A23" s="77">
        <v>20</v>
      </c>
      <c r="B23" s="24">
        <f>RANK('4_s.bezr.pow.'!C22,'4_s.bezr.pow.'!$C$3:'4_s.bezr.pow.'!$C$29,1)+COUNTIF('4_s.bezr.pow.'!$C$3:'4_s.bezr.pow.'!C22,'4_s.bezr.pow.'!C22)-1</f>
        <v>8</v>
      </c>
      <c r="C23" s="23" t="str">
        <f>INDEX('4_s.bezr.pow.'!B3:G29,MATCH(20,B4:B30,0),1)</f>
        <v>Powiat ropczycko-sędziszowski</v>
      </c>
      <c r="D23" s="34">
        <f>INDEX('4_s.bezr.pow.'!B3:G29,MATCH(20,B4:B30,0),2)</f>
        <v>11.7</v>
      </c>
      <c r="E23" s="33">
        <f>INDEX('4_s.bezr.pow.'!B3:G29,MATCH(20,B4:B30,0),3)</f>
        <v>11.9</v>
      </c>
      <c r="F23" s="31">
        <f>INDEX('4_s.bezr.pow.'!B3:G29,MATCH(20,B4:B30,0),4)</f>
        <v>-0.20000000000000107</v>
      </c>
      <c r="G23" s="33">
        <f>INDEX('4_s.bezr.pow.'!B3:G29,MATCH(20,B4:B30,0),5)</f>
        <v>8.6</v>
      </c>
      <c r="H23" s="31">
        <f>INDEX('4_s.bezr.pow.'!B3:G29,MATCH(20,B4:B30,0),6)</f>
        <v>3.0999999999999996</v>
      </c>
    </row>
    <row r="24" spans="1:8" x14ac:dyDescent="0.25">
      <c r="A24" s="77">
        <v>21</v>
      </c>
      <c r="B24" s="24">
        <f>RANK('4_s.bezr.pow.'!C23,'4_s.bezr.pow.'!$C$3:'4_s.bezr.pow.'!$C$29,1)+COUNTIF('4_s.bezr.pow.'!$C$3:'4_s.bezr.pow.'!C23,'4_s.bezr.pow.'!C23)-1</f>
        <v>4</v>
      </c>
      <c r="C24" s="23" t="str">
        <f>INDEX('4_s.bezr.pow.'!B3:G29,MATCH(21,B4:B30,0),1)</f>
        <v>Powiat przemyski</v>
      </c>
      <c r="D24" s="34">
        <f>INDEX('4_s.bezr.pow.'!B3:G29,MATCH(21,B4:B30,0),2)</f>
        <v>12.7</v>
      </c>
      <c r="E24" s="33">
        <f>INDEX('4_s.bezr.pow.'!B3:G29,MATCH(21,B4:B30,0),3)</f>
        <v>13.1</v>
      </c>
      <c r="F24" s="31">
        <f>INDEX('4_s.bezr.pow.'!B3:G29,MATCH(21,B4:B30,0),4)</f>
        <v>-0.40000000000000036</v>
      </c>
      <c r="G24" s="33">
        <f>INDEX('4_s.bezr.pow.'!B3:G29,MATCH(21,B4:B30,0),5)</f>
        <v>12</v>
      </c>
      <c r="H24" s="31">
        <f>INDEX('4_s.bezr.pow.'!B3:G29,MATCH(21,B4:B30,0),6)</f>
        <v>0.69999999999999929</v>
      </c>
    </row>
    <row r="25" spans="1:8" x14ac:dyDescent="0.25">
      <c r="A25" s="77">
        <v>22</v>
      </c>
      <c r="B25" s="24">
        <f>RANK('4_s.bezr.pow.'!C24,'4_s.bezr.pow.'!$C$3:'4_s.bezr.pow.'!$C$29,1)+COUNTIF('4_s.bezr.pow.'!$C$3:'4_s.bezr.pow.'!C24,'4_s.bezr.pow.'!C24)-1</f>
        <v>22</v>
      </c>
      <c r="C25" s="23" t="str">
        <f>INDEX('4_s.bezr.pow.'!B3:G29,MATCH(22,B4:B30,0),1)</f>
        <v>Powiat strzyżowski</v>
      </c>
      <c r="D25" s="34">
        <f>INDEX('4_s.bezr.pow.'!B3:G29,MATCH(22,B4:B30,0),2)</f>
        <v>13.4</v>
      </c>
      <c r="E25" s="33">
        <f>INDEX('4_s.bezr.pow.'!B3:G29,MATCH(22,B4:B30,0),3)</f>
        <v>13.6</v>
      </c>
      <c r="F25" s="31">
        <f>INDEX('4_s.bezr.pow.'!B3:G29,MATCH(22,B4:B30,0),4)</f>
        <v>-0.19999999999999929</v>
      </c>
      <c r="G25" s="33">
        <f>INDEX('4_s.bezr.pow.'!B3:G29,MATCH(22,B4:B30,0),5)</f>
        <v>7.5</v>
      </c>
      <c r="H25" s="31">
        <f>INDEX('4_s.bezr.pow.'!B3:G29,MATCH(22,B4:B30,0),6)</f>
        <v>5.9</v>
      </c>
    </row>
    <row r="26" spans="1:8" x14ac:dyDescent="0.25">
      <c r="A26" s="77">
        <v>23</v>
      </c>
      <c r="B26" s="24">
        <f>RANK('4_s.bezr.pow.'!C25,'4_s.bezr.pow.'!$C$3:'4_s.bezr.pow.'!$C$29,1)+COUNTIF('4_s.bezr.pow.'!$C$3:'4_s.bezr.pow.'!C25,'4_s.bezr.pow.'!C25)-1</f>
        <v>9</v>
      </c>
      <c r="C26" s="23" t="str">
        <f>INDEX('4_s.bezr.pow.'!B3:G29,MATCH(23,B4:B30,0),1)</f>
        <v>Powiat bieszczadzki</v>
      </c>
      <c r="D26" s="34">
        <f>INDEX('4_s.bezr.pow.'!B3:G29,MATCH(23,B4:B30,0),2)</f>
        <v>13.5</v>
      </c>
      <c r="E26" s="33">
        <f>INDEX('4_s.bezr.pow.'!B3:G29,MATCH(23,B4:B30,0),3)</f>
        <v>14</v>
      </c>
      <c r="F26" s="31">
        <f>INDEX('4_s.bezr.pow.'!B3:G29,MATCH(23,B4:B30,0),4)</f>
        <v>-0.5</v>
      </c>
      <c r="G26" s="33">
        <f>INDEX('4_s.bezr.pow.'!B3:G29,MATCH(23,B4:B30,0),5)</f>
        <v>14.5</v>
      </c>
      <c r="H26" s="31">
        <f>INDEX('4_s.bezr.pow.'!B3:G29,MATCH(23,B4:B30,0),6)</f>
        <v>-1</v>
      </c>
    </row>
    <row r="27" spans="1:8" x14ac:dyDescent="0.25">
      <c r="A27" s="77">
        <v>24</v>
      </c>
      <c r="B27" s="24">
        <f>RANK('4_s.bezr.pow.'!C26,'4_s.bezr.pow.'!$C$3:'4_s.bezr.pow.'!$C$29,1)+COUNTIF('4_s.bezr.pow.'!$C$3:'4_s.bezr.pow.'!C26,'4_s.bezr.pow.'!C26)-1</f>
        <v>1</v>
      </c>
      <c r="C27" s="23" t="str">
        <f>INDEX('4_s.bezr.pow.'!B3:G29,MATCH(24,B4:B30,0),1)</f>
        <v>Powiat leżajski</v>
      </c>
      <c r="D27" s="34">
        <f>INDEX('4_s.bezr.pow.'!B3:G29,MATCH(24,B4:B30,0),2)</f>
        <v>13.5</v>
      </c>
      <c r="E27" s="33">
        <f>INDEX('4_s.bezr.pow.'!B3:G29,MATCH(24,B4:B30,0),3)</f>
        <v>13.7</v>
      </c>
      <c r="F27" s="31">
        <f>INDEX('4_s.bezr.pow.'!B3:G29,MATCH(24,B4:B30,0),4)</f>
        <v>-0.19999999999999929</v>
      </c>
      <c r="G27" s="33">
        <f>INDEX('4_s.bezr.pow.'!B3:G29,MATCH(24,B4:B30,0),5)</f>
        <v>8.9</v>
      </c>
      <c r="H27" s="31">
        <f>INDEX('4_s.bezr.pow.'!B3:G29,MATCH(24,B4:B30,0),6)</f>
        <v>4.5999999999999996</v>
      </c>
    </row>
    <row r="28" spans="1:8" x14ac:dyDescent="0.25">
      <c r="A28" s="77">
        <v>25</v>
      </c>
      <c r="B28" s="24">
        <f>RANK('4_s.bezr.pow.'!C27,'4_s.bezr.pow.'!$C$3:'4_s.bezr.pow.'!$C$29,1)+COUNTIF('4_s.bezr.pow.'!$C$3:'4_s.bezr.pow.'!C27,'4_s.bezr.pow.'!C27)-1</f>
        <v>17</v>
      </c>
      <c r="C28" s="23" t="str">
        <f>INDEX('4_s.bezr.pow.'!B3:G29,MATCH(25,B4:B30,0),1)</f>
        <v>Powiat leski</v>
      </c>
      <c r="D28" s="34">
        <f>INDEX('4_s.bezr.pow.'!B3:G29,MATCH(25,B4:B30,0),2)</f>
        <v>14.2</v>
      </c>
      <c r="E28" s="33">
        <f>INDEX('4_s.bezr.pow.'!B3:G29,MATCH(25,B4:B30,0),3)</f>
        <v>14.9</v>
      </c>
      <c r="F28" s="31">
        <f>INDEX('4_s.bezr.pow.'!B3:G29,MATCH(25,B4:B30,0),4)</f>
        <v>-0.70000000000000107</v>
      </c>
      <c r="G28" s="33">
        <f>INDEX('4_s.bezr.pow.'!B3:G29,MATCH(25,B4:B30,0),5)</f>
        <v>13.7</v>
      </c>
      <c r="H28" s="31">
        <f>INDEX('4_s.bezr.pow.'!B3:G29,MATCH(25,B4:B30,0),6)</f>
        <v>0.5</v>
      </c>
    </row>
    <row r="29" spans="1:8" x14ac:dyDescent="0.25">
      <c r="A29" s="77">
        <v>26</v>
      </c>
      <c r="B29" s="86">
        <f>RANK('4_s.bezr.pow.'!C28,'4_s.bezr.pow.'!$C$3:'4_s.bezr.pow.'!$C$29,1)+COUNTIF('4_s.bezr.pow.'!$C$3:'4_s.bezr.pow.'!C28,'4_s.bezr.pow.'!C28)-1</f>
        <v>5</v>
      </c>
      <c r="C29" s="87" t="str">
        <f>INDEX('4_s.bezr.pow.'!B3:G29,MATCH(26,B4:B30,0),1)</f>
        <v>Powiat brzozowski</v>
      </c>
      <c r="D29" s="85">
        <f>INDEX('4_s.bezr.pow.'!B3:G29,MATCH(26,B4:B30,0),2)</f>
        <v>14.5</v>
      </c>
      <c r="E29" s="84">
        <f>INDEX('4_s.bezr.pow.'!B3:G29,MATCH(26,B4:B30,0),3)</f>
        <v>14.9</v>
      </c>
      <c r="F29" s="88">
        <f>INDEX('4_s.bezr.pow.'!B3:G29,MATCH(26,B4:B30,0),4)</f>
        <v>-0.40000000000000036</v>
      </c>
      <c r="G29" s="84">
        <f>INDEX('4_s.bezr.pow.'!B3:G29,MATCH(26,B4:B30,0),5)</f>
        <v>15.6</v>
      </c>
      <c r="H29" s="88">
        <f>INDEX('4_s.bezr.pow.'!B3:G29,MATCH(26,B4:B30,0),6)</f>
        <v>-1.0999999999999996</v>
      </c>
    </row>
    <row r="30" spans="1:8" x14ac:dyDescent="0.25">
      <c r="A30" s="77">
        <v>27</v>
      </c>
      <c r="B30" s="69">
        <f>RANK('4_s.bezr.pow.'!C29,'4_s.bezr.pow.'!$C$3:'4_s.bezr.pow.'!$C$29,1)+COUNTIF('4_s.bezr.pow.'!$C$3:'4_s.bezr.pow.'!C29,'4_s.bezr.pow.'!C29)-1</f>
        <v>14</v>
      </c>
      <c r="C30" s="67" t="str">
        <f>INDEX('4_s.bezr.pow.'!B3:G29,MATCH(27,B4:B30,0),1)</f>
        <v>Powiat niżański</v>
      </c>
      <c r="D30" s="66">
        <f>INDEX('4_s.bezr.pow.'!B3:G29,MATCH(27,B4:B30,0),2)</f>
        <v>15.4</v>
      </c>
      <c r="E30" s="33">
        <f>INDEX('4_s.bezr.pow.'!B3:G29,MATCH(27,B4:B30,0),3)</f>
        <v>15.9</v>
      </c>
      <c r="F30" s="68">
        <f>INDEX('4_s.bezr.pow.'!B3:G29,MATCH(27,B4:B30,0),4)</f>
        <v>-0.5</v>
      </c>
      <c r="G30" s="33">
        <f>INDEX('4_s.bezr.pow.'!B3:G29,MATCH(27,B4:B30,0),5)</f>
        <v>13.1</v>
      </c>
      <c r="H30" s="68">
        <f>INDEX('4_s.bezr.pow.'!B3:G29,MATCH(27,B4:B30,0),6)</f>
        <v>2.3000000000000007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28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13" customWidth="1"/>
    <col min="2" max="2" width="23.42578125" style="13" customWidth="1"/>
    <col min="3" max="3" width="15.28515625" style="13" customWidth="1"/>
    <col min="4" max="4" width="15.7109375" style="13" customWidth="1"/>
    <col min="5" max="5" width="16.42578125" style="13" customWidth="1"/>
    <col min="6" max="6" width="16.28515625" style="13" customWidth="1"/>
    <col min="7" max="7" width="17.5703125" style="13" customWidth="1"/>
    <col min="8" max="8" width="1.7109375" style="13" customWidth="1"/>
    <col min="9" max="9" width="23.7109375" style="13" customWidth="1"/>
    <col min="10" max="10" width="14.5703125" style="13" customWidth="1"/>
    <col min="11" max="11" width="16.140625" style="13" customWidth="1"/>
    <col min="12" max="12" width="14.42578125" style="13" customWidth="1"/>
    <col min="13" max="14" width="3" style="13" customWidth="1"/>
    <col min="15" max="16384" width="9.140625" style="13"/>
  </cols>
  <sheetData>
    <row r="1" spans="1:12" ht="18.75" x14ac:dyDescent="0.4">
      <c r="B1" s="51" t="s">
        <v>32</v>
      </c>
      <c r="I1" s="51" t="s">
        <v>89</v>
      </c>
    </row>
    <row r="2" spans="1:12" ht="86.25" customHeight="1" x14ac:dyDescent="0.25">
      <c r="B2" s="20" t="s">
        <v>27</v>
      </c>
      <c r="C2" s="21" t="s">
        <v>114</v>
      </c>
      <c r="D2" s="22" t="s">
        <v>101</v>
      </c>
      <c r="E2" s="21" t="s">
        <v>28</v>
      </c>
      <c r="F2" s="22" t="s">
        <v>113</v>
      </c>
      <c r="G2" s="21" t="s">
        <v>26</v>
      </c>
      <c r="I2" s="20" t="s">
        <v>27</v>
      </c>
      <c r="J2" s="21" t="str">
        <f>T('1_bezr.'!C2)</f>
        <v>liczba bezrobotnych ogółem stan na 30 VI '21 r.</v>
      </c>
      <c r="K2" s="21" t="str">
        <f>T(C2)</f>
        <v>liczba bezrobotnych zam. na wsi stan na 30 VI '21 r.</v>
      </c>
      <c r="L2" s="21" t="s">
        <v>30</v>
      </c>
    </row>
    <row r="3" spans="1:12" x14ac:dyDescent="0.25">
      <c r="A3" s="13">
        <v>1</v>
      </c>
      <c r="B3" s="23" t="s">
        <v>0</v>
      </c>
      <c r="C3" s="24">
        <v>712</v>
      </c>
      <c r="D3" s="25">
        <v>746</v>
      </c>
      <c r="E3" s="24">
        <f t="shared" ref="E3:E23" si="0">SUM(C3)-D3</f>
        <v>-34</v>
      </c>
      <c r="F3" s="25">
        <v>756</v>
      </c>
      <c r="G3" s="24">
        <f t="shared" ref="G3:G23" si="1">SUM(C3)-F3</f>
        <v>-44</v>
      </c>
      <c r="H3" s="38"/>
      <c r="I3" s="23" t="s">
        <v>0</v>
      </c>
      <c r="J3" s="24">
        <f>SUM('1_bezr.'!C3)</f>
        <v>1157</v>
      </c>
      <c r="K3" s="24">
        <f>SUM(C3)</f>
        <v>712</v>
      </c>
      <c r="L3" s="34">
        <f t="shared" ref="L3:L23" si="2">SUM(K3)/J3*100</f>
        <v>61.53846153846154</v>
      </c>
    </row>
    <row r="4" spans="1:12" x14ac:dyDescent="0.25">
      <c r="A4" s="13">
        <v>2</v>
      </c>
      <c r="B4" s="23" t="s">
        <v>1</v>
      </c>
      <c r="C4" s="24">
        <v>3723</v>
      </c>
      <c r="D4" s="25">
        <v>3824</v>
      </c>
      <c r="E4" s="24">
        <f t="shared" si="0"/>
        <v>-101</v>
      </c>
      <c r="F4" s="25">
        <v>4043</v>
      </c>
      <c r="G4" s="24">
        <f t="shared" si="1"/>
        <v>-320</v>
      </c>
      <c r="H4" s="38"/>
      <c r="I4" s="23" t="s">
        <v>1</v>
      </c>
      <c r="J4" s="24">
        <f>SUM('1_bezr.'!C4)</f>
        <v>4057</v>
      </c>
      <c r="K4" s="24">
        <f t="shared" ref="K4:K22" si="3">SUM(C4)</f>
        <v>3723</v>
      </c>
      <c r="L4" s="34">
        <f t="shared" si="2"/>
        <v>91.767315750554602</v>
      </c>
    </row>
    <row r="5" spans="1:12" x14ac:dyDescent="0.25">
      <c r="A5" s="13">
        <v>3</v>
      </c>
      <c r="B5" s="23" t="s">
        <v>2</v>
      </c>
      <c r="C5" s="24">
        <v>1797</v>
      </c>
      <c r="D5" s="25">
        <v>1892</v>
      </c>
      <c r="E5" s="24">
        <f t="shared" si="0"/>
        <v>-95</v>
      </c>
      <c r="F5" s="25">
        <v>2102</v>
      </c>
      <c r="G5" s="24">
        <f t="shared" si="1"/>
        <v>-305</v>
      </c>
      <c r="H5" s="38"/>
      <c r="I5" s="23" t="s">
        <v>2</v>
      </c>
      <c r="J5" s="24">
        <f>SUM('1_bezr.'!C5)</f>
        <v>3035</v>
      </c>
      <c r="K5" s="24">
        <f t="shared" si="3"/>
        <v>1797</v>
      </c>
      <c r="L5" s="34">
        <f t="shared" si="2"/>
        <v>59.209225700164744</v>
      </c>
    </row>
    <row r="6" spans="1:12" x14ac:dyDescent="0.25">
      <c r="A6" s="13">
        <v>4</v>
      </c>
      <c r="B6" s="23" t="s">
        <v>3</v>
      </c>
      <c r="C6" s="24">
        <v>3616</v>
      </c>
      <c r="D6" s="25">
        <v>3756</v>
      </c>
      <c r="E6" s="24">
        <f t="shared" si="0"/>
        <v>-140</v>
      </c>
      <c r="F6" s="25">
        <v>3644</v>
      </c>
      <c r="G6" s="24">
        <f t="shared" si="1"/>
        <v>-28</v>
      </c>
      <c r="H6" s="38"/>
      <c r="I6" s="23" t="s">
        <v>3</v>
      </c>
      <c r="J6" s="24">
        <f>SUM('1_bezr.'!C6)</f>
        <v>5829</v>
      </c>
      <c r="K6" s="24">
        <f t="shared" si="3"/>
        <v>3616</v>
      </c>
      <c r="L6" s="34">
        <f t="shared" si="2"/>
        <v>62.034654314633727</v>
      </c>
    </row>
    <row r="7" spans="1:12" x14ac:dyDescent="0.25">
      <c r="A7" s="13">
        <v>5</v>
      </c>
      <c r="B7" s="23" t="s">
        <v>4</v>
      </c>
      <c r="C7" s="24">
        <v>3870</v>
      </c>
      <c r="D7" s="25">
        <v>3924</v>
      </c>
      <c r="E7" s="24">
        <f t="shared" si="0"/>
        <v>-54</v>
      </c>
      <c r="F7" s="25">
        <v>3858</v>
      </c>
      <c r="G7" s="24">
        <f t="shared" si="1"/>
        <v>12</v>
      </c>
      <c r="H7" s="38"/>
      <c r="I7" s="23" t="s">
        <v>4</v>
      </c>
      <c r="J7" s="24">
        <f>SUM('1_bezr.'!C7)</f>
        <v>5581</v>
      </c>
      <c r="K7" s="24">
        <f t="shared" si="3"/>
        <v>3870</v>
      </c>
      <c r="L7" s="34">
        <f t="shared" si="2"/>
        <v>69.342411754165923</v>
      </c>
    </row>
    <row r="8" spans="1:12" x14ac:dyDescent="0.25">
      <c r="A8" s="13">
        <v>6</v>
      </c>
      <c r="B8" s="23" t="s">
        <v>5</v>
      </c>
      <c r="C8" s="24">
        <v>1613</v>
      </c>
      <c r="D8" s="25">
        <v>1714</v>
      </c>
      <c r="E8" s="24">
        <f t="shared" si="0"/>
        <v>-101</v>
      </c>
      <c r="F8" s="25">
        <v>1831</v>
      </c>
      <c r="G8" s="24">
        <f t="shared" si="1"/>
        <v>-218</v>
      </c>
      <c r="H8" s="38"/>
      <c r="I8" s="23" t="s">
        <v>5</v>
      </c>
      <c r="J8" s="24">
        <f>SUM('1_bezr.'!C8)</f>
        <v>1850</v>
      </c>
      <c r="K8" s="24">
        <f t="shared" si="3"/>
        <v>1613</v>
      </c>
      <c r="L8" s="34">
        <f t="shared" si="2"/>
        <v>87.189189189189193</v>
      </c>
    </row>
    <row r="9" spans="1:12" x14ac:dyDescent="0.25">
      <c r="A9" s="13">
        <v>7</v>
      </c>
      <c r="B9" s="26" t="s">
        <v>6</v>
      </c>
      <c r="C9" s="24">
        <v>2023</v>
      </c>
      <c r="D9" s="25">
        <v>2170</v>
      </c>
      <c r="E9" s="24">
        <f t="shared" si="0"/>
        <v>-147</v>
      </c>
      <c r="F9" s="25">
        <v>2182</v>
      </c>
      <c r="G9" s="24">
        <f t="shared" si="1"/>
        <v>-159</v>
      </c>
      <c r="H9" s="38"/>
      <c r="I9" s="26" t="s">
        <v>6</v>
      </c>
      <c r="J9" s="24">
        <f>SUM('1_bezr.'!C9)</f>
        <v>2267</v>
      </c>
      <c r="K9" s="24">
        <f t="shared" si="3"/>
        <v>2023</v>
      </c>
      <c r="L9" s="34">
        <f t="shared" si="2"/>
        <v>89.236876929863257</v>
      </c>
    </row>
    <row r="10" spans="1:12" x14ac:dyDescent="0.25">
      <c r="A10" s="13">
        <v>8</v>
      </c>
      <c r="B10" s="23" t="s">
        <v>7</v>
      </c>
      <c r="C10" s="24">
        <v>1311</v>
      </c>
      <c r="D10" s="25">
        <v>1378</v>
      </c>
      <c r="E10" s="24">
        <f t="shared" si="0"/>
        <v>-67</v>
      </c>
      <c r="F10" s="25">
        <v>1471</v>
      </c>
      <c r="G10" s="24">
        <f>SUM(C10)-F10</f>
        <v>-160</v>
      </c>
      <c r="H10" s="38"/>
      <c r="I10" s="23" t="s">
        <v>7</v>
      </c>
      <c r="J10" s="24">
        <f>SUM('1_bezr.'!C10)</f>
        <v>1602</v>
      </c>
      <c r="K10" s="24">
        <f>SUM(C10)</f>
        <v>1311</v>
      </c>
      <c r="L10" s="34">
        <f t="shared" si="2"/>
        <v>81.835205992509358</v>
      </c>
    </row>
    <row r="11" spans="1:12" x14ac:dyDescent="0.25">
      <c r="A11" s="13">
        <v>9</v>
      </c>
      <c r="B11" s="23" t="s">
        <v>8</v>
      </c>
      <c r="C11" s="24">
        <v>2839</v>
      </c>
      <c r="D11" s="25">
        <v>2860</v>
      </c>
      <c r="E11" s="24">
        <f t="shared" si="0"/>
        <v>-21</v>
      </c>
      <c r="F11" s="25">
        <v>2827</v>
      </c>
      <c r="G11" s="24">
        <f t="shared" si="1"/>
        <v>12</v>
      </c>
      <c r="H11" s="38"/>
      <c r="I11" s="23" t="s">
        <v>8</v>
      </c>
      <c r="J11" s="24">
        <f>SUM('1_bezr.'!C11)</f>
        <v>3722</v>
      </c>
      <c r="K11" s="24">
        <f t="shared" si="3"/>
        <v>2839</v>
      </c>
      <c r="L11" s="34">
        <f t="shared" si="2"/>
        <v>76.276195593766801</v>
      </c>
    </row>
    <row r="12" spans="1:12" x14ac:dyDescent="0.25">
      <c r="A12" s="13">
        <v>10</v>
      </c>
      <c r="B12" s="23" t="s">
        <v>9</v>
      </c>
      <c r="C12" s="24">
        <v>1261</v>
      </c>
      <c r="D12" s="25">
        <v>1351</v>
      </c>
      <c r="E12" s="24">
        <f t="shared" si="0"/>
        <v>-90</v>
      </c>
      <c r="F12" s="25">
        <v>1361</v>
      </c>
      <c r="G12" s="24">
        <f t="shared" si="1"/>
        <v>-100</v>
      </c>
      <c r="H12" s="38"/>
      <c r="I12" s="23" t="s">
        <v>9</v>
      </c>
      <c r="J12" s="24">
        <f>SUM('1_bezr.'!C12)</f>
        <v>1965</v>
      </c>
      <c r="K12" s="24">
        <f t="shared" si="3"/>
        <v>1261</v>
      </c>
      <c r="L12" s="34">
        <f t="shared" si="2"/>
        <v>64.17302798982189</v>
      </c>
    </row>
    <row r="13" spans="1:12" x14ac:dyDescent="0.25">
      <c r="A13" s="13">
        <v>11</v>
      </c>
      <c r="B13" s="23" t="s">
        <v>10</v>
      </c>
      <c r="C13" s="24">
        <v>2711</v>
      </c>
      <c r="D13" s="25">
        <v>2743</v>
      </c>
      <c r="E13" s="24">
        <f t="shared" si="0"/>
        <v>-32</v>
      </c>
      <c r="F13" s="25">
        <v>2757</v>
      </c>
      <c r="G13" s="24">
        <f t="shared" si="1"/>
        <v>-46</v>
      </c>
      <c r="H13" s="38"/>
      <c r="I13" s="23" t="s">
        <v>10</v>
      </c>
      <c r="J13" s="24">
        <f>SUM('1_bezr.'!C13)</f>
        <v>3419</v>
      </c>
      <c r="K13" s="24">
        <f t="shared" si="3"/>
        <v>2711</v>
      </c>
      <c r="L13" s="34">
        <f t="shared" si="2"/>
        <v>79.292190699034805</v>
      </c>
    </row>
    <row r="14" spans="1:12" x14ac:dyDescent="0.25">
      <c r="A14" s="13">
        <v>12</v>
      </c>
      <c r="B14" s="23" t="s">
        <v>11</v>
      </c>
      <c r="C14" s="24">
        <v>1564</v>
      </c>
      <c r="D14" s="25">
        <v>1568</v>
      </c>
      <c r="E14" s="24">
        <f t="shared" si="0"/>
        <v>-4</v>
      </c>
      <c r="F14" s="25">
        <v>1891</v>
      </c>
      <c r="G14" s="24">
        <f t="shared" si="1"/>
        <v>-327</v>
      </c>
      <c r="H14" s="38"/>
      <c r="I14" s="23" t="s">
        <v>11</v>
      </c>
      <c r="J14" s="24">
        <f>SUM('1_bezr.'!C14)</f>
        <v>3173</v>
      </c>
      <c r="K14" s="24">
        <f t="shared" si="3"/>
        <v>1564</v>
      </c>
      <c r="L14" s="34">
        <f t="shared" si="2"/>
        <v>49.290891900409704</v>
      </c>
    </row>
    <row r="15" spans="1:12" x14ac:dyDescent="0.25">
      <c r="A15" s="13">
        <v>13</v>
      </c>
      <c r="B15" s="23" t="s">
        <v>12</v>
      </c>
      <c r="C15" s="24">
        <v>2272</v>
      </c>
      <c r="D15" s="25">
        <v>2354</v>
      </c>
      <c r="E15" s="24">
        <f t="shared" si="0"/>
        <v>-82</v>
      </c>
      <c r="F15" s="25">
        <v>2499</v>
      </c>
      <c r="G15" s="24">
        <f t="shared" si="1"/>
        <v>-227</v>
      </c>
      <c r="H15" s="38"/>
      <c r="I15" s="23" t="s">
        <v>12</v>
      </c>
      <c r="J15" s="24">
        <f>SUM('1_bezr.'!C15)</f>
        <v>3484</v>
      </c>
      <c r="K15" s="24">
        <f t="shared" si="3"/>
        <v>2272</v>
      </c>
      <c r="L15" s="34">
        <f t="shared" si="2"/>
        <v>65.212399540757744</v>
      </c>
    </row>
    <row r="16" spans="1:12" x14ac:dyDescent="0.25">
      <c r="A16" s="13">
        <v>14</v>
      </c>
      <c r="B16" s="23" t="s">
        <v>13</v>
      </c>
      <c r="C16" s="24">
        <v>3504</v>
      </c>
      <c r="D16" s="25">
        <v>3621</v>
      </c>
      <c r="E16" s="24">
        <f t="shared" si="0"/>
        <v>-117</v>
      </c>
      <c r="F16" s="25">
        <v>3679</v>
      </c>
      <c r="G16" s="24">
        <f t="shared" si="1"/>
        <v>-175</v>
      </c>
      <c r="H16" s="38"/>
      <c r="I16" s="23" t="s">
        <v>13</v>
      </c>
      <c r="J16" s="24">
        <f>SUM('1_bezr.'!C16)</f>
        <v>3536</v>
      </c>
      <c r="K16" s="24">
        <f t="shared" si="3"/>
        <v>3504</v>
      </c>
      <c r="L16" s="34">
        <f t="shared" si="2"/>
        <v>99.095022624434392</v>
      </c>
    </row>
    <row r="17" spans="1:13" x14ac:dyDescent="0.25">
      <c r="A17" s="13">
        <v>15</v>
      </c>
      <c r="B17" s="23" t="s">
        <v>14</v>
      </c>
      <c r="C17" s="24">
        <v>2829</v>
      </c>
      <c r="D17" s="25">
        <v>2880</v>
      </c>
      <c r="E17" s="24">
        <f t="shared" si="0"/>
        <v>-51</v>
      </c>
      <c r="F17" s="25">
        <v>3041</v>
      </c>
      <c r="G17" s="24">
        <f t="shared" si="1"/>
        <v>-212</v>
      </c>
      <c r="H17" s="38"/>
      <c r="I17" s="23" t="s">
        <v>14</v>
      </c>
      <c r="J17" s="24">
        <f>SUM('1_bezr.'!C17)</f>
        <v>3789</v>
      </c>
      <c r="K17" s="24">
        <f t="shared" si="3"/>
        <v>2829</v>
      </c>
      <c r="L17" s="34">
        <f t="shared" si="2"/>
        <v>74.663499604117177</v>
      </c>
      <c r="M17" s="39"/>
    </row>
    <row r="18" spans="1:13" x14ac:dyDescent="0.25">
      <c r="A18" s="13">
        <v>16</v>
      </c>
      <c r="B18" s="23" t="s">
        <v>15</v>
      </c>
      <c r="C18" s="24">
        <v>2150</v>
      </c>
      <c r="D18" s="25">
        <v>2202</v>
      </c>
      <c r="E18" s="24">
        <f t="shared" si="0"/>
        <v>-52</v>
      </c>
      <c r="F18" s="25">
        <v>2272</v>
      </c>
      <c r="G18" s="24">
        <f t="shared" si="1"/>
        <v>-122</v>
      </c>
      <c r="H18" s="38"/>
      <c r="I18" s="23" t="s">
        <v>15</v>
      </c>
      <c r="J18" s="24">
        <f>SUM('1_bezr.'!C18)</f>
        <v>3413</v>
      </c>
      <c r="K18" s="24">
        <f t="shared" si="3"/>
        <v>2150</v>
      </c>
      <c r="L18" s="34">
        <f t="shared" si="2"/>
        <v>62.99443305010255</v>
      </c>
    </row>
    <row r="19" spans="1:13" x14ac:dyDescent="0.25">
      <c r="A19" s="13">
        <v>17</v>
      </c>
      <c r="B19" s="23" t="s">
        <v>16</v>
      </c>
      <c r="C19" s="24">
        <v>5057</v>
      </c>
      <c r="D19" s="25">
        <v>5210</v>
      </c>
      <c r="E19" s="24">
        <f t="shared" si="0"/>
        <v>-153</v>
      </c>
      <c r="F19" s="25">
        <v>5205</v>
      </c>
      <c r="G19" s="24">
        <f t="shared" si="1"/>
        <v>-148</v>
      </c>
      <c r="H19" s="38"/>
      <c r="I19" s="23" t="s">
        <v>16</v>
      </c>
      <c r="J19" s="24">
        <f>SUM('1_bezr.'!C19)</f>
        <v>6285</v>
      </c>
      <c r="K19" s="24">
        <f t="shared" si="3"/>
        <v>5057</v>
      </c>
      <c r="L19" s="34">
        <f t="shared" si="2"/>
        <v>80.461416070007957</v>
      </c>
    </row>
    <row r="20" spans="1:13" x14ac:dyDescent="0.25">
      <c r="A20" s="13">
        <v>18</v>
      </c>
      <c r="B20" s="23" t="s">
        <v>17</v>
      </c>
      <c r="C20" s="24">
        <v>1524</v>
      </c>
      <c r="D20" s="25">
        <v>1574</v>
      </c>
      <c r="E20" s="24">
        <f t="shared" si="0"/>
        <v>-50</v>
      </c>
      <c r="F20" s="25">
        <v>1792</v>
      </c>
      <c r="G20" s="24">
        <f t="shared" si="1"/>
        <v>-268</v>
      </c>
      <c r="H20" s="38"/>
      <c r="I20" s="23" t="s">
        <v>17</v>
      </c>
      <c r="J20" s="24">
        <f>SUM('1_bezr.'!C20)</f>
        <v>2679</v>
      </c>
      <c r="K20" s="24">
        <f t="shared" si="3"/>
        <v>1524</v>
      </c>
      <c r="L20" s="34">
        <f t="shared" si="2"/>
        <v>56.886898096304591</v>
      </c>
    </row>
    <row r="21" spans="1:13" x14ac:dyDescent="0.25">
      <c r="A21" s="13">
        <v>19</v>
      </c>
      <c r="B21" s="23" t="s">
        <v>18</v>
      </c>
      <c r="C21" s="24">
        <v>940</v>
      </c>
      <c r="D21" s="25">
        <v>983</v>
      </c>
      <c r="E21" s="24">
        <f t="shared" si="0"/>
        <v>-43</v>
      </c>
      <c r="F21" s="25">
        <v>1023</v>
      </c>
      <c r="G21" s="24">
        <f t="shared" si="1"/>
        <v>-83</v>
      </c>
      <c r="H21" s="38"/>
      <c r="I21" s="23" t="s">
        <v>18</v>
      </c>
      <c r="J21" s="24">
        <f>SUM('1_bezr.'!C21)</f>
        <v>2398</v>
      </c>
      <c r="K21" s="24">
        <f t="shared" si="3"/>
        <v>940</v>
      </c>
      <c r="L21" s="34">
        <f t="shared" si="2"/>
        <v>39.199332777314424</v>
      </c>
    </row>
    <row r="22" spans="1:13" x14ac:dyDescent="0.25">
      <c r="A22" s="13">
        <v>20</v>
      </c>
      <c r="B22" s="23" t="s">
        <v>19</v>
      </c>
      <c r="C22" s="24">
        <v>3172</v>
      </c>
      <c r="D22" s="25">
        <v>3200</v>
      </c>
      <c r="E22" s="24">
        <f t="shared" si="0"/>
        <v>-28</v>
      </c>
      <c r="F22" s="25">
        <v>3325</v>
      </c>
      <c r="G22" s="24">
        <f t="shared" si="1"/>
        <v>-153</v>
      </c>
      <c r="H22" s="38"/>
      <c r="I22" s="23" t="s">
        <v>19</v>
      </c>
      <c r="J22" s="24">
        <f>SUM('1_bezr.'!C22)</f>
        <v>3573</v>
      </c>
      <c r="K22" s="24">
        <f t="shared" si="3"/>
        <v>3172</v>
      </c>
      <c r="L22" s="34">
        <f t="shared" si="2"/>
        <v>88.776938147215219</v>
      </c>
    </row>
    <row r="23" spans="1:13" x14ac:dyDescent="0.25">
      <c r="A23" s="13">
        <v>21</v>
      </c>
      <c r="B23" s="23" t="s">
        <v>20</v>
      </c>
      <c r="C23" s="24">
        <v>1327</v>
      </c>
      <c r="D23" s="25">
        <v>1350</v>
      </c>
      <c r="E23" s="24">
        <f t="shared" si="0"/>
        <v>-23</v>
      </c>
      <c r="F23" s="25">
        <v>1486</v>
      </c>
      <c r="G23" s="24">
        <f t="shared" si="1"/>
        <v>-159</v>
      </c>
      <c r="H23" s="38"/>
      <c r="I23" s="23" t="s">
        <v>20</v>
      </c>
      <c r="J23" s="24">
        <f>SUM('1_bezr.'!C23)</f>
        <v>1643</v>
      </c>
      <c r="K23" s="24">
        <f>SUM(C23)</f>
        <v>1327</v>
      </c>
      <c r="L23" s="34">
        <f t="shared" si="2"/>
        <v>80.766889835666461</v>
      </c>
    </row>
    <row r="24" spans="1:13" x14ac:dyDescent="0.25">
      <c r="A24" s="13">
        <v>22</v>
      </c>
      <c r="B24" s="27" t="s">
        <v>25</v>
      </c>
      <c r="C24" s="28">
        <f>SUM(C3:C23)</f>
        <v>49815</v>
      </c>
      <c r="D24" s="40">
        <f>SUM(D3:D23)</f>
        <v>51300</v>
      </c>
      <c r="E24" s="28">
        <f>SUM(E3:E23)</f>
        <v>-1485</v>
      </c>
      <c r="F24" s="40">
        <f>SUM(F3:F23)</f>
        <v>53045</v>
      </c>
      <c r="G24" s="28">
        <f>SUM(G3:G23)</f>
        <v>-3230</v>
      </c>
      <c r="H24" s="38"/>
      <c r="I24" s="23" t="s">
        <v>21</v>
      </c>
      <c r="J24" s="24">
        <f>SUM('1_bezr.'!C24)</f>
        <v>846</v>
      </c>
      <c r="K24" s="41" t="s">
        <v>29</v>
      </c>
      <c r="L24" s="42" t="s">
        <v>29</v>
      </c>
    </row>
    <row r="25" spans="1:13" x14ac:dyDescent="0.25">
      <c r="I25" s="23" t="s">
        <v>22</v>
      </c>
      <c r="J25" s="24">
        <f>SUM('1_bezr.'!C25)</f>
        <v>2986</v>
      </c>
      <c r="K25" s="41" t="s">
        <v>29</v>
      </c>
      <c r="L25" s="42" t="s">
        <v>29</v>
      </c>
    </row>
    <row r="26" spans="1:13" x14ac:dyDescent="0.25">
      <c r="I26" s="23" t="s">
        <v>23</v>
      </c>
      <c r="J26" s="24">
        <f>SUM('1_bezr.'!C26)</f>
        <v>7175</v>
      </c>
      <c r="K26" s="41" t="s">
        <v>29</v>
      </c>
      <c r="L26" s="42" t="s">
        <v>29</v>
      </c>
    </row>
    <row r="27" spans="1:13" x14ac:dyDescent="0.25">
      <c r="I27" s="23" t="s">
        <v>24</v>
      </c>
      <c r="J27" s="24">
        <f>SUM('1_bezr.'!C27)</f>
        <v>1480</v>
      </c>
      <c r="K27" s="41" t="s">
        <v>29</v>
      </c>
      <c r="L27" s="42" t="s">
        <v>29</v>
      </c>
    </row>
    <row r="28" spans="1:13" x14ac:dyDescent="0.25">
      <c r="H28" s="38"/>
      <c r="I28" s="27" t="s">
        <v>25</v>
      </c>
      <c r="J28" s="28">
        <f>SUM(J3:J27)</f>
        <v>80944</v>
      </c>
      <c r="K28" s="28">
        <f>SUM(K3:K23)</f>
        <v>49815</v>
      </c>
      <c r="L28" s="43">
        <f>SUM(K28)/J28*100</f>
        <v>61.542547934374383</v>
      </c>
    </row>
  </sheetData>
  <printOptions horizontalCentered="1" verticalCentered="1"/>
  <pageMargins left="0" right="0" top="0" bottom="0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1_bezr.</vt:lpstr>
      <vt:lpstr>1_sort</vt:lpstr>
      <vt:lpstr>2_kob.</vt:lpstr>
      <vt:lpstr>2_sort</vt:lpstr>
      <vt:lpstr>3_s.bezr.Polska</vt:lpstr>
      <vt:lpstr>3_sort</vt:lpstr>
      <vt:lpstr>4_s.bezr.pow.</vt:lpstr>
      <vt:lpstr>4_sort</vt:lpstr>
      <vt:lpstr>5_bezr. na wsi</vt:lpstr>
      <vt:lpstr>5_sort</vt:lpstr>
      <vt:lpstr>6_długot.</vt:lpstr>
      <vt:lpstr>6_sort</vt:lpstr>
      <vt:lpstr>7_do 30 r.ż.</vt:lpstr>
      <vt:lpstr>7_sort</vt:lpstr>
      <vt:lpstr>8_pow. 50 r.ż.</vt:lpstr>
      <vt:lpstr>8_sort</vt:lpstr>
      <vt:lpstr>9_oferty p.</vt:lpstr>
      <vt:lpstr>9_sort</vt:lpstr>
      <vt:lpstr>10_oferty s.</vt:lpstr>
      <vt:lpstr>10_sort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WUP</cp:lastModifiedBy>
  <cp:lastPrinted>2021-03-24T12:25:44Z</cp:lastPrinted>
  <dcterms:created xsi:type="dcterms:W3CDTF">2016-08-02T05:46:03Z</dcterms:created>
  <dcterms:modified xsi:type="dcterms:W3CDTF">2021-07-27T09:03:53Z</dcterms:modified>
</cp:coreProperties>
</file>