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.Woloszynska\Desktop\"/>
    </mc:Choice>
  </mc:AlternateContent>
  <xr:revisionPtr revIDLastSave="0" documentId="13_ncr:1_{94592D1A-C100-43AF-A6CA-B81BEFF6F898}" xr6:coauthVersionLast="36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2018" sheetId="1" r:id="rId1"/>
    <sheet name="2019" sheetId="2" r:id="rId2"/>
    <sheet name="2020" sheetId="3" r:id="rId3"/>
    <sheet name="2021" sheetId="7" r:id="rId4"/>
    <sheet name="2022 Iza" sheetId="9" state="hidden" r:id="rId5"/>
    <sheet name="2022 Natalia" sheetId="10" state="hidden" r:id="rId6"/>
    <sheet name="2022" sheetId="11" r:id="rId7"/>
    <sheet name="2018-2020" sheetId="4" state="hidden" r:id="rId8"/>
    <sheet name="2018-2022" sheetId="8" r:id="rId9"/>
  </sheets>
  <externalReferences>
    <externalReference r:id="rId10"/>
  </externalReferences>
  <definedNames>
    <definedName name="_xlnm._FilterDatabase" localSheetId="0" hidden="1">'2018'!$A$5:$BK$247</definedName>
    <definedName name="_xlnm._FilterDatabase" localSheetId="7" hidden="1">'2018-2020'!$A$5:$EF$247</definedName>
    <definedName name="_xlnm._FilterDatabase" localSheetId="8" hidden="1">'2018-2022'!$A$5:$EF$248</definedName>
    <definedName name="_xlnm._FilterDatabase" localSheetId="1" hidden="1">'2019'!$A$5:$BA$248</definedName>
    <definedName name="_xlnm._FilterDatabase" localSheetId="2" hidden="1">'2020'!$A$5:$CT$248</definedName>
    <definedName name="_xlnm._FilterDatabase" localSheetId="3" hidden="1">'2021'!$A$5:$EK$249</definedName>
    <definedName name="_xlnm._FilterDatabase" localSheetId="6" hidden="1">'2022'!$A$5:$FG$247</definedName>
    <definedName name="_xlnm._FilterDatabase" localSheetId="4" hidden="1">'2022 Iza'!$A$4:$BX$247</definedName>
    <definedName name="_xlnm._FilterDatabase" localSheetId="5" hidden="1">'2022 Natalia'!$A$4:$GL$247</definedName>
  </definedNames>
  <calcPr calcId="181029"/>
</workbook>
</file>

<file path=xl/calcChain.xml><?xml version="1.0" encoding="utf-8"?>
<calcChain xmlns="http://schemas.openxmlformats.org/spreadsheetml/2006/main">
  <c r="AY11" i="8" l="1"/>
  <c r="AY12" i="8"/>
  <c r="AY13" i="8"/>
  <c r="AY14" i="8"/>
  <c r="AY15" i="8"/>
  <c r="AY16" i="8"/>
  <c r="AY17" i="8"/>
  <c r="AY18" i="8"/>
  <c r="AY19" i="8"/>
  <c r="AY20" i="8"/>
  <c r="AY21" i="8"/>
  <c r="AY9" i="8"/>
  <c r="AY10" i="8"/>
  <c r="AA231" i="11" l="1"/>
  <c r="AB231" i="11"/>
  <c r="AC231" i="11"/>
  <c r="AD231" i="11"/>
  <c r="AE231" i="11"/>
  <c r="AF231" i="11"/>
  <c r="AG231" i="11"/>
  <c r="AH231" i="11"/>
  <c r="AI231" i="11"/>
  <c r="AJ231" i="11"/>
  <c r="AK231" i="11"/>
  <c r="AL231" i="11"/>
  <c r="AM231" i="11"/>
  <c r="AN231" i="11"/>
  <c r="AO231" i="11"/>
  <c r="AP231" i="11"/>
  <c r="AQ231" i="11"/>
  <c r="AR231" i="11"/>
  <c r="AS231" i="11"/>
  <c r="AT231" i="11"/>
  <c r="AU231" i="11"/>
  <c r="AV231" i="11"/>
  <c r="AW231" i="11"/>
  <c r="Z231" i="11"/>
  <c r="AA223" i="11"/>
  <c r="AB223" i="11"/>
  <c r="AC223" i="11"/>
  <c r="AD223" i="11"/>
  <c r="AE223" i="11"/>
  <c r="AF223" i="11"/>
  <c r="AG223" i="11"/>
  <c r="AH223" i="11"/>
  <c r="AI223" i="11"/>
  <c r="AJ223" i="11"/>
  <c r="AK223" i="11"/>
  <c r="AL223" i="11"/>
  <c r="AM223" i="11"/>
  <c r="AN223" i="11"/>
  <c r="AO223" i="11"/>
  <c r="AP223" i="11"/>
  <c r="AQ223" i="11"/>
  <c r="AR223" i="11"/>
  <c r="AS223" i="11"/>
  <c r="AT223" i="11"/>
  <c r="AU223" i="11"/>
  <c r="AV223" i="11"/>
  <c r="AW223" i="11"/>
  <c r="Z223" i="11"/>
  <c r="AA195" i="11"/>
  <c r="AB195" i="11"/>
  <c r="AC195" i="11"/>
  <c r="AD195" i="11"/>
  <c r="AE195" i="11"/>
  <c r="AF195" i="11"/>
  <c r="AG195" i="11"/>
  <c r="AH195" i="11"/>
  <c r="AI195" i="11"/>
  <c r="AJ195" i="11"/>
  <c r="AK195" i="11"/>
  <c r="AL195" i="11"/>
  <c r="AM195" i="11"/>
  <c r="AN195" i="11"/>
  <c r="AO195" i="11"/>
  <c r="AP195" i="11"/>
  <c r="AQ195" i="11"/>
  <c r="AR195" i="11"/>
  <c r="AS195" i="11"/>
  <c r="AT195" i="11"/>
  <c r="AU195" i="11"/>
  <c r="AV195" i="11"/>
  <c r="AW195" i="11"/>
  <c r="Z195" i="11"/>
  <c r="AA181" i="11"/>
  <c r="AB181" i="11"/>
  <c r="AC181" i="11"/>
  <c r="AD181" i="11"/>
  <c r="AE181" i="11"/>
  <c r="AF181" i="11"/>
  <c r="AG181" i="11"/>
  <c r="AH181" i="11"/>
  <c r="AI181" i="11"/>
  <c r="AJ181" i="11"/>
  <c r="AK181" i="11"/>
  <c r="AL181" i="11"/>
  <c r="AM181" i="11"/>
  <c r="AN181" i="11"/>
  <c r="AO181" i="11"/>
  <c r="AP181" i="11"/>
  <c r="AQ181" i="11"/>
  <c r="AR181" i="11"/>
  <c r="AS181" i="11"/>
  <c r="AT181" i="11"/>
  <c r="AU181" i="11"/>
  <c r="AV181" i="11"/>
  <c r="AW181" i="11"/>
  <c r="Z181" i="11"/>
  <c r="AA178" i="11"/>
  <c r="AB178" i="11"/>
  <c r="AC178" i="11"/>
  <c r="AD178" i="11"/>
  <c r="AE178" i="11"/>
  <c r="AF178" i="11"/>
  <c r="AG178" i="11"/>
  <c r="AH178" i="11"/>
  <c r="AI178" i="11"/>
  <c r="AJ178" i="11"/>
  <c r="AK178" i="11"/>
  <c r="AL178" i="11"/>
  <c r="AM178" i="11"/>
  <c r="AN178" i="11"/>
  <c r="AO178" i="11"/>
  <c r="AP178" i="11"/>
  <c r="AQ178" i="11"/>
  <c r="AR178" i="11"/>
  <c r="AS178" i="11"/>
  <c r="AT178" i="11"/>
  <c r="AU178" i="11"/>
  <c r="AV178" i="11"/>
  <c r="AW178" i="11"/>
  <c r="Z178" i="11"/>
  <c r="AA94" i="11"/>
  <c r="AB94" i="11"/>
  <c r="AC94" i="11"/>
  <c r="AD94" i="11"/>
  <c r="AE94" i="11"/>
  <c r="AF94" i="11"/>
  <c r="AG94" i="11"/>
  <c r="AH94" i="11"/>
  <c r="AI94" i="11"/>
  <c r="AJ94" i="11"/>
  <c r="AK94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Z94" i="11"/>
  <c r="AA73" i="11"/>
  <c r="AB73" i="11"/>
  <c r="AC73" i="11"/>
  <c r="AD73" i="11"/>
  <c r="AE73" i="11"/>
  <c r="AF73" i="11"/>
  <c r="AG73" i="11"/>
  <c r="AH73" i="11"/>
  <c r="AI73" i="11"/>
  <c r="AJ73" i="11"/>
  <c r="AK73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Z7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Z63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Z44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Z26" i="11"/>
  <c r="AA6" i="11"/>
  <c r="AA247" i="11" s="1"/>
  <c r="AB6" i="11"/>
  <c r="AB247" i="11" s="1"/>
  <c r="AC6" i="11"/>
  <c r="AC247" i="11" s="1"/>
  <c r="AD6" i="11"/>
  <c r="AD247" i="11" s="1"/>
  <c r="AE6" i="11"/>
  <c r="AE247" i="11" s="1"/>
  <c r="AF6" i="11"/>
  <c r="AF247" i="11" s="1"/>
  <c r="AG6" i="11"/>
  <c r="AG247" i="11" s="1"/>
  <c r="AH6" i="11"/>
  <c r="AH247" i="11" s="1"/>
  <c r="AI6" i="11"/>
  <c r="AI247" i="11" s="1"/>
  <c r="AJ6" i="11"/>
  <c r="AJ247" i="11" s="1"/>
  <c r="AK6" i="11"/>
  <c r="AK247" i="11" s="1"/>
  <c r="AL6" i="11"/>
  <c r="AL247" i="11" s="1"/>
  <c r="AM6" i="11"/>
  <c r="AM247" i="11" s="1"/>
  <c r="AN6" i="11"/>
  <c r="AN247" i="11" s="1"/>
  <c r="AO6" i="11"/>
  <c r="AO247" i="11" s="1"/>
  <c r="AP6" i="11"/>
  <c r="AP247" i="11" s="1"/>
  <c r="AQ6" i="11"/>
  <c r="AQ247" i="11" s="1"/>
  <c r="AR6" i="11"/>
  <c r="AR247" i="11" s="1"/>
  <c r="AS6" i="11"/>
  <c r="AS247" i="11" s="1"/>
  <c r="AT6" i="11"/>
  <c r="AT247" i="11" s="1"/>
  <c r="AU6" i="11"/>
  <c r="AU247" i="11" s="1"/>
  <c r="AV6" i="11"/>
  <c r="AV247" i="11" s="1"/>
  <c r="AW6" i="11"/>
  <c r="AW247" i="11" s="1"/>
  <c r="Z6" i="11"/>
  <c r="Z247" i="11" s="1"/>
  <c r="C231" i="11"/>
  <c r="D231" i="11"/>
  <c r="E231" i="11"/>
  <c r="F231" i="11"/>
  <c r="G231" i="11"/>
  <c r="H231" i="11"/>
  <c r="I231" i="11"/>
  <c r="J231" i="11"/>
  <c r="K231" i="11"/>
  <c r="L231" i="11"/>
  <c r="M231" i="11"/>
  <c r="N231" i="11"/>
  <c r="O231" i="11"/>
  <c r="P231" i="11"/>
  <c r="Q231" i="11"/>
  <c r="R231" i="11"/>
  <c r="S231" i="11"/>
  <c r="T231" i="11"/>
  <c r="U231" i="11"/>
  <c r="V231" i="11"/>
  <c r="W231" i="11"/>
  <c r="X231" i="11"/>
  <c r="Y231" i="11"/>
  <c r="B231" i="11"/>
  <c r="C223" i="11"/>
  <c r="D223" i="11"/>
  <c r="E223" i="11"/>
  <c r="F223" i="11"/>
  <c r="G223" i="11"/>
  <c r="H223" i="11"/>
  <c r="I223" i="11"/>
  <c r="J223" i="11"/>
  <c r="K223" i="11"/>
  <c r="L223" i="11"/>
  <c r="M223" i="11"/>
  <c r="N223" i="11"/>
  <c r="O223" i="11"/>
  <c r="P223" i="11"/>
  <c r="Q223" i="11"/>
  <c r="R223" i="11"/>
  <c r="S223" i="11"/>
  <c r="T223" i="11"/>
  <c r="U223" i="11"/>
  <c r="V223" i="11"/>
  <c r="W223" i="11"/>
  <c r="X223" i="11"/>
  <c r="Y223" i="11"/>
  <c r="B223" i="11"/>
  <c r="C195" i="11"/>
  <c r="D195" i="11"/>
  <c r="E195" i="11"/>
  <c r="F195" i="11"/>
  <c r="G195" i="11"/>
  <c r="H195" i="11"/>
  <c r="I195" i="11"/>
  <c r="J195" i="11"/>
  <c r="K195" i="11"/>
  <c r="L195" i="11"/>
  <c r="M195" i="11"/>
  <c r="N195" i="11"/>
  <c r="O195" i="11"/>
  <c r="P195" i="11"/>
  <c r="Q195" i="11"/>
  <c r="R195" i="11"/>
  <c r="S195" i="11"/>
  <c r="T195" i="11"/>
  <c r="U195" i="11"/>
  <c r="V195" i="11"/>
  <c r="W195" i="11"/>
  <c r="X195" i="11"/>
  <c r="Y195" i="11"/>
  <c r="B195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P181" i="11"/>
  <c r="Q181" i="11"/>
  <c r="R181" i="11"/>
  <c r="S181" i="11"/>
  <c r="T181" i="11"/>
  <c r="U181" i="11"/>
  <c r="V181" i="11"/>
  <c r="W181" i="11"/>
  <c r="X181" i="11"/>
  <c r="Y181" i="11"/>
  <c r="B181" i="11"/>
  <c r="C178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P178" i="11"/>
  <c r="Q178" i="11"/>
  <c r="R178" i="11"/>
  <c r="S178" i="11"/>
  <c r="T178" i="11"/>
  <c r="U178" i="11"/>
  <c r="V178" i="11"/>
  <c r="W178" i="11"/>
  <c r="X178" i="11"/>
  <c r="Y178" i="11"/>
  <c r="B178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B7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B63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B44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B26" i="11"/>
  <c r="C6" i="11"/>
  <c r="C247" i="11" s="1"/>
  <c r="D6" i="11"/>
  <c r="E6" i="11"/>
  <c r="F6" i="11"/>
  <c r="F247" i="11" s="1"/>
  <c r="G6" i="11"/>
  <c r="G247" i="11" s="1"/>
  <c r="H6" i="11"/>
  <c r="H247" i="11" s="1"/>
  <c r="I6" i="11"/>
  <c r="I247" i="11" s="1"/>
  <c r="J6" i="11"/>
  <c r="K6" i="11"/>
  <c r="L6" i="11"/>
  <c r="L247" i="11" s="1"/>
  <c r="M6" i="11"/>
  <c r="M247" i="11" s="1"/>
  <c r="N6" i="11"/>
  <c r="N247" i="11" s="1"/>
  <c r="O6" i="11"/>
  <c r="O247" i="11" s="1"/>
  <c r="P6" i="11"/>
  <c r="Q6" i="11"/>
  <c r="R6" i="11"/>
  <c r="R247" i="11" s="1"/>
  <c r="S6" i="11"/>
  <c r="S247" i="11" s="1"/>
  <c r="T6" i="11"/>
  <c r="T247" i="11" s="1"/>
  <c r="U6" i="11"/>
  <c r="U247" i="11" s="1"/>
  <c r="V6" i="11"/>
  <c r="W6" i="11"/>
  <c r="X6" i="11"/>
  <c r="X247" i="11" s="1"/>
  <c r="Y6" i="11"/>
  <c r="Y247" i="11" s="1"/>
  <c r="B6" i="11"/>
  <c r="B247" i="11" s="1"/>
  <c r="B94" i="11"/>
  <c r="AY8" i="8"/>
  <c r="AX8" i="8" s="1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Y23" i="8"/>
  <c r="AX23" i="8" s="1"/>
  <c r="AY24" i="8"/>
  <c r="AX24" i="8" s="1"/>
  <c r="AY25" i="8"/>
  <c r="AX25" i="8" s="1"/>
  <c r="AY27" i="8"/>
  <c r="AX27" i="8" s="1"/>
  <c r="AY28" i="8"/>
  <c r="AX28" i="8" s="1"/>
  <c r="AY29" i="8"/>
  <c r="AX29" i="8" s="1"/>
  <c r="AY30" i="8"/>
  <c r="AX30" i="8" s="1"/>
  <c r="AY31" i="8"/>
  <c r="AX31" i="8" s="1"/>
  <c r="AY32" i="8"/>
  <c r="AX32" i="8" s="1"/>
  <c r="AY33" i="8"/>
  <c r="AX33" i="8" s="1"/>
  <c r="AY34" i="8"/>
  <c r="AX34" i="8" s="1"/>
  <c r="AY35" i="8"/>
  <c r="AX35" i="8" s="1"/>
  <c r="AY36" i="8"/>
  <c r="AX36" i="8" s="1"/>
  <c r="AY37" i="8"/>
  <c r="AX37" i="8" s="1"/>
  <c r="AY38" i="8"/>
  <c r="AX38" i="8" s="1"/>
  <c r="AY39" i="8"/>
  <c r="AX39" i="8" s="1"/>
  <c r="AY40" i="8"/>
  <c r="AX40" i="8" s="1"/>
  <c r="AY41" i="8"/>
  <c r="AX41" i="8" s="1"/>
  <c r="AY42" i="8"/>
  <c r="AX42" i="8" s="1"/>
  <c r="AY43" i="8"/>
  <c r="AX43" i="8" s="1"/>
  <c r="AY45" i="8"/>
  <c r="AX45" i="8" s="1"/>
  <c r="AY46" i="8"/>
  <c r="AX46" i="8" s="1"/>
  <c r="AY47" i="8"/>
  <c r="AX47" i="8" s="1"/>
  <c r="AY48" i="8"/>
  <c r="AX48" i="8" s="1"/>
  <c r="AY49" i="8"/>
  <c r="AX49" i="8" s="1"/>
  <c r="AY50" i="8"/>
  <c r="AX50" i="8" s="1"/>
  <c r="AY51" i="8"/>
  <c r="AX51" i="8" s="1"/>
  <c r="AY52" i="8"/>
  <c r="AX52" i="8" s="1"/>
  <c r="AY53" i="8"/>
  <c r="AX53" i="8" s="1"/>
  <c r="AY54" i="8"/>
  <c r="AX54" i="8" s="1"/>
  <c r="AY55" i="8"/>
  <c r="AX55" i="8" s="1"/>
  <c r="AY56" i="8"/>
  <c r="AX56" i="8" s="1"/>
  <c r="AY57" i="8"/>
  <c r="AX57" i="8" s="1"/>
  <c r="AY58" i="8"/>
  <c r="AX58" i="8" s="1"/>
  <c r="AY59" i="8"/>
  <c r="AX59" i="8" s="1"/>
  <c r="AY60" i="8"/>
  <c r="AX60" i="8" s="1"/>
  <c r="AY61" i="8"/>
  <c r="AX61" i="8" s="1"/>
  <c r="AY62" i="8"/>
  <c r="AX62" i="8" s="1"/>
  <c r="AY64" i="8"/>
  <c r="AX64" i="8" s="1"/>
  <c r="AY65" i="8"/>
  <c r="AX65" i="8" s="1"/>
  <c r="AY66" i="8"/>
  <c r="AX66" i="8" s="1"/>
  <c r="AY67" i="8"/>
  <c r="AX67" i="8" s="1"/>
  <c r="AY68" i="8"/>
  <c r="AX68" i="8" s="1"/>
  <c r="AY69" i="8"/>
  <c r="AX69" i="8" s="1"/>
  <c r="AY70" i="8"/>
  <c r="AX70" i="8" s="1"/>
  <c r="AY71" i="8"/>
  <c r="AX71" i="8" s="1"/>
  <c r="AY72" i="8"/>
  <c r="AX72" i="8" s="1"/>
  <c r="AY74" i="8"/>
  <c r="AX74" i="8" s="1"/>
  <c r="AY75" i="8"/>
  <c r="AX75" i="8" s="1"/>
  <c r="AY76" i="8"/>
  <c r="AX76" i="8" s="1"/>
  <c r="AY77" i="8"/>
  <c r="AX77" i="8" s="1"/>
  <c r="AY78" i="8"/>
  <c r="AX78" i="8" s="1"/>
  <c r="AY79" i="8"/>
  <c r="AX79" i="8" s="1"/>
  <c r="AY80" i="8"/>
  <c r="AX80" i="8" s="1"/>
  <c r="AY81" i="8"/>
  <c r="AX81" i="8" s="1"/>
  <c r="AY82" i="8"/>
  <c r="AX82" i="8" s="1"/>
  <c r="AY83" i="8"/>
  <c r="AX83" i="8" s="1"/>
  <c r="AY84" i="8"/>
  <c r="AX84" i="8" s="1"/>
  <c r="AY85" i="8"/>
  <c r="AX85" i="8" s="1"/>
  <c r="AY86" i="8"/>
  <c r="AX86" i="8" s="1"/>
  <c r="AY87" i="8"/>
  <c r="AX87" i="8" s="1"/>
  <c r="AY88" i="8"/>
  <c r="AX88" i="8" s="1"/>
  <c r="AY89" i="8"/>
  <c r="AX89" i="8" s="1"/>
  <c r="AY90" i="8"/>
  <c r="AX90" i="8" s="1"/>
  <c r="AY91" i="8"/>
  <c r="AX91" i="8" s="1"/>
  <c r="AY92" i="8"/>
  <c r="AX92" i="8" s="1"/>
  <c r="AY93" i="8"/>
  <c r="AX93" i="8" s="1"/>
  <c r="AY95" i="8"/>
  <c r="AX95" i="8" s="1"/>
  <c r="AY96" i="8"/>
  <c r="AX96" i="8" s="1"/>
  <c r="AY97" i="8"/>
  <c r="AX97" i="8" s="1"/>
  <c r="AY99" i="8"/>
  <c r="AX99" i="8" s="1"/>
  <c r="AY100" i="8"/>
  <c r="AX100" i="8" s="1"/>
  <c r="AY101" i="8"/>
  <c r="AX101" i="8" s="1"/>
  <c r="AY102" i="8"/>
  <c r="AX102" i="8" s="1"/>
  <c r="AY103" i="8"/>
  <c r="AX103" i="8" s="1"/>
  <c r="AY104" i="8"/>
  <c r="AX104" i="8" s="1"/>
  <c r="AY105" i="8"/>
  <c r="AX105" i="8" s="1"/>
  <c r="AY106" i="8"/>
  <c r="AX106" i="8" s="1"/>
  <c r="AY107" i="8"/>
  <c r="AX107" i="8" s="1"/>
  <c r="AY108" i="8"/>
  <c r="AX108" i="8" s="1"/>
  <c r="AY109" i="8"/>
  <c r="AX109" i="8" s="1"/>
  <c r="AY110" i="8"/>
  <c r="AX110" i="8" s="1"/>
  <c r="AY111" i="8"/>
  <c r="AX111" i="8" s="1"/>
  <c r="AY112" i="8"/>
  <c r="AX112" i="8" s="1"/>
  <c r="AY113" i="8"/>
  <c r="AX113" i="8" s="1"/>
  <c r="AY114" i="8"/>
  <c r="AX114" i="8" s="1"/>
  <c r="AY115" i="8"/>
  <c r="AX115" i="8" s="1"/>
  <c r="AY116" i="8"/>
  <c r="AX116" i="8" s="1"/>
  <c r="AY117" i="8"/>
  <c r="AX117" i="8" s="1"/>
  <c r="AY118" i="8"/>
  <c r="AX118" i="8" s="1"/>
  <c r="AY119" i="8"/>
  <c r="AX119" i="8" s="1"/>
  <c r="AY120" i="8"/>
  <c r="AX120" i="8" s="1"/>
  <c r="AY121" i="8"/>
  <c r="AX121" i="8" s="1"/>
  <c r="AY122" i="8"/>
  <c r="AX122" i="8" s="1"/>
  <c r="AY123" i="8"/>
  <c r="AX123" i="8" s="1"/>
  <c r="AY124" i="8"/>
  <c r="AX124" i="8" s="1"/>
  <c r="AY125" i="8"/>
  <c r="AX125" i="8" s="1"/>
  <c r="AY127" i="8"/>
  <c r="AX127" i="8" s="1"/>
  <c r="AY128" i="8"/>
  <c r="AX128" i="8" s="1"/>
  <c r="AY129" i="8"/>
  <c r="AX129" i="8" s="1"/>
  <c r="AY130" i="8"/>
  <c r="AX130" i="8" s="1"/>
  <c r="AY131" i="8"/>
  <c r="AX131" i="8" s="1"/>
  <c r="AY132" i="8"/>
  <c r="AX132" i="8" s="1"/>
  <c r="AY133" i="8"/>
  <c r="AX133" i="8" s="1"/>
  <c r="AY134" i="8"/>
  <c r="AX134" i="8" s="1"/>
  <c r="AY135" i="8"/>
  <c r="AX135" i="8" s="1"/>
  <c r="AY136" i="8"/>
  <c r="AX136" i="8" s="1"/>
  <c r="AY137" i="8"/>
  <c r="AX137" i="8" s="1"/>
  <c r="AY138" i="8"/>
  <c r="AX138" i="8" s="1"/>
  <c r="AY139" i="8"/>
  <c r="AX139" i="8" s="1"/>
  <c r="AY140" i="8"/>
  <c r="AX140" i="8" s="1"/>
  <c r="AY141" i="8"/>
  <c r="AX141" i="8" s="1"/>
  <c r="AY142" i="8"/>
  <c r="AX142" i="8" s="1"/>
  <c r="AY143" i="8"/>
  <c r="AX143" i="8" s="1"/>
  <c r="AY146" i="8"/>
  <c r="AX146" i="8" s="1"/>
  <c r="AY147" i="8"/>
  <c r="AX147" i="8" s="1"/>
  <c r="AY148" i="8"/>
  <c r="AX148" i="8" s="1"/>
  <c r="AY149" i="8"/>
  <c r="AX149" i="8" s="1"/>
  <c r="AY150" i="8"/>
  <c r="AX150" i="8" s="1"/>
  <c r="AY151" i="8"/>
  <c r="AX151" i="8" s="1"/>
  <c r="AY152" i="8"/>
  <c r="AX152" i="8" s="1"/>
  <c r="AY153" i="8"/>
  <c r="AX153" i="8" s="1"/>
  <c r="AY155" i="8"/>
  <c r="AX155" i="8" s="1"/>
  <c r="AY156" i="8"/>
  <c r="AX156" i="8" s="1"/>
  <c r="AY157" i="8"/>
  <c r="AX157" i="8" s="1"/>
  <c r="AY158" i="8"/>
  <c r="AX158" i="8" s="1"/>
  <c r="AY159" i="8"/>
  <c r="AX159" i="8" s="1"/>
  <c r="AY160" i="8"/>
  <c r="AX160" i="8" s="1"/>
  <c r="AY161" i="8"/>
  <c r="AX161" i="8" s="1"/>
  <c r="AY162" i="8"/>
  <c r="AX162" i="8" s="1"/>
  <c r="AY163" i="8"/>
  <c r="AX163" i="8" s="1"/>
  <c r="AY164" i="8"/>
  <c r="AX164" i="8" s="1"/>
  <c r="AY165" i="8"/>
  <c r="AX165" i="8" s="1"/>
  <c r="AY166" i="8"/>
  <c r="AX166" i="8" s="1"/>
  <c r="AY167" i="8"/>
  <c r="AX167" i="8" s="1"/>
  <c r="AY168" i="8"/>
  <c r="AX168" i="8" s="1"/>
  <c r="AY169" i="8"/>
  <c r="AX169" i="8" s="1"/>
  <c r="AY170" i="8"/>
  <c r="AX170" i="8" s="1"/>
  <c r="AY171" i="8"/>
  <c r="AX171" i="8" s="1"/>
  <c r="AY172" i="8"/>
  <c r="AX172" i="8" s="1"/>
  <c r="AY173" i="8"/>
  <c r="AX173" i="8" s="1"/>
  <c r="AY174" i="8"/>
  <c r="AX174" i="8" s="1"/>
  <c r="AY175" i="8"/>
  <c r="AX175" i="8" s="1"/>
  <c r="AY176" i="8"/>
  <c r="AX176" i="8" s="1"/>
  <c r="AY177" i="8"/>
  <c r="AX177" i="8" s="1"/>
  <c r="AY179" i="8"/>
  <c r="AX179" i="8" s="1"/>
  <c r="AY180" i="8"/>
  <c r="AX180" i="8" s="1"/>
  <c r="AY182" i="8"/>
  <c r="AX182" i="8" s="1"/>
  <c r="AY183" i="8"/>
  <c r="AX183" i="8" s="1"/>
  <c r="AY184" i="8"/>
  <c r="AX184" i="8" s="1"/>
  <c r="AY185" i="8"/>
  <c r="AX185" i="8" s="1"/>
  <c r="AY186" i="8"/>
  <c r="AX186" i="8" s="1"/>
  <c r="AY187" i="8"/>
  <c r="AX187" i="8" s="1"/>
  <c r="AY188" i="8"/>
  <c r="AX188" i="8" s="1"/>
  <c r="AY189" i="8"/>
  <c r="AX189" i="8" s="1"/>
  <c r="AY190" i="8"/>
  <c r="AX190" i="8" s="1"/>
  <c r="AY191" i="8"/>
  <c r="AX191" i="8" s="1"/>
  <c r="AY192" i="8"/>
  <c r="AX192" i="8" s="1"/>
  <c r="AY193" i="8"/>
  <c r="AX193" i="8" s="1"/>
  <c r="AY194" i="8"/>
  <c r="AX194" i="8" s="1"/>
  <c r="AY196" i="8"/>
  <c r="AX196" i="8" s="1"/>
  <c r="AY197" i="8"/>
  <c r="AX197" i="8" s="1"/>
  <c r="AY198" i="8"/>
  <c r="AX198" i="8" s="1"/>
  <c r="AY199" i="8"/>
  <c r="AX199" i="8" s="1"/>
  <c r="AY200" i="8"/>
  <c r="AX200" i="8" s="1"/>
  <c r="AY201" i="8"/>
  <c r="AX201" i="8" s="1"/>
  <c r="AY202" i="8"/>
  <c r="AX202" i="8" s="1"/>
  <c r="AY203" i="8"/>
  <c r="AX203" i="8" s="1"/>
  <c r="AY204" i="8"/>
  <c r="AX204" i="8" s="1"/>
  <c r="AY205" i="8"/>
  <c r="AX205" i="8" s="1"/>
  <c r="AY206" i="8"/>
  <c r="AX206" i="8" s="1"/>
  <c r="AY207" i="8"/>
  <c r="AX207" i="8" s="1"/>
  <c r="AY208" i="8"/>
  <c r="AX208" i="8" s="1"/>
  <c r="AY209" i="8"/>
  <c r="AX209" i="8" s="1"/>
  <c r="AY210" i="8"/>
  <c r="AX210" i="8" s="1"/>
  <c r="AY211" i="8"/>
  <c r="AX211" i="8" s="1"/>
  <c r="AY214" i="8"/>
  <c r="AX214" i="8" s="1"/>
  <c r="AY215" i="8"/>
  <c r="AX215" i="8" s="1"/>
  <c r="AY216" i="8"/>
  <c r="AX216" i="8" s="1"/>
  <c r="AY217" i="8"/>
  <c r="AX217" i="8" s="1"/>
  <c r="AY218" i="8"/>
  <c r="AX218" i="8" s="1"/>
  <c r="AY219" i="8"/>
  <c r="AX219" i="8" s="1"/>
  <c r="AY220" i="8"/>
  <c r="AX220" i="8" s="1"/>
  <c r="AY221" i="8"/>
  <c r="AX221" i="8" s="1"/>
  <c r="AY222" i="8"/>
  <c r="AX222" i="8" s="1"/>
  <c r="AY224" i="8"/>
  <c r="AX224" i="8" s="1"/>
  <c r="AY225" i="8"/>
  <c r="AX225" i="8" s="1"/>
  <c r="AY226" i="8"/>
  <c r="AX226" i="8" s="1"/>
  <c r="AY227" i="8"/>
  <c r="AX227" i="8" s="1"/>
  <c r="AY228" i="8"/>
  <c r="AX228" i="8" s="1"/>
  <c r="AY229" i="8"/>
  <c r="AX229" i="8" s="1"/>
  <c r="AY230" i="8"/>
  <c r="AX230" i="8" s="1"/>
  <c r="AY232" i="8"/>
  <c r="AX232" i="8" s="1"/>
  <c r="AY233" i="8"/>
  <c r="AX233" i="8" s="1"/>
  <c r="AY234" i="8"/>
  <c r="AX234" i="8" s="1"/>
  <c r="AY235" i="8"/>
  <c r="AX235" i="8" s="1"/>
  <c r="AY236" i="8"/>
  <c r="AX236" i="8" s="1"/>
  <c r="AY237" i="8"/>
  <c r="AX237" i="8" s="1"/>
  <c r="AY238" i="8"/>
  <c r="AX238" i="8" s="1"/>
  <c r="AY239" i="8"/>
  <c r="AX239" i="8" s="1"/>
  <c r="AY240" i="8"/>
  <c r="AX240" i="8" s="1"/>
  <c r="AY241" i="8"/>
  <c r="AX241" i="8" s="1"/>
  <c r="AY242" i="8"/>
  <c r="AX242" i="8" s="1"/>
  <c r="AY243" i="8"/>
  <c r="AX243" i="8" s="1"/>
  <c r="AY244" i="8"/>
  <c r="AX244" i="8" s="1"/>
  <c r="AY245" i="8"/>
  <c r="AX245" i="8" s="1"/>
  <c r="AY246" i="8"/>
  <c r="AX246" i="8" s="1"/>
  <c r="AY247" i="8"/>
  <c r="AY7" i="8"/>
  <c r="AX7" i="8" s="1"/>
  <c r="Z233" i="8"/>
  <c r="AA233" i="8"/>
  <c r="AB233" i="8"/>
  <c r="AC233" i="8"/>
  <c r="AD233" i="8"/>
  <c r="AE233" i="8"/>
  <c r="AF233" i="8"/>
  <c r="AG233" i="8"/>
  <c r="AH233" i="8"/>
  <c r="AI233" i="8"/>
  <c r="AJ233" i="8"/>
  <c r="AK233" i="8"/>
  <c r="AL233" i="8"/>
  <c r="AM233" i="8"/>
  <c r="AN233" i="8"/>
  <c r="AO233" i="8"/>
  <c r="AP233" i="8"/>
  <c r="AQ233" i="8"/>
  <c r="AR233" i="8"/>
  <c r="AS233" i="8"/>
  <c r="AT233" i="8"/>
  <c r="AU233" i="8"/>
  <c r="AV233" i="8"/>
  <c r="Z234" i="8"/>
  <c r="AA234" i="8"/>
  <c r="AB234" i="8"/>
  <c r="AC234" i="8"/>
  <c r="AD234" i="8"/>
  <c r="AE234" i="8"/>
  <c r="AF234" i="8"/>
  <c r="AG234" i="8"/>
  <c r="AH234" i="8"/>
  <c r="AI234" i="8"/>
  <c r="AJ234" i="8"/>
  <c r="AK234" i="8"/>
  <c r="AL234" i="8"/>
  <c r="AM234" i="8"/>
  <c r="AN234" i="8"/>
  <c r="AO234" i="8"/>
  <c r="AP234" i="8"/>
  <c r="AQ234" i="8"/>
  <c r="AR234" i="8"/>
  <c r="AS234" i="8"/>
  <c r="AT234" i="8"/>
  <c r="AU234" i="8"/>
  <c r="AV234" i="8"/>
  <c r="Z235" i="8"/>
  <c r="AA235" i="8"/>
  <c r="AB235" i="8"/>
  <c r="AC235" i="8"/>
  <c r="AD235" i="8"/>
  <c r="AE235" i="8"/>
  <c r="AF235" i="8"/>
  <c r="AG235" i="8"/>
  <c r="AH235" i="8"/>
  <c r="AI235" i="8"/>
  <c r="AJ235" i="8"/>
  <c r="AK235" i="8"/>
  <c r="AL235" i="8"/>
  <c r="AM235" i="8"/>
  <c r="AN235" i="8"/>
  <c r="AO235" i="8"/>
  <c r="AP235" i="8"/>
  <c r="AQ235" i="8"/>
  <c r="AR235" i="8"/>
  <c r="AS235" i="8"/>
  <c r="AT235" i="8"/>
  <c r="AU235" i="8"/>
  <c r="AV235" i="8"/>
  <c r="Z236" i="8"/>
  <c r="AA236" i="8"/>
  <c r="AB236" i="8"/>
  <c r="AC236" i="8"/>
  <c r="AD236" i="8"/>
  <c r="AE236" i="8"/>
  <c r="AF236" i="8"/>
  <c r="AG236" i="8"/>
  <c r="AH236" i="8"/>
  <c r="AI236" i="8"/>
  <c r="AJ236" i="8"/>
  <c r="AK236" i="8"/>
  <c r="AL236" i="8"/>
  <c r="AM236" i="8"/>
  <c r="AN236" i="8"/>
  <c r="AO236" i="8"/>
  <c r="AP236" i="8"/>
  <c r="AQ236" i="8"/>
  <c r="AR236" i="8"/>
  <c r="AS236" i="8"/>
  <c r="AT236" i="8"/>
  <c r="AU236" i="8"/>
  <c r="AV236" i="8"/>
  <c r="Z237" i="8"/>
  <c r="AA237" i="8"/>
  <c r="AB237" i="8"/>
  <c r="AC237" i="8"/>
  <c r="AD237" i="8"/>
  <c r="AE237" i="8"/>
  <c r="AF237" i="8"/>
  <c r="AG237" i="8"/>
  <c r="AH237" i="8"/>
  <c r="AI237" i="8"/>
  <c r="AJ237" i="8"/>
  <c r="AK237" i="8"/>
  <c r="AL237" i="8"/>
  <c r="AM237" i="8"/>
  <c r="AN237" i="8"/>
  <c r="AO237" i="8"/>
  <c r="AP237" i="8"/>
  <c r="AQ237" i="8"/>
  <c r="AR237" i="8"/>
  <c r="AS237" i="8"/>
  <c r="AT237" i="8"/>
  <c r="AU237" i="8"/>
  <c r="AV237" i="8"/>
  <c r="Z238" i="8"/>
  <c r="AA238" i="8"/>
  <c r="AB238" i="8"/>
  <c r="AC238" i="8"/>
  <c r="AD238" i="8"/>
  <c r="AE238" i="8"/>
  <c r="AF238" i="8"/>
  <c r="AG238" i="8"/>
  <c r="AH238" i="8"/>
  <c r="AI238" i="8"/>
  <c r="AJ238" i="8"/>
  <c r="AK238" i="8"/>
  <c r="AL238" i="8"/>
  <c r="AM238" i="8"/>
  <c r="AN238" i="8"/>
  <c r="AO238" i="8"/>
  <c r="AP238" i="8"/>
  <c r="AQ238" i="8"/>
  <c r="AR238" i="8"/>
  <c r="AS238" i="8"/>
  <c r="AT238" i="8"/>
  <c r="AU238" i="8"/>
  <c r="AV238" i="8"/>
  <c r="Z239" i="8"/>
  <c r="AA239" i="8"/>
  <c r="AB239" i="8"/>
  <c r="AC239" i="8"/>
  <c r="AD239" i="8"/>
  <c r="AE239" i="8"/>
  <c r="AF239" i="8"/>
  <c r="AG239" i="8"/>
  <c r="AH239" i="8"/>
  <c r="AI239" i="8"/>
  <c r="AJ239" i="8"/>
  <c r="AK239" i="8"/>
  <c r="AL239" i="8"/>
  <c r="AM239" i="8"/>
  <c r="AN239" i="8"/>
  <c r="AO239" i="8"/>
  <c r="AP239" i="8"/>
  <c r="AQ239" i="8"/>
  <c r="AR239" i="8"/>
  <c r="AS239" i="8"/>
  <c r="AT239" i="8"/>
  <c r="AU239" i="8"/>
  <c r="AV239" i="8"/>
  <c r="Z240" i="8"/>
  <c r="AA240" i="8"/>
  <c r="AB240" i="8"/>
  <c r="AC240" i="8"/>
  <c r="AD240" i="8"/>
  <c r="AE240" i="8"/>
  <c r="AF240" i="8"/>
  <c r="AG240" i="8"/>
  <c r="AH240" i="8"/>
  <c r="AI240" i="8"/>
  <c r="AJ240" i="8"/>
  <c r="AK240" i="8"/>
  <c r="AL240" i="8"/>
  <c r="AM240" i="8"/>
  <c r="AN240" i="8"/>
  <c r="AO240" i="8"/>
  <c r="AP240" i="8"/>
  <c r="AQ240" i="8"/>
  <c r="AR240" i="8"/>
  <c r="AS240" i="8"/>
  <c r="AT240" i="8"/>
  <c r="AU240" i="8"/>
  <c r="AV240" i="8"/>
  <c r="Z241" i="8"/>
  <c r="AA241" i="8"/>
  <c r="AB241" i="8"/>
  <c r="AC241" i="8"/>
  <c r="AD241" i="8"/>
  <c r="AE241" i="8"/>
  <c r="AF241" i="8"/>
  <c r="AG241" i="8"/>
  <c r="AH241" i="8"/>
  <c r="AI241" i="8"/>
  <c r="AJ241" i="8"/>
  <c r="AK241" i="8"/>
  <c r="AL241" i="8"/>
  <c r="AM241" i="8"/>
  <c r="AN241" i="8"/>
  <c r="AO241" i="8"/>
  <c r="AP241" i="8"/>
  <c r="AQ241" i="8"/>
  <c r="AR241" i="8"/>
  <c r="AS241" i="8"/>
  <c r="AT241" i="8"/>
  <c r="AU241" i="8"/>
  <c r="AV241" i="8"/>
  <c r="Z242" i="8"/>
  <c r="AA242" i="8"/>
  <c r="AB242" i="8"/>
  <c r="AC242" i="8"/>
  <c r="AD242" i="8"/>
  <c r="AE242" i="8"/>
  <c r="AF242" i="8"/>
  <c r="AG242" i="8"/>
  <c r="AH242" i="8"/>
  <c r="AI242" i="8"/>
  <c r="AJ242" i="8"/>
  <c r="AK242" i="8"/>
  <c r="AL242" i="8"/>
  <c r="AM242" i="8"/>
  <c r="AN242" i="8"/>
  <c r="AO242" i="8"/>
  <c r="AP242" i="8"/>
  <c r="AQ242" i="8"/>
  <c r="AR242" i="8"/>
  <c r="AS242" i="8"/>
  <c r="AT242" i="8"/>
  <c r="AU242" i="8"/>
  <c r="AV242" i="8"/>
  <c r="Z243" i="8"/>
  <c r="AA243" i="8"/>
  <c r="AB243" i="8"/>
  <c r="AC243" i="8"/>
  <c r="AD243" i="8"/>
  <c r="AE243" i="8"/>
  <c r="AF243" i="8"/>
  <c r="AG243" i="8"/>
  <c r="AH243" i="8"/>
  <c r="AI243" i="8"/>
  <c r="AJ243" i="8"/>
  <c r="AK243" i="8"/>
  <c r="AL243" i="8"/>
  <c r="AM243" i="8"/>
  <c r="AN243" i="8"/>
  <c r="AO243" i="8"/>
  <c r="AP243" i="8"/>
  <c r="AQ243" i="8"/>
  <c r="AR243" i="8"/>
  <c r="AS243" i="8"/>
  <c r="AT243" i="8"/>
  <c r="AU243" i="8"/>
  <c r="AV243" i="8"/>
  <c r="Z244" i="8"/>
  <c r="AA244" i="8"/>
  <c r="AB244" i="8"/>
  <c r="AC244" i="8"/>
  <c r="AD244" i="8"/>
  <c r="AE244" i="8"/>
  <c r="AF244" i="8"/>
  <c r="AG244" i="8"/>
  <c r="AH244" i="8"/>
  <c r="AI244" i="8"/>
  <c r="AJ244" i="8"/>
  <c r="AK244" i="8"/>
  <c r="AL244" i="8"/>
  <c r="AM244" i="8"/>
  <c r="AN244" i="8"/>
  <c r="AO244" i="8"/>
  <c r="AP244" i="8"/>
  <c r="AQ244" i="8"/>
  <c r="AR244" i="8"/>
  <c r="AS244" i="8"/>
  <c r="AT244" i="8"/>
  <c r="AU244" i="8"/>
  <c r="AV244" i="8"/>
  <c r="Z245" i="8"/>
  <c r="AA245" i="8"/>
  <c r="AB245" i="8"/>
  <c r="AC245" i="8"/>
  <c r="AD245" i="8"/>
  <c r="AE245" i="8"/>
  <c r="AF245" i="8"/>
  <c r="AG245" i="8"/>
  <c r="AH245" i="8"/>
  <c r="AI245" i="8"/>
  <c r="AJ245" i="8"/>
  <c r="AK245" i="8"/>
  <c r="AL245" i="8"/>
  <c r="AM245" i="8"/>
  <c r="AN245" i="8"/>
  <c r="AO245" i="8"/>
  <c r="AP245" i="8"/>
  <c r="AQ245" i="8"/>
  <c r="AR245" i="8"/>
  <c r="AS245" i="8"/>
  <c r="AT245" i="8"/>
  <c r="AU245" i="8"/>
  <c r="AV245" i="8"/>
  <c r="Z246" i="8"/>
  <c r="AA246" i="8"/>
  <c r="AB246" i="8"/>
  <c r="AC246" i="8"/>
  <c r="AD246" i="8"/>
  <c r="AE246" i="8"/>
  <c r="AF246" i="8"/>
  <c r="AG246" i="8"/>
  <c r="AH246" i="8"/>
  <c r="AI246" i="8"/>
  <c r="AJ246" i="8"/>
  <c r="AK246" i="8"/>
  <c r="AL246" i="8"/>
  <c r="AM246" i="8"/>
  <c r="AN246" i="8"/>
  <c r="AO246" i="8"/>
  <c r="AP246" i="8"/>
  <c r="AQ246" i="8"/>
  <c r="AR246" i="8"/>
  <c r="AS246" i="8"/>
  <c r="AT246" i="8"/>
  <c r="AU246" i="8"/>
  <c r="AV246" i="8"/>
  <c r="AA232" i="8"/>
  <c r="AB232" i="8"/>
  <c r="AC232" i="8"/>
  <c r="AD232" i="8"/>
  <c r="AE232" i="8"/>
  <c r="AF232" i="8"/>
  <c r="AG232" i="8"/>
  <c r="AH232" i="8"/>
  <c r="AI232" i="8"/>
  <c r="AJ232" i="8"/>
  <c r="AK232" i="8"/>
  <c r="AL232" i="8"/>
  <c r="AM232" i="8"/>
  <c r="AN232" i="8"/>
  <c r="AO232" i="8"/>
  <c r="AP232" i="8"/>
  <c r="AQ232" i="8"/>
  <c r="AR232" i="8"/>
  <c r="AS232" i="8"/>
  <c r="AT232" i="8"/>
  <c r="AU232" i="8"/>
  <c r="AV232" i="8"/>
  <c r="Z232" i="8"/>
  <c r="Z225" i="8"/>
  <c r="AA225" i="8"/>
  <c r="AB225" i="8"/>
  <c r="AC225" i="8"/>
  <c r="AD225" i="8"/>
  <c r="AE225" i="8"/>
  <c r="AF225" i="8"/>
  <c r="AG225" i="8"/>
  <c r="AH225" i="8"/>
  <c r="AI225" i="8"/>
  <c r="AJ225" i="8"/>
  <c r="AK225" i="8"/>
  <c r="AL225" i="8"/>
  <c r="AM225" i="8"/>
  <c r="AN225" i="8"/>
  <c r="AO225" i="8"/>
  <c r="AP225" i="8"/>
  <c r="AQ225" i="8"/>
  <c r="AR225" i="8"/>
  <c r="AS225" i="8"/>
  <c r="AT225" i="8"/>
  <c r="AU225" i="8"/>
  <c r="AV225" i="8"/>
  <c r="Z226" i="8"/>
  <c r="AA226" i="8"/>
  <c r="AB226" i="8"/>
  <c r="AC226" i="8"/>
  <c r="AD226" i="8"/>
  <c r="AE226" i="8"/>
  <c r="AF226" i="8"/>
  <c r="AG226" i="8"/>
  <c r="AH226" i="8"/>
  <c r="AI226" i="8"/>
  <c r="AJ226" i="8"/>
  <c r="AK226" i="8"/>
  <c r="AL226" i="8"/>
  <c r="AM226" i="8"/>
  <c r="AN226" i="8"/>
  <c r="AO226" i="8"/>
  <c r="AP226" i="8"/>
  <c r="AQ226" i="8"/>
  <c r="AR226" i="8"/>
  <c r="AS226" i="8"/>
  <c r="AT226" i="8"/>
  <c r="AU226" i="8"/>
  <c r="AV226" i="8"/>
  <c r="Z227" i="8"/>
  <c r="AA227" i="8"/>
  <c r="AB227" i="8"/>
  <c r="AC227" i="8"/>
  <c r="AD227" i="8"/>
  <c r="AE227" i="8"/>
  <c r="AF227" i="8"/>
  <c r="AG227" i="8"/>
  <c r="AH227" i="8"/>
  <c r="AI227" i="8"/>
  <c r="AJ227" i="8"/>
  <c r="AK227" i="8"/>
  <c r="AL227" i="8"/>
  <c r="AM227" i="8"/>
  <c r="AN227" i="8"/>
  <c r="AO227" i="8"/>
  <c r="AP227" i="8"/>
  <c r="AQ227" i="8"/>
  <c r="AR227" i="8"/>
  <c r="AS227" i="8"/>
  <c r="AT227" i="8"/>
  <c r="AU227" i="8"/>
  <c r="AV227" i="8"/>
  <c r="Z228" i="8"/>
  <c r="AA228" i="8"/>
  <c r="AB228" i="8"/>
  <c r="AC228" i="8"/>
  <c r="AD228" i="8"/>
  <c r="AE228" i="8"/>
  <c r="AF228" i="8"/>
  <c r="AG228" i="8"/>
  <c r="AH228" i="8"/>
  <c r="AI228" i="8"/>
  <c r="AJ228" i="8"/>
  <c r="AK228" i="8"/>
  <c r="AL228" i="8"/>
  <c r="AM228" i="8"/>
  <c r="AN228" i="8"/>
  <c r="AO228" i="8"/>
  <c r="AP228" i="8"/>
  <c r="AQ228" i="8"/>
  <c r="AR228" i="8"/>
  <c r="AS228" i="8"/>
  <c r="AT228" i="8"/>
  <c r="AU228" i="8"/>
  <c r="AV228" i="8"/>
  <c r="Z229" i="8"/>
  <c r="AA229" i="8"/>
  <c r="AB229" i="8"/>
  <c r="AC229" i="8"/>
  <c r="AD229" i="8"/>
  <c r="AE229" i="8"/>
  <c r="AF229" i="8"/>
  <c r="AG229" i="8"/>
  <c r="AH229" i="8"/>
  <c r="AI229" i="8"/>
  <c r="AJ229" i="8"/>
  <c r="AK229" i="8"/>
  <c r="AL229" i="8"/>
  <c r="AM229" i="8"/>
  <c r="AN229" i="8"/>
  <c r="AO229" i="8"/>
  <c r="AP229" i="8"/>
  <c r="AQ229" i="8"/>
  <c r="AR229" i="8"/>
  <c r="AS229" i="8"/>
  <c r="AT229" i="8"/>
  <c r="AU229" i="8"/>
  <c r="AV229" i="8"/>
  <c r="Z230" i="8"/>
  <c r="AA230" i="8"/>
  <c r="AB230" i="8"/>
  <c r="AC230" i="8"/>
  <c r="AD230" i="8"/>
  <c r="AE230" i="8"/>
  <c r="AF230" i="8"/>
  <c r="AG230" i="8"/>
  <c r="AH230" i="8"/>
  <c r="AI230" i="8"/>
  <c r="AJ230" i="8"/>
  <c r="AK230" i="8"/>
  <c r="AL230" i="8"/>
  <c r="AM230" i="8"/>
  <c r="AN230" i="8"/>
  <c r="AO230" i="8"/>
  <c r="AP230" i="8"/>
  <c r="AQ230" i="8"/>
  <c r="AR230" i="8"/>
  <c r="AS230" i="8"/>
  <c r="AT230" i="8"/>
  <c r="AU230" i="8"/>
  <c r="AV230" i="8"/>
  <c r="AA224" i="8"/>
  <c r="AB224" i="8"/>
  <c r="AC224" i="8"/>
  <c r="AD224" i="8"/>
  <c r="AE224" i="8"/>
  <c r="AF224" i="8"/>
  <c r="AG224" i="8"/>
  <c r="AH224" i="8"/>
  <c r="AI224" i="8"/>
  <c r="AJ224" i="8"/>
  <c r="AK224" i="8"/>
  <c r="AL224" i="8"/>
  <c r="AM224" i="8"/>
  <c r="AN224" i="8"/>
  <c r="AO224" i="8"/>
  <c r="AP224" i="8"/>
  <c r="AQ224" i="8"/>
  <c r="AR224" i="8"/>
  <c r="AS224" i="8"/>
  <c r="AT224" i="8"/>
  <c r="AU224" i="8"/>
  <c r="AV224" i="8"/>
  <c r="Z224" i="8"/>
  <c r="Z197" i="8"/>
  <c r="AA197" i="8"/>
  <c r="AB197" i="8"/>
  <c r="AC197" i="8"/>
  <c r="AD197" i="8"/>
  <c r="AE197" i="8"/>
  <c r="AF197" i="8"/>
  <c r="AG197" i="8"/>
  <c r="AH197" i="8"/>
  <c r="AI197" i="8"/>
  <c r="AJ197" i="8"/>
  <c r="AK197" i="8"/>
  <c r="AL197" i="8"/>
  <c r="AM197" i="8"/>
  <c r="AN197" i="8"/>
  <c r="AO197" i="8"/>
  <c r="AP197" i="8"/>
  <c r="AQ197" i="8"/>
  <c r="AR197" i="8"/>
  <c r="AS197" i="8"/>
  <c r="AT197" i="8"/>
  <c r="AU197" i="8"/>
  <c r="AV197" i="8"/>
  <c r="Z198" i="8"/>
  <c r="AA198" i="8"/>
  <c r="AB198" i="8"/>
  <c r="AC198" i="8"/>
  <c r="AD198" i="8"/>
  <c r="AE198" i="8"/>
  <c r="AF198" i="8"/>
  <c r="AG198" i="8"/>
  <c r="AH198" i="8"/>
  <c r="AI198" i="8"/>
  <c r="AJ198" i="8"/>
  <c r="AK198" i="8"/>
  <c r="AL198" i="8"/>
  <c r="AM198" i="8"/>
  <c r="AN198" i="8"/>
  <c r="AO198" i="8"/>
  <c r="AP198" i="8"/>
  <c r="AQ198" i="8"/>
  <c r="AR198" i="8"/>
  <c r="AS198" i="8"/>
  <c r="AT198" i="8"/>
  <c r="AU198" i="8"/>
  <c r="AV198" i="8"/>
  <c r="Z199" i="8"/>
  <c r="AA199" i="8"/>
  <c r="AB199" i="8"/>
  <c r="AC199" i="8"/>
  <c r="AD199" i="8"/>
  <c r="AE199" i="8"/>
  <c r="AF199" i="8"/>
  <c r="AG199" i="8"/>
  <c r="AH199" i="8"/>
  <c r="AI199" i="8"/>
  <c r="AJ199" i="8"/>
  <c r="AK199" i="8"/>
  <c r="AL199" i="8"/>
  <c r="AM199" i="8"/>
  <c r="AN199" i="8"/>
  <c r="AO199" i="8"/>
  <c r="AP199" i="8"/>
  <c r="AQ199" i="8"/>
  <c r="AR199" i="8"/>
  <c r="AS199" i="8"/>
  <c r="AT199" i="8"/>
  <c r="AU199" i="8"/>
  <c r="AV199" i="8"/>
  <c r="Z200" i="8"/>
  <c r="AA200" i="8"/>
  <c r="AB200" i="8"/>
  <c r="AC200" i="8"/>
  <c r="AD200" i="8"/>
  <c r="AE200" i="8"/>
  <c r="AF200" i="8"/>
  <c r="AG200" i="8"/>
  <c r="AH200" i="8"/>
  <c r="AI200" i="8"/>
  <c r="AJ200" i="8"/>
  <c r="AK200" i="8"/>
  <c r="AL200" i="8"/>
  <c r="AM200" i="8"/>
  <c r="AN200" i="8"/>
  <c r="AO200" i="8"/>
  <c r="AP200" i="8"/>
  <c r="AQ200" i="8"/>
  <c r="AR200" i="8"/>
  <c r="AS200" i="8"/>
  <c r="AT200" i="8"/>
  <c r="AU200" i="8"/>
  <c r="AV200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AP201" i="8"/>
  <c r="AQ201" i="8"/>
  <c r="AR201" i="8"/>
  <c r="AS201" i="8"/>
  <c r="AT201" i="8"/>
  <c r="AU201" i="8"/>
  <c r="AV201" i="8"/>
  <c r="AA202" i="8"/>
  <c r="AB202" i="8"/>
  <c r="AC202" i="8"/>
  <c r="AD202" i="8"/>
  <c r="AG202" i="8"/>
  <c r="AH202" i="8"/>
  <c r="AI202" i="8"/>
  <c r="AJ202" i="8"/>
  <c r="AM202" i="8"/>
  <c r="AN202" i="8"/>
  <c r="AO202" i="8"/>
  <c r="AP202" i="8"/>
  <c r="AS202" i="8"/>
  <c r="AT202" i="8"/>
  <c r="AU202" i="8"/>
  <c r="AV202" i="8"/>
  <c r="Z203" i="8"/>
  <c r="AA203" i="8"/>
  <c r="AB203" i="8"/>
  <c r="AC203" i="8"/>
  <c r="AD203" i="8"/>
  <c r="AE203" i="8"/>
  <c r="AF203" i="8"/>
  <c r="AG203" i="8"/>
  <c r="AH203" i="8"/>
  <c r="AI203" i="8"/>
  <c r="AJ203" i="8"/>
  <c r="AK203" i="8"/>
  <c r="AL203" i="8"/>
  <c r="AM203" i="8"/>
  <c r="AN203" i="8"/>
  <c r="AO203" i="8"/>
  <c r="AP203" i="8"/>
  <c r="AQ203" i="8"/>
  <c r="AR203" i="8"/>
  <c r="AS203" i="8"/>
  <c r="AT203" i="8"/>
  <c r="AU203" i="8"/>
  <c r="AV203" i="8"/>
  <c r="Z204" i="8"/>
  <c r="AA204" i="8"/>
  <c r="AB204" i="8"/>
  <c r="AC204" i="8"/>
  <c r="AD204" i="8"/>
  <c r="AE204" i="8"/>
  <c r="AF204" i="8"/>
  <c r="AG204" i="8"/>
  <c r="AH204" i="8"/>
  <c r="AI204" i="8"/>
  <c r="AJ204" i="8"/>
  <c r="AK204" i="8"/>
  <c r="AL204" i="8"/>
  <c r="AM204" i="8"/>
  <c r="AN204" i="8"/>
  <c r="AO204" i="8"/>
  <c r="AP204" i="8"/>
  <c r="AQ204" i="8"/>
  <c r="AR204" i="8"/>
  <c r="AS204" i="8"/>
  <c r="AT204" i="8"/>
  <c r="AU204" i="8"/>
  <c r="AV204" i="8"/>
  <c r="AA205" i="8"/>
  <c r="AB205" i="8"/>
  <c r="AC205" i="8"/>
  <c r="AD205" i="8"/>
  <c r="AG205" i="8"/>
  <c r="AH205" i="8"/>
  <c r="AI205" i="8"/>
  <c r="AJ205" i="8"/>
  <c r="AM205" i="8"/>
  <c r="AN205" i="8"/>
  <c r="AO205" i="8"/>
  <c r="AP205" i="8"/>
  <c r="AS205" i="8"/>
  <c r="AT205" i="8"/>
  <c r="AU205" i="8"/>
  <c r="AV205" i="8"/>
  <c r="Z206" i="8"/>
  <c r="AA206" i="8"/>
  <c r="AB206" i="8"/>
  <c r="AC206" i="8"/>
  <c r="AD206" i="8"/>
  <c r="AE206" i="8"/>
  <c r="AF206" i="8"/>
  <c r="AG206" i="8"/>
  <c r="AH206" i="8"/>
  <c r="AI206" i="8"/>
  <c r="AJ206" i="8"/>
  <c r="AK206" i="8"/>
  <c r="AL206" i="8"/>
  <c r="AM206" i="8"/>
  <c r="AN206" i="8"/>
  <c r="AO206" i="8"/>
  <c r="AP206" i="8"/>
  <c r="AQ206" i="8"/>
  <c r="AR206" i="8"/>
  <c r="AS206" i="8"/>
  <c r="AT206" i="8"/>
  <c r="AU206" i="8"/>
  <c r="AV206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AP207" i="8"/>
  <c r="AQ207" i="8"/>
  <c r="AR207" i="8"/>
  <c r="AS207" i="8"/>
  <c r="AT207" i="8"/>
  <c r="AU207" i="8"/>
  <c r="AV207" i="8"/>
  <c r="Z20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AN208" i="8"/>
  <c r="AO208" i="8"/>
  <c r="AP208" i="8"/>
  <c r="AQ208" i="8"/>
  <c r="AR208" i="8"/>
  <c r="AS208" i="8"/>
  <c r="AT208" i="8"/>
  <c r="AU208" i="8"/>
  <c r="AV208" i="8"/>
  <c r="Z209" i="8"/>
  <c r="AA209" i="8"/>
  <c r="AB209" i="8"/>
  <c r="AC209" i="8"/>
  <c r="AD209" i="8"/>
  <c r="AE209" i="8"/>
  <c r="AF209" i="8"/>
  <c r="AG209" i="8"/>
  <c r="AH209" i="8"/>
  <c r="AI209" i="8"/>
  <c r="AJ209" i="8"/>
  <c r="AK209" i="8"/>
  <c r="AL209" i="8"/>
  <c r="AM209" i="8"/>
  <c r="AN209" i="8"/>
  <c r="AO209" i="8"/>
  <c r="AP209" i="8"/>
  <c r="AQ209" i="8"/>
  <c r="AR209" i="8"/>
  <c r="AS209" i="8"/>
  <c r="AT209" i="8"/>
  <c r="AU209" i="8"/>
  <c r="AV209" i="8"/>
  <c r="Z210" i="8"/>
  <c r="AA210" i="8"/>
  <c r="AB210" i="8"/>
  <c r="AC210" i="8"/>
  <c r="AD210" i="8"/>
  <c r="AE210" i="8"/>
  <c r="AF210" i="8"/>
  <c r="AG210" i="8"/>
  <c r="AH210" i="8"/>
  <c r="AI210" i="8"/>
  <c r="AJ210" i="8"/>
  <c r="AK210" i="8"/>
  <c r="AL210" i="8"/>
  <c r="AM210" i="8"/>
  <c r="AN210" i="8"/>
  <c r="AO210" i="8"/>
  <c r="AP210" i="8"/>
  <c r="AQ210" i="8"/>
  <c r="AR210" i="8"/>
  <c r="AS210" i="8"/>
  <c r="AT210" i="8"/>
  <c r="AU210" i="8"/>
  <c r="AV210" i="8"/>
  <c r="Z211" i="8"/>
  <c r="AA211" i="8"/>
  <c r="AB211" i="8"/>
  <c r="AC211" i="8"/>
  <c r="AD211" i="8"/>
  <c r="AE211" i="8"/>
  <c r="AF211" i="8"/>
  <c r="AG211" i="8"/>
  <c r="AH211" i="8"/>
  <c r="AI211" i="8"/>
  <c r="AJ211" i="8"/>
  <c r="AK211" i="8"/>
  <c r="AL211" i="8"/>
  <c r="AM211" i="8"/>
  <c r="AN211" i="8"/>
  <c r="AO211" i="8"/>
  <c r="AP211" i="8"/>
  <c r="AQ211" i="8"/>
  <c r="AR211" i="8"/>
  <c r="AS211" i="8"/>
  <c r="AT211" i="8"/>
  <c r="AU211" i="8"/>
  <c r="AV211" i="8"/>
  <c r="Z212" i="8"/>
  <c r="AA212" i="8"/>
  <c r="AB212" i="8"/>
  <c r="AC212" i="8"/>
  <c r="AD212" i="8"/>
  <c r="AE212" i="8"/>
  <c r="AF212" i="8"/>
  <c r="AG212" i="8"/>
  <c r="AH212" i="8"/>
  <c r="AI212" i="8"/>
  <c r="AJ212" i="8"/>
  <c r="AK212" i="8"/>
  <c r="AL212" i="8"/>
  <c r="AM212" i="8"/>
  <c r="AN212" i="8"/>
  <c r="AO212" i="8"/>
  <c r="AP212" i="8"/>
  <c r="AQ212" i="8"/>
  <c r="AR212" i="8"/>
  <c r="AS212" i="8"/>
  <c r="AT212" i="8"/>
  <c r="AU212" i="8"/>
  <c r="AV212" i="8"/>
  <c r="Z213" i="8"/>
  <c r="AA213" i="8"/>
  <c r="AB213" i="8"/>
  <c r="AC213" i="8"/>
  <c r="AD213" i="8"/>
  <c r="AE213" i="8"/>
  <c r="AF213" i="8"/>
  <c r="AG213" i="8"/>
  <c r="AH213" i="8"/>
  <c r="AI213" i="8"/>
  <c r="AJ213" i="8"/>
  <c r="AK213" i="8"/>
  <c r="AL213" i="8"/>
  <c r="AM213" i="8"/>
  <c r="AN213" i="8"/>
  <c r="AO213" i="8"/>
  <c r="AP213" i="8"/>
  <c r="AQ213" i="8"/>
  <c r="AR213" i="8"/>
  <c r="AS213" i="8"/>
  <c r="AT213" i="8"/>
  <c r="AU213" i="8"/>
  <c r="AV213" i="8"/>
  <c r="Z214" i="8"/>
  <c r="AA214" i="8"/>
  <c r="AB214" i="8"/>
  <c r="AC214" i="8"/>
  <c r="AD214" i="8"/>
  <c r="AE214" i="8"/>
  <c r="AF214" i="8"/>
  <c r="AG214" i="8"/>
  <c r="AH214" i="8"/>
  <c r="AI214" i="8"/>
  <c r="AJ214" i="8"/>
  <c r="AK214" i="8"/>
  <c r="AL214" i="8"/>
  <c r="AM214" i="8"/>
  <c r="AN214" i="8"/>
  <c r="AO214" i="8"/>
  <c r="AP214" i="8"/>
  <c r="AQ214" i="8"/>
  <c r="AR214" i="8"/>
  <c r="AS214" i="8"/>
  <c r="AT214" i="8"/>
  <c r="AU214" i="8"/>
  <c r="AV214" i="8"/>
  <c r="Z215" i="8"/>
  <c r="AA215" i="8"/>
  <c r="AB215" i="8"/>
  <c r="AC215" i="8"/>
  <c r="AD215" i="8"/>
  <c r="AE215" i="8"/>
  <c r="AF215" i="8"/>
  <c r="AG215" i="8"/>
  <c r="AH215" i="8"/>
  <c r="AI215" i="8"/>
  <c r="AJ215" i="8"/>
  <c r="AK215" i="8"/>
  <c r="AL215" i="8"/>
  <c r="AM215" i="8"/>
  <c r="AN215" i="8"/>
  <c r="AO215" i="8"/>
  <c r="AP215" i="8"/>
  <c r="AQ215" i="8"/>
  <c r="AR215" i="8"/>
  <c r="AS215" i="8"/>
  <c r="AT215" i="8"/>
  <c r="AU215" i="8"/>
  <c r="AV215" i="8"/>
  <c r="Z216" i="8"/>
  <c r="AA216" i="8"/>
  <c r="AB216" i="8"/>
  <c r="AC216" i="8"/>
  <c r="AD216" i="8"/>
  <c r="AE216" i="8"/>
  <c r="AF216" i="8"/>
  <c r="AG216" i="8"/>
  <c r="AH216" i="8"/>
  <c r="AI216" i="8"/>
  <c r="AJ216" i="8"/>
  <c r="AK216" i="8"/>
  <c r="AL216" i="8"/>
  <c r="AM216" i="8"/>
  <c r="AN216" i="8"/>
  <c r="AO216" i="8"/>
  <c r="AP216" i="8"/>
  <c r="AQ216" i="8"/>
  <c r="AR216" i="8"/>
  <c r="AS216" i="8"/>
  <c r="AT216" i="8"/>
  <c r="AU216" i="8"/>
  <c r="AV216" i="8"/>
  <c r="Z217" i="8"/>
  <c r="AA217" i="8"/>
  <c r="AB217" i="8"/>
  <c r="AC217" i="8"/>
  <c r="AD217" i="8"/>
  <c r="AE217" i="8"/>
  <c r="AF217" i="8"/>
  <c r="AG217" i="8"/>
  <c r="AH217" i="8"/>
  <c r="AI217" i="8"/>
  <c r="AJ217" i="8"/>
  <c r="AK217" i="8"/>
  <c r="AL217" i="8"/>
  <c r="AM217" i="8"/>
  <c r="AN217" i="8"/>
  <c r="AO217" i="8"/>
  <c r="AP217" i="8"/>
  <c r="AQ217" i="8"/>
  <c r="AR217" i="8"/>
  <c r="AS217" i="8"/>
  <c r="AT217" i="8"/>
  <c r="AU217" i="8"/>
  <c r="AV217" i="8"/>
  <c r="Z218" i="8"/>
  <c r="AA218" i="8"/>
  <c r="AB218" i="8"/>
  <c r="AC218" i="8"/>
  <c r="AD218" i="8"/>
  <c r="AE218" i="8"/>
  <c r="AF218" i="8"/>
  <c r="AG218" i="8"/>
  <c r="AH218" i="8"/>
  <c r="AI218" i="8"/>
  <c r="AJ218" i="8"/>
  <c r="AK218" i="8"/>
  <c r="AL218" i="8"/>
  <c r="AM218" i="8"/>
  <c r="AN218" i="8"/>
  <c r="AO218" i="8"/>
  <c r="AP218" i="8"/>
  <c r="AQ218" i="8"/>
  <c r="AR218" i="8"/>
  <c r="AS218" i="8"/>
  <c r="AT218" i="8"/>
  <c r="AU218" i="8"/>
  <c r="AV218" i="8"/>
  <c r="AA219" i="8"/>
  <c r="AB219" i="8"/>
  <c r="AC219" i="8"/>
  <c r="AD219" i="8"/>
  <c r="AG219" i="8"/>
  <c r="AH219" i="8"/>
  <c r="AI219" i="8"/>
  <c r="AJ219" i="8"/>
  <c r="AM219" i="8"/>
  <c r="AN219" i="8"/>
  <c r="AO219" i="8"/>
  <c r="AP219" i="8"/>
  <c r="AS219" i="8"/>
  <c r="AT219" i="8"/>
  <c r="AU219" i="8"/>
  <c r="AV219" i="8"/>
  <c r="Z220" i="8"/>
  <c r="AA220" i="8"/>
  <c r="AB220" i="8"/>
  <c r="AC220" i="8"/>
  <c r="AD220" i="8"/>
  <c r="AE220" i="8"/>
  <c r="AF220" i="8"/>
  <c r="AG220" i="8"/>
  <c r="AH220" i="8"/>
  <c r="AI220" i="8"/>
  <c r="AJ220" i="8"/>
  <c r="AK220" i="8"/>
  <c r="AL220" i="8"/>
  <c r="AM220" i="8"/>
  <c r="AN220" i="8"/>
  <c r="AO220" i="8"/>
  <c r="AP220" i="8"/>
  <c r="AQ220" i="8"/>
  <c r="AR220" i="8"/>
  <c r="AS220" i="8"/>
  <c r="AT220" i="8"/>
  <c r="AU220" i="8"/>
  <c r="AV220" i="8"/>
  <c r="Z221" i="8"/>
  <c r="AA221" i="8"/>
  <c r="AB221" i="8"/>
  <c r="AC221" i="8"/>
  <c r="AD221" i="8"/>
  <c r="AE221" i="8"/>
  <c r="AF221" i="8"/>
  <c r="AG221" i="8"/>
  <c r="AH221" i="8"/>
  <c r="AI221" i="8"/>
  <c r="AJ221" i="8"/>
  <c r="AK221" i="8"/>
  <c r="AL221" i="8"/>
  <c r="AM221" i="8"/>
  <c r="AN221" i="8"/>
  <c r="AO221" i="8"/>
  <c r="AP221" i="8"/>
  <c r="AQ221" i="8"/>
  <c r="AR221" i="8"/>
  <c r="AS221" i="8"/>
  <c r="AT221" i="8"/>
  <c r="AU221" i="8"/>
  <c r="AV221" i="8"/>
  <c r="Z222" i="8"/>
  <c r="AA222" i="8"/>
  <c r="AB222" i="8"/>
  <c r="AC222" i="8"/>
  <c r="AD222" i="8"/>
  <c r="AE222" i="8"/>
  <c r="AF222" i="8"/>
  <c r="AG222" i="8"/>
  <c r="AH222" i="8"/>
  <c r="AI222" i="8"/>
  <c r="AJ222" i="8"/>
  <c r="AK222" i="8"/>
  <c r="AL222" i="8"/>
  <c r="AM222" i="8"/>
  <c r="AN222" i="8"/>
  <c r="AO222" i="8"/>
  <c r="AP222" i="8"/>
  <c r="AQ222" i="8"/>
  <c r="AR222" i="8"/>
  <c r="AS222" i="8"/>
  <c r="AT222" i="8"/>
  <c r="AU222" i="8"/>
  <c r="AV222" i="8"/>
  <c r="AA196" i="8"/>
  <c r="AB196" i="8"/>
  <c r="AC196" i="8"/>
  <c r="AD196" i="8"/>
  <c r="AE196" i="8"/>
  <c r="AF196" i="8"/>
  <c r="AG196" i="8"/>
  <c r="AH196" i="8"/>
  <c r="AI196" i="8"/>
  <c r="AJ196" i="8"/>
  <c r="AK196" i="8"/>
  <c r="AL196" i="8"/>
  <c r="AM196" i="8"/>
  <c r="AN196" i="8"/>
  <c r="AO196" i="8"/>
  <c r="AP196" i="8"/>
  <c r="AQ196" i="8"/>
  <c r="AR196" i="8"/>
  <c r="AS196" i="8"/>
  <c r="AT196" i="8"/>
  <c r="AU196" i="8"/>
  <c r="AV196" i="8"/>
  <c r="Z196" i="8"/>
  <c r="Z183" i="8"/>
  <c r="AA183" i="8"/>
  <c r="AB183" i="8"/>
  <c r="AC183" i="8"/>
  <c r="AD183" i="8"/>
  <c r="AE183" i="8"/>
  <c r="AF183" i="8"/>
  <c r="AG183" i="8"/>
  <c r="AH183" i="8"/>
  <c r="AI183" i="8"/>
  <c r="AJ183" i="8"/>
  <c r="AK183" i="8"/>
  <c r="AL183" i="8"/>
  <c r="AM183" i="8"/>
  <c r="AN183" i="8"/>
  <c r="AO183" i="8"/>
  <c r="AP183" i="8"/>
  <c r="AQ183" i="8"/>
  <c r="AR183" i="8"/>
  <c r="AS183" i="8"/>
  <c r="AT183" i="8"/>
  <c r="AU183" i="8"/>
  <c r="AV183" i="8"/>
  <c r="Z184" i="8"/>
  <c r="AA184" i="8"/>
  <c r="AB184" i="8"/>
  <c r="AC184" i="8"/>
  <c r="AD184" i="8"/>
  <c r="AE184" i="8"/>
  <c r="AF184" i="8"/>
  <c r="AG184" i="8"/>
  <c r="AH184" i="8"/>
  <c r="AI184" i="8"/>
  <c r="AJ184" i="8"/>
  <c r="AK184" i="8"/>
  <c r="AL184" i="8"/>
  <c r="AM184" i="8"/>
  <c r="AN184" i="8"/>
  <c r="AO184" i="8"/>
  <c r="AP184" i="8"/>
  <c r="AQ184" i="8"/>
  <c r="AR184" i="8"/>
  <c r="AS184" i="8"/>
  <c r="AT184" i="8"/>
  <c r="AU184" i="8"/>
  <c r="AV184" i="8"/>
  <c r="Z185" i="8"/>
  <c r="AA185" i="8"/>
  <c r="AB185" i="8"/>
  <c r="AC185" i="8"/>
  <c r="AD185" i="8"/>
  <c r="AE185" i="8"/>
  <c r="AF185" i="8"/>
  <c r="AG185" i="8"/>
  <c r="AH185" i="8"/>
  <c r="AI185" i="8"/>
  <c r="AJ185" i="8"/>
  <c r="AK185" i="8"/>
  <c r="AL185" i="8"/>
  <c r="AM185" i="8"/>
  <c r="AN185" i="8"/>
  <c r="AO185" i="8"/>
  <c r="AP185" i="8"/>
  <c r="AQ185" i="8"/>
  <c r="AR185" i="8"/>
  <c r="AS185" i="8"/>
  <c r="AT185" i="8"/>
  <c r="AU185" i="8"/>
  <c r="AV185" i="8"/>
  <c r="Z186" i="8"/>
  <c r="AA186" i="8"/>
  <c r="AB186" i="8"/>
  <c r="AC186" i="8"/>
  <c r="AD186" i="8"/>
  <c r="AE186" i="8"/>
  <c r="AF186" i="8"/>
  <c r="AG186" i="8"/>
  <c r="AH186" i="8"/>
  <c r="AI186" i="8"/>
  <c r="AJ186" i="8"/>
  <c r="AK186" i="8"/>
  <c r="AL186" i="8"/>
  <c r="AM186" i="8"/>
  <c r="AN186" i="8"/>
  <c r="AO186" i="8"/>
  <c r="AP186" i="8"/>
  <c r="AQ186" i="8"/>
  <c r="AR186" i="8"/>
  <c r="AS186" i="8"/>
  <c r="AT186" i="8"/>
  <c r="AU186" i="8"/>
  <c r="AV186" i="8"/>
  <c r="Z187" i="8"/>
  <c r="AA187" i="8"/>
  <c r="AB187" i="8"/>
  <c r="AC187" i="8"/>
  <c r="AD187" i="8"/>
  <c r="AE187" i="8"/>
  <c r="AF187" i="8"/>
  <c r="AG187" i="8"/>
  <c r="AH187" i="8"/>
  <c r="AI187" i="8"/>
  <c r="AJ187" i="8"/>
  <c r="AK187" i="8"/>
  <c r="AL187" i="8"/>
  <c r="AM187" i="8"/>
  <c r="AN187" i="8"/>
  <c r="AO187" i="8"/>
  <c r="AP187" i="8"/>
  <c r="AQ187" i="8"/>
  <c r="AR187" i="8"/>
  <c r="AS187" i="8"/>
  <c r="AT187" i="8"/>
  <c r="AU187" i="8"/>
  <c r="AV187" i="8"/>
  <c r="Z188" i="8"/>
  <c r="AA188" i="8"/>
  <c r="AB188" i="8"/>
  <c r="AC188" i="8"/>
  <c r="AD188" i="8"/>
  <c r="AE188" i="8"/>
  <c r="AF188" i="8"/>
  <c r="AG188" i="8"/>
  <c r="AH188" i="8"/>
  <c r="AI188" i="8"/>
  <c r="AJ188" i="8"/>
  <c r="AK188" i="8"/>
  <c r="AL188" i="8"/>
  <c r="AM188" i="8"/>
  <c r="AN188" i="8"/>
  <c r="AO188" i="8"/>
  <c r="AP188" i="8"/>
  <c r="AQ188" i="8"/>
  <c r="AR188" i="8"/>
  <c r="AS188" i="8"/>
  <c r="AT188" i="8"/>
  <c r="AU188" i="8"/>
  <c r="AV188" i="8"/>
  <c r="Z189" i="8"/>
  <c r="AA189" i="8"/>
  <c r="AB189" i="8"/>
  <c r="AC189" i="8"/>
  <c r="AD189" i="8"/>
  <c r="AE189" i="8"/>
  <c r="AF189" i="8"/>
  <c r="AG189" i="8"/>
  <c r="AH189" i="8"/>
  <c r="AI189" i="8"/>
  <c r="AJ189" i="8"/>
  <c r="AK189" i="8"/>
  <c r="AL189" i="8"/>
  <c r="AM189" i="8"/>
  <c r="AN189" i="8"/>
  <c r="AO189" i="8"/>
  <c r="AP189" i="8"/>
  <c r="AQ189" i="8"/>
  <c r="AR189" i="8"/>
  <c r="AS189" i="8"/>
  <c r="AT189" i="8"/>
  <c r="AU189" i="8"/>
  <c r="AV189" i="8"/>
  <c r="Z190" i="8"/>
  <c r="AA190" i="8"/>
  <c r="AB190" i="8"/>
  <c r="AC190" i="8"/>
  <c r="AD190" i="8"/>
  <c r="AE190" i="8"/>
  <c r="AF190" i="8"/>
  <c r="AG190" i="8"/>
  <c r="AH190" i="8"/>
  <c r="AI190" i="8"/>
  <c r="AJ190" i="8"/>
  <c r="AK190" i="8"/>
  <c r="AL190" i="8"/>
  <c r="AM190" i="8"/>
  <c r="AN190" i="8"/>
  <c r="AO190" i="8"/>
  <c r="AP190" i="8"/>
  <c r="AQ190" i="8"/>
  <c r="AR190" i="8"/>
  <c r="AS190" i="8"/>
  <c r="AT190" i="8"/>
  <c r="AU190" i="8"/>
  <c r="AV190" i="8"/>
  <c r="Z191" i="8"/>
  <c r="AA191" i="8"/>
  <c r="AB191" i="8"/>
  <c r="AC191" i="8"/>
  <c r="AD191" i="8"/>
  <c r="AE191" i="8"/>
  <c r="AF191" i="8"/>
  <c r="AG191" i="8"/>
  <c r="AH191" i="8"/>
  <c r="AI191" i="8"/>
  <c r="AJ191" i="8"/>
  <c r="AK191" i="8"/>
  <c r="AL191" i="8"/>
  <c r="AM191" i="8"/>
  <c r="AN191" i="8"/>
  <c r="AO191" i="8"/>
  <c r="AP191" i="8"/>
  <c r="AQ191" i="8"/>
  <c r="AR191" i="8"/>
  <c r="AS191" i="8"/>
  <c r="AT191" i="8"/>
  <c r="AU191" i="8"/>
  <c r="AV191" i="8"/>
  <c r="Z192" i="8"/>
  <c r="AA192" i="8"/>
  <c r="AB192" i="8"/>
  <c r="AC192" i="8"/>
  <c r="AD192" i="8"/>
  <c r="AE192" i="8"/>
  <c r="AF192" i="8"/>
  <c r="AG192" i="8"/>
  <c r="AH192" i="8"/>
  <c r="AI192" i="8"/>
  <c r="AJ192" i="8"/>
  <c r="AK192" i="8"/>
  <c r="AL192" i="8"/>
  <c r="AM192" i="8"/>
  <c r="AN192" i="8"/>
  <c r="AO192" i="8"/>
  <c r="AP192" i="8"/>
  <c r="AQ192" i="8"/>
  <c r="AR192" i="8"/>
  <c r="AS192" i="8"/>
  <c r="AT192" i="8"/>
  <c r="AU192" i="8"/>
  <c r="AV192" i="8"/>
  <c r="Z193" i="8"/>
  <c r="AA193" i="8"/>
  <c r="AB193" i="8"/>
  <c r="AC193" i="8"/>
  <c r="AD193" i="8"/>
  <c r="AE193" i="8"/>
  <c r="AF193" i="8"/>
  <c r="AG193" i="8"/>
  <c r="AH193" i="8"/>
  <c r="AI193" i="8"/>
  <c r="AJ193" i="8"/>
  <c r="AK193" i="8"/>
  <c r="AL193" i="8"/>
  <c r="AM193" i="8"/>
  <c r="AN193" i="8"/>
  <c r="AO193" i="8"/>
  <c r="AP193" i="8"/>
  <c r="AQ193" i="8"/>
  <c r="AR193" i="8"/>
  <c r="AS193" i="8"/>
  <c r="AT193" i="8"/>
  <c r="AU193" i="8"/>
  <c r="AV193" i="8"/>
  <c r="Z194" i="8"/>
  <c r="AA194" i="8"/>
  <c r="AB194" i="8"/>
  <c r="AC194" i="8"/>
  <c r="AD194" i="8"/>
  <c r="AE194" i="8"/>
  <c r="AF194" i="8"/>
  <c r="AG194" i="8"/>
  <c r="AH194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AA182" i="8"/>
  <c r="AB182" i="8"/>
  <c r="AC182" i="8"/>
  <c r="AD182" i="8"/>
  <c r="AE182" i="8"/>
  <c r="AF182" i="8"/>
  <c r="AG182" i="8"/>
  <c r="AH182" i="8"/>
  <c r="AI182" i="8"/>
  <c r="AJ182" i="8"/>
  <c r="AK182" i="8"/>
  <c r="AL182" i="8"/>
  <c r="AM182" i="8"/>
  <c r="AN182" i="8"/>
  <c r="AO182" i="8"/>
  <c r="AP182" i="8"/>
  <c r="AQ182" i="8"/>
  <c r="AR182" i="8"/>
  <c r="AS182" i="8"/>
  <c r="AT182" i="8"/>
  <c r="AU182" i="8"/>
  <c r="AV182" i="8"/>
  <c r="Z182" i="8"/>
  <c r="AA179" i="8"/>
  <c r="AB179" i="8"/>
  <c r="AC179" i="8"/>
  <c r="AD179" i="8"/>
  <c r="AE179" i="8"/>
  <c r="AF179" i="8"/>
  <c r="AG179" i="8"/>
  <c r="AH179" i="8"/>
  <c r="AI179" i="8"/>
  <c r="AJ179" i="8"/>
  <c r="AK179" i="8"/>
  <c r="AL179" i="8"/>
  <c r="AM179" i="8"/>
  <c r="AN179" i="8"/>
  <c r="AO179" i="8"/>
  <c r="AP179" i="8"/>
  <c r="AQ179" i="8"/>
  <c r="AR179" i="8"/>
  <c r="AS179" i="8"/>
  <c r="AT179" i="8"/>
  <c r="AU179" i="8"/>
  <c r="AV179" i="8"/>
  <c r="AA180" i="8"/>
  <c r="AB180" i="8"/>
  <c r="AC180" i="8"/>
  <c r="AD180" i="8"/>
  <c r="AE180" i="8"/>
  <c r="AF180" i="8"/>
  <c r="AG180" i="8"/>
  <c r="AH180" i="8"/>
  <c r="AI180" i="8"/>
  <c r="AJ180" i="8"/>
  <c r="AK180" i="8"/>
  <c r="AL180" i="8"/>
  <c r="AM180" i="8"/>
  <c r="AN180" i="8"/>
  <c r="AO180" i="8"/>
  <c r="AP180" i="8"/>
  <c r="AQ180" i="8"/>
  <c r="AR180" i="8"/>
  <c r="AS180" i="8"/>
  <c r="AT180" i="8"/>
  <c r="AU180" i="8"/>
  <c r="AV180" i="8"/>
  <c r="Z180" i="8"/>
  <c r="Z179" i="8"/>
  <c r="Z96" i="8"/>
  <c r="AA96" i="8"/>
  <c r="AB96" i="8"/>
  <c r="AC96" i="8"/>
  <c r="AD96" i="8"/>
  <c r="AE96" i="8"/>
  <c r="AF96" i="8"/>
  <c r="AG96" i="8"/>
  <c r="AH96" i="8"/>
  <c r="AI96" i="8"/>
  <c r="AJ96" i="8"/>
  <c r="AK96" i="8"/>
  <c r="AL96" i="8"/>
  <c r="AM96" i="8"/>
  <c r="AN96" i="8"/>
  <c r="AO96" i="8"/>
  <c r="AP96" i="8"/>
  <c r="AQ96" i="8"/>
  <c r="AR96" i="8"/>
  <c r="AS96" i="8"/>
  <c r="AT96" i="8"/>
  <c r="AU96" i="8"/>
  <c r="AV96" i="8"/>
  <c r="AA97" i="8"/>
  <c r="AB97" i="8"/>
  <c r="AC97" i="8"/>
  <c r="AD97" i="8"/>
  <c r="AG97" i="8"/>
  <c r="AH97" i="8"/>
  <c r="AI97" i="8"/>
  <c r="AJ97" i="8"/>
  <c r="AM97" i="8"/>
  <c r="AN97" i="8"/>
  <c r="AO97" i="8"/>
  <c r="AP97" i="8"/>
  <c r="AS97" i="8"/>
  <c r="AT97" i="8"/>
  <c r="AU97" i="8"/>
  <c r="AV97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Z103" i="8"/>
  <c r="AA103" i="8"/>
  <c r="AB103" i="8"/>
  <c r="AC103" i="8"/>
  <c r="AD103" i="8"/>
  <c r="AE103" i="8"/>
  <c r="AF103" i="8"/>
  <c r="AG103" i="8"/>
  <c r="AH103" i="8"/>
  <c r="AI103" i="8"/>
  <c r="AJ103" i="8"/>
  <c r="AK103" i="8"/>
  <c r="AL103" i="8"/>
  <c r="AM103" i="8"/>
  <c r="AN103" i="8"/>
  <c r="AO103" i="8"/>
  <c r="AP103" i="8"/>
  <c r="AQ103" i="8"/>
  <c r="AR103" i="8"/>
  <c r="AS103" i="8"/>
  <c r="AT103" i="8"/>
  <c r="AU103" i="8"/>
  <c r="AV103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AP105" i="8"/>
  <c r="AQ105" i="8"/>
  <c r="AR105" i="8"/>
  <c r="AS105" i="8"/>
  <c r="AT105" i="8"/>
  <c r="AU105" i="8"/>
  <c r="AV105" i="8"/>
  <c r="Z106" i="8"/>
  <c r="AA106" i="8"/>
  <c r="AB106" i="8"/>
  <c r="AC106" i="8"/>
  <c r="AD106" i="8"/>
  <c r="AE106" i="8"/>
  <c r="AF106" i="8"/>
  <c r="AG106" i="8"/>
  <c r="AH106" i="8"/>
  <c r="AI106" i="8"/>
  <c r="AJ106" i="8"/>
  <c r="AK106" i="8"/>
  <c r="AL106" i="8"/>
  <c r="AM106" i="8"/>
  <c r="AN106" i="8"/>
  <c r="AO106" i="8"/>
  <c r="AP106" i="8"/>
  <c r="AQ106" i="8"/>
  <c r="AR106" i="8"/>
  <c r="AS106" i="8"/>
  <c r="AT106" i="8"/>
  <c r="AU106" i="8"/>
  <c r="AV106" i="8"/>
  <c r="Z107" i="8"/>
  <c r="AA107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AP107" i="8"/>
  <c r="AQ107" i="8"/>
  <c r="AR107" i="8"/>
  <c r="AS107" i="8"/>
  <c r="AT107" i="8"/>
  <c r="AU107" i="8"/>
  <c r="AV107" i="8"/>
  <c r="Z108" i="8"/>
  <c r="AA108" i="8"/>
  <c r="AB108" i="8"/>
  <c r="AC108" i="8"/>
  <c r="AD108" i="8"/>
  <c r="AE108" i="8"/>
  <c r="AF108" i="8"/>
  <c r="AG108" i="8"/>
  <c r="AH108" i="8"/>
  <c r="AI108" i="8"/>
  <c r="AJ108" i="8"/>
  <c r="AK108" i="8"/>
  <c r="AL108" i="8"/>
  <c r="AM108" i="8"/>
  <c r="AN108" i="8"/>
  <c r="AO108" i="8"/>
  <c r="AP108" i="8"/>
  <c r="AQ108" i="8"/>
  <c r="AR108" i="8"/>
  <c r="AS108" i="8"/>
  <c r="AT108" i="8"/>
  <c r="AU108" i="8"/>
  <c r="AV108" i="8"/>
  <c r="Z109" i="8"/>
  <c r="AA109" i="8"/>
  <c r="AB109" i="8"/>
  <c r="AC109" i="8"/>
  <c r="AD109" i="8"/>
  <c r="AE109" i="8"/>
  <c r="AF109" i="8"/>
  <c r="AG109" i="8"/>
  <c r="AH109" i="8"/>
  <c r="AI109" i="8"/>
  <c r="AJ109" i="8"/>
  <c r="AK109" i="8"/>
  <c r="AL109" i="8"/>
  <c r="AM109" i="8"/>
  <c r="AN109" i="8"/>
  <c r="AO109" i="8"/>
  <c r="AP109" i="8"/>
  <c r="AQ109" i="8"/>
  <c r="AR109" i="8"/>
  <c r="AS109" i="8"/>
  <c r="AT109" i="8"/>
  <c r="AU109" i="8"/>
  <c r="AV109" i="8"/>
  <c r="Z110" i="8"/>
  <c r="AA110" i="8"/>
  <c r="AB110" i="8"/>
  <c r="AC110" i="8"/>
  <c r="AD110" i="8"/>
  <c r="AE110" i="8"/>
  <c r="AF110" i="8"/>
  <c r="AG110" i="8"/>
  <c r="AH110" i="8"/>
  <c r="AI110" i="8"/>
  <c r="AJ110" i="8"/>
  <c r="AK110" i="8"/>
  <c r="AL110" i="8"/>
  <c r="AM110" i="8"/>
  <c r="AN110" i="8"/>
  <c r="AO110" i="8"/>
  <c r="AP110" i="8"/>
  <c r="AQ110" i="8"/>
  <c r="AR110" i="8"/>
  <c r="AS110" i="8"/>
  <c r="AT110" i="8"/>
  <c r="AU110" i="8"/>
  <c r="AV110" i="8"/>
  <c r="Z111" i="8"/>
  <c r="AA111" i="8"/>
  <c r="AB111" i="8"/>
  <c r="AC111" i="8"/>
  <c r="AD111" i="8"/>
  <c r="AE111" i="8"/>
  <c r="AF111" i="8"/>
  <c r="AG111" i="8"/>
  <c r="AH111" i="8"/>
  <c r="AI111" i="8"/>
  <c r="AJ111" i="8"/>
  <c r="AK111" i="8"/>
  <c r="AL111" i="8"/>
  <c r="AM111" i="8"/>
  <c r="AN111" i="8"/>
  <c r="AO111" i="8"/>
  <c r="AP111" i="8"/>
  <c r="AQ111" i="8"/>
  <c r="AR111" i="8"/>
  <c r="AS111" i="8"/>
  <c r="AT111" i="8"/>
  <c r="AU111" i="8"/>
  <c r="AV111" i="8"/>
  <c r="Z112" i="8"/>
  <c r="AA112" i="8"/>
  <c r="AB112" i="8"/>
  <c r="AC112" i="8"/>
  <c r="AD112" i="8"/>
  <c r="AE112" i="8"/>
  <c r="AF112" i="8"/>
  <c r="AG112" i="8"/>
  <c r="AH112" i="8"/>
  <c r="AI112" i="8"/>
  <c r="AJ112" i="8"/>
  <c r="AK112" i="8"/>
  <c r="AL112" i="8"/>
  <c r="AM112" i="8"/>
  <c r="AN112" i="8"/>
  <c r="AO112" i="8"/>
  <c r="AP112" i="8"/>
  <c r="AQ112" i="8"/>
  <c r="AR112" i="8"/>
  <c r="AS112" i="8"/>
  <c r="AT112" i="8"/>
  <c r="AU112" i="8"/>
  <c r="AV112" i="8"/>
  <c r="Z113" i="8"/>
  <c r="AA113" i="8"/>
  <c r="AB113" i="8"/>
  <c r="AC113" i="8"/>
  <c r="AD113" i="8"/>
  <c r="AE113" i="8"/>
  <c r="AF113" i="8"/>
  <c r="AG113" i="8"/>
  <c r="AH113" i="8"/>
  <c r="AI113" i="8"/>
  <c r="AJ113" i="8"/>
  <c r="AK113" i="8"/>
  <c r="AL113" i="8"/>
  <c r="AM113" i="8"/>
  <c r="AN113" i="8"/>
  <c r="AO113" i="8"/>
  <c r="AP113" i="8"/>
  <c r="AQ113" i="8"/>
  <c r="AR113" i="8"/>
  <c r="AS113" i="8"/>
  <c r="AT113" i="8"/>
  <c r="AU113" i="8"/>
  <c r="AV113" i="8"/>
  <c r="Z114" i="8"/>
  <c r="AA114" i="8"/>
  <c r="AB114" i="8"/>
  <c r="AC114" i="8"/>
  <c r="AD114" i="8"/>
  <c r="AE114" i="8"/>
  <c r="AF114" i="8"/>
  <c r="AG114" i="8"/>
  <c r="AH114" i="8"/>
  <c r="AI114" i="8"/>
  <c r="AJ114" i="8"/>
  <c r="AK114" i="8"/>
  <c r="AL114" i="8"/>
  <c r="AM114" i="8"/>
  <c r="AN114" i="8"/>
  <c r="AO114" i="8"/>
  <c r="AP114" i="8"/>
  <c r="AQ114" i="8"/>
  <c r="AR114" i="8"/>
  <c r="AS114" i="8"/>
  <c r="AT114" i="8"/>
  <c r="AU114" i="8"/>
  <c r="AV114" i="8"/>
  <c r="Z115" i="8"/>
  <c r="AA115" i="8"/>
  <c r="AB115" i="8"/>
  <c r="AC115" i="8"/>
  <c r="AD115" i="8"/>
  <c r="AE115" i="8"/>
  <c r="AF115" i="8"/>
  <c r="AG115" i="8"/>
  <c r="AH115" i="8"/>
  <c r="AI115" i="8"/>
  <c r="AJ115" i="8"/>
  <c r="AK115" i="8"/>
  <c r="AL115" i="8"/>
  <c r="AM115" i="8"/>
  <c r="AN115" i="8"/>
  <c r="AO115" i="8"/>
  <c r="AP115" i="8"/>
  <c r="AQ115" i="8"/>
  <c r="AR115" i="8"/>
  <c r="AS115" i="8"/>
  <c r="AT115" i="8"/>
  <c r="AU115" i="8"/>
  <c r="AV115" i="8"/>
  <c r="Z116" i="8"/>
  <c r="AA116" i="8"/>
  <c r="AB116" i="8"/>
  <c r="AC116" i="8"/>
  <c r="AD116" i="8"/>
  <c r="AE116" i="8"/>
  <c r="AF116" i="8"/>
  <c r="AG116" i="8"/>
  <c r="AH116" i="8"/>
  <c r="AI116" i="8"/>
  <c r="AJ116" i="8"/>
  <c r="AK116" i="8"/>
  <c r="AL116" i="8"/>
  <c r="AM116" i="8"/>
  <c r="AN116" i="8"/>
  <c r="AO116" i="8"/>
  <c r="AP116" i="8"/>
  <c r="AQ116" i="8"/>
  <c r="AR116" i="8"/>
  <c r="AS116" i="8"/>
  <c r="AT116" i="8"/>
  <c r="AU116" i="8"/>
  <c r="AV116" i="8"/>
  <c r="Z117" i="8"/>
  <c r="AA117" i="8"/>
  <c r="AB117" i="8"/>
  <c r="AC117" i="8"/>
  <c r="AD117" i="8"/>
  <c r="AE117" i="8"/>
  <c r="AF117" i="8"/>
  <c r="AG117" i="8"/>
  <c r="AH117" i="8"/>
  <c r="AI117" i="8"/>
  <c r="AJ117" i="8"/>
  <c r="AK117" i="8"/>
  <c r="AL117" i="8"/>
  <c r="AM117" i="8"/>
  <c r="AN117" i="8"/>
  <c r="AO117" i="8"/>
  <c r="AP117" i="8"/>
  <c r="AQ117" i="8"/>
  <c r="AR117" i="8"/>
  <c r="AS117" i="8"/>
  <c r="AT117" i="8"/>
  <c r="AU117" i="8"/>
  <c r="AV117" i="8"/>
  <c r="AA118" i="8"/>
  <c r="AB118" i="8"/>
  <c r="AC118" i="8"/>
  <c r="AD118" i="8"/>
  <c r="AG118" i="8"/>
  <c r="AH118" i="8"/>
  <c r="AI118" i="8"/>
  <c r="AJ118" i="8"/>
  <c r="AM118" i="8"/>
  <c r="AN118" i="8"/>
  <c r="AO118" i="8"/>
  <c r="AP118" i="8"/>
  <c r="AS118" i="8"/>
  <c r="AT118" i="8"/>
  <c r="AU118" i="8"/>
  <c r="AV118" i="8"/>
  <c r="Z119" i="8"/>
  <c r="AA119" i="8"/>
  <c r="AB119" i="8"/>
  <c r="AC119" i="8"/>
  <c r="AD119" i="8"/>
  <c r="AE119" i="8"/>
  <c r="AF119" i="8"/>
  <c r="AG119" i="8"/>
  <c r="AH119" i="8"/>
  <c r="AI119" i="8"/>
  <c r="AJ119" i="8"/>
  <c r="AK119" i="8"/>
  <c r="AL119" i="8"/>
  <c r="AM119" i="8"/>
  <c r="AN119" i="8"/>
  <c r="AO119" i="8"/>
  <c r="AP119" i="8"/>
  <c r="AQ119" i="8"/>
  <c r="AR119" i="8"/>
  <c r="AS119" i="8"/>
  <c r="AT119" i="8"/>
  <c r="AU119" i="8"/>
  <c r="AV119" i="8"/>
  <c r="Z120" i="8"/>
  <c r="AA120" i="8"/>
  <c r="AB120" i="8"/>
  <c r="AC120" i="8"/>
  <c r="AD120" i="8"/>
  <c r="AE120" i="8"/>
  <c r="AF120" i="8"/>
  <c r="AG120" i="8"/>
  <c r="AH120" i="8"/>
  <c r="AI120" i="8"/>
  <c r="AJ120" i="8"/>
  <c r="AK120" i="8"/>
  <c r="AL120" i="8"/>
  <c r="AM120" i="8"/>
  <c r="AN120" i="8"/>
  <c r="AO120" i="8"/>
  <c r="AP120" i="8"/>
  <c r="AQ120" i="8"/>
  <c r="AR120" i="8"/>
  <c r="AS120" i="8"/>
  <c r="AT120" i="8"/>
  <c r="AU120" i="8"/>
  <c r="AV120" i="8"/>
  <c r="Z121" i="8"/>
  <c r="AA121" i="8"/>
  <c r="AB121" i="8"/>
  <c r="AC121" i="8"/>
  <c r="AD121" i="8"/>
  <c r="AE121" i="8"/>
  <c r="AF121" i="8"/>
  <c r="AG121" i="8"/>
  <c r="AH121" i="8"/>
  <c r="AI121" i="8"/>
  <c r="AJ121" i="8"/>
  <c r="AK121" i="8"/>
  <c r="AL121" i="8"/>
  <c r="AM121" i="8"/>
  <c r="AN121" i="8"/>
  <c r="AO121" i="8"/>
  <c r="AP121" i="8"/>
  <c r="AQ121" i="8"/>
  <c r="AR121" i="8"/>
  <c r="AS121" i="8"/>
  <c r="AT121" i="8"/>
  <c r="AU121" i="8"/>
  <c r="AV121" i="8"/>
  <c r="Z122" i="8"/>
  <c r="AA122" i="8"/>
  <c r="AB122" i="8"/>
  <c r="AC122" i="8"/>
  <c r="AD122" i="8"/>
  <c r="AE122" i="8"/>
  <c r="AF122" i="8"/>
  <c r="AG122" i="8"/>
  <c r="AH122" i="8"/>
  <c r="AI122" i="8"/>
  <c r="AJ122" i="8"/>
  <c r="AK122" i="8"/>
  <c r="AL122" i="8"/>
  <c r="AM122" i="8"/>
  <c r="AN122" i="8"/>
  <c r="AO122" i="8"/>
  <c r="AP122" i="8"/>
  <c r="AQ122" i="8"/>
  <c r="AR122" i="8"/>
  <c r="AS122" i="8"/>
  <c r="AT122" i="8"/>
  <c r="AU122" i="8"/>
  <c r="AV122" i="8"/>
  <c r="Z123" i="8"/>
  <c r="AA123" i="8"/>
  <c r="AB123" i="8"/>
  <c r="AC123" i="8"/>
  <c r="AD123" i="8"/>
  <c r="AE123" i="8"/>
  <c r="AF123" i="8"/>
  <c r="AG123" i="8"/>
  <c r="AH123" i="8"/>
  <c r="AI123" i="8"/>
  <c r="AJ123" i="8"/>
  <c r="AK123" i="8"/>
  <c r="AL123" i="8"/>
  <c r="AM123" i="8"/>
  <c r="AN123" i="8"/>
  <c r="AO123" i="8"/>
  <c r="AP123" i="8"/>
  <c r="AQ123" i="8"/>
  <c r="AR123" i="8"/>
  <c r="AS123" i="8"/>
  <c r="AT123" i="8"/>
  <c r="AU123" i="8"/>
  <c r="AV123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Z125" i="8"/>
  <c r="AA125" i="8"/>
  <c r="AB125" i="8"/>
  <c r="AC125" i="8"/>
  <c r="AD125" i="8"/>
  <c r="AE125" i="8"/>
  <c r="AF125" i="8"/>
  <c r="AG125" i="8"/>
  <c r="AH125" i="8"/>
  <c r="AI125" i="8"/>
  <c r="AJ125" i="8"/>
  <c r="AK125" i="8"/>
  <c r="AL125" i="8"/>
  <c r="AM125" i="8"/>
  <c r="AN125" i="8"/>
  <c r="AO125" i="8"/>
  <c r="AP125" i="8"/>
  <c r="AQ125" i="8"/>
  <c r="AR125" i="8"/>
  <c r="AS125" i="8"/>
  <c r="AT125" i="8"/>
  <c r="AU125" i="8"/>
  <c r="AV125" i="8"/>
  <c r="Z126" i="8"/>
  <c r="AA126" i="8"/>
  <c r="AB126" i="8"/>
  <c r="AC126" i="8"/>
  <c r="AD126" i="8"/>
  <c r="AE126" i="8"/>
  <c r="AF126" i="8"/>
  <c r="AG126" i="8"/>
  <c r="AH126" i="8"/>
  <c r="AI126" i="8"/>
  <c r="AJ126" i="8"/>
  <c r="AK126" i="8"/>
  <c r="AL126" i="8"/>
  <c r="AM126" i="8"/>
  <c r="AN126" i="8"/>
  <c r="AO126" i="8"/>
  <c r="AP126" i="8"/>
  <c r="AQ126" i="8"/>
  <c r="AR126" i="8"/>
  <c r="AS126" i="8"/>
  <c r="AT126" i="8"/>
  <c r="AU126" i="8"/>
  <c r="AV126" i="8"/>
  <c r="Z127" i="8"/>
  <c r="AA127" i="8"/>
  <c r="AB127" i="8"/>
  <c r="AC127" i="8"/>
  <c r="AD127" i="8"/>
  <c r="AE127" i="8"/>
  <c r="AF127" i="8"/>
  <c r="AG127" i="8"/>
  <c r="AH127" i="8"/>
  <c r="AI127" i="8"/>
  <c r="AJ127" i="8"/>
  <c r="AK127" i="8"/>
  <c r="AL127" i="8"/>
  <c r="AM127" i="8"/>
  <c r="AN127" i="8"/>
  <c r="AO127" i="8"/>
  <c r="AP127" i="8"/>
  <c r="AQ127" i="8"/>
  <c r="AR127" i="8"/>
  <c r="AS127" i="8"/>
  <c r="AT127" i="8"/>
  <c r="AU127" i="8"/>
  <c r="AV127" i="8"/>
  <c r="Z128" i="8"/>
  <c r="AA128" i="8"/>
  <c r="AB128" i="8"/>
  <c r="AC128" i="8"/>
  <c r="AD128" i="8"/>
  <c r="AE128" i="8"/>
  <c r="AF128" i="8"/>
  <c r="AG128" i="8"/>
  <c r="AH128" i="8"/>
  <c r="AI128" i="8"/>
  <c r="AJ128" i="8"/>
  <c r="AK128" i="8"/>
  <c r="AL128" i="8"/>
  <c r="AM128" i="8"/>
  <c r="AN128" i="8"/>
  <c r="AO128" i="8"/>
  <c r="AP128" i="8"/>
  <c r="AQ128" i="8"/>
  <c r="AR128" i="8"/>
  <c r="AS128" i="8"/>
  <c r="AT128" i="8"/>
  <c r="AU128" i="8"/>
  <c r="AV128" i="8"/>
  <c r="Z129" i="8"/>
  <c r="AA129" i="8"/>
  <c r="AB129" i="8"/>
  <c r="AC129" i="8"/>
  <c r="AD129" i="8"/>
  <c r="AE129" i="8"/>
  <c r="AF129" i="8"/>
  <c r="AG129" i="8"/>
  <c r="AH129" i="8"/>
  <c r="AI129" i="8"/>
  <c r="AJ129" i="8"/>
  <c r="AK129" i="8"/>
  <c r="AL129" i="8"/>
  <c r="AM129" i="8"/>
  <c r="AN129" i="8"/>
  <c r="AO129" i="8"/>
  <c r="AP129" i="8"/>
  <c r="AQ129" i="8"/>
  <c r="AR129" i="8"/>
  <c r="AS129" i="8"/>
  <c r="AT129" i="8"/>
  <c r="AU129" i="8"/>
  <c r="AV129" i="8"/>
  <c r="Z130" i="8"/>
  <c r="AA130" i="8"/>
  <c r="AB130" i="8"/>
  <c r="AC130" i="8"/>
  <c r="AD130" i="8"/>
  <c r="AE130" i="8"/>
  <c r="AF130" i="8"/>
  <c r="AG130" i="8"/>
  <c r="AH130" i="8"/>
  <c r="AI130" i="8"/>
  <c r="AJ130" i="8"/>
  <c r="AK130" i="8"/>
  <c r="AL130" i="8"/>
  <c r="AM130" i="8"/>
  <c r="AN130" i="8"/>
  <c r="AO130" i="8"/>
  <c r="AP130" i="8"/>
  <c r="AQ130" i="8"/>
  <c r="AR130" i="8"/>
  <c r="AS130" i="8"/>
  <c r="AT130" i="8"/>
  <c r="AU130" i="8"/>
  <c r="AV130" i="8"/>
  <c r="Z131" i="8"/>
  <c r="AA131" i="8"/>
  <c r="AB131" i="8"/>
  <c r="AC131" i="8"/>
  <c r="AD131" i="8"/>
  <c r="AE131" i="8"/>
  <c r="AF131" i="8"/>
  <c r="AG131" i="8"/>
  <c r="AH131" i="8"/>
  <c r="AI131" i="8"/>
  <c r="AJ131" i="8"/>
  <c r="AK131" i="8"/>
  <c r="AL131" i="8"/>
  <c r="AM131" i="8"/>
  <c r="AN131" i="8"/>
  <c r="AO131" i="8"/>
  <c r="AP131" i="8"/>
  <c r="AQ131" i="8"/>
  <c r="AR131" i="8"/>
  <c r="AS131" i="8"/>
  <c r="AT131" i="8"/>
  <c r="AU131" i="8"/>
  <c r="AV131" i="8"/>
  <c r="Z132" i="8"/>
  <c r="AA132" i="8"/>
  <c r="AB132" i="8"/>
  <c r="AC132" i="8"/>
  <c r="AD132" i="8"/>
  <c r="AE132" i="8"/>
  <c r="AF132" i="8"/>
  <c r="AG132" i="8"/>
  <c r="AH132" i="8"/>
  <c r="AI132" i="8"/>
  <c r="AJ132" i="8"/>
  <c r="AK132" i="8"/>
  <c r="AL132" i="8"/>
  <c r="AM132" i="8"/>
  <c r="AN132" i="8"/>
  <c r="AO132" i="8"/>
  <c r="AP132" i="8"/>
  <c r="AQ132" i="8"/>
  <c r="AR132" i="8"/>
  <c r="AS132" i="8"/>
  <c r="AT132" i="8"/>
  <c r="AU132" i="8"/>
  <c r="AV132" i="8"/>
  <c r="Z133" i="8"/>
  <c r="AA133" i="8"/>
  <c r="AB133" i="8"/>
  <c r="AC133" i="8"/>
  <c r="AD133" i="8"/>
  <c r="AE133" i="8"/>
  <c r="AF133" i="8"/>
  <c r="AG133" i="8"/>
  <c r="AH133" i="8"/>
  <c r="AI133" i="8"/>
  <c r="AJ133" i="8"/>
  <c r="AK133" i="8"/>
  <c r="AL133" i="8"/>
  <c r="AM133" i="8"/>
  <c r="AN133" i="8"/>
  <c r="AO133" i="8"/>
  <c r="AP133" i="8"/>
  <c r="AQ133" i="8"/>
  <c r="AR133" i="8"/>
  <c r="AS133" i="8"/>
  <c r="AT133" i="8"/>
  <c r="AU133" i="8"/>
  <c r="AV133" i="8"/>
  <c r="Z134" i="8"/>
  <c r="AA134" i="8"/>
  <c r="AB134" i="8"/>
  <c r="AC134" i="8"/>
  <c r="AD134" i="8"/>
  <c r="AE134" i="8"/>
  <c r="AF134" i="8"/>
  <c r="AG134" i="8"/>
  <c r="AH134" i="8"/>
  <c r="AI134" i="8"/>
  <c r="AJ134" i="8"/>
  <c r="AK134" i="8"/>
  <c r="AL134" i="8"/>
  <c r="AM134" i="8"/>
  <c r="AN134" i="8"/>
  <c r="AO134" i="8"/>
  <c r="AP134" i="8"/>
  <c r="AQ134" i="8"/>
  <c r="AR134" i="8"/>
  <c r="AS134" i="8"/>
  <c r="AT134" i="8"/>
  <c r="AU134" i="8"/>
  <c r="AV134" i="8"/>
  <c r="Z135" i="8"/>
  <c r="AA135" i="8"/>
  <c r="AB135" i="8"/>
  <c r="AC135" i="8"/>
  <c r="AD135" i="8"/>
  <c r="AE135" i="8"/>
  <c r="AF135" i="8"/>
  <c r="AG135" i="8"/>
  <c r="AH135" i="8"/>
  <c r="AI135" i="8"/>
  <c r="AJ135" i="8"/>
  <c r="AK135" i="8"/>
  <c r="AL135" i="8"/>
  <c r="AM135" i="8"/>
  <c r="AN135" i="8"/>
  <c r="AO135" i="8"/>
  <c r="AP135" i="8"/>
  <c r="AQ135" i="8"/>
  <c r="AR135" i="8"/>
  <c r="AS135" i="8"/>
  <c r="AT135" i="8"/>
  <c r="AU135" i="8"/>
  <c r="AV135" i="8"/>
  <c r="Z136" i="8"/>
  <c r="AA136" i="8"/>
  <c r="AB136" i="8"/>
  <c r="AC136" i="8"/>
  <c r="AD136" i="8"/>
  <c r="AE136" i="8"/>
  <c r="AF136" i="8"/>
  <c r="AG136" i="8"/>
  <c r="AH136" i="8"/>
  <c r="AI136" i="8"/>
  <c r="AJ136" i="8"/>
  <c r="AK136" i="8"/>
  <c r="AL136" i="8"/>
  <c r="AM136" i="8"/>
  <c r="AN136" i="8"/>
  <c r="AO136" i="8"/>
  <c r="AP136" i="8"/>
  <c r="AQ136" i="8"/>
  <c r="AR136" i="8"/>
  <c r="AS136" i="8"/>
  <c r="AT136" i="8"/>
  <c r="AU136" i="8"/>
  <c r="AV136" i="8"/>
  <c r="Z137" i="8"/>
  <c r="AA137" i="8"/>
  <c r="AB137" i="8"/>
  <c r="AC137" i="8"/>
  <c r="AD137" i="8"/>
  <c r="AE137" i="8"/>
  <c r="AF137" i="8"/>
  <c r="AG137" i="8"/>
  <c r="AH137" i="8"/>
  <c r="AI137" i="8"/>
  <c r="AJ137" i="8"/>
  <c r="AK137" i="8"/>
  <c r="AL137" i="8"/>
  <c r="AM137" i="8"/>
  <c r="AN137" i="8"/>
  <c r="AO137" i="8"/>
  <c r="AP137" i="8"/>
  <c r="AQ137" i="8"/>
  <c r="AR137" i="8"/>
  <c r="AS137" i="8"/>
  <c r="AT137" i="8"/>
  <c r="AU137" i="8"/>
  <c r="AV137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AP138" i="8"/>
  <c r="AQ138" i="8"/>
  <c r="AR138" i="8"/>
  <c r="AS138" i="8"/>
  <c r="AT138" i="8"/>
  <c r="AU138" i="8"/>
  <c r="AV138" i="8"/>
  <c r="Z139" i="8"/>
  <c r="AA139" i="8"/>
  <c r="AB139" i="8"/>
  <c r="AC139" i="8"/>
  <c r="AD139" i="8"/>
  <c r="AE139" i="8"/>
  <c r="AF139" i="8"/>
  <c r="AG139" i="8"/>
  <c r="AH139" i="8"/>
  <c r="AI139" i="8"/>
  <c r="AJ139" i="8"/>
  <c r="AK139" i="8"/>
  <c r="AL139" i="8"/>
  <c r="AM139" i="8"/>
  <c r="AN139" i="8"/>
  <c r="AO139" i="8"/>
  <c r="AP139" i="8"/>
  <c r="AQ139" i="8"/>
  <c r="AR139" i="8"/>
  <c r="AS139" i="8"/>
  <c r="AT139" i="8"/>
  <c r="AU139" i="8"/>
  <c r="AV139" i="8"/>
  <c r="Z140" i="8"/>
  <c r="AA140" i="8"/>
  <c r="AB140" i="8"/>
  <c r="AC140" i="8"/>
  <c r="AD140" i="8"/>
  <c r="AE140" i="8"/>
  <c r="AF140" i="8"/>
  <c r="AG140" i="8"/>
  <c r="AH140" i="8"/>
  <c r="AI140" i="8"/>
  <c r="AJ140" i="8"/>
  <c r="AK140" i="8"/>
  <c r="AL140" i="8"/>
  <c r="AM140" i="8"/>
  <c r="AN140" i="8"/>
  <c r="AO140" i="8"/>
  <c r="AP140" i="8"/>
  <c r="AQ140" i="8"/>
  <c r="AR140" i="8"/>
  <c r="AS140" i="8"/>
  <c r="AT140" i="8"/>
  <c r="AU140" i="8"/>
  <c r="AV140" i="8"/>
  <c r="Z141" i="8"/>
  <c r="AA141" i="8"/>
  <c r="AB141" i="8"/>
  <c r="AC141" i="8"/>
  <c r="AD141" i="8"/>
  <c r="AE141" i="8"/>
  <c r="AF141" i="8"/>
  <c r="AG141" i="8"/>
  <c r="AH141" i="8"/>
  <c r="AI141" i="8"/>
  <c r="AJ141" i="8"/>
  <c r="AK141" i="8"/>
  <c r="AL141" i="8"/>
  <c r="AM141" i="8"/>
  <c r="AN141" i="8"/>
  <c r="AO141" i="8"/>
  <c r="AP141" i="8"/>
  <c r="AQ141" i="8"/>
  <c r="AR141" i="8"/>
  <c r="AS141" i="8"/>
  <c r="AT141" i="8"/>
  <c r="AU141" i="8"/>
  <c r="AV141" i="8"/>
  <c r="Z142" i="8"/>
  <c r="AA142" i="8"/>
  <c r="AB142" i="8"/>
  <c r="AC142" i="8"/>
  <c r="AD142" i="8"/>
  <c r="AE142" i="8"/>
  <c r="AF142" i="8"/>
  <c r="AG142" i="8"/>
  <c r="AH142" i="8"/>
  <c r="AI142" i="8"/>
  <c r="AJ142" i="8"/>
  <c r="AK142" i="8"/>
  <c r="AL142" i="8"/>
  <c r="AM142" i="8"/>
  <c r="AN142" i="8"/>
  <c r="AO142" i="8"/>
  <c r="AP142" i="8"/>
  <c r="AQ142" i="8"/>
  <c r="AR142" i="8"/>
  <c r="AS142" i="8"/>
  <c r="AT142" i="8"/>
  <c r="AU142" i="8"/>
  <c r="AV142" i="8"/>
  <c r="Z143" i="8"/>
  <c r="AA143" i="8"/>
  <c r="AB143" i="8"/>
  <c r="AC143" i="8"/>
  <c r="AD143" i="8"/>
  <c r="AE143" i="8"/>
  <c r="AF143" i="8"/>
  <c r="AG143" i="8"/>
  <c r="AH143" i="8"/>
  <c r="AI143" i="8"/>
  <c r="AJ143" i="8"/>
  <c r="AK143" i="8"/>
  <c r="AL143" i="8"/>
  <c r="AM143" i="8"/>
  <c r="AN143" i="8"/>
  <c r="AO143" i="8"/>
  <c r="AP143" i="8"/>
  <c r="AQ143" i="8"/>
  <c r="AR143" i="8"/>
  <c r="AS143" i="8"/>
  <c r="AT143" i="8"/>
  <c r="AU143" i="8"/>
  <c r="AV143" i="8"/>
  <c r="Z144" i="8"/>
  <c r="AA144" i="8"/>
  <c r="AB144" i="8"/>
  <c r="AC144" i="8"/>
  <c r="AD144" i="8"/>
  <c r="AE144" i="8"/>
  <c r="AF144" i="8"/>
  <c r="AG144" i="8"/>
  <c r="AH144" i="8"/>
  <c r="AI144" i="8"/>
  <c r="AJ144" i="8"/>
  <c r="AK144" i="8"/>
  <c r="AL144" i="8"/>
  <c r="AM144" i="8"/>
  <c r="AN144" i="8"/>
  <c r="AO144" i="8"/>
  <c r="AP144" i="8"/>
  <c r="AQ144" i="8"/>
  <c r="AR144" i="8"/>
  <c r="AS144" i="8"/>
  <c r="AT144" i="8"/>
  <c r="AU144" i="8"/>
  <c r="AV144" i="8"/>
  <c r="Z145" i="8"/>
  <c r="AA145" i="8"/>
  <c r="AB145" i="8"/>
  <c r="AC145" i="8"/>
  <c r="AD145" i="8"/>
  <c r="AE145" i="8"/>
  <c r="AF145" i="8"/>
  <c r="AG145" i="8"/>
  <c r="AH145" i="8"/>
  <c r="AI145" i="8"/>
  <c r="AJ145" i="8"/>
  <c r="AK145" i="8"/>
  <c r="AL145" i="8"/>
  <c r="AM145" i="8"/>
  <c r="AN145" i="8"/>
  <c r="AO145" i="8"/>
  <c r="AP145" i="8"/>
  <c r="AQ145" i="8"/>
  <c r="AR145" i="8"/>
  <c r="AS145" i="8"/>
  <c r="AT145" i="8"/>
  <c r="AU145" i="8"/>
  <c r="AV145" i="8"/>
  <c r="Z146" i="8"/>
  <c r="AA146" i="8"/>
  <c r="AB146" i="8"/>
  <c r="AC146" i="8"/>
  <c r="AD146" i="8"/>
  <c r="AE146" i="8"/>
  <c r="AF146" i="8"/>
  <c r="AG146" i="8"/>
  <c r="AH146" i="8"/>
  <c r="AI146" i="8"/>
  <c r="AJ146" i="8"/>
  <c r="AK146" i="8"/>
  <c r="AL146" i="8"/>
  <c r="AM146" i="8"/>
  <c r="AN146" i="8"/>
  <c r="AO146" i="8"/>
  <c r="AP146" i="8"/>
  <c r="AQ146" i="8"/>
  <c r="AR146" i="8"/>
  <c r="AS146" i="8"/>
  <c r="AT146" i="8"/>
  <c r="AU146" i="8"/>
  <c r="AV146" i="8"/>
  <c r="Z147" i="8"/>
  <c r="AA147" i="8"/>
  <c r="AB147" i="8"/>
  <c r="AC147" i="8"/>
  <c r="AD147" i="8"/>
  <c r="AE147" i="8"/>
  <c r="AF147" i="8"/>
  <c r="AG147" i="8"/>
  <c r="AH147" i="8"/>
  <c r="AI147" i="8"/>
  <c r="AJ147" i="8"/>
  <c r="AK147" i="8"/>
  <c r="AL147" i="8"/>
  <c r="AM147" i="8"/>
  <c r="AN147" i="8"/>
  <c r="AO147" i="8"/>
  <c r="AP147" i="8"/>
  <c r="AQ147" i="8"/>
  <c r="AR147" i="8"/>
  <c r="AS147" i="8"/>
  <c r="AT147" i="8"/>
  <c r="AU147" i="8"/>
  <c r="AV147" i="8"/>
  <c r="Z148" i="8"/>
  <c r="AA148" i="8"/>
  <c r="AB148" i="8"/>
  <c r="AC148" i="8"/>
  <c r="AD148" i="8"/>
  <c r="AE148" i="8"/>
  <c r="AF148" i="8"/>
  <c r="AG148" i="8"/>
  <c r="AH148" i="8"/>
  <c r="AI148" i="8"/>
  <c r="AJ148" i="8"/>
  <c r="AK148" i="8"/>
  <c r="AL148" i="8"/>
  <c r="AM148" i="8"/>
  <c r="AN148" i="8"/>
  <c r="AO148" i="8"/>
  <c r="AP148" i="8"/>
  <c r="AQ148" i="8"/>
  <c r="AR148" i="8"/>
  <c r="AS148" i="8"/>
  <c r="AT148" i="8"/>
  <c r="AU148" i="8"/>
  <c r="AV148" i="8"/>
  <c r="Z149" i="8"/>
  <c r="AA149" i="8"/>
  <c r="AB149" i="8"/>
  <c r="AC149" i="8"/>
  <c r="AD149" i="8"/>
  <c r="AE149" i="8"/>
  <c r="AF149" i="8"/>
  <c r="AG149" i="8"/>
  <c r="AH149" i="8"/>
  <c r="AI149" i="8"/>
  <c r="AJ149" i="8"/>
  <c r="AK149" i="8"/>
  <c r="AL149" i="8"/>
  <c r="AM149" i="8"/>
  <c r="AN149" i="8"/>
  <c r="AO149" i="8"/>
  <c r="AP149" i="8"/>
  <c r="AQ149" i="8"/>
  <c r="AR149" i="8"/>
  <c r="AS149" i="8"/>
  <c r="AT149" i="8"/>
  <c r="AU149" i="8"/>
  <c r="AV149" i="8"/>
  <c r="Z150" i="8"/>
  <c r="AA150" i="8"/>
  <c r="AB150" i="8"/>
  <c r="AC150" i="8"/>
  <c r="AD150" i="8"/>
  <c r="AE150" i="8"/>
  <c r="AF150" i="8"/>
  <c r="AG150" i="8"/>
  <c r="AH150" i="8"/>
  <c r="AI150" i="8"/>
  <c r="AJ150" i="8"/>
  <c r="AK150" i="8"/>
  <c r="AL150" i="8"/>
  <c r="AM150" i="8"/>
  <c r="AN150" i="8"/>
  <c r="AO150" i="8"/>
  <c r="AP150" i="8"/>
  <c r="AQ150" i="8"/>
  <c r="AR150" i="8"/>
  <c r="AS150" i="8"/>
  <c r="AT150" i="8"/>
  <c r="AU150" i="8"/>
  <c r="AV150" i="8"/>
  <c r="Z151" i="8"/>
  <c r="AA151" i="8"/>
  <c r="AB151" i="8"/>
  <c r="AC151" i="8"/>
  <c r="AD151" i="8"/>
  <c r="AE151" i="8"/>
  <c r="AF151" i="8"/>
  <c r="AG151" i="8"/>
  <c r="AH151" i="8"/>
  <c r="AI151" i="8"/>
  <c r="AJ151" i="8"/>
  <c r="AK151" i="8"/>
  <c r="AL151" i="8"/>
  <c r="AM151" i="8"/>
  <c r="AN151" i="8"/>
  <c r="AO151" i="8"/>
  <c r="AP151" i="8"/>
  <c r="AQ151" i="8"/>
  <c r="AR151" i="8"/>
  <c r="AS151" i="8"/>
  <c r="AT151" i="8"/>
  <c r="AU151" i="8"/>
  <c r="AV151" i="8"/>
  <c r="Z152" i="8"/>
  <c r="AA152" i="8"/>
  <c r="AB152" i="8"/>
  <c r="AC152" i="8"/>
  <c r="AD152" i="8"/>
  <c r="AE152" i="8"/>
  <c r="AF152" i="8"/>
  <c r="AG152" i="8"/>
  <c r="AH152" i="8"/>
  <c r="AI152" i="8"/>
  <c r="AJ152" i="8"/>
  <c r="AK152" i="8"/>
  <c r="AL152" i="8"/>
  <c r="AM152" i="8"/>
  <c r="AN152" i="8"/>
  <c r="AO152" i="8"/>
  <c r="AP152" i="8"/>
  <c r="AQ152" i="8"/>
  <c r="AR152" i="8"/>
  <c r="AS152" i="8"/>
  <c r="AT152" i="8"/>
  <c r="AU152" i="8"/>
  <c r="AV152" i="8"/>
  <c r="Z153" i="8"/>
  <c r="AA153" i="8"/>
  <c r="AB153" i="8"/>
  <c r="AC153" i="8"/>
  <c r="AD153" i="8"/>
  <c r="AE153" i="8"/>
  <c r="AF153" i="8"/>
  <c r="AG153" i="8"/>
  <c r="AH153" i="8"/>
  <c r="AI153" i="8"/>
  <c r="AJ153" i="8"/>
  <c r="AK153" i="8"/>
  <c r="AL153" i="8"/>
  <c r="AM153" i="8"/>
  <c r="AN153" i="8"/>
  <c r="AO153" i="8"/>
  <c r="AP153" i="8"/>
  <c r="AQ153" i="8"/>
  <c r="AR153" i="8"/>
  <c r="AS153" i="8"/>
  <c r="AT153" i="8"/>
  <c r="AU153" i="8"/>
  <c r="AV153" i="8"/>
  <c r="Z154" i="8"/>
  <c r="AA154" i="8"/>
  <c r="AB154" i="8"/>
  <c r="AC154" i="8"/>
  <c r="AD154" i="8"/>
  <c r="AE154" i="8"/>
  <c r="AF154" i="8"/>
  <c r="AG154" i="8"/>
  <c r="AH154" i="8"/>
  <c r="AI154" i="8"/>
  <c r="AJ154" i="8"/>
  <c r="AK154" i="8"/>
  <c r="AL154" i="8"/>
  <c r="AM154" i="8"/>
  <c r="AN154" i="8"/>
  <c r="AO154" i="8"/>
  <c r="AP154" i="8"/>
  <c r="AQ154" i="8"/>
  <c r="AR154" i="8"/>
  <c r="AS154" i="8"/>
  <c r="AT154" i="8"/>
  <c r="AU154" i="8"/>
  <c r="AV154" i="8"/>
  <c r="Z155" i="8"/>
  <c r="AA155" i="8"/>
  <c r="AB155" i="8"/>
  <c r="AC155" i="8"/>
  <c r="AD155" i="8"/>
  <c r="AE155" i="8"/>
  <c r="AF155" i="8"/>
  <c r="AG155" i="8"/>
  <c r="AH155" i="8"/>
  <c r="AI155" i="8"/>
  <c r="AJ155" i="8"/>
  <c r="AK155" i="8"/>
  <c r="AL155" i="8"/>
  <c r="AM155" i="8"/>
  <c r="AN155" i="8"/>
  <c r="AO155" i="8"/>
  <c r="AP155" i="8"/>
  <c r="AQ155" i="8"/>
  <c r="AR155" i="8"/>
  <c r="AS155" i="8"/>
  <c r="AT155" i="8"/>
  <c r="AU155" i="8"/>
  <c r="AV155" i="8"/>
  <c r="Z156" i="8"/>
  <c r="AA156" i="8"/>
  <c r="AB156" i="8"/>
  <c r="AC156" i="8"/>
  <c r="AD156" i="8"/>
  <c r="AE156" i="8"/>
  <c r="AF156" i="8"/>
  <c r="AG156" i="8"/>
  <c r="AH156" i="8"/>
  <c r="AI156" i="8"/>
  <c r="AJ156" i="8"/>
  <c r="AK156" i="8"/>
  <c r="AL156" i="8"/>
  <c r="AM156" i="8"/>
  <c r="AN156" i="8"/>
  <c r="AO156" i="8"/>
  <c r="AP156" i="8"/>
  <c r="AQ156" i="8"/>
  <c r="AR156" i="8"/>
  <c r="AS156" i="8"/>
  <c r="AT156" i="8"/>
  <c r="AU156" i="8"/>
  <c r="AV156" i="8"/>
  <c r="Z157" i="8"/>
  <c r="AA157" i="8"/>
  <c r="AB157" i="8"/>
  <c r="AC157" i="8"/>
  <c r="AD157" i="8"/>
  <c r="AE157" i="8"/>
  <c r="AF157" i="8"/>
  <c r="AG157" i="8"/>
  <c r="AH157" i="8"/>
  <c r="AI157" i="8"/>
  <c r="AJ157" i="8"/>
  <c r="AK157" i="8"/>
  <c r="AL157" i="8"/>
  <c r="AM157" i="8"/>
  <c r="AN157" i="8"/>
  <c r="AO157" i="8"/>
  <c r="AP157" i="8"/>
  <c r="AQ157" i="8"/>
  <c r="AR157" i="8"/>
  <c r="AS157" i="8"/>
  <c r="AT157" i="8"/>
  <c r="AU157" i="8"/>
  <c r="AV157" i="8"/>
  <c r="Z158" i="8"/>
  <c r="AA158" i="8"/>
  <c r="AB158" i="8"/>
  <c r="AC158" i="8"/>
  <c r="AD158" i="8"/>
  <c r="AE158" i="8"/>
  <c r="AF158" i="8"/>
  <c r="AG158" i="8"/>
  <c r="AH158" i="8"/>
  <c r="AI158" i="8"/>
  <c r="AJ158" i="8"/>
  <c r="AK158" i="8"/>
  <c r="AL158" i="8"/>
  <c r="AM158" i="8"/>
  <c r="AN158" i="8"/>
  <c r="AO158" i="8"/>
  <c r="AP158" i="8"/>
  <c r="AQ158" i="8"/>
  <c r="AR158" i="8"/>
  <c r="AS158" i="8"/>
  <c r="AT158" i="8"/>
  <c r="AU158" i="8"/>
  <c r="AV158" i="8"/>
  <c r="Z159" i="8"/>
  <c r="AA159" i="8"/>
  <c r="AB159" i="8"/>
  <c r="AC159" i="8"/>
  <c r="AD159" i="8"/>
  <c r="AE159" i="8"/>
  <c r="AF159" i="8"/>
  <c r="AG159" i="8"/>
  <c r="AH159" i="8"/>
  <c r="AI159" i="8"/>
  <c r="AJ159" i="8"/>
  <c r="AK159" i="8"/>
  <c r="AL159" i="8"/>
  <c r="AM159" i="8"/>
  <c r="AN159" i="8"/>
  <c r="AO159" i="8"/>
  <c r="AP159" i="8"/>
  <c r="AQ159" i="8"/>
  <c r="AR159" i="8"/>
  <c r="AS159" i="8"/>
  <c r="AT159" i="8"/>
  <c r="AU159" i="8"/>
  <c r="AV159" i="8"/>
  <c r="Z160" i="8"/>
  <c r="AA160" i="8"/>
  <c r="AB160" i="8"/>
  <c r="AC160" i="8"/>
  <c r="AD160" i="8"/>
  <c r="AE160" i="8"/>
  <c r="AF160" i="8"/>
  <c r="AG160" i="8"/>
  <c r="AH160" i="8"/>
  <c r="AI160" i="8"/>
  <c r="AJ160" i="8"/>
  <c r="AK160" i="8"/>
  <c r="AL160" i="8"/>
  <c r="AM160" i="8"/>
  <c r="AN160" i="8"/>
  <c r="AO160" i="8"/>
  <c r="AP160" i="8"/>
  <c r="AQ160" i="8"/>
  <c r="AR160" i="8"/>
  <c r="AS160" i="8"/>
  <c r="AT160" i="8"/>
  <c r="AU160" i="8"/>
  <c r="AV160" i="8"/>
  <c r="Z161" i="8"/>
  <c r="AA161" i="8"/>
  <c r="AB161" i="8"/>
  <c r="AC161" i="8"/>
  <c r="AD161" i="8"/>
  <c r="AE161" i="8"/>
  <c r="AF161" i="8"/>
  <c r="AG161" i="8"/>
  <c r="AH161" i="8"/>
  <c r="AI161" i="8"/>
  <c r="AJ161" i="8"/>
  <c r="AK161" i="8"/>
  <c r="AL161" i="8"/>
  <c r="AM161" i="8"/>
  <c r="AN161" i="8"/>
  <c r="AO161" i="8"/>
  <c r="AP161" i="8"/>
  <c r="AQ161" i="8"/>
  <c r="AR161" i="8"/>
  <c r="AS161" i="8"/>
  <c r="AT161" i="8"/>
  <c r="AU161" i="8"/>
  <c r="AV161" i="8"/>
  <c r="Z162" i="8"/>
  <c r="AA162" i="8"/>
  <c r="AB162" i="8"/>
  <c r="AC162" i="8"/>
  <c r="AD162" i="8"/>
  <c r="AE162" i="8"/>
  <c r="AF162" i="8"/>
  <c r="AG162" i="8"/>
  <c r="AH162" i="8"/>
  <c r="AI162" i="8"/>
  <c r="AJ162" i="8"/>
  <c r="AK162" i="8"/>
  <c r="AL162" i="8"/>
  <c r="AM162" i="8"/>
  <c r="AN162" i="8"/>
  <c r="AO162" i="8"/>
  <c r="AP162" i="8"/>
  <c r="AQ162" i="8"/>
  <c r="AR162" i="8"/>
  <c r="AS162" i="8"/>
  <c r="AT162" i="8"/>
  <c r="AU162" i="8"/>
  <c r="AV162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AO163" i="8"/>
  <c r="AP163" i="8"/>
  <c r="AQ163" i="8"/>
  <c r="AR163" i="8"/>
  <c r="AS163" i="8"/>
  <c r="AT163" i="8"/>
  <c r="AU163" i="8"/>
  <c r="AV163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AO164" i="8"/>
  <c r="AP164" i="8"/>
  <c r="AQ164" i="8"/>
  <c r="AR164" i="8"/>
  <c r="AS164" i="8"/>
  <c r="AT164" i="8"/>
  <c r="AU164" i="8"/>
  <c r="AV164" i="8"/>
  <c r="Z165" i="8"/>
  <c r="AA165" i="8"/>
  <c r="AB165" i="8"/>
  <c r="AC165" i="8"/>
  <c r="AD165" i="8"/>
  <c r="AE165" i="8"/>
  <c r="AF165" i="8"/>
  <c r="AG165" i="8"/>
  <c r="AH165" i="8"/>
  <c r="AI165" i="8"/>
  <c r="AJ165" i="8"/>
  <c r="AK165" i="8"/>
  <c r="AL165" i="8"/>
  <c r="AM165" i="8"/>
  <c r="AN165" i="8"/>
  <c r="AO165" i="8"/>
  <c r="AP165" i="8"/>
  <c r="AQ165" i="8"/>
  <c r="AR165" i="8"/>
  <c r="AS165" i="8"/>
  <c r="AT165" i="8"/>
  <c r="AU165" i="8"/>
  <c r="AV165" i="8"/>
  <c r="Z166" i="8"/>
  <c r="AA166" i="8"/>
  <c r="AB166" i="8"/>
  <c r="AC166" i="8"/>
  <c r="AD166" i="8"/>
  <c r="AE166" i="8"/>
  <c r="AF166" i="8"/>
  <c r="AG166" i="8"/>
  <c r="AH166" i="8"/>
  <c r="AI166" i="8"/>
  <c r="AJ166" i="8"/>
  <c r="AK166" i="8"/>
  <c r="AL166" i="8"/>
  <c r="AM166" i="8"/>
  <c r="AN166" i="8"/>
  <c r="AO166" i="8"/>
  <c r="AP166" i="8"/>
  <c r="AQ166" i="8"/>
  <c r="AR166" i="8"/>
  <c r="AS166" i="8"/>
  <c r="AT166" i="8"/>
  <c r="AU166" i="8"/>
  <c r="AV166" i="8"/>
  <c r="Z167" i="8"/>
  <c r="AA167" i="8"/>
  <c r="AB167" i="8"/>
  <c r="AC167" i="8"/>
  <c r="AD167" i="8"/>
  <c r="AE167" i="8"/>
  <c r="AF167" i="8"/>
  <c r="AG167" i="8"/>
  <c r="AH167" i="8"/>
  <c r="AI167" i="8"/>
  <c r="AJ167" i="8"/>
  <c r="AK167" i="8"/>
  <c r="AL167" i="8"/>
  <c r="AM167" i="8"/>
  <c r="AN167" i="8"/>
  <c r="AO167" i="8"/>
  <c r="AP167" i="8"/>
  <c r="AQ167" i="8"/>
  <c r="AR167" i="8"/>
  <c r="AS167" i="8"/>
  <c r="AT167" i="8"/>
  <c r="AU167" i="8"/>
  <c r="AV167" i="8"/>
  <c r="Z168" i="8"/>
  <c r="AA168" i="8"/>
  <c r="AB168" i="8"/>
  <c r="AC168" i="8"/>
  <c r="AD168" i="8"/>
  <c r="AE168" i="8"/>
  <c r="AF168" i="8"/>
  <c r="AG168" i="8"/>
  <c r="AH168" i="8"/>
  <c r="AI168" i="8"/>
  <c r="AJ168" i="8"/>
  <c r="AK168" i="8"/>
  <c r="AL168" i="8"/>
  <c r="AM168" i="8"/>
  <c r="AN168" i="8"/>
  <c r="AO168" i="8"/>
  <c r="AP168" i="8"/>
  <c r="AQ168" i="8"/>
  <c r="AR168" i="8"/>
  <c r="AS168" i="8"/>
  <c r="AT168" i="8"/>
  <c r="AU168" i="8"/>
  <c r="AV168" i="8"/>
  <c r="Z169" i="8"/>
  <c r="AA169" i="8"/>
  <c r="AB169" i="8"/>
  <c r="AC169" i="8"/>
  <c r="AD169" i="8"/>
  <c r="AE169" i="8"/>
  <c r="AF169" i="8"/>
  <c r="AG169" i="8"/>
  <c r="AH169" i="8"/>
  <c r="AI169" i="8"/>
  <c r="AJ169" i="8"/>
  <c r="AK169" i="8"/>
  <c r="AL169" i="8"/>
  <c r="AM169" i="8"/>
  <c r="AN169" i="8"/>
  <c r="AO169" i="8"/>
  <c r="AP169" i="8"/>
  <c r="AQ169" i="8"/>
  <c r="AR169" i="8"/>
  <c r="AS169" i="8"/>
  <c r="AT169" i="8"/>
  <c r="AU169" i="8"/>
  <c r="AV169" i="8"/>
  <c r="Z170" i="8"/>
  <c r="AA170" i="8"/>
  <c r="AB170" i="8"/>
  <c r="AC170" i="8"/>
  <c r="AD170" i="8"/>
  <c r="AE170" i="8"/>
  <c r="AF170" i="8"/>
  <c r="AG170" i="8"/>
  <c r="AH170" i="8"/>
  <c r="AI170" i="8"/>
  <c r="AJ170" i="8"/>
  <c r="AK170" i="8"/>
  <c r="AL170" i="8"/>
  <c r="AM170" i="8"/>
  <c r="AN170" i="8"/>
  <c r="AO170" i="8"/>
  <c r="AP170" i="8"/>
  <c r="AQ170" i="8"/>
  <c r="AR170" i="8"/>
  <c r="AS170" i="8"/>
  <c r="AT170" i="8"/>
  <c r="AU170" i="8"/>
  <c r="AV170" i="8"/>
  <c r="Z171" i="8"/>
  <c r="AA171" i="8"/>
  <c r="AB171" i="8"/>
  <c r="AC171" i="8"/>
  <c r="AD171" i="8"/>
  <c r="AE171" i="8"/>
  <c r="AF171" i="8"/>
  <c r="AG171" i="8"/>
  <c r="AH171" i="8"/>
  <c r="AI171" i="8"/>
  <c r="AJ171" i="8"/>
  <c r="AK171" i="8"/>
  <c r="AL171" i="8"/>
  <c r="AM171" i="8"/>
  <c r="AN171" i="8"/>
  <c r="AO171" i="8"/>
  <c r="AP171" i="8"/>
  <c r="AQ171" i="8"/>
  <c r="AR171" i="8"/>
  <c r="AS171" i="8"/>
  <c r="AT171" i="8"/>
  <c r="AU171" i="8"/>
  <c r="AV171" i="8"/>
  <c r="Z172" i="8"/>
  <c r="AA172" i="8"/>
  <c r="AB172" i="8"/>
  <c r="AC172" i="8"/>
  <c r="AD172" i="8"/>
  <c r="AE172" i="8"/>
  <c r="AF172" i="8"/>
  <c r="AG172" i="8"/>
  <c r="AH172" i="8"/>
  <c r="AI172" i="8"/>
  <c r="AJ172" i="8"/>
  <c r="AK172" i="8"/>
  <c r="AL172" i="8"/>
  <c r="AM172" i="8"/>
  <c r="AN172" i="8"/>
  <c r="AO172" i="8"/>
  <c r="AP172" i="8"/>
  <c r="AQ172" i="8"/>
  <c r="AR172" i="8"/>
  <c r="AS172" i="8"/>
  <c r="AT172" i="8"/>
  <c r="AU172" i="8"/>
  <c r="AV172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Z174" i="8"/>
  <c r="AA174" i="8"/>
  <c r="AB174" i="8"/>
  <c r="AC174" i="8"/>
  <c r="AD174" i="8"/>
  <c r="AE174" i="8"/>
  <c r="AF174" i="8"/>
  <c r="AG174" i="8"/>
  <c r="AH174" i="8"/>
  <c r="AI174" i="8"/>
  <c r="AJ174" i="8"/>
  <c r="AK174" i="8"/>
  <c r="AL174" i="8"/>
  <c r="AM174" i="8"/>
  <c r="AN174" i="8"/>
  <c r="AO174" i="8"/>
  <c r="AP174" i="8"/>
  <c r="AQ174" i="8"/>
  <c r="AR174" i="8"/>
  <c r="AS174" i="8"/>
  <c r="AT174" i="8"/>
  <c r="AU174" i="8"/>
  <c r="AV174" i="8"/>
  <c r="Z175" i="8"/>
  <c r="AA175" i="8"/>
  <c r="AB175" i="8"/>
  <c r="AC175" i="8"/>
  <c r="AD175" i="8"/>
  <c r="AE175" i="8"/>
  <c r="AF175" i="8"/>
  <c r="AG175" i="8"/>
  <c r="AH175" i="8"/>
  <c r="AI175" i="8"/>
  <c r="AJ175" i="8"/>
  <c r="AK175" i="8"/>
  <c r="AL175" i="8"/>
  <c r="AM175" i="8"/>
  <c r="AN175" i="8"/>
  <c r="AO175" i="8"/>
  <c r="AP175" i="8"/>
  <c r="AQ175" i="8"/>
  <c r="AR175" i="8"/>
  <c r="AS175" i="8"/>
  <c r="AT175" i="8"/>
  <c r="AU175" i="8"/>
  <c r="AV175" i="8"/>
  <c r="Z176" i="8"/>
  <c r="AA176" i="8"/>
  <c r="AB176" i="8"/>
  <c r="AC176" i="8"/>
  <c r="AD176" i="8"/>
  <c r="AE176" i="8"/>
  <c r="AF176" i="8"/>
  <c r="AG176" i="8"/>
  <c r="AH176" i="8"/>
  <c r="AI176" i="8"/>
  <c r="AJ176" i="8"/>
  <c r="AK176" i="8"/>
  <c r="AL176" i="8"/>
  <c r="AM176" i="8"/>
  <c r="AN176" i="8"/>
  <c r="AO176" i="8"/>
  <c r="AP176" i="8"/>
  <c r="AQ176" i="8"/>
  <c r="AR176" i="8"/>
  <c r="AS176" i="8"/>
  <c r="AT176" i="8"/>
  <c r="AU176" i="8"/>
  <c r="AV176" i="8"/>
  <c r="Z177" i="8"/>
  <c r="AA177" i="8"/>
  <c r="AB177" i="8"/>
  <c r="AC177" i="8"/>
  <c r="AD177" i="8"/>
  <c r="AE177" i="8"/>
  <c r="AF177" i="8"/>
  <c r="AG177" i="8"/>
  <c r="AH177" i="8"/>
  <c r="AI177" i="8"/>
  <c r="AJ177" i="8"/>
  <c r="AK177" i="8"/>
  <c r="AL177" i="8"/>
  <c r="AM177" i="8"/>
  <c r="AN177" i="8"/>
  <c r="AO177" i="8"/>
  <c r="AP177" i="8"/>
  <c r="AQ177" i="8"/>
  <c r="AR177" i="8"/>
  <c r="AS177" i="8"/>
  <c r="AT177" i="8"/>
  <c r="AU177" i="8"/>
  <c r="AV177" i="8"/>
  <c r="AA95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AP95" i="8"/>
  <c r="AQ95" i="8"/>
  <c r="AR95" i="8"/>
  <c r="AS95" i="8"/>
  <c r="AT95" i="8"/>
  <c r="AU95" i="8"/>
  <c r="AV95" i="8"/>
  <c r="Z9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R75" i="8"/>
  <c r="AS75" i="8"/>
  <c r="AT75" i="8"/>
  <c r="AU75" i="8"/>
  <c r="AV75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Z77" i="8"/>
  <c r="AA77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AP77" i="8"/>
  <c r="AQ77" i="8"/>
  <c r="AR77" i="8"/>
  <c r="AS77" i="8"/>
  <c r="AT77" i="8"/>
  <c r="AU77" i="8"/>
  <c r="AV77" i="8"/>
  <c r="Z78" i="8"/>
  <c r="AA78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AP78" i="8"/>
  <c r="AQ78" i="8"/>
  <c r="AR78" i="8"/>
  <c r="AS78" i="8"/>
  <c r="AT78" i="8"/>
  <c r="AU78" i="8"/>
  <c r="AV78" i="8"/>
  <c r="Z79" i="8"/>
  <c r="AA79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AP79" i="8"/>
  <c r="AQ79" i="8"/>
  <c r="AR79" i="8"/>
  <c r="AS79" i="8"/>
  <c r="AT79" i="8"/>
  <c r="AU79" i="8"/>
  <c r="AV79" i="8"/>
  <c r="Z80" i="8"/>
  <c r="AA80" i="8"/>
  <c r="AB80" i="8"/>
  <c r="AC80" i="8"/>
  <c r="AD80" i="8"/>
  <c r="AE80" i="8"/>
  <c r="AF80" i="8"/>
  <c r="AG80" i="8"/>
  <c r="AH80" i="8"/>
  <c r="AI80" i="8"/>
  <c r="AJ80" i="8"/>
  <c r="AK80" i="8"/>
  <c r="AL80" i="8"/>
  <c r="AM80" i="8"/>
  <c r="AN80" i="8"/>
  <c r="AO80" i="8"/>
  <c r="AP80" i="8"/>
  <c r="AQ80" i="8"/>
  <c r="AR80" i="8"/>
  <c r="AS80" i="8"/>
  <c r="AT80" i="8"/>
  <c r="AU80" i="8"/>
  <c r="AV80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AR82" i="8"/>
  <c r="AS82" i="8"/>
  <c r="AT82" i="8"/>
  <c r="AU82" i="8"/>
  <c r="AV82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AT83" i="8"/>
  <c r="AU83" i="8"/>
  <c r="AV83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Z85" i="8"/>
  <c r="AA85" i="8"/>
  <c r="AB85" i="8"/>
  <c r="AC85" i="8"/>
  <c r="AD85" i="8"/>
  <c r="AE85" i="8"/>
  <c r="AF85" i="8"/>
  <c r="AG85" i="8"/>
  <c r="AH85" i="8"/>
  <c r="AI85" i="8"/>
  <c r="AJ85" i="8"/>
  <c r="AK85" i="8"/>
  <c r="AL85" i="8"/>
  <c r="AM85" i="8"/>
  <c r="AN85" i="8"/>
  <c r="AO85" i="8"/>
  <c r="AP85" i="8"/>
  <c r="AQ85" i="8"/>
  <c r="AR85" i="8"/>
  <c r="AS85" i="8"/>
  <c r="AT85" i="8"/>
  <c r="AU85" i="8"/>
  <c r="AV85" i="8"/>
  <c r="Z86" i="8"/>
  <c r="AA86" i="8"/>
  <c r="AB86" i="8"/>
  <c r="AC86" i="8"/>
  <c r="AD86" i="8"/>
  <c r="AE86" i="8"/>
  <c r="AF86" i="8"/>
  <c r="AG86" i="8"/>
  <c r="AH86" i="8"/>
  <c r="AI86" i="8"/>
  <c r="AJ86" i="8"/>
  <c r="AK86" i="8"/>
  <c r="AL86" i="8"/>
  <c r="AM86" i="8"/>
  <c r="AN86" i="8"/>
  <c r="AO86" i="8"/>
  <c r="AP86" i="8"/>
  <c r="AQ86" i="8"/>
  <c r="AR86" i="8"/>
  <c r="AS86" i="8"/>
  <c r="AT86" i="8"/>
  <c r="AU86" i="8"/>
  <c r="AV86" i="8"/>
  <c r="AA87" i="8"/>
  <c r="AB87" i="8"/>
  <c r="AC87" i="8"/>
  <c r="AD87" i="8"/>
  <c r="AG87" i="8"/>
  <c r="AH87" i="8"/>
  <c r="AI87" i="8"/>
  <c r="AJ87" i="8"/>
  <c r="AM87" i="8"/>
  <c r="AN87" i="8"/>
  <c r="AO87" i="8"/>
  <c r="AP87" i="8"/>
  <c r="AS87" i="8"/>
  <c r="AT87" i="8"/>
  <c r="AU87" i="8"/>
  <c r="AV87" i="8"/>
  <c r="Z88" i="8"/>
  <c r="AA88" i="8"/>
  <c r="AB88" i="8"/>
  <c r="AC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AP88" i="8"/>
  <c r="AQ88" i="8"/>
  <c r="AR88" i="8"/>
  <c r="AS88" i="8"/>
  <c r="AT88" i="8"/>
  <c r="AU88" i="8"/>
  <c r="AV88" i="8"/>
  <c r="Z89" i="8"/>
  <c r="AA89" i="8"/>
  <c r="AB89" i="8"/>
  <c r="AC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AP89" i="8"/>
  <c r="AQ89" i="8"/>
  <c r="AR89" i="8"/>
  <c r="AS89" i="8"/>
  <c r="AT89" i="8"/>
  <c r="AU89" i="8"/>
  <c r="AV89" i="8"/>
  <c r="Z90" i="8"/>
  <c r="AA90" i="8"/>
  <c r="AB90" i="8"/>
  <c r="AC90" i="8"/>
  <c r="AD90" i="8"/>
  <c r="AE90" i="8"/>
  <c r="AF90" i="8"/>
  <c r="AG90" i="8"/>
  <c r="AH90" i="8"/>
  <c r="AI90" i="8"/>
  <c r="AJ90" i="8"/>
  <c r="AK90" i="8"/>
  <c r="AL90" i="8"/>
  <c r="AM90" i="8"/>
  <c r="AN90" i="8"/>
  <c r="AO90" i="8"/>
  <c r="AP90" i="8"/>
  <c r="AQ90" i="8"/>
  <c r="AR90" i="8"/>
  <c r="AS90" i="8"/>
  <c r="AT90" i="8"/>
  <c r="AU90" i="8"/>
  <c r="AV90" i="8"/>
  <c r="Z91" i="8"/>
  <c r="AA91" i="8"/>
  <c r="AB91" i="8"/>
  <c r="AC91" i="8"/>
  <c r="AD91" i="8"/>
  <c r="AE91" i="8"/>
  <c r="AF91" i="8"/>
  <c r="AG91" i="8"/>
  <c r="AH91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Z92" i="8"/>
  <c r="AA92" i="8"/>
  <c r="AB92" i="8"/>
  <c r="AC92" i="8"/>
  <c r="AD92" i="8"/>
  <c r="AE92" i="8"/>
  <c r="AF92" i="8"/>
  <c r="AG92" i="8"/>
  <c r="AH92" i="8"/>
  <c r="AI92" i="8"/>
  <c r="AJ92" i="8"/>
  <c r="AK92" i="8"/>
  <c r="AL92" i="8"/>
  <c r="AM92" i="8"/>
  <c r="AN92" i="8"/>
  <c r="AO92" i="8"/>
  <c r="AP92" i="8"/>
  <c r="AQ92" i="8"/>
  <c r="AR92" i="8"/>
  <c r="AS92" i="8"/>
  <c r="AT92" i="8"/>
  <c r="AU92" i="8"/>
  <c r="AV92" i="8"/>
  <c r="Z93" i="8"/>
  <c r="AA93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AP93" i="8"/>
  <c r="AQ93" i="8"/>
  <c r="AR93" i="8"/>
  <c r="AS93" i="8"/>
  <c r="AT93" i="8"/>
  <c r="AU93" i="8"/>
  <c r="AV93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Z74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A68" i="8"/>
  <c r="AB68" i="8"/>
  <c r="AC68" i="8"/>
  <c r="AD68" i="8"/>
  <c r="AG68" i="8"/>
  <c r="AH68" i="8"/>
  <c r="AI68" i="8"/>
  <c r="AJ68" i="8"/>
  <c r="AM68" i="8"/>
  <c r="AN68" i="8"/>
  <c r="AO68" i="8"/>
  <c r="AP68" i="8"/>
  <c r="AS68" i="8"/>
  <c r="AT68" i="8"/>
  <c r="AU68" i="8"/>
  <c r="AV68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Z70" i="8"/>
  <c r="AA70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Z64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A50" i="8"/>
  <c r="AB50" i="8"/>
  <c r="AC50" i="8"/>
  <c r="AD50" i="8"/>
  <c r="AG50" i="8"/>
  <c r="AH50" i="8"/>
  <c r="AI50" i="8"/>
  <c r="AJ50" i="8"/>
  <c r="AM50" i="8"/>
  <c r="AN50" i="8"/>
  <c r="AO50" i="8"/>
  <c r="AP50" i="8"/>
  <c r="AS50" i="8"/>
  <c r="AT50" i="8"/>
  <c r="AU50" i="8"/>
  <c r="AV50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Z45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C33" i="8"/>
  <c r="AA34" i="8"/>
  <c r="AB34" i="8"/>
  <c r="AC34" i="8"/>
  <c r="AD34" i="8"/>
  <c r="AE34" i="8"/>
  <c r="AG34" i="8"/>
  <c r="AH34" i="8"/>
  <c r="AI34" i="8"/>
  <c r="AJ34" i="8"/>
  <c r="AK34" i="8"/>
  <c r="AM34" i="8"/>
  <c r="AN34" i="8"/>
  <c r="AO34" i="8"/>
  <c r="AP34" i="8"/>
  <c r="AS34" i="8"/>
  <c r="AT34" i="8"/>
  <c r="AU34" i="8"/>
  <c r="AV34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Z27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C20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Z94" i="11" l="1"/>
  <c r="BA94" i="11" s="1"/>
  <c r="AZ178" i="11"/>
  <c r="BA178" i="11" s="1"/>
  <c r="AZ181" i="11"/>
  <c r="BA181" i="11" s="1"/>
  <c r="AR50" i="8"/>
  <c r="AL50" i="8"/>
  <c r="AF50" i="8"/>
  <c r="AR68" i="8"/>
  <c r="AL68" i="8"/>
  <c r="AF68" i="8"/>
  <c r="AR87" i="8"/>
  <c r="AR73" i="8" s="1"/>
  <c r="AL87" i="8"/>
  <c r="AL73" i="8" s="1"/>
  <c r="AF87" i="8"/>
  <c r="AF73" i="8" s="1"/>
  <c r="AR97" i="8"/>
  <c r="AL97" i="8"/>
  <c r="AF97" i="8"/>
  <c r="AR118" i="8"/>
  <c r="AL118" i="8"/>
  <c r="AF118" i="8"/>
  <c r="AR202" i="8"/>
  <c r="AL202" i="8"/>
  <c r="AF202" i="8"/>
  <c r="AR205" i="8"/>
  <c r="AL205" i="8"/>
  <c r="AF205" i="8"/>
  <c r="AR219" i="8"/>
  <c r="AL219" i="8"/>
  <c r="AF219" i="8"/>
  <c r="AR34" i="8"/>
  <c r="AL34" i="8"/>
  <c r="AF34" i="8"/>
  <c r="AQ50" i="8"/>
  <c r="AK50" i="8"/>
  <c r="AE50" i="8"/>
  <c r="AQ68" i="8"/>
  <c r="AK68" i="8"/>
  <c r="AE68" i="8"/>
  <c r="AQ87" i="8"/>
  <c r="AQ73" i="8" s="1"/>
  <c r="AK87" i="8"/>
  <c r="AE87" i="8"/>
  <c r="AQ97" i="8"/>
  <c r="AK97" i="8"/>
  <c r="AE97" i="8"/>
  <c r="AQ118" i="8"/>
  <c r="AK118" i="8"/>
  <c r="AE118" i="8"/>
  <c r="AQ202" i="8"/>
  <c r="AK202" i="8"/>
  <c r="AE202" i="8"/>
  <c r="AQ205" i="8"/>
  <c r="AK205" i="8"/>
  <c r="AE205" i="8"/>
  <c r="AQ219" i="8"/>
  <c r="AK219" i="8"/>
  <c r="AE219" i="8"/>
  <c r="AQ34" i="8"/>
  <c r="W247" i="11"/>
  <c r="Q247" i="11"/>
  <c r="K247" i="11"/>
  <c r="E247" i="11"/>
  <c r="V247" i="11"/>
  <c r="P247" i="11"/>
  <c r="J247" i="11"/>
  <c r="D247" i="11"/>
  <c r="AZ223" i="11"/>
  <c r="BA223" i="11" s="1"/>
  <c r="AZ231" i="11"/>
  <c r="BA231" i="11" s="1"/>
  <c r="AZ195" i="11"/>
  <c r="BA195" i="11" s="1"/>
  <c r="AY6" i="11"/>
  <c r="Z50" i="8"/>
  <c r="AY26" i="11"/>
  <c r="Z68" i="8"/>
  <c r="AY44" i="11"/>
  <c r="Z87" i="8"/>
  <c r="AY63" i="11"/>
  <c r="Z97" i="8"/>
  <c r="AY73" i="11"/>
  <c r="Z118" i="8"/>
  <c r="AY94" i="11"/>
  <c r="Z202" i="8"/>
  <c r="AY178" i="11"/>
  <c r="Z205" i="8"/>
  <c r="AY181" i="11"/>
  <c r="AY223" i="11"/>
  <c r="Z34" i="8"/>
  <c r="AY231" i="11"/>
  <c r="Z219" i="8"/>
  <c r="AY195" i="11"/>
  <c r="AZ6" i="11"/>
  <c r="BA6" i="11" s="1"/>
  <c r="AZ26" i="11"/>
  <c r="BA26" i="11" s="1"/>
  <c r="AZ44" i="11"/>
  <c r="BA44" i="11" s="1"/>
  <c r="AZ63" i="11"/>
  <c r="BA63" i="11" s="1"/>
  <c r="AZ73" i="11"/>
  <c r="BA73" i="11" s="1"/>
  <c r="AZ247" i="11"/>
  <c r="BA247" i="11" s="1"/>
  <c r="AW105" i="8"/>
  <c r="AW99" i="8"/>
  <c r="AW240" i="8"/>
  <c r="AW57" i="8"/>
  <c r="AW67" i="8"/>
  <c r="AW58" i="8"/>
  <c r="AW106" i="8"/>
  <c r="AW100" i="8"/>
  <c r="AW59" i="8"/>
  <c r="AW53" i="8"/>
  <c r="AW137" i="8"/>
  <c r="AW101" i="8"/>
  <c r="AW23" i="8"/>
  <c r="AW60" i="8"/>
  <c r="AW54" i="8"/>
  <c r="AW102" i="8"/>
  <c r="AW24" i="8"/>
  <c r="AW61" i="8"/>
  <c r="AW55" i="8"/>
  <c r="AW103" i="8"/>
  <c r="AW180" i="8"/>
  <c r="AW18" i="8"/>
  <c r="AW25" i="8"/>
  <c r="AW19" i="8"/>
  <c r="AW62" i="8"/>
  <c r="AW56" i="8"/>
  <c r="AW104" i="8"/>
  <c r="AS73" i="8"/>
  <c r="AO73" i="8"/>
  <c r="AK73" i="8"/>
  <c r="AP73" i="8"/>
  <c r="AH73" i="8"/>
  <c r="AU73" i="8"/>
  <c r="AM73" i="8"/>
  <c r="AI73" i="8"/>
  <c r="AE73" i="8"/>
  <c r="AA73" i="8"/>
  <c r="AV73" i="8"/>
  <c r="AN73" i="8"/>
  <c r="AJ73" i="8"/>
  <c r="AT73" i="8"/>
  <c r="AD73" i="8"/>
  <c r="AG73" i="8"/>
  <c r="AC73" i="8"/>
  <c r="AB73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C233" i="8"/>
  <c r="D233" i="8"/>
  <c r="AZ233" i="8" s="1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C234" i="8"/>
  <c r="D234" i="8"/>
  <c r="AZ234" i="8" s="1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C235" i="8"/>
  <c r="D235" i="8"/>
  <c r="AZ235" i="8" s="1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C236" i="8"/>
  <c r="D236" i="8"/>
  <c r="AZ236" i="8" s="1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C237" i="8"/>
  <c r="D237" i="8"/>
  <c r="AZ237" i="8" s="1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C238" i="8"/>
  <c r="D238" i="8"/>
  <c r="AZ238" i="8" s="1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C239" i="8"/>
  <c r="D239" i="8"/>
  <c r="AZ239" i="8" s="1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C240" i="8"/>
  <c r="D240" i="8"/>
  <c r="AZ240" i="8" s="1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C241" i="8"/>
  <c r="D241" i="8"/>
  <c r="AZ241" i="8" s="1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C242" i="8"/>
  <c r="D242" i="8"/>
  <c r="AZ242" i="8" s="1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C243" i="8"/>
  <c r="D243" i="8"/>
  <c r="AZ243" i="8" s="1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C244" i="8"/>
  <c r="D244" i="8"/>
  <c r="AZ244" i="8" s="1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C245" i="8"/>
  <c r="D245" i="8"/>
  <c r="AZ245" i="8" s="1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C246" i="8"/>
  <c r="D246" i="8"/>
  <c r="AZ246" i="8" s="1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32" i="8"/>
  <c r="B225" i="8"/>
  <c r="C225" i="8"/>
  <c r="D225" i="8"/>
  <c r="AZ225" i="8" s="1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B226" i="8"/>
  <c r="C226" i="8"/>
  <c r="D226" i="8"/>
  <c r="AZ226" i="8" s="1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B227" i="8"/>
  <c r="C227" i="8"/>
  <c r="D227" i="8"/>
  <c r="AZ227" i="8" s="1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B228" i="8"/>
  <c r="C228" i="8"/>
  <c r="D228" i="8"/>
  <c r="AZ228" i="8" s="1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B229" i="8"/>
  <c r="C229" i="8"/>
  <c r="D229" i="8"/>
  <c r="AZ229" i="8" s="1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B230" i="8"/>
  <c r="C230" i="8"/>
  <c r="D230" i="8"/>
  <c r="AZ230" i="8" s="1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B224" i="8"/>
  <c r="B197" i="8"/>
  <c r="C197" i="8"/>
  <c r="D197" i="8"/>
  <c r="AZ197" i="8" s="1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B198" i="8"/>
  <c r="C198" i="8"/>
  <c r="D198" i="8"/>
  <c r="AZ198" i="8" s="1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B199" i="8"/>
  <c r="C199" i="8"/>
  <c r="D199" i="8"/>
  <c r="AZ199" i="8" s="1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B200" i="8"/>
  <c r="C200" i="8"/>
  <c r="D200" i="8"/>
  <c r="AZ200" i="8" s="1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B201" i="8"/>
  <c r="C201" i="8"/>
  <c r="D201" i="8"/>
  <c r="AZ201" i="8" s="1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B202" i="8"/>
  <c r="C202" i="8"/>
  <c r="D202" i="8"/>
  <c r="AZ202" i="8" s="1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B203" i="8"/>
  <c r="C203" i="8"/>
  <c r="D203" i="8"/>
  <c r="AZ203" i="8" s="1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B204" i="8"/>
  <c r="C204" i="8"/>
  <c r="D204" i="8"/>
  <c r="AZ204" i="8" s="1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B205" i="8"/>
  <c r="C205" i="8"/>
  <c r="D205" i="8"/>
  <c r="AZ205" i="8" s="1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B206" i="8"/>
  <c r="C206" i="8"/>
  <c r="D206" i="8"/>
  <c r="AZ206" i="8" s="1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B207" i="8"/>
  <c r="C207" i="8"/>
  <c r="D207" i="8"/>
  <c r="AZ207" i="8" s="1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B208" i="8"/>
  <c r="C208" i="8"/>
  <c r="D208" i="8"/>
  <c r="AZ208" i="8" s="1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B209" i="8"/>
  <c r="C209" i="8"/>
  <c r="D209" i="8"/>
  <c r="AZ209" i="8" s="1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B210" i="8"/>
  <c r="C210" i="8"/>
  <c r="D210" i="8"/>
  <c r="AZ210" i="8" s="1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B211" i="8"/>
  <c r="C211" i="8"/>
  <c r="D211" i="8"/>
  <c r="AZ211" i="8" s="1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B214" i="8"/>
  <c r="C214" i="8"/>
  <c r="D214" i="8"/>
  <c r="AZ214" i="8" s="1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B215" i="8"/>
  <c r="C215" i="8"/>
  <c r="D215" i="8"/>
  <c r="AZ215" i="8" s="1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B216" i="8"/>
  <c r="C216" i="8"/>
  <c r="D216" i="8"/>
  <c r="AZ216" i="8" s="1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B217" i="8"/>
  <c r="C217" i="8"/>
  <c r="D217" i="8"/>
  <c r="AZ217" i="8" s="1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B218" i="8"/>
  <c r="C218" i="8"/>
  <c r="D218" i="8"/>
  <c r="AZ218" i="8" s="1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B219" i="8"/>
  <c r="C219" i="8"/>
  <c r="D219" i="8"/>
  <c r="AZ219" i="8" s="1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B220" i="8"/>
  <c r="C220" i="8"/>
  <c r="D220" i="8"/>
  <c r="AZ220" i="8" s="1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B221" i="8"/>
  <c r="C221" i="8"/>
  <c r="D221" i="8"/>
  <c r="AZ221" i="8" s="1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B222" i="8"/>
  <c r="C222" i="8"/>
  <c r="D222" i="8"/>
  <c r="AZ222" i="8" s="1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B196" i="8"/>
  <c r="B183" i="8"/>
  <c r="C183" i="8"/>
  <c r="D183" i="8"/>
  <c r="AZ183" i="8" s="1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B184" i="8"/>
  <c r="C184" i="8"/>
  <c r="D184" i="8"/>
  <c r="AZ184" i="8" s="1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B185" i="8"/>
  <c r="C185" i="8"/>
  <c r="D185" i="8"/>
  <c r="AZ185" i="8" s="1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B186" i="8"/>
  <c r="C186" i="8"/>
  <c r="D186" i="8"/>
  <c r="AZ186" i="8" s="1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B187" i="8"/>
  <c r="C187" i="8"/>
  <c r="D187" i="8"/>
  <c r="AZ187" i="8" s="1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B188" i="8"/>
  <c r="C188" i="8"/>
  <c r="D188" i="8"/>
  <c r="AZ188" i="8" s="1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B189" i="8"/>
  <c r="C189" i="8"/>
  <c r="D189" i="8"/>
  <c r="AZ189" i="8" s="1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B190" i="8"/>
  <c r="C190" i="8"/>
  <c r="D190" i="8"/>
  <c r="AZ190" i="8" s="1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B191" i="8"/>
  <c r="C191" i="8"/>
  <c r="D191" i="8"/>
  <c r="AZ191" i="8" s="1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B192" i="8"/>
  <c r="C192" i="8"/>
  <c r="D192" i="8"/>
  <c r="AZ192" i="8" s="1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B193" i="8"/>
  <c r="C193" i="8"/>
  <c r="D193" i="8"/>
  <c r="AZ193" i="8" s="1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B194" i="8"/>
  <c r="C194" i="8"/>
  <c r="D194" i="8"/>
  <c r="AZ194" i="8" s="1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B182" i="8"/>
  <c r="B180" i="8"/>
  <c r="C180" i="8"/>
  <c r="D180" i="8"/>
  <c r="AZ180" i="8" s="1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B179" i="8"/>
  <c r="B96" i="8"/>
  <c r="C96" i="8"/>
  <c r="D96" i="8"/>
  <c r="AZ96" i="8" s="1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B97" i="8"/>
  <c r="C97" i="8"/>
  <c r="D97" i="8"/>
  <c r="AZ97" i="8" s="1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B99" i="8"/>
  <c r="C99" i="8"/>
  <c r="D99" i="8"/>
  <c r="AZ99" i="8" s="1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B100" i="8"/>
  <c r="C100" i="8"/>
  <c r="D100" i="8"/>
  <c r="AZ100" i="8" s="1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B101" i="8"/>
  <c r="C101" i="8"/>
  <c r="D101" i="8"/>
  <c r="AZ101" i="8" s="1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B102" i="8"/>
  <c r="C102" i="8"/>
  <c r="D102" i="8"/>
  <c r="AZ102" i="8" s="1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B103" i="8"/>
  <c r="C103" i="8"/>
  <c r="D103" i="8"/>
  <c r="AZ103" i="8" s="1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B104" i="8"/>
  <c r="C104" i="8"/>
  <c r="D104" i="8"/>
  <c r="AZ104" i="8" s="1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B105" i="8"/>
  <c r="C105" i="8"/>
  <c r="D105" i="8"/>
  <c r="AZ105" i="8" s="1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B106" i="8"/>
  <c r="C106" i="8"/>
  <c r="D106" i="8"/>
  <c r="AZ106" i="8" s="1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B107" i="8"/>
  <c r="C107" i="8"/>
  <c r="D107" i="8"/>
  <c r="AZ107" i="8" s="1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B108" i="8"/>
  <c r="C108" i="8"/>
  <c r="D108" i="8"/>
  <c r="AZ108" i="8" s="1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B109" i="8"/>
  <c r="C109" i="8"/>
  <c r="D109" i="8"/>
  <c r="AZ109" i="8" s="1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B110" i="8"/>
  <c r="C110" i="8"/>
  <c r="D110" i="8"/>
  <c r="AZ110" i="8" s="1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B111" i="8"/>
  <c r="C111" i="8"/>
  <c r="D111" i="8"/>
  <c r="AZ111" i="8" s="1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B112" i="8"/>
  <c r="C112" i="8"/>
  <c r="D112" i="8"/>
  <c r="AZ112" i="8" s="1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B113" i="8"/>
  <c r="C113" i="8"/>
  <c r="D113" i="8"/>
  <c r="AZ113" i="8" s="1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B114" i="8"/>
  <c r="C114" i="8"/>
  <c r="D114" i="8"/>
  <c r="AZ114" i="8" s="1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B115" i="8"/>
  <c r="C115" i="8"/>
  <c r="D115" i="8"/>
  <c r="AZ115" i="8" s="1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B116" i="8"/>
  <c r="C116" i="8"/>
  <c r="D116" i="8"/>
  <c r="AZ116" i="8" s="1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B117" i="8"/>
  <c r="C117" i="8"/>
  <c r="D117" i="8"/>
  <c r="AZ117" i="8" s="1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B118" i="8"/>
  <c r="C118" i="8"/>
  <c r="D118" i="8"/>
  <c r="AZ118" i="8" s="1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B119" i="8"/>
  <c r="C119" i="8"/>
  <c r="D119" i="8"/>
  <c r="AZ119" i="8" s="1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B120" i="8"/>
  <c r="C120" i="8"/>
  <c r="D120" i="8"/>
  <c r="AZ120" i="8" s="1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B121" i="8"/>
  <c r="C121" i="8"/>
  <c r="D121" i="8"/>
  <c r="AZ121" i="8" s="1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B122" i="8"/>
  <c r="C122" i="8"/>
  <c r="D122" i="8"/>
  <c r="AZ122" i="8" s="1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B123" i="8"/>
  <c r="C123" i="8"/>
  <c r="D123" i="8"/>
  <c r="AZ123" i="8" s="1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B124" i="8"/>
  <c r="C124" i="8"/>
  <c r="D124" i="8"/>
  <c r="AZ124" i="8" s="1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B125" i="8"/>
  <c r="C125" i="8"/>
  <c r="D125" i="8"/>
  <c r="AZ125" i="8" s="1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B127" i="8"/>
  <c r="C127" i="8"/>
  <c r="D127" i="8"/>
  <c r="AZ127" i="8" s="1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B128" i="8"/>
  <c r="C128" i="8"/>
  <c r="D128" i="8"/>
  <c r="AZ128" i="8" s="1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B129" i="8"/>
  <c r="C129" i="8"/>
  <c r="D129" i="8"/>
  <c r="AZ129" i="8" s="1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B130" i="8"/>
  <c r="C130" i="8"/>
  <c r="D130" i="8"/>
  <c r="AZ130" i="8" s="1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B131" i="8"/>
  <c r="C131" i="8"/>
  <c r="D131" i="8"/>
  <c r="AZ131" i="8" s="1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B132" i="8"/>
  <c r="C132" i="8"/>
  <c r="D132" i="8"/>
  <c r="AZ132" i="8" s="1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B133" i="8"/>
  <c r="C133" i="8"/>
  <c r="D133" i="8"/>
  <c r="AZ133" i="8" s="1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B134" i="8"/>
  <c r="C134" i="8"/>
  <c r="D134" i="8"/>
  <c r="AZ134" i="8" s="1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B135" i="8"/>
  <c r="C135" i="8"/>
  <c r="D135" i="8"/>
  <c r="AZ135" i="8" s="1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B136" i="8"/>
  <c r="C136" i="8"/>
  <c r="D136" i="8"/>
  <c r="AZ136" i="8" s="1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B137" i="8"/>
  <c r="C137" i="8"/>
  <c r="D137" i="8"/>
  <c r="AZ137" i="8" s="1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B138" i="8"/>
  <c r="C138" i="8"/>
  <c r="D138" i="8"/>
  <c r="AZ138" i="8" s="1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B139" i="8"/>
  <c r="C139" i="8"/>
  <c r="D139" i="8"/>
  <c r="AZ139" i="8" s="1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B140" i="8"/>
  <c r="C140" i="8"/>
  <c r="D140" i="8"/>
  <c r="AZ140" i="8" s="1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B141" i="8"/>
  <c r="C141" i="8"/>
  <c r="D141" i="8"/>
  <c r="AZ141" i="8" s="1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B142" i="8"/>
  <c r="C142" i="8"/>
  <c r="D142" i="8"/>
  <c r="AZ142" i="8" s="1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B143" i="8"/>
  <c r="C143" i="8"/>
  <c r="D143" i="8"/>
  <c r="AZ143" i="8" s="1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B146" i="8"/>
  <c r="C146" i="8"/>
  <c r="D146" i="8"/>
  <c r="AZ146" i="8" s="1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B147" i="8"/>
  <c r="C147" i="8"/>
  <c r="D147" i="8"/>
  <c r="AZ147" i="8" s="1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B148" i="8"/>
  <c r="C148" i="8"/>
  <c r="D148" i="8"/>
  <c r="AZ148" i="8" s="1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B149" i="8"/>
  <c r="C149" i="8"/>
  <c r="D149" i="8"/>
  <c r="AZ149" i="8" s="1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B150" i="8"/>
  <c r="C150" i="8"/>
  <c r="D150" i="8"/>
  <c r="AZ150" i="8" s="1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B151" i="8"/>
  <c r="C151" i="8"/>
  <c r="D151" i="8"/>
  <c r="AZ151" i="8" s="1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B152" i="8"/>
  <c r="C152" i="8"/>
  <c r="D152" i="8"/>
  <c r="AZ152" i="8" s="1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B153" i="8"/>
  <c r="C153" i="8"/>
  <c r="D153" i="8"/>
  <c r="AZ153" i="8" s="1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B155" i="8"/>
  <c r="C155" i="8"/>
  <c r="D155" i="8"/>
  <c r="AZ155" i="8" s="1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B156" i="8"/>
  <c r="C156" i="8"/>
  <c r="D156" i="8"/>
  <c r="AZ156" i="8" s="1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B157" i="8"/>
  <c r="C157" i="8"/>
  <c r="D157" i="8"/>
  <c r="AZ157" i="8" s="1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B158" i="8"/>
  <c r="C158" i="8"/>
  <c r="D158" i="8"/>
  <c r="AZ158" i="8" s="1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B159" i="8"/>
  <c r="C159" i="8"/>
  <c r="D159" i="8"/>
  <c r="AZ159" i="8" s="1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B160" i="8"/>
  <c r="C160" i="8"/>
  <c r="D160" i="8"/>
  <c r="AZ160" i="8" s="1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B161" i="8"/>
  <c r="C161" i="8"/>
  <c r="D161" i="8"/>
  <c r="AZ161" i="8" s="1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B162" i="8"/>
  <c r="C162" i="8"/>
  <c r="D162" i="8"/>
  <c r="AZ162" i="8" s="1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B163" i="8"/>
  <c r="C163" i="8"/>
  <c r="D163" i="8"/>
  <c r="AZ163" i="8" s="1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B164" i="8"/>
  <c r="C164" i="8"/>
  <c r="D164" i="8"/>
  <c r="AZ164" i="8" s="1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B165" i="8"/>
  <c r="C165" i="8"/>
  <c r="D165" i="8"/>
  <c r="AZ165" i="8" s="1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B166" i="8"/>
  <c r="C166" i="8"/>
  <c r="D166" i="8"/>
  <c r="AZ166" i="8" s="1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B167" i="8"/>
  <c r="C167" i="8"/>
  <c r="D167" i="8"/>
  <c r="AZ167" i="8" s="1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B168" i="8"/>
  <c r="C168" i="8"/>
  <c r="D168" i="8"/>
  <c r="AZ168" i="8" s="1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B169" i="8"/>
  <c r="C169" i="8"/>
  <c r="D169" i="8"/>
  <c r="AZ169" i="8" s="1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B170" i="8"/>
  <c r="C170" i="8"/>
  <c r="D170" i="8"/>
  <c r="AZ170" i="8" s="1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B171" i="8"/>
  <c r="C171" i="8"/>
  <c r="D171" i="8"/>
  <c r="AZ171" i="8" s="1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B172" i="8"/>
  <c r="C172" i="8"/>
  <c r="D172" i="8"/>
  <c r="AZ172" i="8" s="1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B173" i="8"/>
  <c r="C173" i="8"/>
  <c r="D173" i="8"/>
  <c r="AZ173" i="8" s="1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B174" i="8"/>
  <c r="C174" i="8"/>
  <c r="D174" i="8"/>
  <c r="AZ174" i="8" s="1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B175" i="8"/>
  <c r="C175" i="8"/>
  <c r="D175" i="8"/>
  <c r="AZ175" i="8" s="1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B176" i="8"/>
  <c r="C176" i="8"/>
  <c r="D176" i="8"/>
  <c r="AZ176" i="8" s="1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B177" i="8"/>
  <c r="C177" i="8"/>
  <c r="D177" i="8"/>
  <c r="AZ177" i="8" s="1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B95" i="8"/>
  <c r="B75" i="8"/>
  <c r="C75" i="8"/>
  <c r="D75" i="8"/>
  <c r="AZ75" i="8" s="1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B76" i="8"/>
  <c r="C76" i="8"/>
  <c r="D76" i="8"/>
  <c r="AZ76" i="8" s="1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B77" i="8"/>
  <c r="C77" i="8"/>
  <c r="D77" i="8"/>
  <c r="AZ77" i="8" s="1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B78" i="8"/>
  <c r="C78" i="8"/>
  <c r="D78" i="8"/>
  <c r="AZ78" i="8" s="1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B79" i="8"/>
  <c r="C79" i="8"/>
  <c r="D79" i="8"/>
  <c r="AZ79" i="8" s="1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B80" i="8"/>
  <c r="C80" i="8"/>
  <c r="D80" i="8"/>
  <c r="AZ80" i="8" s="1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B81" i="8"/>
  <c r="C81" i="8"/>
  <c r="D81" i="8"/>
  <c r="AZ81" i="8" s="1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B82" i="8"/>
  <c r="C82" i="8"/>
  <c r="D82" i="8"/>
  <c r="AZ82" i="8" s="1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B83" i="8"/>
  <c r="C83" i="8"/>
  <c r="D83" i="8"/>
  <c r="AZ83" i="8" s="1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B84" i="8"/>
  <c r="C84" i="8"/>
  <c r="D84" i="8"/>
  <c r="AZ84" i="8" s="1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B85" i="8"/>
  <c r="C85" i="8"/>
  <c r="D85" i="8"/>
  <c r="AZ85" i="8" s="1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B86" i="8"/>
  <c r="C86" i="8"/>
  <c r="D86" i="8"/>
  <c r="AZ86" i="8" s="1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B87" i="8"/>
  <c r="C87" i="8"/>
  <c r="D87" i="8"/>
  <c r="AZ87" i="8" s="1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B88" i="8"/>
  <c r="C88" i="8"/>
  <c r="D88" i="8"/>
  <c r="AZ88" i="8" s="1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B89" i="8"/>
  <c r="C89" i="8"/>
  <c r="D89" i="8"/>
  <c r="AZ89" i="8" s="1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B90" i="8"/>
  <c r="C90" i="8"/>
  <c r="D90" i="8"/>
  <c r="AZ90" i="8" s="1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B91" i="8"/>
  <c r="C91" i="8"/>
  <c r="D91" i="8"/>
  <c r="AZ91" i="8" s="1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B92" i="8"/>
  <c r="C92" i="8"/>
  <c r="D92" i="8"/>
  <c r="AZ92" i="8" s="1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B93" i="8"/>
  <c r="C93" i="8"/>
  <c r="D93" i="8"/>
  <c r="AZ93" i="8" s="1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B7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C66" i="8"/>
  <c r="D66" i="8"/>
  <c r="AZ66" i="8" s="1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C67" i="8"/>
  <c r="D67" i="8"/>
  <c r="AZ67" i="8" s="1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C68" i="8"/>
  <c r="D68" i="8"/>
  <c r="AZ68" i="8" s="1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C69" i="8"/>
  <c r="D69" i="8"/>
  <c r="AZ69" i="8" s="1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C70" i="8"/>
  <c r="D70" i="8"/>
  <c r="AZ70" i="8" s="1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C71" i="8"/>
  <c r="D71" i="8"/>
  <c r="AZ71" i="8" s="1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C72" i="8"/>
  <c r="D72" i="8"/>
  <c r="AZ72" i="8" s="1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B66" i="8"/>
  <c r="B67" i="8"/>
  <c r="B68" i="8"/>
  <c r="B69" i="8"/>
  <c r="B70" i="8"/>
  <c r="B71" i="8"/>
  <c r="B72" i="8"/>
  <c r="B64" i="8"/>
  <c r="B46" i="8"/>
  <c r="C46" i="8"/>
  <c r="D46" i="8"/>
  <c r="AZ46" i="8" s="1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B47" i="8"/>
  <c r="C47" i="8"/>
  <c r="D47" i="8"/>
  <c r="AZ47" i="8" s="1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B48" i="8"/>
  <c r="C48" i="8"/>
  <c r="D48" i="8"/>
  <c r="AZ48" i="8" s="1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B49" i="8"/>
  <c r="C49" i="8"/>
  <c r="D49" i="8"/>
  <c r="AZ49" i="8" s="1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B50" i="8"/>
  <c r="C50" i="8"/>
  <c r="D50" i="8"/>
  <c r="AZ50" i="8" s="1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B51" i="8"/>
  <c r="C51" i="8"/>
  <c r="D51" i="8"/>
  <c r="AZ51" i="8" s="1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B52" i="8"/>
  <c r="C52" i="8"/>
  <c r="D52" i="8"/>
  <c r="AZ52" i="8" s="1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B53" i="8"/>
  <c r="C53" i="8"/>
  <c r="D53" i="8"/>
  <c r="AZ53" i="8" s="1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B54" i="8"/>
  <c r="C54" i="8"/>
  <c r="D54" i="8"/>
  <c r="AZ54" i="8" s="1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B55" i="8"/>
  <c r="C55" i="8"/>
  <c r="D55" i="8"/>
  <c r="AZ55" i="8" s="1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B56" i="8"/>
  <c r="C56" i="8"/>
  <c r="D56" i="8"/>
  <c r="AZ56" i="8" s="1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B57" i="8"/>
  <c r="C57" i="8"/>
  <c r="D57" i="8"/>
  <c r="AZ57" i="8" s="1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B58" i="8"/>
  <c r="C58" i="8"/>
  <c r="D58" i="8"/>
  <c r="AZ58" i="8" s="1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B59" i="8"/>
  <c r="C59" i="8"/>
  <c r="D59" i="8"/>
  <c r="AZ59" i="8" s="1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B60" i="8"/>
  <c r="C60" i="8"/>
  <c r="D60" i="8"/>
  <c r="AZ60" i="8" s="1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B61" i="8"/>
  <c r="C61" i="8"/>
  <c r="D61" i="8"/>
  <c r="AZ61" i="8" s="1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B62" i="8"/>
  <c r="C62" i="8"/>
  <c r="D62" i="8"/>
  <c r="AZ62" i="8" s="1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B45" i="8"/>
  <c r="B28" i="8"/>
  <c r="C28" i="8"/>
  <c r="D28" i="8"/>
  <c r="AZ28" i="8" s="1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B29" i="8"/>
  <c r="C29" i="8"/>
  <c r="D29" i="8"/>
  <c r="AZ29" i="8" s="1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B30" i="8"/>
  <c r="C30" i="8"/>
  <c r="D30" i="8"/>
  <c r="AZ30" i="8" s="1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B31" i="8"/>
  <c r="C31" i="8"/>
  <c r="D31" i="8"/>
  <c r="AZ31" i="8" s="1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B32" i="8"/>
  <c r="C32" i="8"/>
  <c r="D32" i="8"/>
  <c r="AZ32" i="8" s="1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B34" i="8"/>
  <c r="C34" i="8"/>
  <c r="D34" i="8"/>
  <c r="AZ34" i="8" s="1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B35" i="8"/>
  <c r="C35" i="8"/>
  <c r="D35" i="8"/>
  <c r="AZ35" i="8" s="1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B36" i="8"/>
  <c r="C36" i="8"/>
  <c r="D36" i="8"/>
  <c r="AZ36" i="8" s="1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B37" i="8"/>
  <c r="C37" i="8"/>
  <c r="D37" i="8"/>
  <c r="AZ37" i="8" s="1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B38" i="8"/>
  <c r="C38" i="8"/>
  <c r="D38" i="8"/>
  <c r="AZ38" i="8" s="1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B39" i="8"/>
  <c r="C39" i="8"/>
  <c r="D39" i="8"/>
  <c r="AZ39" i="8" s="1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B40" i="8"/>
  <c r="C40" i="8"/>
  <c r="D40" i="8"/>
  <c r="AZ40" i="8" s="1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B41" i="8"/>
  <c r="C41" i="8"/>
  <c r="D41" i="8"/>
  <c r="AZ41" i="8" s="1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B42" i="8"/>
  <c r="C42" i="8"/>
  <c r="D42" i="8"/>
  <c r="AZ42" i="8" s="1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B43" i="8"/>
  <c r="C43" i="8"/>
  <c r="D43" i="8"/>
  <c r="AZ43" i="8" s="1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B27" i="8"/>
  <c r="B11" i="8"/>
  <c r="C11" i="8"/>
  <c r="D11" i="8"/>
  <c r="AZ11" i="8" s="1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B13" i="8"/>
  <c r="C13" i="8"/>
  <c r="D13" i="8"/>
  <c r="AZ13" i="8" s="1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B14" i="8"/>
  <c r="C14" i="8"/>
  <c r="D14" i="8"/>
  <c r="AZ14" i="8" s="1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B15" i="8"/>
  <c r="C15" i="8"/>
  <c r="D15" i="8"/>
  <c r="AZ15" i="8" s="1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B17" i="8"/>
  <c r="C17" i="8"/>
  <c r="D17" i="8"/>
  <c r="AZ17" i="8" s="1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B18" i="8"/>
  <c r="C18" i="8"/>
  <c r="D18" i="8"/>
  <c r="AZ18" i="8" s="1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B19" i="8"/>
  <c r="C19" i="8"/>
  <c r="D19" i="8"/>
  <c r="AZ19" i="8" s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B23" i="8"/>
  <c r="C23" i="8"/>
  <c r="D23" i="8"/>
  <c r="AZ23" i="8" s="1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B24" i="8"/>
  <c r="C24" i="8"/>
  <c r="D24" i="8"/>
  <c r="AZ24" i="8" s="1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B25" i="8"/>
  <c r="C25" i="8"/>
  <c r="D25" i="8"/>
  <c r="AZ25" i="8" s="1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AY247" i="11" l="1"/>
  <c r="Y177" i="8"/>
  <c r="Y165" i="8"/>
  <c r="Y135" i="8"/>
  <c r="Y129" i="8"/>
  <c r="Y159" i="8"/>
  <c r="Y147" i="8"/>
  <c r="Y111" i="8"/>
  <c r="Y241" i="8"/>
  <c r="Y172" i="8"/>
  <c r="Y166" i="8"/>
  <c r="Y160" i="8"/>
  <c r="Y154" i="8"/>
  <c r="Y148" i="8"/>
  <c r="Y142" i="8"/>
  <c r="Y136" i="8"/>
  <c r="Y130" i="8"/>
  <c r="Y112" i="8"/>
  <c r="Y106" i="8"/>
  <c r="Y171" i="8"/>
  <c r="Y141" i="8"/>
  <c r="Y53" i="8"/>
  <c r="Y173" i="8"/>
  <c r="Y167" i="8"/>
  <c r="Y161" i="8"/>
  <c r="Y155" i="8"/>
  <c r="Y149" i="8"/>
  <c r="Y143" i="8"/>
  <c r="Y137" i="8"/>
  <c r="Y131" i="8"/>
  <c r="Y107" i="8"/>
  <c r="Y23" i="8"/>
  <c r="Y54" i="8"/>
  <c r="Y174" i="8"/>
  <c r="Y168" i="8"/>
  <c r="Y162" i="8"/>
  <c r="Y156" i="8"/>
  <c r="Y150" i="8"/>
  <c r="Y144" i="8"/>
  <c r="Y138" i="8"/>
  <c r="Y132" i="8"/>
  <c r="Y126" i="8"/>
  <c r="Y108" i="8"/>
  <c r="Y153" i="8"/>
  <c r="Y24" i="8"/>
  <c r="Y55" i="8"/>
  <c r="Y175" i="8"/>
  <c r="Y169" i="8"/>
  <c r="Y163" i="8"/>
  <c r="Y157" i="8"/>
  <c r="Y151" i="8"/>
  <c r="Y145" i="8"/>
  <c r="Y139" i="8"/>
  <c r="Y133" i="8"/>
  <c r="Y127" i="8"/>
  <c r="Y109" i="8"/>
  <c r="Y240" i="8"/>
  <c r="Y25" i="8"/>
  <c r="Y56" i="8"/>
  <c r="Y176" i="8"/>
  <c r="Y170" i="8"/>
  <c r="Y164" i="8"/>
  <c r="Y158" i="8"/>
  <c r="Y152" i="8"/>
  <c r="Y146" i="8"/>
  <c r="Y140" i="8"/>
  <c r="Y134" i="8"/>
  <c r="Y128" i="8"/>
  <c r="Y110" i="8"/>
  <c r="AW246" i="10"/>
  <c r="Y246" i="10"/>
  <c r="AW245" i="10"/>
  <c r="Y245" i="10"/>
  <c r="AW244" i="10"/>
  <c r="Y244" i="10"/>
  <c r="AW243" i="10"/>
  <c r="Y243" i="10"/>
  <c r="AW242" i="10"/>
  <c r="Y242" i="10"/>
  <c r="AW241" i="10"/>
  <c r="Y241" i="10"/>
  <c r="AW240" i="10"/>
  <c r="Y240" i="10"/>
  <c r="AW239" i="10"/>
  <c r="Y239" i="10"/>
  <c r="AW238" i="10"/>
  <c r="Y238" i="10"/>
  <c r="AW237" i="10"/>
  <c r="Y237" i="10"/>
  <c r="AW236" i="10"/>
  <c r="Y236" i="10"/>
  <c r="AW235" i="10"/>
  <c r="Y235" i="10"/>
  <c r="AW234" i="10"/>
  <c r="Y234" i="10"/>
  <c r="AW233" i="10"/>
  <c r="Y233" i="10"/>
  <c r="AW232" i="10"/>
  <c r="Y232" i="10"/>
  <c r="AV231" i="10"/>
  <c r="AU231" i="10"/>
  <c r="AT231" i="10"/>
  <c r="AS231" i="10"/>
  <c r="AR231" i="10"/>
  <c r="AQ231" i="10"/>
  <c r="AP231" i="10"/>
  <c r="AO231" i="10"/>
  <c r="AN231" i="10"/>
  <c r="AM231" i="10"/>
  <c r="AL231" i="10"/>
  <c r="AK231" i="10"/>
  <c r="AJ231" i="10"/>
  <c r="AI231" i="10"/>
  <c r="AH231" i="10"/>
  <c r="AG231" i="10"/>
  <c r="AF231" i="10"/>
  <c r="AE231" i="10"/>
  <c r="AD231" i="10"/>
  <c r="AC231" i="10"/>
  <c r="AB231" i="10"/>
  <c r="AA231" i="10"/>
  <c r="Z231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B231" i="10"/>
  <c r="AW230" i="10"/>
  <c r="Y230" i="10"/>
  <c r="AW229" i="10"/>
  <c r="Y229" i="10"/>
  <c r="AW228" i="10"/>
  <c r="Y228" i="10"/>
  <c r="AW227" i="10"/>
  <c r="Y227" i="10"/>
  <c r="AW226" i="10"/>
  <c r="Y226" i="10"/>
  <c r="AW225" i="10"/>
  <c r="Y225" i="10"/>
  <c r="AW224" i="10"/>
  <c r="Y224" i="10"/>
  <c r="AV223" i="10"/>
  <c r="AU223" i="10"/>
  <c r="AT223" i="10"/>
  <c r="AS223" i="10"/>
  <c r="AR223" i="10"/>
  <c r="AQ223" i="10"/>
  <c r="AP223" i="10"/>
  <c r="AO223" i="10"/>
  <c r="AN223" i="10"/>
  <c r="AM223" i="10"/>
  <c r="AL223" i="10"/>
  <c r="AK223" i="10"/>
  <c r="AJ223" i="10"/>
  <c r="AI223" i="10"/>
  <c r="AH223" i="10"/>
  <c r="AG223" i="10"/>
  <c r="AF223" i="10"/>
  <c r="AE223" i="10"/>
  <c r="AD223" i="10"/>
  <c r="AB223" i="10"/>
  <c r="AA223" i="10"/>
  <c r="Z223" i="10"/>
  <c r="X223" i="10"/>
  <c r="W223" i="10"/>
  <c r="V223" i="10"/>
  <c r="U223" i="10"/>
  <c r="T223" i="10"/>
  <c r="S223" i="10"/>
  <c r="R223" i="10"/>
  <c r="Q223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D223" i="10"/>
  <c r="C223" i="10"/>
  <c r="B223" i="10"/>
  <c r="AW222" i="10"/>
  <c r="Y222" i="10"/>
  <c r="AW221" i="10"/>
  <c r="Y221" i="10"/>
  <c r="AW220" i="10"/>
  <c r="Y220" i="10"/>
  <c r="AW219" i="10"/>
  <c r="Y219" i="10"/>
  <c r="AW218" i="10"/>
  <c r="Y218" i="10"/>
  <c r="AW217" i="10"/>
  <c r="Y217" i="10"/>
  <c r="AW216" i="10"/>
  <c r="Y216" i="10"/>
  <c r="AW215" i="10"/>
  <c r="Y215" i="10"/>
  <c r="AW214" i="10"/>
  <c r="Y214" i="10"/>
  <c r="AW213" i="10"/>
  <c r="Y213" i="10"/>
  <c r="AW212" i="10"/>
  <c r="Y212" i="10"/>
  <c r="AW211" i="10"/>
  <c r="Y211" i="10"/>
  <c r="AW210" i="10"/>
  <c r="Y210" i="10"/>
  <c r="AW209" i="10"/>
  <c r="Y209" i="10"/>
  <c r="AW208" i="10"/>
  <c r="Y208" i="10"/>
  <c r="AW207" i="10"/>
  <c r="Y207" i="10"/>
  <c r="AW206" i="10"/>
  <c r="Y206" i="10"/>
  <c r="AW205" i="10"/>
  <c r="Y205" i="10"/>
  <c r="AW204" i="10"/>
  <c r="Y204" i="10"/>
  <c r="AW203" i="10"/>
  <c r="Y203" i="10"/>
  <c r="AW202" i="10"/>
  <c r="Y202" i="10"/>
  <c r="AW201" i="10"/>
  <c r="Y201" i="10"/>
  <c r="AW200" i="10"/>
  <c r="Y200" i="10"/>
  <c r="AW199" i="10"/>
  <c r="Y199" i="10"/>
  <c r="AW198" i="10"/>
  <c r="Y198" i="10"/>
  <c r="AW197" i="10"/>
  <c r="Y197" i="10"/>
  <c r="AW196" i="10"/>
  <c r="Y196" i="10"/>
  <c r="AV195" i="10"/>
  <c r="AU195" i="10"/>
  <c r="AT195" i="10"/>
  <c r="AS195" i="10"/>
  <c r="AR195" i="10"/>
  <c r="AQ195" i="10"/>
  <c r="AP195" i="10"/>
  <c r="AO195" i="10"/>
  <c r="AN195" i="10"/>
  <c r="AM195" i="10"/>
  <c r="AL195" i="10"/>
  <c r="AK195" i="10"/>
  <c r="AJ195" i="10"/>
  <c r="AI195" i="10"/>
  <c r="AH195" i="10"/>
  <c r="AG195" i="10"/>
  <c r="AF195" i="10"/>
  <c r="AE195" i="10"/>
  <c r="AD195" i="10"/>
  <c r="AB195" i="10"/>
  <c r="AA195" i="10"/>
  <c r="Z195" i="10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D195" i="10"/>
  <c r="C195" i="10"/>
  <c r="B195" i="10"/>
  <c r="AW194" i="10"/>
  <c r="Y194" i="10"/>
  <c r="AW193" i="10"/>
  <c r="Y193" i="10"/>
  <c r="AW192" i="10"/>
  <c r="Y192" i="10"/>
  <c r="AW191" i="10"/>
  <c r="Y191" i="10"/>
  <c r="AW190" i="10"/>
  <c r="Y190" i="10"/>
  <c r="AW189" i="10"/>
  <c r="Y189" i="10"/>
  <c r="AW188" i="10"/>
  <c r="Y188" i="10"/>
  <c r="AW187" i="10"/>
  <c r="Y187" i="10"/>
  <c r="AW186" i="10"/>
  <c r="Y186" i="10"/>
  <c r="AW185" i="10"/>
  <c r="Y185" i="10"/>
  <c r="AW184" i="10"/>
  <c r="Y184" i="10"/>
  <c r="AW183" i="10"/>
  <c r="Y183" i="10"/>
  <c r="AW182" i="10"/>
  <c r="Y182" i="10"/>
  <c r="AV181" i="10"/>
  <c r="AU181" i="10"/>
  <c r="AT181" i="10"/>
  <c r="AS181" i="10"/>
  <c r="AR181" i="10"/>
  <c r="AQ181" i="10"/>
  <c r="AP181" i="10"/>
  <c r="AO181" i="10"/>
  <c r="AN181" i="10"/>
  <c r="AM181" i="10"/>
  <c r="AL181" i="10"/>
  <c r="AK181" i="10"/>
  <c r="AJ181" i="10"/>
  <c r="AI181" i="10"/>
  <c r="AH181" i="10"/>
  <c r="AG181" i="10"/>
  <c r="AF181" i="10"/>
  <c r="AE181" i="10"/>
  <c r="AD181" i="10"/>
  <c r="AC181" i="10"/>
  <c r="AB181" i="10"/>
  <c r="AA181" i="10"/>
  <c r="Z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AW180" i="10"/>
  <c r="Y180" i="10"/>
  <c r="AW179" i="10"/>
  <c r="Y179" i="10"/>
  <c r="AV178" i="10"/>
  <c r="AU178" i="10"/>
  <c r="AT178" i="10"/>
  <c r="AS178" i="10"/>
  <c r="AR178" i="10"/>
  <c r="AQ178" i="10"/>
  <c r="AP178" i="10"/>
  <c r="AO178" i="10"/>
  <c r="AN178" i="10"/>
  <c r="AM178" i="10"/>
  <c r="AL178" i="10"/>
  <c r="AK178" i="10"/>
  <c r="AJ178" i="10"/>
  <c r="AI178" i="10"/>
  <c r="AH178" i="10"/>
  <c r="AG178" i="10"/>
  <c r="AF178" i="10"/>
  <c r="AE178" i="10"/>
  <c r="AD178" i="10"/>
  <c r="AC178" i="10"/>
  <c r="AB178" i="10"/>
  <c r="AA178" i="10"/>
  <c r="Z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D178" i="10"/>
  <c r="C178" i="10"/>
  <c r="B178" i="10"/>
  <c r="AW177" i="10"/>
  <c r="Y177" i="10"/>
  <c r="AW176" i="10"/>
  <c r="Y176" i="10"/>
  <c r="AW175" i="10"/>
  <c r="Y175" i="10"/>
  <c r="AW174" i="10"/>
  <c r="Y174" i="10"/>
  <c r="AW173" i="10"/>
  <c r="Y173" i="10"/>
  <c r="AW172" i="10"/>
  <c r="Y172" i="10"/>
  <c r="AW171" i="10"/>
  <c r="Y171" i="10"/>
  <c r="AW170" i="10"/>
  <c r="Y170" i="10"/>
  <c r="AW169" i="10"/>
  <c r="Y169" i="10"/>
  <c r="AW168" i="10"/>
  <c r="Y168" i="10"/>
  <c r="AW167" i="10"/>
  <c r="Y167" i="10"/>
  <c r="AW166" i="10"/>
  <c r="Y166" i="10"/>
  <c r="AW165" i="10"/>
  <c r="Y165" i="10"/>
  <c r="AW164" i="10"/>
  <c r="Y164" i="10"/>
  <c r="AW163" i="10"/>
  <c r="Y163" i="10"/>
  <c r="AW162" i="10"/>
  <c r="Y162" i="10"/>
  <c r="AW161" i="10"/>
  <c r="Y161" i="10"/>
  <c r="AW160" i="10"/>
  <c r="Y160" i="10"/>
  <c r="AW159" i="10"/>
  <c r="Y159" i="10"/>
  <c r="AW158" i="10"/>
  <c r="Y158" i="10"/>
  <c r="AW157" i="10"/>
  <c r="Y157" i="10"/>
  <c r="AW156" i="10"/>
  <c r="Y156" i="10"/>
  <c r="AW155" i="10"/>
  <c r="Y155" i="10"/>
  <c r="AW154" i="10"/>
  <c r="Y154" i="10"/>
  <c r="AW153" i="10"/>
  <c r="Y153" i="10"/>
  <c r="AW152" i="10"/>
  <c r="Y152" i="10"/>
  <c r="AW151" i="10"/>
  <c r="Y151" i="10"/>
  <c r="AW150" i="10"/>
  <c r="Y150" i="10"/>
  <c r="AW149" i="10"/>
  <c r="Y149" i="10"/>
  <c r="AW148" i="10"/>
  <c r="Y148" i="10"/>
  <c r="AW147" i="10"/>
  <c r="Y147" i="10"/>
  <c r="AW146" i="10"/>
  <c r="Y146" i="10"/>
  <c r="AW145" i="10"/>
  <c r="Y145" i="10"/>
  <c r="AW144" i="10"/>
  <c r="Y144" i="10"/>
  <c r="AW143" i="10"/>
  <c r="Y143" i="10"/>
  <c r="AW142" i="10"/>
  <c r="Y142" i="10"/>
  <c r="AW141" i="10"/>
  <c r="Y141" i="10"/>
  <c r="AW140" i="10"/>
  <c r="Y140" i="10"/>
  <c r="AW139" i="10"/>
  <c r="Y139" i="10"/>
  <c r="AW138" i="10"/>
  <c r="Y138" i="10"/>
  <c r="AW137" i="10"/>
  <c r="Y137" i="10"/>
  <c r="AW136" i="10"/>
  <c r="Y136" i="10"/>
  <c r="AW135" i="10"/>
  <c r="Y135" i="10"/>
  <c r="AW134" i="10"/>
  <c r="Y134" i="10"/>
  <c r="AW133" i="10"/>
  <c r="Y133" i="10"/>
  <c r="AW132" i="10"/>
  <c r="Y132" i="10"/>
  <c r="AW131" i="10"/>
  <c r="Y131" i="10"/>
  <c r="AW130" i="10"/>
  <c r="Y130" i="10"/>
  <c r="AW129" i="10"/>
  <c r="Y129" i="10"/>
  <c r="AW128" i="10"/>
  <c r="Y128" i="10"/>
  <c r="AW127" i="10"/>
  <c r="Y127" i="10"/>
  <c r="AW126" i="10"/>
  <c r="Y126" i="10"/>
  <c r="AW125" i="10"/>
  <c r="Y125" i="10"/>
  <c r="AW124" i="10"/>
  <c r="Y124" i="10"/>
  <c r="AW123" i="10"/>
  <c r="Y123" i="10"/>
  <c r="AW122" i="10"/>
  <c r="Y122" i="10"/>
  <c r="AW121" i="10"/>
  <c r="Y121" i="10"/>
  <c r="AW120" i="10"/>
  <c r="Y120" i="10"/>
  <c r="AW119" i="10"/>
  <c r="Y119" i="10"/>
  <c r="AW118" i="10"/>
  <c r="Y118" i="10"/>
  <c r="AW117" i="10"/>
  <c r="Y117" i="10"/>
  <c r="AW116" i="10"/>
  <c r="Y116" i="10"/>
  <c r="AW115" i="10"/>
  <c r="Y115" i="10"/>
  <c r="AW114" i="10"/>
  <c r="Y114" i="10"/>
  <c r="AW113" i="10"/>
  <c r="Y113" i="10"/>
  <c r="AW112" i="10"/>
  <c r="Y112" i="10"/>
  <c r="AW111" i="10"/>
  <c r="Y111" i="10"/>
  <c r="AW110" i="10"/>
  <c r="Y110" i="10"/>
  <c r="AW109" i="10"/>
  <c r="Y109" i="10"/>
  <c r="AW108" i="10"/>
  <c r="Y108" i="10"/>
  <c r="AW107" i="10"/>
  <c r="Y107" i="10"/>
  <c r="AW106" i="10"/>
  <c r="Y106" i="10"/>
  <c r="AW105" i="10"/>
  <c r="Y105" i="10"/>
  <c r="AW104" i="10"/>
  <c r="Y104" i="10"/>
  <c r="AW103" i="10"/>
  <c r="Y103" i="10"/>
  <c r="AW102" i="10"/>
  <c r="Y102" i="10"/>
  <c r="AW101" i="10"/>
  <c r="Y101" i="10"/>
  <c r="AW100" i="10"/>
  <c r="Y100" i="10"/>
  <c r="AW99" i="10"/>
  <c r="Y99" i="10"/>
  <c r="AW98" i="10"/>
  <c r="Y98" i="10"/>
  <c r="AW97" i="10"/>
  <c r="Y97" i="10"/>
  <c r="AW96" i="10"/>
  <c r="Y96" i="10"/>
  <c r="AW95" i="10"/>
  <c r="Y95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A94" i="10"/>
  <c r="Z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AW93" i="10"/>
  <c r="Y93" i="10"/>
  <c r="AW92" i="10"/>
  <c r="Y92" i="10"/>
  <c r="AW91" i="10"/>
  <c r="Y91" i="10"/>
  <c r="AW90" i="10"/>
  <c r="Y90" i="10"/>
  <c r="AW89" i="10"/>
  <c r="Y89" i="10"/>
  <c r="AW88" i="10"/>
  <c r="Y88" i="10"/>
  <c r="AW87" i="10"/>
  <c r="Y87" i="10"/>
  <c r="AW86" i="10"/>
  <c r="Y86" i="10"/>
  <c r="AW85" i="10"/>
  <c r="Y85" i="10"/>
  <c r="AW84" i="10"/>
  <c r="Y84" i="10"/>
  <c r="AW83" i="10"/>
  <c r="Y83" i="10"/>
  <c r="AW82" i="10"/>
  <c r="Y82" i="10"/>
  <c r="AW81" i="10"/>
  <c r="Y81" i="10"/>
  <c r="AW80" i="10"/>
  <c r="Y80" i="10"/>
  <c r="AW79" i="10"/>
  <c r="Y79" i="10"/>
  <c r="AW78" i="10"/>
  <c r="Y78" i="10"/>
  <c r="AW77" i="10"/>
  <c r="Y77" i="10"/>
  <c r="AW76" i="10"/>
  <c r="Y76" i="10"/>
  <c r="AW75" i="10"/>
  <c r="Y75" i="10"/>
  <c r="AW74" i="10"/>
  <c r="Y74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AW72" i="10"/>
  <c r="Y72" i="10"/>
  <c r="AW71" i="10"/>
  <c r="Y71" i="10"/>
  <c r="AW70" i="10"/>
  <c r="Y70" i="10"/>
  <c r="AW69" i="10"/>
  <c r="Y69" i="10"/>
  <c r="AW68" i="10"/>
  <c r="Y68" i="10"/>
  <c r="AW67" i="10"/>
  <c r="Y67" i="10"/>
  <c r="AW66" i="10"/>
  <c r="Y66" i="10"/>
  <c r="AW65" i="10"/>
  <c r="Y65" i="10"/>
  <c r="AW64" i="10"/>
  <c r="Y64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Y62" i="10"/>
  <c r="AW61" i="10"/>
  <c r="Y61" i="10"/>
  <c r="AW60" i="10"/>
  <c r="Y60" i="10"/>
  <c r="AW59" i="10"/>
  <c r="Y59" i="10"/>
  <c r="AW58" i="10"/>
  <c r="Y58" i="10"/>
  <c r="AW57" i="10"/>
  <c r="Y57" i="10"/>
  <c r="AW56" i="10"/>
  <c r="Y56" i="10"/>
  <c r="AW55" i="10"/>
  <c r="Y55" i="10"/>
  <c r="AW54" i="10"/>
  <c r="Y54" i="10"/>
  <c r="AW53" i="10"/>
  <c r="Y53" i="10"/>
  <c r="AW52" i="10"/>
  <c r="Y52" i="10"/>
  <c r="AW51" i="10"/>
  <c r="Y51" i="10"/>
  <c r="AW50" i="10"/>
  <c r="Y50" i="10"/>
  <c r="AW49" i="10"/>
  <c r="Y49" i="10"/>
  <c r="AW48" i="10"/>
  <c r="Y48" i="10"/>
  <c r="AW47" i="10"/>
  <c r="Y47" i="10"/>
  <c r="AW46" i="10"/>
  <c r="Y46" i="10"/>
  <c r="AW45" i="10"/>
  <c r="Y45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W43" i="10"/>
  <c r="Y43" i="10"/>
  <c r="AW42" i="10"/>
  <c r="Y42" i="10"/>
  <c r="AW41" i="10"/>
  <c r="Y41" i="10"/>
  <c r="AW40" i="10"/>
  <c r="Y40" i="10"/>
  <c r="AW39" i="10"/>
  <c r="Y39" i="10"/>
  <c r="AW38" i="10"/>
  <c r="Y38" i="10"/>
  <c r="AW37" i="10"/>
  <c r="Y37" i="10"/>
  <c r="AW36" i="10"/>
  <c r="Y36" i="10"/>
  <c r="AW35" i="10"/>
  <c r="Y35" i="10"/>
  <c r="AW34" i="10"/>
  <c r="Y34" i="10"/>
  <c r="AW33" i="10"/>
  <c r="Y33" i="10"/>
  <c r="AW32" i="10"/>
  <c r="Y32" i="10"/>
  <c r="AW31" i="10"/>
  <c r="Y31" i="10"/>
  <c r="AW30" i="10"/>
  <c r="Y30" i="10"/>
  <c r="AW29" i="10"/>
  <c r="Y29" i="10"/>
  <c r="AW28" i="10"/>
  <c r="Y28" i="10"/>
  <c r="AW27" i="10"/>
  <c r="Y27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W25" i="10"/>
  <c r="Y25" i="10"/>
  <c r="AW24" i="10"/>
  <c r="Y24" i="10"/>
  <c r="AW23" i="10"/>
  <c r="Y23" i="10"/>
  <c r="AW22" i="10"/>
  <c r="Y22" i="10"/>
  <c r="AW21" i="10"/>
  <c r="Y21" i="10"/>
  <c r="AW20" i="10"/>
  <c r="Y20" i="10"/>
  <c r="AW19" i="10"/>
  <c r="Y19" i="10"/>
  <c r="AW18" i="10"/>
  <c r="Y18" i="10"/>
  <c r="AW17" i="10"/>
  <c r="Y17" i="10"/>
  <c r="AW16" i="10"/>
  <c r="Y16" i="10"/>
  <c r="AW15" i="10"/>
  <c r="Y15" i="10"/>
  <c r="AW14" i="10"/>
  <c r="Y14" i="10"/>
  <c r="AW13" i="10"/>
  <c r="Y13" i="10"/>
  <c r="AW12" i="10"/>
  <c r="Y12" i="10"/>
  <c r="AW11" i="10"/>
  <c r="Y11" i="10"/>
  <c r="AW10" i="10"/>
  <c r="Y10" i="10"/>
  <c r="AW9" i="10"/>
  <c r="Y9" i="10"/>
  <c r="AW8" i="10"/>
  <c r="Y8" i="10"/>
  <c r="AW7" i="10"/>
  <c r="Y7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X42" i="9"/>
  <c r="D42" i="9"/>
  <c r="B42" i="9"/>
  <c r="X30" i="9"/>
  <c r="D30" i="9"/>
  <c r="B30" i="9"/>
  <c r="X109" i="9"/>
  <c r="D109" i="9"/>
  <c r="B109" i="9"/>
  <c r="X107" i="9"/>
  <c r="D107" i="9"/>
  <c r="B107" i="9"/>
  <c r="X65" i="9"/>
  <c r="D65" i="9"/>
  <c r="B65" i="9"/>
  <c r="X75" i="9"/>
  <c r="D75" i="9"/>
  <c r="B75" i="9"/>
  <c r="D48" i="9"/>
  <c r="B48" i="9"/>
  <c r="D64" i="9"/>
  <c r="B64" i="9"/>
  <c r="X90" i="9"/>
  <c r="D90" i="9"/>
  <c r="B90" i="9"/>
  <c r="AT29" i="9"/>
  <c r="AC29" i="9"/>
  <c r="AB29" i="9"/>
  <c r="AA29" i="9"/>
  <c r="Z29" i="9"/>
  <c r="V29" i="9"/>
  <c r="E29" i="9"/>
  <c r="D29" i="9"/>
  <c r="C29" i="9"/>
  <c r="B29" i="9"/>
  <c r="V37" i="9"/>
  <c r="D37" i="9"/>
  <c r="B37" i="9"/>
  <c r="AT30" i="9"/>
  <c r="AB30" i="9"/>
  <c r="Z30" i="9"/>
  <c r="V30" i="9"/>
  <c r="E30" i="9"/>
  <c r="C30" i="9"/>
  <c r="AR88" i="9"/>
  <c r="AC88" i="9"/>
  <c r="AB88" i="9"/>
  <c r="AA88" i="9"/>
  <c r="Z88" i="9"/>
  <c r="T88" i="9"/>
  <c r="E88" i="9"/>
  <c r="D88" i="9"/>
  <c r="C88" i="9"/>
  <c r="B88" i="9"/>
  <c r="AQ93" i="9"/>
  <c r="AC93" i="9"/>
  <c r="AB93" i="9"/>
  <c r="AA93" i="9"/>
  <c r="Z93" i="9"/>
  <c r="T93" i="9"/>
  <c r="E93" i="9"/>
  <c r="D93" i="9"/>
  <c r="C93" i="9"/>
  <c r="B93" i="9"/>
  <c r="T76" i="9"/>
  <c r="E76" i="9"/>
  <c r="D76" i="9"/>
  <c r="C76" i="9"/>
  <c r="B76" i="9"/>
  <c r="S97" i="9"/>
  <c r="D97" i="9"/>
  <c r="B97" i="9"/>
  <c r="R232" i="9"/>
  <c r="D232" i="9"/>
  <c r="B232" i="9"/>
  <c r="AP239" i="9"/>
  <c r="AB239" i="9"/>
  <c r="Z239" i="9"/>
  <c r="R239" i="9"/>
  <c r="D239" i="9"/>
  <c r="B239" i="9"/>
  <c r="R113" i="9"/>
  <c r="D113" i="9"/>
  <c r="B113" i="9"/>
  <c r="R89" i="9"/>
  <c r="E89" i="9"/>
  <c r="D89" i="9"/>
  <c r="C89" i="9"/>
  <c r="B89" i="9"/>
  <c r="R83" i="9"/>
  <c r="D83" i="9"/>
  <c r="B83" i="9"/>
  <c r="AO139" i="9"/>
  <c r="AB139" i="9"/>
  <c r="Z139" i="9"/>
  <c r="Q139" i="9"/>
  <c r="D139" i="9"/>
  <c r="B139" i="9"/>
  <c r="N96" i="9"/>
  <c r="D96" i="9"/>
  <c r="B96" i="9"/>
  <c r="M45" i="9"/>
  <c r="D45" i="9"/>
  <c r="B45" i="9"/>
  <c r="L42" i="9"/>
  <c r="L45" i="9"/>
  <c r="L74" i="9"/>
  <c r="D74" i="9"/>
  <c r="B74" i="9"/>
  <c r="AJ71" i="9"/>
  <c r="AB71" i="9"/>
  <c r="Z71" i="9"/>
  <c r="L71" i="9"/>
  <c r="D71" i="9"/>
  <c r="B71" i="9"/>
  <c r="L107" i="9"/>
  <c r="K117" i="9"/>
  <c r="D117" i="9"/>
  <c r="B117" i="9"/>
  <c r="K108" i="9"/>
  <c r="D108" i="9"/>
  <c r="B108" i="9"/>
  <c r="AJ81" i="9"/>
  <c r="AB81" i="9"/>
  <c r="Z81" i="9"/>
  <c r="L81" i="9"/>
  <c r="D81" i="9"/>
  <c r="B81" i="9"/>
  <c r="AJ46" i="9"/>
  <c r="AB46" i="9"/>
  <c r="Z46" i="9"/>
  <c r="L46" i="9"/>
  <c r="D46" i="9"/>
  <c r="B46" i="9"/>
  <c r="AJ88" i="9"/>
  <c r="L88" i="9"/>
  <c r="K113" i="9"/>
  <c r="H45" i="9"/>
  <c r="AF117" i="9"/>
  <c r="AB117" i="9"/>
  <c r="Z117" i="9"/>
  <c r="H117" i="9"/>
  <c r="AF88" i="9"/>
  <c r="H88" i="9"/>
  <c r="H74" i="9"/>
  <c r="AF81" i="9"/>
  <c r="H81" i="9"/>
  <c r="H226" i="9"/>
  <c r="D226" i="9"/>
  <c r="B226" i="9"/>
  <c r="AB232" i="9"/>
  <c r="Z232" i="9"/>
  <c r="H232" i="9"/>
  <c r="AF239" i="9"/>
  <c r="H239" i="9"/>
  <c r="H113" i="9"/>
  <c r="AF108" i="9"/>
  <c r="AB108" i="9"/>
  <c r="Z108" i="9"/>
  <c r="H108" i="9"/>
  <c r="H115" i="9"/>
  <c r="D115" i="9"/>
  <c r="B115" i="9"/>
  <c r="AF68" i="9"/>
  <c r="AB68" i="9"/>
  <c r="Z68" i="9"/>
  <c r="H68" i="9"/>
  <c r="D68" i="9"/>
  <c r="B68" i="9"/>
  <c r="AF162" i="9"/>
  <c r="AB162" i="9"/>
  <c r="Z162" i="9"/>
  <c r="H162" i="9"/>
  <c r="D162" i="9"/>
  <c r="B162" i="9"/>
  <c r="AF46" i="9"/>
  <c r="H46" i="9"/>
  <c r="AF120" i="9"/>
  <c r="AB120" i="9"/>
  <c r="Z120" i="9"/>
  <c r="H120" i="9"/>
  <c r="D120" i="9"/>
  <c r="B120" i="9"/>
  <c r="AF113" i="9"/>
  <c r="AB113" i="9"/>
  <c r="Z113" i="9"/>
  <c r="AV151" i="9"/>
  <c r="AB151" i="9"/>
  <c r="Z151" i="9"/>
  <c r="X151" i="9"/>
  <c r="D151" i="9"/>
  <c r="B151" i="9"/>
  <c r="AV42" i="9"/>
  <c r="AB42" i="9"/>
  <c r="Z42" i="9"/>
  <c r="AV109" i="9"/>
  <c r="AB109" i="9"/>
  <c r="Z109" i="9"/>
  <c r="AV107" i="9"/>
  <c r="AB107" i="9"/>
  <c r="Z107" i="9"/>
  <c r="AV187" i="9"/>
  <c r="AC187" i="9"/>
  <c r="AB187" i="9"/>
  <c r="AA187" i="9"/>
  <c r="Z187" i="9"/>
  <c r="X187" i="9"/>
  <c r="E187" i="9"/>
  <c r="D187" i="9"/>
  <c r="C187" i="9"/>
  <c r="B187" i="9"/>
  <c r="X36" i="9"/>
  <c r="D36" i="9"/>
  <c r="B36" i="9"/>
  <c r="AV179" i="9"/>
  <c r="AC179" i="9"/>
  <c r="AB179" i="9"/>
  <c r="AA179" i="9"/>
  <c r="Z179" i="9"/>
  <c r="X179" i="9"/>
  <c r="E179" i="9"/>
  <c r="D179" i="9"/>
  <c r="C179" i="9"/>
  <c r="B179" i="9"/>
  <c r="AC30" i="9"/>
  <c r="AA30" i="9"/>
  <c r="AT7" i="9"/>
  <c r="AC7" i="9"/>
  <c r="AB7" i="9"/>
  <c r="AA7" i="9"/>
  <c r="Z7" i="9"/>
  <c r="V7" i="9"/>
  <c r="E7" i="9"/>
  <c r="D7" i="9"/>
  <c r="C7" i="9"/>
  <c r="B7" i="9"/>
  <c r="AT10" i="9"/>
  <c r="AC10" i="9"/>
  <c r="AB10" i="9"/>
  <c r="AA10" i="9"/>
  <c r="Z10" i="9"/>
  <c r="V10" i="9"/>
  <c r="E10" i="9"/>
  <c r="D10" i="9"/>
  <c r="C10" i="9"/>
  <c r="B10" i="9"/>
  <c r="AT77" i="9"/>
  <c r="AC77" i="9"/>
  <c r="AB77" i="9"/>
  <c r="AA77" i="9"/>
  <c r="Z77" i="9"/>
  <c r="V77" i="9"/>
  <c r="E77" i="9"/>
  <c r="D77" i="9"/>
  <c r="C77" i="9"/>
  <c r="B77" i="9"/>
  <c r="AT37" i="9"/>
  <c r="AC37" i="9"/>
  <c r="AB37" i="9"/>
  <c r="AA37" i="9"/>
  <c r="Z37" i="9"/>
  <c r="E37" i="9"/>
  <c r="C37" i="9"/>
  <c r="AT41" i="9"/>
  <c r="AC41" i="9"/>
  <c r="AB41" i="9"/>
  <c r="AA41" i="9"/>
  <c r="Z41" i="9"/>
  <c r="V41" i="9"/>
  <c r="E41" i="9"/>
  <c r="D41" i="9"/>
  <c r="C41" i="9"/>
  <c r="B41" i="9"/>
  <c r="AT240" i="9"/>
  <c r="AC240" i="9"/>
  <c r="AB240" i="9"/>
  <c r="AA240" i="9"/>
  <c r="Z240" i="9"/>
  <c r="V240" i="9"/>
  <c r="E240" i="9"/>
  <c r="D240" i="9"/>
  <c r="C240" i="9"/>
  <c r="B240" i="9"/>
  <c r="U239" i="9"/>
  <c r="E239" i="9"/>
  <c r="C239" i="9"/>
  <c r="AS240" i="9"/>
  <c r="U240" i="9"/>
  <c r="T240" i="9"/>
  <c r="AB16" i="9"/>
  <c r="AC16" i="9"/>
  <c r="AR16" i="9"/>
  <c r="AA16" i="9"/>
  <c r="Z16" i="9"/>
  <c r="T16" i="9"/>
  <c r="E16" i="9"/>
  <c r="D16" i="9"/>
  <c r="C16" i="9"/>
  <c r="B16" i="9"/>
  <c r="AR10" i="9"/>
  <c r="T10" i="9"/>
  <c r="AR235" i="9"/>
  <c r="AC235" i="9"/>
  <c r="AB235" i="9"/>
  <c r="AA235" i="9"/>
  <c r="Z235" i="9"/>
  <c r="T235" i="9"/>
  <c r="E235" i="9"/>
  <c r="D235" i="9"/>
  <c r="C235" i="9"/>
  <c r="B235" i="9"/>
  <c r="AR233" i="9"/>
  <c r="AC233" i="9"/>
  <c r="AB233" i="9"/>
  <c r="AA233" i="9"/>
  <c r="Z233" i="9"/>
  <c r="T233" i="9"/>
  <c r="E233" i="9"/>
  <c r="D233" i="9"/>
  <c r="C233" i="9"/>
  <c r="B233" i="9"/>
  <c r="T80" i="9"/>
  <c r="E80" i="9"/>
  <c r="D80" i="9"/>
  <c r="C80" i="9"/>
  <c r="B80" i="9"/>
  <c r="AR80" i="9"/>
  <c r="AC80" i="9"/>
  <c r="AB80" i="9"/>
  <c r="AA80" i="9"/>
  <c r="Z80" i="9"/>
  <c r="AR240" i="9"/>
  <c r="AR232" i="9"/>
  <c r="AC232" i="9"/>
  <c r="AA232" i="9"/>
  <c r="T232" i="9"/>
  <c r="C232" i="9"/>
  <c r="AR146" i="9"/>
  <c r="AB146" i="9"/>
  <c r="AA146" i="9"/>
  <c r="Z146" i="9"/>
  <c r="T146" i="9"/>
  <c r="E146" i="9"/>
  <c r="D146" i="9"/>
  <c r="C146" i="9"/>
  <c r="B146" i="9"/>
  <c r="AR9" i="9"/>
  <c r="AC9" i="9"/>
  <c r="AB9" i="9"/>
  <c r="AA9" i="9"/>
  <c r="Z9" i="9"/>
  <c r="T9" i="9"/>
  <c r="D9" i="9"/>
  <c r="E9" i="9"/>
  <c r="C9" i="9"/>
  <c r="B9" i="9"/>
  <c r="R234" i="9"/>
  <c r="D234" i="9"/>
  <c r="B234" i="9"/>
  <c r="AP226" i="9"/>
  <c r="AB226" i="9"/>
  <c r="Z226" i="9"/>
  <c r="R226" i="9"/>
  <c r="AP83" i="9"/>
  <c r="AB83" i="9"/>
  <c r="Z83" i="9"/>
  <c r="N90" i="9"/>
  <c r="AL77" i="9"/>
  <c r="N77" i="9"/>
  <c r="AL96" i="9"/>
  <c r="AB96" i="9"/>
  <c r="Z96" i="9"/>
  <c r="AL95" i="9"/>
  <c r="AB95" i="9"/>
  <c r="Z95" i="9"/>
  <c r="N95" i="9"/>
  <c r="D95" i="9"/>
  <c r="B95" i="9"/>
  <c r="AK179" i="9"/>
  <c r="M179" i="9"/>
  <c r="L166" i="9"/>
  <c r="D166" i="9"/>
  <c r="B166" i="9"/>
  <c r="AJ104" i="9"/>
  <c r="AB104" i="9"/>
  <c r="Z104" i="9"/>
  <c r="L104" i="9"/>
  <c r="D104" i="9"/>
  <c r="B104" i="9"/>
  <c r="AJ179" i="9"/>
  <c r="L179" i="9"/>
  <c r="AJ226" i="9"/>
  <c r="L226" i="9"/>
  <c r="L113" i="9"/>
  <c r="AJ160" i="9"/>
  <c r="AB160" i="9"/>
  <c r="Z160" i="9"/>
  <c r="L160" i="9"/>
  <c r="D160" i="9"/>
  <c r="B160" i="9"/>
  <c r="AJ174" i="9"/>
  <c r="AB174" i="9"/>
  <c r="Z174" i="9"/>
  <c r="L174" i="9"/>
  <c r="D174" i="9"/>
  <c r="B174" i="9"/>
  <c r="AJ147" i="9"/>
  <c r="AB147" i="9"/>
  <c r="Z147" i="9"/>
  <c r="L147" i="9"/>
  <c r="D147" i="9"/>
  <c r="B147" i="9"/>
  <c r="AJ117" i="9"/>
  <c r="L117" i="9"/>
  <c r="AI76" i="9"/>
  <c r="AB76" i="9"/>
  <c r="Z76" i="9"/>
  <c r="K76" i="9"/>
  <c r="AI174" i="9"/>
  <c r="K174" i="9"/>
  <c r="AI226" i="9"/>
  <c r="K226" i="9"/>
  <c r="AH179" i="9"/>
  <c r="J179" i="9"/>
  <c r="AF74" i="9"/>
  <c r="AB74" i="9"/>
  <c r="Z74" i="9"/>
  <c r="AF77" i="9"/>
  <c r="H77" i="9"/>
  <c r="AF238" i="9"/>
  <c r="AB238" i="9"/>
  <c r="Z238" i="9"/>
  <c r="H238" i="9"/>
  <c r="D238" i="9"/>
  <c r="B238" i="9"/>
  <c r="H54" i="9"/>
  <c r="D54" i="9"/>
  <c r="B54" i="9"/>
  <c r="AU30" i="9"/>
  <c r="W30" i="9"/>
  <c r="AU74" i="9"/>
  <c r="W74" i="9"/>
  <c r="AU42" i="9"/>
  <c r="W42" i="9"/>
  <c r="AT76" i="9"/>
  <c r="AC76" i="9"/>
  <c r="AA76" i="9"/>
  <c r="V76" i="9"/>
  <c r="AT27" i="9"/>
  <c r="AC27" i="9"/>
  <c r="AB27" i="9"/>
  <c r="AA27" i="9"/>
  <c r="Z27" i="9"/>
  <c r="V27" i="9"/>
  <c r="E27" i="9"/>
  <c r="D27" i="9"/>
  <c r="C27" i="9"/>
  <c r="B27" i="9"/>
  <c r="AT36" i="9"/>
  <c r="AB36" i="9"/>
  <c r="Z36" i="9"/>
  <c r="V36" i="9"/>
  <c r="AT35" i="9"/>
  <c r="AB35" i="9"/>
  <c r="Z35" i="9"/>
  <c r="V35" i="9"/>
  <c r="D35" i="9"/>
  <c r="B35" i="9"/>
  <c r="AT61" i="9"/>
  <c r="AC61" i="9"/>
  <c r="AB61" i="9"/>
  <c r="AA61" i="9"/>
  <c r="Z61" i="9"/>
  <c r="V61" i="9"/>
  <c r="E61" i="9"/>
  <c r="D61" i="9"/>
  <c r="C61" i="9"/>
  <c r="B61" i="9"/>
  <c r="AT28" i="9"/>
  <c r="AC28" i="9"/>
  <c r="AB28" i="9"/>
  <c r="AA28" i="9"/>
  <c r="Z28" i="9"/>
  <c r="V28" i="9"/>
  <c r="E28" i="9"/>
  <c r="D28" i="9"/>
  <c r="C28" i="9"/>
  <c r="B28" i="9"/>
  <c r="U176" i="9"/>
  <c r="D176" i="9"/>
  <c r="B176" i="9"/>
  <c r="U215" i="9"/>
  <c r="D215" i="9"/>
  <c r="B215" i="9"/>
  <c r="U208" i="9"/>
  <c r="E208" i="9"/>
  <c r="D208" i="9"/>
  <c r="C208" i="9"/>
  <c r="B208" i="9"/>
  <c r="AS184" i="9"/>
  <c r="AC184" i="9"/>
  <c r="AB184" i="9"/>
  <c r="AA184" i="9"/>
  <c r="Z184" i="9"/>
  <c r="U184" i="9"/>
  <c r="E184" i="9"/>
  <c r="D184" i="9"/>
  <c r="C184" i="9"/>
  <c r="B184" i="9"/>
  <c r="AS204" i="9"/>
  <c r="AB204" i="9"/>
  <c r="Z204" i="9"/>
  <c r="U204" i="9"/>
  <c r="D204" i="9"/>
  <c r="B204" i="9"/>
  <c r="U30" i="9"/>
  <c r="U39" i="9"/>
  <c r="D39" i="9"/>
  <c r="B39" i="9"/>
  <c r="AQ16" i="9"/>
  <c r="S239" i="9"/>
  <c r="AQ232" i="9"/>
  <c r="S232" i="9"/>
  <c r="S241" i="9"/>
  <c r="D241" i="9"/>
  <c r="B241" i="9"/>
  <c r="R160" i="9"/>
  <c r="R90" i="9"/>
  <c r="AP234" i="9"/>
  <c r="AB234" i="9"/>
  <c r="Z234" i="9"/>
  <c r="AP232" i="9"/>
  <c r="AP241" i="9"/>
  <c r="AB241" i="9"/>
  <c r="Z241" i="9"/>
  <c r="R241" i="9"/>
  <c r="R238" i="9"/>
  <c r="C238" i="9"/>
  <c r="O89" i="9"/>
  <c r="AL76" i="9"/>
  <c r="N76" i="9"/>
  <c r="AL75" i="9"/>
  <c r="AB75" i="9"/>
  <c r="Z75" i="9"/>
  <c r="N75" i="9"/>
  <c r="AK75" i="9"/>
  <c r="M75" i="9"/>
  <c r="AJ76" i="9"/>
  <c r="L76" i="9"/>
  <c r="L89" i="9"/>
  <c r="L96" i="9"/>
  <c r="L95" i="9"/>
  <c r="K79" i="9"/>
  <c r="D79" i="9"/>
  <c r="B79" i="9"/>
  <c r="J233" i="9"/>
  <c r="J234" i="9"/>
  <c r="AF92" i="9"/>
  <c r="AB92" i="9"/>
  <c r="Z92" i="9"/>
  <c r="H92" i="9"/>
  <c r="D92" i="9"/>
  <c r="B92" i="9"/>
  <c r="H234" i="9"/>
  <c r="AF232" i="9"/>
  <c r="AI224" i="9"/>
  <c r="AB224" i="9"/>
  <c r="Z224" i="9"/>
  <c r="K224" i="9"/>
  <c r="D224" i="9"/>
  <c r="B224" i="9"/>
  <c r="AQ224" i="9"/>
  <c r="S224" i="9"/>
  <c r="AU9" i="9"/>
  <c r="W9" i="9"/>
  <c r="AU237" i="9"/>
  <c r="AC237" i="9"/>
  <c r="AB237" i="9"/>
  <c r="AA237" i="9"/>
  <c r="Z237" i="9"/>
  <c r="W237" i="9"/>
  <c r="E237" i="9"/>
  <c r="D237" i="9"/>
  <c r="C237" i="9"/>
  <c r="B237" i="9"/>
  <c r="AU224" i="9"/>
  <c r="AC224" i="9"/>
  <c r="AA224" i="9"/>
  <c r="W224" i="9"/>
  <c r="E224" i="9"/>
  <c r="C224" i="9"/>
  <c r="AT185" i="9"/>
  <c r="AC185" i="9"/>
  <c r="AB185" i="9"/>
  <c r="AA185" i="9"/>
  <c r="Z185" i="9"/>
  <c r="V185" i="9"/>
  <c r="E185" i="9"/>
  <c r="D185" i="9"/>
  <c r="C185" i="9"/>
  <c r="B185" i="9"/>
  <c r="AT9" i="9"/>
  <c r="V9" i="9"/>
  <c r="V80" i="9"/>
  <c r="AT226" i="9"/>
  <c r="AC226" i="9"/>
  <c r="AA226" i="9"/>
  <c r="V226" i="9"/>
  <c r="E226" i="9"/>
  <c r="C226" i="9"/>
  <c r="AT225" i="9"/>
  <c r="AB225" i="9"/>
  <c r="Z225" i="9"/>
  <c r="V225" i="9"/>
  <c r="D225" i="9"/>
  <c r="B225" i="9"/>
  <c r="AT180" i="9"/>
  <c r="AB180" i="9"/>
  <c r="Z180" i="9"/>
  <c r="V180" i="9"/>
  <c r="D180" i="9"/>
  <c r="B180" i="9"/>
  <c r="AT88" i="9"/>
  <c r="V88" i="9"/>
  <c r="AT80" i="9"/>
  <c r="AS208" i="9"/>
  <c r="AC208" i="9"/>
  <c r="AB208" i="9"/>
  <c r="AA208" i="9"/>
  <c r="Z208" i="9"/>
  <c r="AS219" i="9"/>
  <c r="AC219" i="9"/>
  <c r="AB219" i="9"/>
  <c r="AA219" i="9"/>
  <c r="Z219" i="9"/>
  <c r="U219" i="9"/>
  <c r="E219" i="9"/>
  <c r="D219" i="9"/>
  <c r="C219" i="9"/>
  <c r="B219" i="9"/>
  <c r="AQ96" i="9"/>
  <c r="S96" i="9"/>
  <c r="N147" i="9"/>
  <c r="M232" i="9"/>
  <c r="M237" i="9"/>
  <c r="AK239" i="9"/>
  <c r="AC239" i="9"/>
  <c r="AA239" i="9"/>
  <c r="M239" i="9"/>
  <c r="AK233" i="9"/>
  <c r="M233" i="9"/>
  <c r="AK93" i="9"/>
  <c r="M93" i="9"/>
  <c r="M46" i="9"/>
  <c r="AK9" i="9"/>
  <c r="M9" i="9"/>
  <c r="M80" i="9"/>
  <c r="L83" i="9"/>
  <c r="AJ45" i="9"/>
  <c r="AB45" i="9"/>
  <c r="Z45" i="9"/>
  <c r="AI160" i="9"/>
  <c r="K160" i="9"/>
  <c r="AI237" i="9"/>
  <c r="K237" i="9"/>
  <c r="AI232" i="9"/>
  <c r="K232" i="9"/>
  <c r="AI239" i="9"/>
  <c r="K239" i="9"/>
  <c r="AI71" i="9"/>
  <c r="K71" i="9"/>
  <c r="AH108" i="9"/>
  <c r="AH94" i="9" s="1"/>
  <c r="J108" i="9"/>
  <c r="AH113" i="9"/>
  <c r="J113" i="9"/>
  <c r="AF48" i="9"/>
  <c r="AB48" i="9"/>
  <c r="Z48" i="9"/>
  <c r="H48" i="9"/>
  <c r="AF50" i="9"/>
  <c r="AB50" i="9"/>
  <c r="Z50" i="9"/>
  <c r="H50" i="9"/>
  <c r="D50" i="9"/>
  <c r="B50" i="9"/>
  <c r="AF179" i="9"/>
  <c r="H179" i="9"/>
  <c r="AF241" i="9"/>
  <c r="H241" i="9"/>
  <c r="AF237" i="9"/>
  <c r="H237" i="9"/>
  <c r="AF96" i="9"/>
  <c r="H96" i="9"/>
  <c r="AF84" i="9"/>
  <c r="AB84" i="9"/>
  <c r="Z84" i="9"/>
  <c r="H84" i="9"/>
  <c r="D84" i="9"/>
  <c r="B84" i="9"/>
  <c r="H76" i="9"/>
  <c r="AF128" i="9"/>
  <c r="AB128" i="9"/>
  <c r="Z128" i="9"/>
  <c r="H128" i="9"/>
  <c r="D128" i="9"/>
  <c r="B128" i="9"/>
  <c r="C113" i="9"/>
  <c r="AV89" i="9"/>
  <c r="AB89" i="9"/>
  <c r="Z89" i="9"/>
  <c r="X89" i="9"/>
  <c r="AV85" i="9"/>
  <c r="AB85" i="9"/>
  <c r="Z85" i="9"/>
  <c r="X85" i="9"/>
  <c r="D85" i="9"/>
  <c r="B85" i="9"/>
  <c r="AV25" i="9"/>
  <c r="AB25" i="9"/>
  <c r="Z25" i="9"/>
  <c r="X25" i="9"/>
  <c r="D25" i="9"/>
  <c r="B25" i="9"/>
  <c r="AV79" i="9"/>
  <c r="AB79" i="9"/>
  <c r="Z79" i="9"/>
  <c r="X79" i="9"/>
  <c r="AV204" i="9"/>
  <c r="AC204" i="9"/>
  <c r="AA204" i="9"/>
  <c r="X204" i="9"/>
  <c r="E204" i="9"/>
  <c r="C204" i="9"/>
  <c r="AV10" i="9"/>
  <c r="X10" i="9"/>
  <c r="AV43" i="9"/>
  <c r="AC43" i="9"/>
  <c r="AB43" i="9"/>
  <c r="AA43" i="9"/>
  <c r="Z43" i="9"/>
  <c r="X43" i="9"/>
  <c r="E43" i="9"/>
  <c r="D43" i="9"/>
  <c r="C43" i="9"/>
  <c r="B43" i="9"/>
  <c r="AU20" i="9"/>
  <c r="AC20" i="9"/>
  <c r="AB20" i="9"/>
  <c r="AA20" i="9"/>
  <c r="Z20" i="9"/>
  <c r="W20" i="9"/>
  <c r="E20" i="9"/>
  <c r="D20" i="9"/>
  <c r="C20" i="9"/>
  <c r="B20" i="9"/>
  <c r="AU90" i="9"/>
  <c r="AC90" i="9"/>
  <c r="AB90" i="9"/>
  <c r="AA90" i="9"/>
  <c r="Z90" i="9"/>
  <c r="W90" i="9"/>
  <c r="E90" i="9"/>
  <c r="C90" i="9"/>
  <c r="AU50" i="9"/>
  <c r="AC50" i="9"/>
  <c r="AA50" i="9"/>
  <c r="W50" i="9"/>
  <c r="E50" i="9"/>
  <c r="C50" i="9"/>
  <c r="AT43" i="9"/>
  <c r="V43" i="9"/>
  <c r="AT96" i="9"/>
  <c r="AC96" i="9"/>
  <c r="AA96" i="9"/>
  <c r="V96" i="9"/>
  <c r="E96" i="9"/>
  <c r="C96" i="9"/>
  <c r="V187" i="9"/>
  <c r="AT198" i="9"/>
  <c r="AC198" i="9"/>
  <c r="AB198" i="9"/>
  <c r="AA198" i="9"/>
  <c r="Z198" i="9"/>
  <c r="V198" i="9"/>
  <c r="E198" i="9"/>
  <c r="D198" i="9"/>
  <c r="B198" i="9"/>
  <c r="AT193" i="9"/>
  <c r="AC193" i="9"/>
  <c r="AB193" i="9"/>
  <c r="AA193" i="9"/>
  <c r="Z193" i="9"/>
  <c r="V193" i="9"/>
  <c r="E193" i="9"/>
  <c r="D193" i="9"/>
  <c r="C193" i="9"/>
  <c r="B193" i="9"/>
  <c r="V188" i="9"/>
  <c r="E188" i="9"/>
  <c r="D188" i="9"/>
  <c r="C188" i="9"/>
  <c r="B188" i="9"/>
  <c r="AT151" i="9"/>
  <c r="AC151" i="9"/>
  <c r="AA151" i="9"/>
  <c r="V151" i="9"/>
  <c r="E151" i="9"/>
  <c r="C151" i="9"/>
  <c r="AT107" i="9"/>
  <c r="AC107" i="9"/>
  <c r="AA107" i="9"/>
  <c r="V107" i="9"/>
  <c r="E107" i="9"/>
  <c r="C107" i="9"/>
  <c r="V16" i="9"/>
  <c r="AS74" i="9"/>
  <c r="AC74" i="9"/>
  <c r="AA74" i="9"/>
  <c r="U74" i="9"/>
  <c r="E74" i="9"/>
  <c r="C74" i="9"/>
  <c r="AS53" i="9"/>
  <c r="AC53" i="9"/>
  <c r="AB53" i="9"/>
  <c r="AA53" i="9"/>
  <c r="Z53" i="9"/>
  <c r="U53" i="9"/>
  <c r="E53" i="9"/>
  <c r="D53" i="9"/>
  <c r="C53" i="9"/>
  <c r="B53" i="9"/>
  <c r="AS81" i="9"/>
  <c r="AC81" i="9"/>
  <c r="AA81" i="9"/>
  <c r="U81" i="9"/>
  <c r="E81" i="9"/>
  <c r="C81" i="9"/>
  <c r="AS113" i="9"/>
  <c r="AC113" i="9"/>
  <c r="AA113" i="9"/>
  <c r="U113" i="9"/>
  <c r="E113" i="9"/>
  <c r="U198" i="9"/>
  <c r="E196" i="9"/>
  <c r="C196" i="9"/>
  <c r="U196" i="9"/>
  <c r="D196" i="9"/>
  <c r="B196" i="9"/>
  <c r="AS206" i="9"/>
  <c r="AC206" i="9"/>
  <c r="AB206" i="9"/>
  <c r="AA206" i="9"/>
  <c r="Z206" i="9"/>
  <c r="U206" i="9"/>
  <c r="E206" i="9"/>
  <c r="D206" i="9"/>
  <c r="C206" i="9"/>
  <c r="B206" i="9"/>
  <c r="AS191" i="9"/>
  <c r="AC191" i="9"/>
  <c r="AB191" i="9"/>
  <c r="AA191" i="9"/>
  <c r="Z191" i="9"/>
  <c r="U191" i="9"/>
  <c r="E191" i="9"/>
  <c r="D191" i="9"/>
  <c r="C191" i="9"/>
  <c r="B191" i="9"/>
  <c r="U194" i="9"/>
  <c r="E194" i="9"/>
  <c r="D194" i="9"/>
  <c r="C194" i="9"/>
  <c r="B194" i="9"/>
  <c r="AS185" i="9"/>
  <c r="U185" i="9"/>
  <c r="AS189" i="9"/>
  <c r="AC189" i="9"/>
  <c r="AB189" i="9"/>
  <c r="AA189" i="9"/>
  <c r="Z189" i="9"/>
  <c r="U189" i="9"/>
  <c r="D189" i="9"/>
  <c r="E189" i="9"/>
  <c r="C189" i="9"/>
  <c r="B189" i="9"/>
  <c r="AS245" i="9"/>
  <c r="AB245" i="9"/>
  <c r="Z245" i="9"/>
  <c r="U245" i="9"/>
  <c r="D245" i="9"/>
  <c r="B245" i="9"/>
  <c r="AS215" i="9"/>
  <c r="AC215" i="9"/>
  <c r="AB215" i="9"/>
  <c r="AA215" i="9"/>
  <c r="Z215" i="9"/>
  <c r="E215" i="9"/>
  <c r="C215" i="9"/>
  <c r="AQ45" i="9"/>
  <c r="S45" i="9"/>
  <c r="AP10" i="9"/>
  <c r="R10" i="9"/>
  <c r="AP74" i="9"/>
  <c r="R74" i="9"/>
  <c r="R235" i="9"/>
  <c r="AP236" i="9"/>
  <c r="AB236" i="9"/>
  <c r="Z236" i="9"/>
  <c r="R236" i="9"/>
  <c r="D236" i="9"/>
  <c r="B236" i="9"/>
  <c r="AP245" i="9"/>
  <c r="R245" i="9"/>
  <c r="AP238" i="9"/>
  <c r="AC238" i="9"/>
  <c r="AA238" i="9"/>
  <c r="E238" i="9"/>
  <c r="AP235" i="9"/>
  <c r="AP237" i="9"/>
  <c r="R237" i="9"/>
  <c r="AN245" i="9"/>
  <c r="P245" i="9"/>
  <c r="AM64" i="9"/>
  <c r="AB64" i="9"/>
  <c r="Z64" i="9"/>
  <c r="O64" i="9"/>
  <c r="AK226" i="9"/>
  <c r="M226" i="9"/>
  <c r="AJ237" i="9"/>
  <c r="L237" i="9"/>
  <c r="AJ236" i="9"/>
  <c r="L236" i="9"/>
  <c r="H134" i="9"/>
  <c r="D134" i="9"/>
  <c r="B134" i="9"/>
  <c r="H139" i="9"/>
  <c r="AF139" i="9"/>
  <c r="AF80" i="9"/>
  <c r="H80" i="9"/>
  <c r="AF86" i="9"/>
  <c r="AB86" i="9"/>
  <c r="Z86" i="9"/>
  <c r="H86" i="9"/>
  <c r="D86" i="9"/>
  <c r="B86" i="9"/>
  <c r="AF25" i="9"/>
  <c r="H25" i="9"/>
  <c r="AV75" i="9"/>
  <c r="AV90" i="9"/>
  <c r="AV196" i="9"/>
  <c r="AB196" i="9"/>
  <c r="Z196" i="9"/>
  <c r="X196" i="9"/>
  <c r="AU93" i="9"/>
  <c r="W93" i="9"/>
  <c r="AU45" i="9"/>
  <c r="W45" i="9"/>
  <c r="AU239" i="9"/>
  <c r="W239" i="9"/>
  <c r="AT189" i="9"/>
  <c r="V189" i="9"/>
  <c r="AT42" i="9"/>
  <c r="V42" i="9"/>
  <c r="AT38" i="9"/>
  <c r="AB38" i="9"/>
  <c r="Z38" i="9"/>
  <c r="V38" i="9"/>
  <c r="D38" i="9"/>
  <c r="B38" i="9"/>
  <c r="AT235" i="9"/>
  <c r="V235" i="9"/>
  <c r="AT16" i="9"/>
  <c r="AJ10" i="9"/>
  <c r="L10" i="9"/>
  <c r="AI139" i="9"/>
  <c r="K139" i="9"/>
  <c r="AI138" i="9"/>
  <c r="AB138" i="9"/>
  <c r="Z138" i="9"/>
  <c r="K138" i="9"/>
  <c r="D138" i="9"/>
  <c r="B138" i="9"/>
  <c r="AS217" i="9"/>
  <c r="AC217" i="9"/>
  <c r="AB217" i="9"/>
  <c r="AA217" i="9"/>
  <c r="Z217" i="9"/>
  <c r="U217" i="9"/>
  <c r="E217" i="9"/>
  <c r="D217" i="9"/>
  <c r="C217" i="9"/>
  <c r="B217" i="9"/>
  <c r="AH16" i="9"/>
  <c r="J16" i="9"/>
  <c r="AF112" i="9"/>
  <c r="AB112" i="9"/>
  <c r="Z112" i="9"/>
  <c r="H112" i="9"/>
  <c r="D112" i="9"/>
  <c r="B112" i="9"/>
  <c r="AF138" i="9"/>
  <c r="H138" i="9"/>
  <c r="AF136" i="9"/>
  <c r="AB136" i="9"/>
  <c r="Z136" i="9"/>
  <c r="H136" i="9"/>
  <c r="D136" i="9"/>
  <c r="B136" i="9"/>
  <c r="AF65" i="9"/>
  <c r="AB65" i="9"/>
  <c r="Z65" i="9"/>
  <c r="AP45" i="9"/>
  <c r="R45" i="9"/>
  <c r="AS56" i="9"/>
  <c r="AB56" i="9"/>
  <c r="Z56" i="9"/>
  <c r="U56" i="9"/>
  <c r="D56" i="9"/>
  <c r="B56" i="9"/>
  <c r="AS28" i="9"/>
  <c r="U28" i="9"/>
  <c r="AS57" i="9"/>
  <c r="AB57" i="9"/>
  <c r="Z57" i="9"/>
  <c r="U57" i="9"/>
  <c r="D57" i="9"/>
  <c r="B57" i="9"/>
  <c r="AS162" i="9"/>
  <c r="U162" i="9"/>
  <c r="AS193" i="9"/>
  <c r="U193" i="9"/>
  <c r="AS96" i="9"/>
  <c r="U96" i="9"/>
  <c r="AR46" i="9"/>
  <c r="AC46" i="9"/>
  <c r="AA46" i="9"/>
  <c r="T46" i="9"/>
  <c r="E46" i="9"/>
  <c r="C46" i="9"/>
  <c r="AR237" i="9"/>
  <c r="T237" i="9"/>
  <c r="AR179" i="9"/>
  <c r="T179" i="9"/>
  <c r="AR76" i="9"/>
  <c r="AQ74" i="9"/>
  <c r="S74" i="9"/>
  <c r="D142" i="9"/>
  <c r="AQ142" i="9"/>
  <c r="AB142" i="9"/>
  <c r="Z142" i="9"/>
  <c r="S142" i="9"/>
  <c r="B142" i="9"/>
  <c r="AP43" i="9"/>
  <c r="R43" i="9"/>
  <c r="AP160" i="9"/>
  <c r="AP94" i="9" s="1"/>
  <c r="AP46" i="9"/>
  <c r="R46" i="9"/>
  <c r="AP50" i="9"/>
  <c r="R50" i="9"/>
  <c r="AP92" i="9"/>
  <c r="R92" i="9"/>
  <c r="AP48" i="9"/>
  <c r="R48" i="9"/>
  <c r="AP179" i="9"/>
  <c r="R179" i="9"/>
  <c r="AP80" i="9"/>
  <c r="R80" i="9"/>
  <c r="AO174" i="9"/>
  <c r="Q174" i="9"/>
  <c r="AN166" i="9"/>
  <c r="AN94" i="9" s="1"/>
  <c r="AB166" i="9"/>
  <c r="Z166" i="9"/>
  <c r="P166" i="9"/>
  <c r="AM80" i="9"/>
  <c r="O80" i="9"/>
  <c r="AM81" i="9"/>
  <c r="O81" i="9"/>
  <c r="AM75" i="9"/>
  <c r="O75" i="9"/>
  <c r="AM74" i="9"/>
  <c r="O74" i="9"/>
  <c r="AM83" i="9"/>
  <c r="O83" i="9"/>
  <c r="AM82" i="9"/>
  <c r="AB82" i="9"/>
  <c r="Z82" i="9"/>
  <c r="O82" i="9"/>
  <c r="D82" i="9"/>
  <c r="B82" i="9"/>
  <c r="AM85" i="9"/>
  <c r="O85" i="9"/>
  <c r="AL74" i="9"/>
  <c r="N74" i="9"/>
  <c r="AL90" i="9"/>
  <c r="AL62" i="9"/>
  <c r="AB62" i="9"/>
  <c r="Z62" i="9"/>
  <c r="N62" i="9"/>
  <c r="D62" i="9"/>
  <c r="B62" i="9"/>
  <c r="AL64" i="9"/>
  <c r="N64" i="9"/>
  <c r="AL97" i="9"/>
  <c r="AB97" i="9"/>
  <c r="Z97" i="9"/>
  <c r="N97" i="9"/>
  <c r="AK234" i="9"/>
  <c r="M234" i="9"/>
  <c r="AK66" i="9"/>
  <c r="AB66" i="9"/>
  <c r="Z66" i="9"/>
  <c r="M66" i="9"/>
  <c r="D66" i="9"/>
  <c r="B66" i="9"/>
  <c r="AJ48" i="9"/>
  <c r="L48" i="9"/>
  <c r="AJ136" i="9"/>
  <c r="L136" i="9"/>
  <c r="AJ90" i="9"/>
  <c r="L90" i="9"/>
  <c r="AJ74" i="9"/>
  <c r="AJ55" i="9"/>
  <c r="AB55" i="9"/>
  <c r="Z55" i="9"/>
  <c r="L55" i="9"/>
  <c r="D55" i="9"/>
  <c r="B55" i="9"/>
  <c r="AJ64" i="9"/>
  <c r="L64" i="9"/>
  <c r="AJ141" i="9"/>
  <c r="AB141" i="9"/>
  <c r="Z141" i="9"/>
  <c r="L141" i="9"/>
  <c r="D141" i="9"/>
  <c r="B141" i="9"/>
  <c r="AJ79" i="9"/>
  <c r="L79" i="9"/>
  <c r="AI147" i="9"/>
  <c r="K147" i="9"/>
  <c r="AI113" i="9"/>
  <c r="AI104" i="9"/>
  <c r="K104" i="9"/>
  <c r="AI136" i="9"/>
  <c r="K136" i="9"/>
  <c r="AI121" i="9"/>
  <c r="AB121" i="9"/>
  <c r="Z121" i="9"/>
  <c r="K121" i="9"/>
  <c r="D121" i="9"/>
  <c r="B121" i="9"/>
  <c r="AI50" i="9"/>
  <c r="K50" i="9"/>
  <c r="AI10" i="9"/>
  <c r="K10" i="9"/>
  <c r="AI55" i="9"/>
  <c r="K55" i="9"/>
  <c r="AI80" i="9"/>
  <c r="K80" i="9"/>
  <c r="H65" i="9"/>
  <c r="AF111" i="9"/>
  <c r="AB111" i="9"/>
  <c r="Z111" i="9"/>
  <c r="H111" i="9"/>
  <c r="D111" i="9"/>
  <c r="B111" i="9"/>
  <c r="AF10" i="9"/>
  <c r="H10" i="9"/>
  <c r="AF163" i="9"/>
  <c r="AB163" i="9"/>
  <c r="Z163" i="9"/>
  <c r="H163" i="9"/>
  <c r="D163" i="9"/>
  <c r="B163" i="9"/>
  <c r="AF160" i="9"/>
  <c r="H160" i="9"/>
  <c r="AF64" i="9"/>
  <c r="H64" i="9"/>
  <c r="AF30" i="9"/>
  <c r="H30" i="9"/>
  <c r="AF236" i="9"/>
  <c r="H236" i="9"/>
  <c r="AF234" i="9"/>
  <c r="AF115" i="9"/>
  <c r="AB115" i="9"/>
  <c r="Z115" i="9"/>
  <c r="AT18" i="9"/>
  <c r="AC18" i="9"/>
  <c r="AB18" i="9"/>
  <c r="AA18" i="9"/>
  <c r="Z18" i="9"/>
  <c r="V18" i="9"/>
  <c r="E18" i="9"/>
  <c r="D18" i="9"/>
  <c r="C18" i="9"/>
  <c r="B18" i="9"/>
  <c r="AT109" i="9"/>
  <c r="V109" i="9"/>
  <c r="AT160" i="9"/>
  <c r="V160" i="9"/>
  <c r="AR94" i="9"/>
  <c r="AO233" i="9"/>
  <c r="Q233" i="9"/>
  <c r="AK236" i="9"/>
  <c r="M236" i="9"/>
  <c r="AJ204" i="9"/>
  <c r="L204" i="9"/>
  <c r="L165" i="9"/>
  <c r="D165" i="9"/>
  <c r="B165" i="9"/>
  <c r="L128" i="9"/>
  <c r="L108" i="9"/>
  <c r="AJ167" i="9"/>
  <c r="AB167" i="9"/>
  <c r="Z167" i="9"/>
  <c r="L167" i="9"/>
  <c r="D167" i="9"/>
  <c r="B167" i="9"/>
  <c r="K159" i="9"/>
  <c r="D159" i="9"/>
  <c r="B159" i="9"/>
  <c r="K78" i="9"/>
  <c r="D78" i="9"/>
  <c r="B78" i="9"/>
  <c r="AI179" i="9"/>
  <c r="K179" i="9"/>
  <c r="AI30" i="9"/>
  <c r="K30" i="9"/>
  <c r="N82" i="9"/>
  <c r="AF172" i="9"/>
  <c r="AB172" i="9"/>
  <c r="Z172" i="9"/>
  <c r="H172" i="9"/>
  <c r="D172" i="9"/>
  <c r="B172" i="9"/>
  <c r="AF124" i="9"/>
  <c r="AB124" i="9"/>
  <c r="Z124" i="9"/>
  <c r="H124" i="9"/>
  <c r="D124" i="9"/>
  <c r="B124" i="9"/>
  <c r="AF67" i="9"/>
  <c r="AB67" i="9"/>
  <c r="Z67" i="9"/>
  <c r="H67" i="9"/>
  <c r="D67" i="9"/>
  <c r="B67" i="9"/>
  <c r="AF57" i="9"/>
  <c r="H57" i="9"/>
  <c r="H66" i="9"/>
  <c r="AT176" i="9"/>
  <c r="AC176" i="9"/>
  <c r="AB176" i="9"/>
  <c r="AA176" i="9"/>
  <c r="Z176" i="9"/>
  <c r="V176" i="9"/>
  <c r="E176" i="9"/>
  <c r="C176" i="9"/>
  <c r="V184" i="9"/>
  <c r="V196" i="9"/>
  <c r="J88" i="9"/>
  <c r="J76" i="9"/>
  <c r="AH239" i="9"/>
  <c r="J239" i="9"/>
  <c r="AH233" i="9"/>
  <c r="AH80" i="9"/>
  <c r="J80" i="9"/>
  <c r="AH76" i="9"/>
  <c r="AF129" i="9"/>
  <c r="AB129" i="9"/>
  <c r="Z129" i="9"/>
  <c r="H129" i="9"/>
  <c r="D129" i="9"/>
  <c r="B129" i="9"/>
  <c r="H102" i="9"/>
  <c r="D102" i="9"/>
  <c r="B102" i="9"/>
  <c r="H151" i="9"/>
  <c r="H245" i="9"/>
  <c r="S88" i="9"/>
  <c r="S81" i="9"/>
  <c r="AC35" i="9"/>
  <c r="AA35" i="9"/>
  <c r="E35" i="9"/>
  <c r="C35" i="9"/>
  <c r="E45" i="9"/>
  <c r="V45" i="9"/>
  <c r="C45" i="9"/>
  <c r="AP84" i="9"/>
  <c r="R84" i="9"/>
  <c r="X76" i="9"/>
  <c r="X80" i="9"/>
  <c r="AT166" i="9"/>
  <c r="V166" i="9"/>
  <c r="L66" i="9"/>
  <c r="L70" i="9"/>
  <c r="D70" i="9"/>
  <c r="B70" i="9"/>
  <c r="L92" i="9"/>
  <c r="L61" i="9"/>
  <c r="L112" i="9"/>
  <c r="L139" i="9"/>
  <c r="W179" i="9"/>
  <c r="R96" i="9"/>
  <c r="AP193" i="9"/>
  <c r="R193" i="9"/>
  <c r="AJ30" i="9"/>
  <c r="L30" i="9"/>
  <c r="AI112" i="9"/>
  <c r="K112" i="9"/>
  <c r="AF226" i="9"/>
  <c r="AF78" i="9"/>
  <c r="AB78" i="9"/>
  <c r="Z78" i="9"/>
  <c r="H78" i="9"/>
  <c r="J104" i="9"/>
  <c r="AF174" i="9"/>
  <c r="H174" i="9"/>
  <c r="S134" i="9"/>
  <c r="AK107" i="9"/>
  <c r="K245" i="9"/>
  <c r="N48" i="9"/>
  <c r="AD94" i="9"/>
  <c r="AE94" i="9"/>
  <c r="AG94" i="9"/>
  <c r="AK94" i="9"/>
  <c r="AM94" i="9"/>
  <c r="AU94" i="9"/>
  <c r="AF79" i="9"/>
  <c r="H79" i="9"/>
  <c r="F247" i="10" l="1"/>
  <c r="N247" i="10"/>
  <c r="V247" i="10"/>
  <c r="AE247" i="10"/>
  <c r="AM247" i="10"/>
  <c r="AU247" i="10"/>
  <c r="B247" i="10"/>
  <c r="J247" i="10"/>
  <c r="R247" i="10"/>
  <c r="AA247" i="10"/>
  <c r="AI247" i="10"/>
  <c r="AQ247" i="10"/>
  <c r="AW223" i="10"/>
  <c r="Y231" i="10"/>
  <c r="Y48" i="9"/>
  <c r="AW44" i="10"/>
  <c r="AW178" i="10"/>
  <c r="Y26" i="10"/>
  <c r="Y94" i="10"/>
  <c r="AW26" i="10"/>
  <c r="C247" i="10"/>
  <c r="G247" i="10"/>
  <c r="K247" i="10"/>
  <c r="O247" i="10"/>
  <c r="S247" i="10"/>
  <c r="W247" i="10"/>
  <c r="AB247" i="10"/>
  <c r="AF247" i="10"/>
  <c r="AJ247" i="10"/>
  <c r="AN247" i="10"/>
  <c r="AR247" i="10"/>
  <c r="AV247" i="10"/>
  <c r="Y44" i="10"/>
  <c r="AW73" i="10"/>
  <c r="AW195" i="10"/>
  <c r="Y223" i="10"/>
  <c r="D247" i="10"/>
  <c r="L247" i="10"/>
  <c r="X247" i="10"/>
  <c r="AG247" i="10"/>
  <c r="AS247" i="10"/>
  <c r="AW63" i="10"/>
  <c r="Y73" i="10"/>
  <c r="AW181" i="10"/>
  <c r="Y195" i="10"/>
  <c r="H247" i="10"/>
  <c r="P247" i="10"/>
  <c r="T247" i="10"/>
  <c r="AC247" i="10"/>
  <c r="AK247" i="10"/>
  <c r="AO247" i="10"/>
  <c r="E247" i="10"/>
  <c r="I247" i="10"/>
  <c r="M247" i="10"/>
  <c r="Q247" i="10"/>
  <c r="U247" i="10"/>
  <c r="Z247" i="10"/>
  <c r="AD247" i="10"/>
  <c r="AH247" i="10"/>
  <c r="AL247" i="10"/>
  <c r="AP247" i="10"/>
  <c r="AT247" i="10"/>
  <c r="Y63" i="10"/>
  <c r="AW94" i="10"/>
  <c r="Y178" i="10"/>
  <c r="Y181" i="10"/>
  <c r="AW231" i="10"/>
  <c r="Y6" i="10"/>
  <c r="AW6" i="10"/>
  <c r="AW92" i="9"/>
  <c r="AO94" i="9"/>
  <c r="AW79" i="9"/>
  <c r="AQ94" i="9"/>
  <c r="AV94" i="9"/>
  <c r="AC94" i="9"/>
  <c r="AS94" i="9"/>
  <c r="Y92" i="9"/>
  <c r="AW138" i="9"/>
  <c r="AL94" i="9"/>
  <c r="AA94" i="9"/>
  <c r="AJ94" i="9"/>
  <c r="AT94" i="9"/>
  <c r="AF94" i="9"/>
  <c r="AI94" i="9"/>
  <c r="AB94" i="9"/>
  <c r="Z94" i="9"/>
  <c r="AW247" i="10" l="1"/>
  <c r="Y247" i="10"/>
  <c r="AZ74" i="8"/>
  <c r="AW246" i="9"/>
  <c r="Y246" i="9"/>
  <c r="AW245" i="9"/>
  <c r="Y245" i="9"/>
  <c r="AW244" i="9"/>
  <c r="Y244" i="9"/>
  <c r="AW243" i="9"/>
  <c r="Y243" i="9"/>
  <c r="AW242" i="9"/>
  <c r="Y242" i="9"/>
  <c r="AW241" i="9"/>
  <c r="Y241" i="9"/>
  <c r="AW240" i="9"/>
  <c r="Y240" i="9"/>
  <c r="AW239" i="9"/>
  <c r="Y239" i="9"/>
  <c r="AW238" i="9"/>
  <c r="Y238" i="9"/>
  <c r="AW237" i="9"/>
  <c r="Y237" i="9"/>
  <c r="AW236" i="9"/>
  <c r="Y236" i="9"/>
  <c r="AW235" i="9"/>
  <c r="Y235" i="9"/>
  <c r="AW234" i="9"/>
  <c r="Y234" i="9"/>
  <c r="AW233" i="9"/>
  <c r="Y233" i="9"/>
  <c r="AW232" i="9"/>
  <c r="Y232" i="9"/>
  <c r="AV231" i="9"/>
  <c r="AU231" i="9"/>
  <c r="AT231" i="9"/>
  <c r="AS231" i="9"/>
  <c r="AR231" i="9"/>
  <c r="AQ231" i="9"/>
  <c r="AP231" i="9"/>
  <c r="AO231" i="9"/>
  <c r="AN231" i="9"/>
  <c r="AM231" i="9"/>
  <c r="AL231" i="9"/>
  <c r="AK231" i="9"/>
  <c r="AJ231" i="9"/>
  <c r="AI231" i="9"/>
  <c r="AH231" i="9"/>
  <c r="AG231" i="9"/>
  <c r="AF231" i="9"/>
  <c r="AE231" i="9"/>
  <c r="AD231" i="9"/>
  <c r="AC231" i="9"/>
  <c r="AB231" i="9"/>
  <c r="AA231" i="9"/>
  <c r="Z231" i="9"/>
  <c r="X231" i="9"/>
  <c r="W231" i="9"/>
  <c r="V231" i="9"/>
  <c r="U231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B231" i="9"/>
  <c r="AW230" i="9"/>
  <c r="Y230" i="9"/>
  <c r="AW229" i="9"/>
  <c r="Y229" i="9"/>
  <c r="AW228" i="9"/>
  <c r="Y228" i="9"/>
  <c r="AW227" i="9"/>
  <c r="Y227" i="9"/>
  <c r="AW226" i="9"/>
  <c r="Y226" i="9"/>
  <c r="AW225" i="9"/>
  <c r="Y225" i="9"/>
  <c r="AW224" i="9"/>
  <c r="Y224" i="9"/>
  <c r="AV223" i="9"/>
  <c r="AU223" i="9"/>
  <c r="AT223" i="9"/>
  <c r="AS223" i="9"/>
  <c r="AR223" i="9"/>
  <c r="AQ223" i="9"/>
  <c r="AP223" i="9"/>
  <c r="AO223" i="9"/>
  <c r="AN223" i="9"/>
  <c r="AM223" i="9"/>
  <c r="AL223" i="9"/>
  <c r="AK223" i="9"/>
  <c r="AJ223" i="9"/>
  <c r="AI223" i="9"/>
  <c r="AH223" i="9"/>
  <c r="AG223" i="9"/>
  <c r="AF223" i="9"/>
  <c r="AE223" i="9"/>
  <c r="AD223" i="9"/>
  <c r="AB223" i="9"/>
  <c r="AA223" i="9"/>
  <c r="Z223" i="9"/>
  <c r="X223" i="9"/>
  <c r="W223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B223" i="9"/>
  <c r="AW222" i="9"/>
  <c r="Y222" i="9"/>
  <c r="AW221" i="9"/>
  <c r="Y221" i="9"/>
  <c r="AW220" i="9"/>
  <c r="Y220" i="9"/>
  <c r="AW219" i="9"/>
  <c r="Y219" i="9"/>
  <c r="AW218" i="9"/>
  <c r="Y218" i="9"/>
  <c r="AW217" i="9"/>
  <c r="Y217" i="9"/>
  <c r="AW216" i="9"/>
  <c r="Y216" i="9"/>
  <c r="AW215" i="9"/>
  <c r="Y215" i="9"/>
  <c r="AW214" i="9"/>
  <c r="Y214" i="9"/>
  <c r="AW213" i="9"/>
  <c r="Y213" i="9"/>
  <c r="AW212" i="9"/>
  <c r="Y212" i="9"/>
  <c r="AW211" i="9"/>
  <c r="Y211" i="9"/>
  <c r="AW210" i="9"/>
  <c r="Y210" i="9"/>
  <c r="AW209" i="9"/>
  <c r="Y209" i="9"/>
  <c r="AW208" i="9"/>
  <c r="Y208" i="9"/>
  <c r="AW207" i="9"/>
  <c r="Y207" i="9"/>
  <c r="AW206" i="9"/>
  <c r="Y206" i="9"/>
  <c r="AW205" i="9"/>
  <c r="Y205" i="9"/>
  <c r="AW204" i="9"/>
  <c r="Y204" i="9"/>
  <c r="AW203" i="9"/>
  <c r="Y203" i="9"/>
  <c r="AW202" i="9"/>
  <c r="Y202" i="9"/>
  <c r="AW201" i="9"/>
  <c r="Y201" i="9"/>
  <c r="AW200" i="9"/>
  <c r="Y200" i="9"/>
  <c r="AW199" i="9"/>
  <c r="Y199" i="9"/>
  <c r="AW198" i="9"/>
  <c r="Y198" i="9"/>
  <c r="AW197" i="9"/>
  <c r="Y197" i="9"/>
  <c r="AW196" i="9"/>
  <c r="Y196" i="9"/>
  <c r="AV195" i="9"/>
  <c r="AU195" i="9"/>
  <c r="AT195" i="9"/>
  <c r="AS195" i="9"/>
  <c r="AR195" i="9"/>
  <c r="AQ195" i="9"/>
  <c r="AP195" i="9"/>
  <c r="AO195" i="9"/>
  <c r="AN195" i="9"/>
  <c r="AM195" i="9"/>
  <c r="AL195" i="9"/>
  <c r="AK195" i="9"/>
  <c r="AJ195" i="9"/>
  <c r="AI195" i="9"/>
  <c r="AH195" i="9"/>
  <c r="AG195" i="9"/>
  <c r="AF195" i="9"/>
  <c r="AE195" i="9"/>
  <c r="AD195" i="9"/>
  <c r="AB195" i="9"/>
  <c r="AA195" i="9"/>
  <c r="Z195" i="9"/>
  <c r="X195" i="9"/>
  <c r="W195" i="9"/>
  <c r="V195" i="9"/>
  <c r="U195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AW194" i="9"/>
  <c r="Y194" i="9"/>
  <c r="AW193" i="9"/>
  <c r="Y193" i="9"/>
  <c r="AW192" i="9"/>
  <c r="Y192" i="9"/>
  <c r="AW191" i="9"/>
  <c r="Y191" i="9"/>
  <c r="AW190" i="9"/>
  <c r="Y190" i="9"/>
  <c r="AW189" i="9"/>
  <c r="Y189" i="9"/>
  <c r="AW188" i="9"/>
  <c r="Y188" i="9"/>
  <c r="AW187" i="9"/>
  <c r="Y187" i="9"/>
  <c r="AW186" i="9"/>
  <c r="Y186" i="9"/>
  <c r="AW185" i="9"/>
  <c r="Y185" i="9"/>
  <c r="AW184" i="9"/>
  <c r="Y184" i="9"/>
  <c r="AW183" i="9"/>
  <c r="Y183" i="9"/>
  <c r="AW182" i="9"/>
  <c r="Y182" i="9"/>
  <c r="AV181" i="9"/>
  <c r="AU181" i="9"/>
  <c r="AT181" i="9"/>
  <c r="AS181" i="9"/>
  <c r="AR181" i="9"/>
  <c r="AQ181" i="9"/>
  <c r="AP181" i="9"/>
  <c r="AO181" i="9"/>
  <c r="AN181" i="9"/>
  <c r="AM181" i="9"/>
  <c r="AL181" i="9"/>
  <c r="AK181" i="9"/>
  <c r="AJ181" i="9"/>
  <c r="AI181" i="9"/>
  <c r="AH181" i="9"/>
  <c r="AG181" i="9"/>
  <c r="AF181" i="9"/>
  <c r="AE181" i="9"/>
  <c r="AD181" i="9"/>
  <c r="AC181" i="9"/>
  <c r="AB181" i="9"/>
  <c r="AA181" i="9"/>
  <c r="Z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W180" i="9"/>
  <c r="Y180" i="9"/>
  <c r="AW179" i="9"/>
  <c r="Y179" i="9"/>
  <c r="AV178" i="9"/>
  <c r="AU178" i="9"/>
  <c r="AT178" i="9"/>
  <c r="AS178" i="9"/>
  <c r="AR178" i="9"/>
  <c r="AQ178" i="9"/>
  <c r="AP178" i="9"/>
  <c r="AO178" i="9"/>
  <c r="AN178" i="9"/>
  <c r="AM178" i="9"/>
  <c r="AL178" i="9"/>
  <c r="AK178" i="9"/>
  <c r="AJ178" i="9"/>
  <c r="AI178" i="9"/>
  <c r="AH178" i="9"/>
  <c r="AG178" i="9"/>
  <c r="AF178" i="9"/>
  <c r="AE178" i="9"/>
  <c r="AD178" i="9"/>
  <c r="AC178" i="9"/>
  <c r="AB178" i="9"/>
  <c r="AA178" i="9"/>
  <c r="Z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W177" i="9"/>
  <c r="Y177" i="9"/>
  <c r="AW176" i="9"/>
  <c r="Y176" i="9"/>
  <c r="AW175" i="9"/>
  <c r="Y175" i="9"/>
  <c r="AW174" i="9"/>
  <c r="Y174" i="9"/>
  <c r="AW173" i="9"/>
  <c r="Y173" i="9"/>
  <c r="AW172" i="9"/>
  <c r="Y172" i="9"/>
  <c r="AW171" i="9"/>
  <c r="Y171" i="9"/>
  <c r="AW170" i="9"/>
  <c r="Y170" i="9"/>
  <c r="AW169" i="9"/>
  <c r="Y169" i="9"/>
  <c r="AW168" i="9"/>
  <c r="Y168" i="9"/>
  <c r="AW167" i="9"/>
  <c r="Y167" i="9"/>
  <c r="AW166" i="9"/>
  <c r="Y166" i="9"/>
  <c r="AW165" i="9"/>
  <c r="Y165" i="9"/>
  <c r="AW164" i="9"/>
  <c r="Y164" i="9"/>
  <c r="AW163" i="9"/>
  <c r="Y163" i="9"/>
  <c r="AW162" i="9"/>
  <c r="Y162" i="9"/>
  <c r="AW161" i="9"/>
  <c r="Y161" i="9"/>
  <c r="AW160" i="9"/>
  <c r="Y160" i="9"/>
  <c r="AW159" i="9"/>
  <c r="Y159" i="9"/>
  <c r="AW158" i="9"/>
  <c r="Y158" i="9"/>
  <c r="AW157" i="9"/>
  <c r="Y157" i="9"/>
  <c r="AW156" i="9"/>
  <c r="Y156" i="9"/>
  <c r="AW155" i="9"/>
  <c r="Y155" i="9"/>
  <c r="AW154" i="9"/>
  <c r="Y154" i="9"/>
  <c r="AW153" i="9"/>
  <c r="Y153" i="9"/>
  <c r="AW152" i="9"/>
  <c r="Y152" i="9"/>
  <c r="AW151" i="9"/>
  <c r="Y151" i="9"/>
  <c r="AW150" i="9"/>
  <c r="Y150" i="9"/>
  <c r="AW149" i="9"/>
  <c r="Y149" i="9"/>
  <c r="AW148" i="9"/>
  <c r="Y148" i="9"/>
  <c r="AW147" i="9"/>
  <c r="Y147" i="9"/>
  <c r="AW146" i="9"/>
  <c r="Y146" i="9"/>
  <c r="AW145" i="9"/>
  <c r="Y145" i="9"/>
  <c r="AW144" i="9"/>
  <c r="Y144" i="9"/>
  <c r="AW143" i="9"/>
  <c r="Y143" i="9"/>
  <c r="AW142" i="9"/>
  <c r="Y142" i="9"/>
  <c r="AW141" i="9"/>
  <c r="Y141" i="9"/>
  <c r="AW140" i="9"/>
  <c r="Y140" i="9"/>
  <c r="Y139" i="9"/>
  <c r="AW139" i="9"/>
  <c r="Y138" i="9"/>
  <c r="AW137" i="9"/>
  <c r="Y137" i="9"/>
  <c r="AW136" i="9"/>
  <c r="Y136" i="9"/>
  <c r="AW135" i="9"/>
  <c r="Y135" i="9"/>
  <c r="AW134" i="9"/>
  <c r="Y134" i="9"/>
  <c r="AW133" i="9"/>
  <c r="Y133" i="9"/>
  <c r="AW132" i="9"/>
  <c r="Y132" i="9"/>
  <c r="AW131" i="9"/>
  <c r="Y131" i="9"/>
  <c r="AW130" i="9"/>
  <c r="Y130" i="9"/>
  <c r="AW129" i="9"/>
  <c r="Y129" i="9"/>
  <c r="AW128" i="9"/>
  <c r="Y128" i="9"/>
  <c r="AW127" i="9"/>
  <c r="Y127" i="9"/>
  <c r="AW126" i="9"/>
  <c r="Y126" i="9"/>
  <c r="AW125" i="9"/>
  <c r="Y125" i="9"/>
  <c r="AW124" i="9"/>
  <c r="Y124" i="9"/>
  <c r="AW123" i="9"/>
  <c r="Y123" i="9"/>
  <c r="AW122" i="9"/>
  <c r="Y122" i="9"/>
  <c r="AW121" i="9"/>
  <c r="Y121" i="9"/>
  <c r="AW120" i="9"/>
  <c r="Y120" i="9"/>
  <c r="AW119" i="9"/>
  <c r="Y119" i="9"/>
  <c r="AW118" i="9"/>
  <c r="Y118" i="9"/>
  <c r="AW117" i="9"/>
  <c r="Y117" i="9"/>
  <c r="AW116" i="9"/>
  <c r="Y116" i="9"/>
  <c r="AW115" i="9"/>
  <c r="Y115" i="9"/>
  <c r="AW114" i="9"/>
  <c r="Y114" i="9"/>
  <c r="AW113" i="9"/>
  <c r="Y113" i="9"/>
  <c r="AW112" i="9"/>
  <c r="Y112" i="9"/>
  <c r="AW111" i="9"/>
  <c r="Y111" i="9"/>
  <c r="AW110" i="9"/>
  <c r="Y110" i="9"/>
  <c r="AW109" i="9"/>
  <c r="Y109" i="9"/>
  <c r="AW108" i="9"/>
  <c r="Y108" i="9"/>
  <c r="AW107" i="9"/>
  <c r="Y107" i="9"/>
  <c r="AW106" i="9"/>
  <c r="Y106" i="9"/>
  <c r="AW105" i="9"/>
  <c r="Y105" i="9"/>
  <c r="AW104" i="9"/>
  <c r="Y104" i="9"/>
  <c r="AW103" i="9"/>
  <c r="Y103" i="9"/>
  <c r="AW102" i="9"/>
  <c r="Y102" i="9"/>
  <c r="AW101" i="9"/>
  <c r="Y101" i="9"/>
  <c r="AW100" i="9"/>
  <c r="Y100" i="9"/>
  <c r="AW99" i="9"/>
  <c r="Y99" i="9"/>
  <c r="AW98" i="9"/>
  <c r="Y98" i="9"/>
  <c r="AW97" i="9"/>
  <c r="Y97" i="9"/>
  <c r="AW96" i="9"/>
  <c r="Y96" i="9"/>
  <c r="AW95" i="9"/>
  <c r="Y95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W93" i="9"/>
  <c r="Y93" i="9"/>
  <c r="AW91" i="9"/>
  <c r="Y91" i="9"/>
  <c r="AW90" i="9"/>
  <c r="Y90" i="9"/>
  <c r="AW89" i="9"/>
  <c r="Y89" i="9"/>
  <c r="AW88" i="9"/>
  <c r="Y88" i="9"/>
  <c r="AW87" i="9"/>
  <c r="Y87" i="9"/>
  <c r="AW86" i="9"/>
  <c r="Y86" i="9"/>
  <c r="AW85" i="9"/>
  <c r="Y85" i="9"/>
  <c r="AW84" i="9"/>
  <c r="Y84" i="9"/>
  <c r="AW83" i="9"/>
  <c r="Y83" i="9"/>
  <c r="AW82" i="9"/>
  <c r="Y82" i="9"/>
  <c r="AW81" i="9"/>
  <c r="Y81" i="9"/>
  <c r="AW80" i="9"/>
  <c r="Y80" i="9"/>
  <c r="Y79" i="9"/>
  <c r="AW78" i="9"/>
  <c r="Y78" i="9"/>
  <c r="AW77" i="9"/>
  <c r="Y77" i="9"/>
  <c r="AW76" i="9"/>
  <c r="Y76" i="9"/>
  <c r="AW75" i="9"/>
  <c r="Y75" i="9"/>
  <c r="AW74" i="9"/>
  <c r="Y74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AW72" i="9"/>
  <c r="Y72" i="9"/>
  <c r="AW71" i="9"/>
  <c r="Y71" i="9"/>
  <c r="AW70" i="9"/>
  <c r="Y70" i="9"/>
  <c r="AW69" i="9"/>
  <c r="Y69" i="9"/>
  <c r="AW68" i="9"/>
  <c r="Y68" i="9"/>
  <c r="AW67" i="9"/>
  <c r="Y67" i="9"/>
  <c r="AW66" i="9"/>
  <c r="Y66" i="9"/>
  <c r="AW65" i="9"/>
  <c r="Y65" i="9"/>
  <c r="AW64" i="9"/>
  <c r="Y64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Y62" i="9"/>
  <c r="AW61" i="9"/>
  <c r="Y61" i="9"/>
  <c r="AW60" i="9"/>
  <c r="Y60" i="9"/>
  <c r="AW59" i="9"/>
  <c r="Y59" i="9"/>
  <c r="AW58" i="9"/>
  <c r="Y58" i="9"/>
  <c r="AW57" i="9"/>
  <c r="Y57" i="9"/>
  <c r="AW56" i="9"/>
  <c r="Y56" i="9"/>
  <c r="AW55" i="9"/>
  <c r="Y55" i="9"/>
  <c r="AW54" i="9"/>
  <c r="Y54" i="9"/>
  <c r="AW53" i="9"/>
  <c r="Y53" i="9"/>
  <c r="AW52" i="9"/>
  <c r="Y52" i="9"/>
  <c r="AW51" i="9"/>
  <c r="Y51" i="9"/>
  <c r="AW50" i="9"/>
  <c r="Y50" i="9"/>
  <c r="AW49" i="9"/>
  <c r="Y49" i="9"/>
  <c r="AW48" i="9"/>
  <c r="AW47" i="9"/>
  <c r="Y47" i="9"/>
  <c r="AW46" i="9"/>
  <c r="Y46" i="9"/>
  <c r="AW45" i="9"/>
  <c r="Y45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W43" i="9"/>
  <c r="Y43" i="9"/>
  <c r="AW42" i="9"/>
  <c r="Y42" i="9"/>
  <c r="AW41" i="9"/>
  <c r="Y41" i="9"/>
  <c r="AW40" i="9"/>
  <c r="Y40" i="9"/>
  <c r="AW39" i="9"/>
  <c r="Y39" i="9"/>
  <c r="AW38" i="9"/>
  <c r="Y38" i="9"/>
  <c r="AW37" i="9"/>
  <c r="Y37" i="9"/>
  <c r="AW36" i="9"/>
  <c r="Y36" i="9"/>
  <c r="AW35" i="9"/>
  <c r="Y35" i="9"/>
  <c r="AW34" i="9"/>
  <c r="Y34" i="9"/>
  <c r="AW33" i="9"/>
  <c r="Y33" i="9"/>
  <c r="AW32" i="9"/>
  <c r="Y32" i="9"/>
  <c r="AW31" i="9"/>
  <c r="Y31" i="9"/>
  <c r="AW30" i="9"/>
  <c r="Y30" i="9"/>
  <c r="AW29" i="9"/>
  <c r="Y29" i="9"/>
  <c r="AW28" i="9"/>
  <c r="Y28" i="9"/>
  <c r="AW27" i="9"/>
  <c r="Y27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W25" i="9"/>
  <c r="Y25" i="9"/>
  <c r="AW24" i="9"/>
  <c r="Y24" i="9"/>
  <c r="AW23" i="9"/>
  <c r="Y23" i="9"/>
  <c r="AW22" i="9"/>
  <c r="Y22" i="9"/>
  <c r="AW21" i="9"/>
  <c r="Y21" i="9"/>
  <c r="AW20" i="9"/>
  <c r="Y20" i="9"/>
  <c r="AW19" i="9"/>
  <c r="Y19" i="9"/>
  <c r="AW18" i="9"/>
  <c r="Y18" i="9"/>
  <c r="AW17" i="9"/>
  <c r="Y17" i="9"/>
  <c r="AW16" i="9"/>
  <c r="Y16" i="9"/>
  <c r="AW15" i="9"/>
  <c r="Y15" i="9"/>
  <c r="AW14" i="9"/>
  <c r="Y14" i="9"/>
  <c r="AW13" i="9"/>
  <c r="Y13" i="9"/>
  <c r="AW12" i="9"/>
  <c r="Y12" i="9"/>
  <c r="AW11" i="9"/>
  <c r="Y11" i="9"/>
  <c r="AW10" i="9"/>
  <c r="Y10" i="9"/>
  <c r="AW9" i="9"/>
  <c r="Y9" i="9"/>
  <c r="AW8" i="9"/>
  <c r="Y8" i="9"/>
  <c r="AW7" i="9"/>
  <c r="Y7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W94" i="9" l="1"/>
  <c r="G247" i="9"/>
  <c r="O247" i="9"/>
  <c r="W247" i="9"/>
  <c r="AB247" i="9"/>
  <c r="AF247" i="9"/>
  <c r="AJ247" i="9"/>
  <c r="AN247" i="9"/>
  <c r="AR247" i="9"/>
  <c r="AV247" i="9"/>
  <c r="C247" i="9"/>
  <c r="K247" i="9"/>
  <c r="S247" i="9"/>
  <c r="Z247" i="9"/>
  <c r="AD247" i="9"/>
  <c r="AH247" i="9"/>
  <c r="AL247" i="9"/>
  <c r="AP247" i="9"/>
  <c r="AT247" i="9"/>
  <c r="Y94" i="9"/>
  <c r="AA247" i="9"/>
  <c r="AE247" i="9"/>
  <c r="AI247" i="9"/>
  <c r="AM247" i="9"/>
  <c r="AQ247" i="9"/>
  <c r="AU247" i="9"/>
  <c r="Y44" i="9"/>
  <c r="AW63" i="9"/>
  <c r="D247" i="9"/>
  <c r="H247" i="9"/>
  <c r="L247" i="9"/>
  <c r="P247" i="9"/>
  <c r="T247" i="9"/>
  <c r="X247" i="9"/>
  <c r="AC247" i="9"/>
  <c r="AG247" i="9"/>
  <c r="AK247" i="9"/>
  <c r="AO247" i="9"/>
  <c r="AS247" i="9"/>
  <c r="Y73" i="9"/>
  <c r="AW181" i="9"/>
  <c r="AW223" i="9"/>
  <c r="AW26" i="9"/>
  <c r="AW44" i="9"/>
  <c r="AW73" i="9"/>
  <c r="AW195" i="9"/>
  <c r="AW178" i="9"/>
  <c r="AW231" i="9"/>
  <c r="B247" i="9"/>
  <c r="F247" i="9"/>
  <c r="J247" i="9"/>
  <c r="N247" i="9"/>
  <c r="R247" i="9"/>
  <c r="V247" i="9"/>
  <c r="Y181" i="9"/>
  <c r="Y195" i="9"/>
  <c r="Y63" i="9"/>
  <c r="Y223" i="9"/>
  <c r="E247" i="9"/>
  <c r="I247" i="9"/>
  <c r="M247" i="9"/>
  <c r="Q247" i="9"/>
  <c r="U247" i="9"/>
  <c r="Y26" i="9"/>
  <c r="Y178" i="9"/>
  <c r="Y231" i="9"/>
  <c r="Y6" i="9"/>
  <c r="AW6" i="9"/>
  <c r="Y247" i="9" l="1"/>
  <c r="AW247" i="9"/>
  <c r="AJ167" i="4" l="1"/>
  <c r="AJ168" i="4"/>
  <c r="AJ169" i="4"/>
  <c r="AJ170" i="4"/>
  <c r="AJ171" i="4"/>
  <c r="AF169" i="4"/>
  <c r="Z6" i="2" l="1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A6" i="2"/>
  <c r="AZ182" i="8" l="1"/>
  <c r="AZ224" i="8"/>
  <c r="AZ95" i="8"/>
  <c r="AZ179" i="8"/>
  <c r="AZ232" i="8"/>
  <c r="AZ64" i="8"/>
  <c r="AZ196" i="8"/>
  <c r="AZ45" i="8"/>
  <c r="AZ27" i="8"/>
  <c r="AW235" i="8"/>
  <c r="Y235" i="8"/>
  <c r="AW234" i="8"/>
  <c r="Y234" i="8"/>
  <c r="AW233" i="8"/>
  <c r="Y233" i="8"/>
  <c r="AW232" i="8"/>
  <c r="Y232" i="8"/>
  <c r="AW230" i="8"/>
  <c r="Y230" i="8"/>
  <c r="AW229" i="8"/>
  <c r="Y229" i="8"/>
  <c r="AW228" i="8"/>
  <c r="Y228" i="8"/>
  <c r="AW227" i="8"/>
  <c r="Y227" i="8"/>
  <c r="AW226" i="8"/>
  <c r="Y226" i="8"/>
  <c r="AW225" i="8"/>
  <c r="Y225" i="8"/>
  <c r="AW224" i="8"/>
  <c r="Y224" i="8"/>
  <c r="AV223" i="8"/>
  <c r="AU223" i="8"/>
  <c r="AT223" i="8"/>
  <c r="AS223" i="8"/>
  <c r="AR223" i="8"/>
  <c r="AQ223" i="8"/>
  <c r="AP223" i="8"/>
  <c r="AO223" i="8"/>
  <c r="AN223" i="8"/>
  <c r="AM223" i="8"/>
  <c r="AL223" i="8"/>
  <c r="AK223" i="8"/>
  <c r="AJ223" i="8"/>
  <c r="AI223" i="8"/>
  <c r="AH223" i="8"/>
  <c r="AG223" i="8"/>
  <c r="AF223" i="8"/>
  <c r="AE223" i="8"/>
  <c r="AD223" i="8"/>
  <c r="AC223" i="8"/>
  <c r="AB223" i="8"/>
  <c r="AA223" i="8"/>
  <c r="Z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AW222" i="8"/>
  <c r="Y222" i="8"/>
  <c r="AW221" i="8"/>
  <c r="Y221" i="8"/>
  <c r="AW220" i="8"/>
  <c r="Y220" i="8"/>
  <c r="AW219" i="8"/>
  <c r="Y219" i="8"/>
  <c r="AW218" i="8"/>
  <c r="Y218" i="8"/>
  <c r="AW217" i="8"/>
  <c r="Y217" i="8"/>
  <c r="AW216" i="8"/>
  <c r="Y216" i="8"/>
  <c r="AW215" i="8"/>
  <c r="Y215" i="8"/>
  <c r="AW214" i="8"/>
  <c r="Y214" i="8"/>
  <c r="Y213" i="8"/>
  <c r="Y212" i="8"/>
  <c r="AW211" i="8"/>
  <c r="Y211" i="8"/>
  <c r="AW210" i="8"/>
  <c r="Y210" i="8"/>
  <c r="AW209" i="8"/>
  <c r="Y209" i="8"/>
  <c r="AW208" i="8"/>
  <c r="Y208" i="8"/>
  <c r="AW207" i="8"/>
  <c r="Y207" i="8"/>
  <c r="AW206" i="8"/>
  <c r="Y206" i="8"/>
  <c r="AW205" i="8"/>
  <c r="Y205" i="8"/>
  <c r="AW204" i="8"/>
  <c r="Y204" i="8"/>
  <c r="AW203" i="8"/>
  <c r="Y203" i="8"/>
  <c r="AW202" i="8"/>
  <c r="Y202" i="8"/>
  <c r="AW201" i="8"/>
  <c r="Y201" i="8"/>
  <c r="AW200" i="8"/>
  <c r="Y200" i="8"/>
  <c r="AW199" i="8"/>
  <c r="Y199" i="8"/>
  <c r="AW198" i="8"/>
  <c r="Y198" i="8"/>
  <c r="AW197" i="8"/>
  <c r="Y197" i="8"/>
  <c r="AW196" i="8"/>
  <c r="Y196" i="8"/>
  <c r="AV195" i="8"/>
  <c r="AU195" i="8"/>
  <c r="AT195" i="8"/>
  <c r="AS195" i="8"/>
  <c r="AR195" i="8"/>
  <c r="AQ195" i="8"/>
  <c r="AP195" i="8"/>
  <c r="AO195" i="8"/>
  <c r="AN195" i="8"/>
  <c r="AM195" i="8"/>
  <c r="AL195" i="8"/>
  <c r="AK195" i="8"/>
  <c r="AJ195" i="8"/>
  <c r="AI195" i="8"/>
  <c r="AH195" i="8"/>
  <c r="AG195" i="8"/>
  <c r="AF195" i="8"/>
  <c r="AE195" i="8"/>
  <c r="AD195" i="8"/>
  <c r="AC195" i="8"/>
  <c r="AB195" i="8"/>
  <c r="AA195" i="8"/>
  <c r="Z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AW194" i="8"/>
  <c r="Y194" i="8"/>
  <c r="AW193" i="8"/>
  <c r="Y193" i="8"/>
  <c r="AW192" i="8"/>
  <c r="Y192" i="8"/>
  <c r="AW191" i="8"/>
  <c r="Y191" i="8"/>
  <c r="AW190" i="8"/>
  <c r="Y190" i="8"/>
  <c r="AW189" i="8"/>
  <c r="Y189" i="8"/>
  <c r="AW188" i="8"/>
  <c r="Y188" i="8"/>
  <c r="AW187" i="8"/>
  <c r="Y187" i="8"/>
  <c r="AW186" i="8"/>
  <c r="Y186" i="8"/>
  <c r="AW185" i="8"/>
  <c r="Y185" i="8"/>
  <c r="AW184" i="8"/>
  <c r="Y184" i="8"/>
  <c r="AW183" i="8"/>
  <c r="Y183" i="8"/>
  <c r="AW182" i="8"/>
  <c r="Y182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AW179" i="8"/>
  <c r="Y179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B178" i="8"/>
  <c r="Z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AW177" i="8"/>
  <c r="AW176" i="8"/>
  <c r="AW175" i="8"/>
  <c r="AW174" i="8"/>
  <c r="AW173" i="8"/>
  <c r="AW172" i="8"/>
  <c r="AW171" i="8"/>
  <c r="AW170" i="8"/>
  <c r="AW169" i="8"/>
  <c r="AW168" i="8"/>
  <c r="AW167" i="8"/>
  <c r="AW166" i="8"/>
  <c r="AW165" i="8"/>
  <c r="AW164" i="8"/>
  <c r="AW163" i="8"/>
  <c r="AW162" i="8"/>
  <c r="AW161" i="8"/>
  <c r="AW160" i="8"/>
  <c r="AW159" i="8"/>
  <c r="AW158" i="8"/>
  <c r="AW157" i="8"/>
  <c r="AW156" i="8"/>
  <c r="AW155" i="8"/>
  <c r="AW153" i="8"/>
  <c r="AW152" i="8"/>
  <c r="AW151" i="8"/>
  <c r="AW150" i="8"/>
  <c r="AW149" i="8"/>
  <c r="AW148" i="8"/>
  <c r="AW147" i="8"/>
  <c r="AW146" i="8"/>
  <c r="AW143" i="8"/>
  <c r="AW142" i="8"/>
  <c r="AW141" i="8"/>
  <c r="AW140" i="8"/>
  <c r="AW139" i="8"/>
  <c r="AW138" i="8"/>
  <c r="AW136" i="8"/>
  <c r="AW135" i="8"/>
  <c r="AW134" i="8"/>
  <c r="AW133" i="8"/>
  <c r="AW132" i="8"/>
  <c r="AW131" i="8"/>
  <c r="AW130" i="8"/>
  <c r="AW129" i="8"/>
  <c r="AW128" i="8"/>
  <c r="AW127" i="8"/>
  <c r="AW125" i="8"/>
  <c r="Y125" i="8"/>
  <c r="AW124" i="8"/>
  <c r="Y124" i="8"/>
  <c r="AW123" i="8"/>
  <c r="Y123" i="8"/>
  <c r="AW122" i="8"/>
  <c r="Y122" i="8"/>
  <c r="AW121" i="8"/>
  <c r="Y121" i="8"/>
  <c r="AW120" i="8"/>
  <c r="Y120" i="8"/>
  <c r="AW119" i="8"/>
  <c r="Y119" i="8"/>
  <c r="AW118" i="8"/>
  <c r="Y118" i="8"/>
  <c r="AW117" i="8"/>
  <c r="Y117" i="8"/>
  <c r="AW116" i="8"/>
  <c r="Y116" i="8"/>
  <c r="AW115" i="8"/>
  <c r="Y115" i="8"/>
  <c r="AW114" i="8"/>
  <c r="Y114" i="8"/>
  <c r="AW113" i="8"/>
  <c r="Y113" i="8"/>
  <c r="AW112" i="8"/>
  <c r="AW111" i="8"/>
  <c r="AW110" i="8"/>
  <c r="AW109" i="8"/>
  <c r="AW108" i="8"/>
  <c r="AW107" i="8"/>
  <c r="Y105" i="8"/>
  <c r="Y104" i="8"/>
  <c r="Y103" i="8"/>
  <c r="Y102" i="8"/>
  <c r="Y101" i="8"/>
  <c r="Y100" i="8"/>
  <c r="Y99" i="8"/>
  <c r="Y98" i="8"/>
  <c r="AW97" i="8"/>
  <c r="Y97" i="8"/>
  <c r="AW96" i="8"/>
  <c r="Y96" i="8"/>
  <c r="AW95" i="8"/>
  <c r="Y95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W93" i="8"/>
  <c r="Y93" i="8"/>
  <c r="AW92" i="8"/>
  <c r="Y92" i="8"/>
  <c r="AW91" i="8"/>
  <c r="Y91" i="8"/>
  <c r="AW90" i="8"/>
  <c r="Y90" i="8"/>
  <c r="AW89" i="8"/>
  <c r="Y89" i="8"/>
  <c r="AW88" i="8"/>
  <c r="Y88" i="8"/>
  <c r="AW87" i="8"/>
  <c r="Y87" i="8"/>
  <c r="AW86" i="8"/>
  <c r="Y86" i="8"/>
  <c r="AW85" i="8"/>
  <c r="Y85" i="8"/>
  <c r="AW84" i="8"/>
  <c r="Y84" i="8"/>
  <c r="AW83" i="8"/>
  <c r="Y83" i="8"/>
  <c r="AW82" i="8"/>
  <c r="Y82" i="8"/>
  <c r="AW81" i="8"/>
  <c r="Y81" i="8"/>
  <c r="AW80" i="8"/>
  <c r="Y80" i="8"/>
  <c r="AW79" i="8"/>
  <c r="Y79" i="8"/>
  <c r="AW78" i="8"/>
  <c r="Y78" i="8"/>
  <c r="AW77" i="8"/>
  <c r="Y77" i="8"/>
  <c r="AW76" i="8"/>
  <c r="Y76" i="8"/>
  <c r="AW75" i="8"/>
  <c r="Y75" i="8"/>
  <c r="AW74" i="8"/>
  <c r="Y74" i="8"/>
  <c r="Z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W72" i="8"/>
  <c r="Y72" i="8"/>
  <c r="AW71" i="8"/>
  <c r="Y71" i="8"/>
  <c r="AW70" i="8"/>
  <c r="Y70" i="8"/>
  <c r="AW69" i="8"/>
  <c r="Y69" i="8"/>
  <c r="AW68" i="8"/>
  <c r="Y68" i="8"/>
  <c r="Y67" i="8"/>
  <c r="AW66" i="8"/>
  <c r="Y66" i="8"/>
  <c r="AW64" i="8"/>
  <c r="Y64" i="8"/>
  <c r="Y62" i="8"/>
  <c r="Y61" i="8"/>
  <c r="Y60" i="8"/>
  <c r="Y59" i="8"/>
  <c r="Y58" i="8"/>
  <c r="Y57" i="8"/>
  <c r="AW52" i="8"/>
  <c r="Y52" i="8"/>
  <c r="AW51" i="8"/>
  <c r="Y51" i="8"/>
  <c r="AW50" i="8"/>
  <c r="Y50" i="8"/>
  <c r="AW49" i="8"/>
  <c r="Y49" i="8"/>
  <c r="AW48" i="8"/>
  <c r="Y48" i="8"/>
  <c r="AW47" i="8"/>
  <c r="Y47" i="8"/>
  <c r="AW46" i="8"/>
  <c r="Y46" i="8"/>
  <c r="AW45" i="8"/>
  <c r="Y45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W43" i="8"/>
  <c r="Y43" i="8"/>
  <c r="AW42" i="8"/>
  <c r="Y42" i="8"/>
  <c r="AW41" i="8"/>
  <c r="Y41" i="8"/>
  <c r="AW40" i="8"/>
  <c r="Y40" i="8"/>
  <c r="AW39" i="8"/>
  <c r="Y39" i="8"/>
  <c r="AW38" i="8"/>
  <c r="Y38" i="8"/>
  <c r="AW37" i="8"/>
  <c r="Y37" i="8"/>
  <c r="AW36" i="8"/>
  <c r="Y36" i="8"/>
  <c r="AW35" i="8"/>
  <c r="Y35" i="8"/>
  <c r="AW34" i="8"/>
  <c r="Y34" i="8"/>
  <c r="AW32" i="8"/>
  <c r="Y32" i="8"/>
  <c r="AW31" i="8"/>
  <c r="Y31" i="8"/>
  <c r="AW30" i="8"/>
  <c r="Y30" i="8"/>
  <c r="AW29" i="8"/>
  <c r="Y29" i="8"/>
  <c r="AW28" i="8"/>
  <c r="Y28" i="8"/>
  <c r="AW27" i="8"/>
  <c r="Y27" i="8"/>
  <c r="AC26" i="8"/>
  <c r="Y19" i="8"/>
  <c r="Y18" i="8"/>
  <c r="BB223" i="8" l="1"/>
  <c r="BC223" i="8" s="1"/>
  <c r="BB73" i="8"/>
  <c r="BC73" i="8" s="1"/>
  <c r="BA178" i="8"/>
  <c r="BA44" i="8"/>
  <c r="BA94" i="8"/>
  <c r="BA181" i="8"/>
  <c r="BA195" i="8"/>
  <c r="BB44" i="8"/>
  <c r="BC44" i="8" s="1"/>
  <c r="BB181" i="8"/>
  <c r="BC181" i="8" s="1"/>
  <c r="BB195" i="8"/>
  <c r="BC195" i="8" s="1"/>
  <c r="BA73" i="8"/>
  <c r="BB178" i="8"/>
  <c r="BC178" i="8" s="1"/>
  <c r="BA223" i="8"/>
  <c r="BB94" i="8"/>
  <c r="BC94" i="8" s="1"/>
  <c r="AW73" i="8"/>
  <c r="AW178" i="8"/>
  <c r="AW223" i="8"/>
  <c r="AW44" i="8"/>
  <c r="AW195" i="8"/>
  <c r="Y44" i="8"/>
  <c r="AW94" i="8"/>
  <c r="Y178" i="8"/>
  <c r="AW181" i="8"/>
  <c r="Y223" i="8"/>
  <c r="Y195" i="8"/>
  <c r="Y181" i="8"/>
  <c r="Y94" i="8"/>
  <c r="Y73" i="8"/>
  <c r="B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C7" i="4"/>
  <c r="B24" i="4"/>
  <c r="Z178" i="7" l="1"/>
  <c r="AA178" i="7"/>
  <c r="AA65" i="8" s="1"/>
  <c r="AA63" i="8" s="1"/>
  <c r="AB178" i="7"/>
  <c r="AB65" i="8" s="1"/>
  <c r="AB63" i="8" s="1"/>
  <c r="AC178" i="7"/>
  <c r="AC65" i="8" s="1"/>
  <c r="AC63" i="8" s="1"/>
  <c r="AD178" i="7"/>
  <c r="AD65" i="8" s="1"/>
  <c r="AE178" i="7"/>
  <c r="AE65" i="8" s="1"/>
  <c r="AE63" i="8" s="1"/>
  <c r="AF178" i="7"/>
  <c r="AF65" i="8" s="1"/>
  <c r="AF63" i="8" s="1"/>
  <c r="AG178" i="7"/>
  <c r="AG65" i="8" s="1"/>
  <c r="AG63" i="8" s="1"/>
  <c r="AH178" i="7"/>
  <c r="AH65" i="8" s="1"/>
  <c r="AH63" i="8" s="1"/>
  <c r="AI178" i="7"/>
  <c r="AI65" i="8" s="1"/>
  <c r="AI63" i="8" s="1"/>
  <c r="AJ178" i="7"/>
  <c r="AJ65" i="8" s="1"/>
  <c r="AJ63" i="8" s="1"/>
  <c r="AK178" i="7"/>
  <c r="AK65" i="8" s="1"/>
  <c r="AK63" i="8" s="1"/>
  <c r="AL178" i="7"/>
  <c r="AL65" i="8" s="1"/>
  <c r="AL63" i="8" s="1"/>
  <c r="AM178" i="7"/>
  <c r="AM65" i="8" s="1"/>
  <c r="AM63" i="8" s="1"/>
  <c r="AN178" i="7"/>
  <c r="AN65" i="8" s="1"/>
  <c r="AN63" i="8" s="1"/>
  <c r="AO178" i="7"/>
  <c r="AO65" i="8" s="1"/>
  <c r="AO63" i="8" s="1"/>
  <c r="AP178" i="7"/>
  <c r="AP65" i="8" s="1"/>
  <c r="AP63" i="8" s="1"/>
  <c r="AQ178" i="7"/>
  <c r="AQ65" i="8" s="1"/>
  <c r="AQ63" i="8" s="1"/>
  <c r="AR178" i="7"/>
  <c r="AR65" i="8" s="1"/>
  <c r="AR63" i="8" s="1"/>
  <c r="AS178" i="7"/>
  <c r="AS65" i="8" s="1"/>
  <c r="AS63" i="8" s="1"/>
  <c r="AT178" i="7"/>
  <c r="AT65" i="8" s="1"/>
  <c r="AT63" i="8" s="1"/>
  <c r="AU178" i="7"/>
  <c r="AU65" i="8" s="1"/>
  <c r="AU63" i="8" s="1"/>
  <c r="AV178" i="7"/>
  <c r="AV65" i="8" s="1"/>
  <c r="AV63" i="8" s="1"/>
  <c r="AW246" i="7"/>
  <c r="Y246" i="7"/>
  <c r="AW245" i="7"/>
  <c r="Y245" i="7"/>
  <c r="AW244" i="7"/>
  <c r="Y244" i="7"/>
  <c r="AW243" i="7"/>
  <c r="Y243" i="7"/>
  <c r="AW242" i="7"/>
  <c r="Y242" i="7"/>
  <c r="AW241" i="7"/>
  <c r="Y241" i="7"/>
  <c r="AW240" i="7"/>
  <c r="Y240" i="7"/>
  <c r="AW239" i="7"/>
  <c r="Y239" i="7"/>
  <c r="AW238" i="7"/>
  <c r="Y238" i="7"/>
  <c r="AW237" i="7"/>
  <c r="Y237" i="7"/>
  <c r="AW236" i="7"/>
  <c r="Y236" i="7"/>
  <c r="AW235" i="7"/>
  <c r="Y235" i="7"/>
  <c r="AW234" i="7"/>
  <c r="Y234" i="7"/>
  <c r="AW233" i="7"/>
  <c r="Y233" i="7"/>
  <c r="AW232" i="7"/>
  <c r="Y232" i="7"/>
  <c r="AW230" i="7"/>
  <c r="Y230" i="7"/>
  <c r="AW229" i="7"/>
  <c r="Y229" i="7"/>
  <c r="AW228" i="7"/>
  <c r="Y228" i="7"/>
  <c r="AW227" i="7"/>
  <c r="Y227" i="7"/>
  <c r="AW226" i="7"/>
  <c r="Y226" i="7"/>
  <c r="AW225" i="7"/>
  <c r="Y225" i="7"/>
  <c r="AW224" i="7"/>
  <c r="Y224" i="7"/>
  <c r="AW222" i="7"/>
  <c r="Y222" i="7"/>
  <c r="AW221" i="7"/>
  <c r="Y221" i="7"/>
  <c r="AW220" i="7"/>
  <c r="Y220" i="7"/>
  <c r="AW219" i="7"/>
  <c r="Y219" i="7"/>
  <c r="AW218" i="7"/>
  <c r="Y218" i="7"/>
  <c r="AW217" i="7"/>
  <c r="Y217" i="7"/>
  <c r="AW216" i="7"/>
  <c r="Y216" i="7"/>
  <c r="AW215" i="7"/>
  <c r="Y215" i="7"/>
  <c r="AW214" i="7"/>
  <c r="Y214" i="7"/>
  <c r="AW213" i="7"/>
  <c r="Y213" i="7"/>
  <c r="AW212" i="7"/>
  <c r="Y212" i="7"/>
  <c r="AW211" i="7"/>
  <c r="Y211" i="7"/>
  <c r="AW210" i="7"/>
  <c r="Y210" i="7"/>
  <c r="AW209" i="7"/>
  <c r="Y209" i="7"/>
  <c r="AW208" i="7"/>
  <c r="Y208" i="7"/>
  <c r="AW207" i="7"/>
  <c r="Y207" i="7"/>
  <c r="AW206" i="7"/>
  <c r="Y206" i="7"/>
  <c r="AW205" i="7"/>
  <c r="Y205" i="7"/>
  <c r="AW204" i="7"/>
  <c r="Y204" i="7"/>
  <c r="AW203" i="7"/>
  <c r="Y203" i="7"/>
  <c r="AW202" i="7"/>
  <c r="Y202" i="7"/>
  <c r="AW201" i="7"/>
  <c r="Y201" i="7"/>
  <c r="AW200" i="7"/>
  <c r="Y200" i="7"/>
  <c r="AW199" i="7"/>
  <c r="Y199" i="7"/>
  <c r="AW198" i="7"/>
  <c r="Y198" i="7"/>
  <c r="AW197" i="7"/>
  <c r="Y197" i="7"/>
  <c r="AW196" i="7"/>
  <c r="Y196" i="7"/>
  <c r="AV195" i="7"/>
  <c r="AV33" i="8" s="1"/>
  <c r="AV26" i="8" s="1"/>
  <c r="AU195" i="7"/>
  <c r="AU33" i="8" s="1"/>
  <c r="AU26" i="8" s="1"/>
  <c r="AT195" i="7"/>
  <c r="AT33" i="8" s="1"/>
  <c r="AT26" i="8" s="1"/>
  <c r="AS195" i="7"/>
  <c r="AS33" i="8" s="1"/>
  <c r="AS26" i="8" s="1"/>
  <c r="AR195" i="7"/>
  <c r="AR33" i="8" s="1"/>
  <c r="AR26" i="8" s="1"/>
  <c r="AQ195" i="7"/>
  <c r="AQ33" i="8" s="1"/>
  <c r="AQ26" i="8" s="1"/>
  <c r="AP195" i="7"/>
  <c r="AP33" i="8" s="1"/>
  <c r="AP26" i="8" s="1"/>
  <c r="AO195" i="7"/>
  <c r="AO33" i="8" s="1"/>
  <c r="AO26" i="8" s="1"/>
  <c r="AN195" i="7"/>
  <c r="AN33" i="8" s="1"/>
  <c r="AN26" i="8" s="1"/>
  <c r="AM195" i="7"/>
  <c r="AM33" i="8" s="1"/>
  <c r="AM26" i="8" s="1"/>
  <c r="AL195" i="7"/>
  <c r="AL33" i="8" s="1"/>
  <c r="AL26" i="8" s="1"/>
  <c r="AK195" i="7"/>
  <c r="AK33" i="8" s="1"/>
  <c r="AK26" i="8" s="1"/>
  <c r="AJ195" i="7"/>
  <c r="AJ33" i="8" s="1"/>
  <c r="AJ26" i="8" s="1"/>
  <c r="AI195" i="7"/>
  <c r="AI33" i="8" s="1"/>
  <c r="AI26" i="8" s="1"/>
  <c r="AH195" i="7"/>
  <c r="AH33" i="8" s="1"/>
  <c r="AH26" i="8" s="1"/>
  <c r="AG195" i="7"/>
  <c r="AG33" i="8" s="1"/>
  <c r="AG26" i="8" s="1"/>
  <c r="AF195" i="7"/>
  <c r="AF33" i="8" s="1"/>
  <c r="AF26" i="8" s="1"/>
  <c r="AE195" i="7"/>
  <c r="AE33" i="8" s="1"/>
  <c r="AE26" i="8" s="1"/>
  <c r="AD195" i="7"/>
  <c r="AD33" i="8" s="1"/>
  <c r="AB195" i="7"/>
  <c r="AB33" i="8" s="1"/>
  <c r="AB26" i="8" s="1"/>
  <c r="AA195" i="7"/>
  <c r="AA33" i="8" s="1"/>
  <c r="AA26" i="8" s="1"/>
  <c r="Z195" i="7"/>
  <c r="X195" i="7"/>
  <c r="X33" i="8" s="1"/>
  <c r="X26" i="8" s="1"/>
  <c r="W195" i="7"/>
  <c r="W33" i="8" s="1"/>
  <c r="W26" i="8" s="1"/>
  <c r="V195" i="7"/>
  <c r="V33" i="8" s="1"/>
  <c r="V26" i="8" s="1"/>
  <c r="U195" i="7"/>
  <c r="U33" i="8" s="1"/>
  <c r="U26" i="8" s="1"/>
  <c r="T195" i="7"/>
  <c r="T33" i="8" s="1"/>
  <c r="T26" i="8" s="1"/>
  <c r="S195" i="7"/>
  <c r="S33" i="8" s="1"/>
  <c r="S26" i="8" s="1"/>
  <c r="R195" i="7"/>
  <c r="R33" i="8" s="1"/>
  <c r="R26" i="8" s="1"/>
  <c r="Q195" i="7"/>
  <c r="Q33" i="8" s="1"/>
  <c r="Q26" i="8" s="1"/>
  <c r="P195" i="7"/>
  <c r="P33" i="8" s="1"/>
  <c r="P26" i="8" s="1"/>
  <c r="O195" i="7"/>
  <c r="O33" i="8" s="1"/>
  <c r="O26" i="8" s="1"/>
  <c r="N195" i="7"/>
  <c r="N33" i="8" s="1"/>
  <c r="N26" i="8" s="1"/>
  <c r="M195" i="7"/>
  <c r="M33" i="8" s="1"/>
  <c r="M26" i="8" s="1"/>
  <c r="L195" i="7"/>
  <c r="L33" i="8" s="1"/>
  <c r="L26" i="8" s="1"/>
  <c r="K195" i="7"/>
  <c r="K33" i="8" s="1"/>
  <c r="K26" i="8" s="1"/>
  <c r="J195" i="7"/>
  <c r="J33" i="8" s="1"/>
  <c r="J26" i="8" s="1"/>
  <c r="I195" i="7"/>
  <c r="I33" i="8" s="1"/>
  <c r="I26" i="8" s="1"/>
  <c r="H195" i="7"/>
  <c r="H33" i="8" s="1"/>
  <c r="H26" i="8" s="1"/>
  <c r="G195" i="7"/>
  <c r="G33" i="8" s="1"/>
  <c r="G26" i="8" s="1"/>
  <c r="F195" i="7"/>
  <c r="F33" i="8" s="1"/>
  <c r="E195" i="7"/>
  <c r="E33" i="8" s="1"/>
  <c r="E26" i="8" s="1"/>
  <c r="D195" i="7"/>
  <c r="D33" i="8" s="1"/>
  <c r="C195" i="7"/>
  <c r="C33" i="8" s="1"/>
  <c r="C26" i="8" s="1"/>
  <c r="B195" i="7"/>
  <c r="AW194" i="7"/>
  <c r="Y194" i="7"/>
  <c r="AW193" i="7"/>
  <c r="Y193" i="7"/>
  <c r="AW192" i="7"/>
  <c r="Y192" i="7"/>
  <c r="AW191" i="7"/>
  <c r="Y191" i="7"/>
  <c r="AW190" i="7"/>
  <c r="Y190" i="7"/>
  <c r="AW189" i="7"/>
  <c r="Y189" i="7"/>
  <c r="AW188" i="7"/>
  <c r="Y188" i="7"/>
  <c r="AW187" i="7"/>
  <c r="Y187" i="7"/>
  <c r="AW186" i="7"/>
  <c r="Y186" i="7"/>
  <c r="AW185" i="7"/>
  <c r="Y185" i="7"/>
  <c r="AW184" i="7"/>
  <c r="Y184" i="7"/>
  <c r="AW183" i="7"/>
  <c r="Y183" i="7"/>
  <c r="AW182" i="7"/>
  <c r="Y182" i="7"/>
  <c r="AW180" i="7"/>
  <c r="Y180" i="7"/>
  <c r="AW179" i="7"/>
  <c r="Y179" i="7"/>
  <c r="X178" i="7"/>
  <c r="X65" i="8" s="1"/>
  <c r="X63" i="8" s="1"/>
  <c r="W178" i="7"/>
  <c r="W65" i="8" s="1"/>
  <c r="W63" i="8" s="1"/>
  <c r="V178" i="7"/>
  <c r="V65" i="8" s="1"/>
  <c r="V63" i="8" s="1"/>
  <c r="U178" i="7"/>
  <c r="U65" i="8" s="1"/>
  <c r="U63" i="8" s="1"/>
  <c r="T178" i="7"/>
  <c r="T65" i="8" s="1"/>
  <c r="T63" i="8" s="1"/>
  <c r="S178" i="7"/>
  <c r="S65" i="8" s="1"/>
  <c r="S63" i="8" s="1"/>
  <c r="R178" i="7"/>
  <c r="R65" i="8" s="1"/>
  <c r="R63" i="8" s="1"/>
  <c r="Q178" i="7"/>
  <c r="Q65" i="8" s="1"/>
  <c r="Q63" i="8" s="1"/>
  <c r="P178" i="7"/>
  <c r="P65" i="8" s="1"/>
  <c r="P63" i="8" s="1"/>
  <c r="O178" i="7"/>
  <c r="O65" i="8" s="1"/>
  <c r="O63" i="8" s="1"/>
  <c r="N178" i="7"/>
  <c r="N65" i="8" s="1"/>
  <c r="N63" i="8" s="1"/>
  <c r="M178" i="7"/>
  <c r="M65" i="8" s="1"/>
  <c r="M63" i="8" s="1"/>
  <c r="L178" i="7"/>
  <c r="L65" i="8" s="1"/>
  <c r="L63" i="8" s="1"/>
  <c r="K178" i="7"/>
  <c r="K65" i="8" s="1"/>
  <c r="K63" i="8" s="1"/>
  <c r="J178" i="7"/>
  <c r="J65" i="8" s="1"/>
  <c r="J63" i="8" s="1"/>
  <c r="I178" i="7"/>
  <c r="I65" i="8" s="1"/>
  <c r="I63" i="8" s="1"/>
  <c r="H178" i="7"/>
  <c r="H65" i="8" s="1"/>
  <c r="H63" i="8" s="1"/>
  <c r="G178" i="7"/>
  <c r="G65" i="8" s="1"/>
  <c r="G63" i="8" s="1"/>
  <c r="F178" i="7"/>
  <c r="F65" i="8" s="1"/>
  <c r="E178" i="7"/>
  <c r="E65" i="8" s="1"/>
  <c r="E63" i="8" s="1"/>
  <c r="D178" i="7"/>
  <c r="D65" i="8" s="1"/>
  <c r="C178" i="7"/>
  <c r="C65" i="8" s="1"/>
  <c r="C63" i="8" s="1"/>
  <c r="B178" i="7"/>
  <c r="AW177" i="7"/>
  <c r="Y177" i="7"/>
  <c r="AW176" i="7"/>
  <c r="Y176" i="7"/>
  <c r="AW175" i="7"/>
  <c r="Y175" i="7"/>
  <c r="AW174" i="7"/>
  <c r="Y174" i="7"/>
  <c r="AW173" i="7"/>
  <c r="Y173" i="7"/>
  <c r="AW172" i="7"/>
  <c r="Y172" i="7"/>
  <c r="AW171" i="7"/>
  <c r="Y171" i="7"/>
  <c r="AW170" i="7"/>
  <c r="Y170" i="7"/>
  <c r="AW169" i="7"/>
  <c r="Y169" i="7"/>
  <c r="AW168" i="7"/>
  <c r="Y168" i="7"/>
  <c r="AW167" i="7"/>
  <c r="Y167" i="7"/>
  <c r="AW166" i="7"/>
  <c r="Y166" i="7"/>
  <c r="AW165" i="7"/>
  <c r="Y165" i="7"/>
  <c r="AW164" i="7"/>
  <c r="Y164" i="7"/>
  <c r="AW163" i="7"/>
  <c r="Y163" i="7"/>
  <c r="AW162" i="7"/>
  <c r="Y162" i="7"/>
  <c r="AW161" i="7"/>
  <c r="Y161" i="7"/>
  <c r="AW160" i="7"/>
  <c r="Y160" i="7"/>
  <c r="AW159" i="7"/>
  <c r="Y159" i="7"/>
  <c r="AW158" i="7"/>
  <c r="Y158" i="7"/>
  <c r="AW157" i="7"/>
  <c r="Y157" i="7"/>
  <c r="AW156" i="7"/>
  <c r="Y156" i="7"/>
  <c r="AW155" i="7"/>
  <c r="Y155" i="7"/>
  <c r="AW154" i="7"/>
  <c r="Y154" i="7"/>
  <c r="AW153" i="7"/>
  <c r="Y153" i="7"/>
  <c r="AW152" i="7"/>
  <c r="Y152" i="7"/>
  <c r="AW151" i="7"/>
  <c r="Y151" i="7"/>
  <c r="AW150" i="7"/>
  <c r="Y150" i="7"/>
  <c r="AW149" i="7"/>
  <c r="Y149" i="7"/>
  <c r="AW148" i="7"/>
  <c r="Y148" i="7"/>
  <c r="AW147" i="7"/>
  <c r="Y147" i="7"/>
  <c r="AW146" i="7"/>
  <c r="Y146" i="7"/>
  <c r="AW145" i="7"/>
  <c r="Y145" i="7"/>
  <c r="AW144" i="7"/>
  <c r="Y144" i="7"/>
  <c r="AW143" i="7"/>
  <c r="Y143" i="7"/>
  <c r="AW142" i="7"/>
  <c r="Y142" i="7"/>
  <c r="AW141" i="7"/>
  <c r="Y141" i="7"/>
  <c r="AW140" i="7"/>
  <c r="Y140" i="7"/>
  <c r="AW139" i="7"/>
  <c r="Y139" i="7"/>
  <c r="AW138" i="7"/>
  <c r="Y138" i="7"/>
  <c r="AW137" i="7"/>
  <c r="Y137" i="7"/>
  <c r="AW136" i="7"/>
  <c r="Y136" i="7"/>
  <c r="AW135" i="7"/>
  <c r="Y135" i="7"/>
  <c r="AW134" i="7"/>
  <c r="Y134" i="7"/>
  <c r="AW133" i="7"/>
  <c r="Y133" i="7"/>
  <c r="AW132" i="7"/>
  <c r="Y132" i="7"/>
  <c r="AW131" i="7"/>
  <c r="Y131" i="7"/>
  <c r="AW130" i="7"/>
  <c r="Y130" i="7"/>
  <c r="AW129" i="7"/>
  <c r="Y129" i="7"/>
  <c r="AW128" i="7"/>
  <c r="Y128" i="7"/>
  <c r="AW127" i="7"/>
  <c r="Y127" i="7"/>
  <c r="AW126" i="7"/>
  <c r="Y126" i="7"/>
  <c r="AW125" i="7"/>
  <c r="Y125" i="7"/>
  <c r="AW124" i="7"/>
  <c r="Y124" i="7"/>
  <c r="AW123" i="7"/>
  <c r="Y123" i="7"/>
  <c r="AW122" i="7"/>
  <c r="Y122" i="7"/>
  <c r="AW121" i="7"/>
  <c r="Y121" i="7"/>
  <c r="AW120" i="7"/>
  <c r="Y120" i="7"/>
  <c r="AW119" i="7"/>
  <c r="Y119" i="7"/>
  <c r="AW118" i="7"/>
  <c r="Y118" i="7"/>
  <c r="AW117" i="7"/>
  <c r="Y117" i="7"/>
  <c r="AW116" i="7"/>
  <c r="Y116" i="7"/>
  <c r="AW115" i="7"/>
  <c r="Y115" i="7"/>
  <c r="AW114" i="7"/>
  <c r="Y114" i="7"/>
  <c r="AW113" i="7"/>
  <c r="Y113" i="7"/>
  <c r="AW112" i="7"/>
  <c r="Y112" i="7"/>
  <c r="AW111" i="7"/>
  <c r="Y111" i="7"/>
  <c r="AW110" i="7"/>
  <c r="Y110" i="7"/>
  <c r="AW109" i="7"/>
  <c r="Y109" i="7"/>
  <c r="AW108" i="7"/>
  <c r="Y108" i="7"/>
  <c r="AW107" i="7"/>
  <c r="Y107" i="7"/>
  <c r="AW106" i="7"/>
  <c r="Y106" i="7"/>
  <c r="AW105" i="7"/>
  <c r="Y105" i="7"/>
  <c r="AW104" i="7"/>
  <c r="Y104" i="7"/>
  <c r="AW103" i="7"/>
  <c r="Y103" i="7"/>
  <c r="AW102" i="7"/>
  <c r="Y102" i="7"/>
  <c r="AW101" i="7"/>
  <c r="Y101" i="7"/>
  <c r="AW100" i="7"/>
  <c r="Y100" i="7"/>
  <c r="AW99" i="7"/>
  <c r="Y99" i="7"/>
  <c r="AW98" i="7"/>
  <c r="Y98" i="7"/>
  <c r="AW97" i="7"/>
  <c r="Y97" i="7"/>
  <c r="AW96" i="7"/>
  <c r="Y96" i="7"/>
  <c r="AW95" i="7"/>
  <c r="Y95" i="7"/>
  <c r="AW93" i="7"/>
  <c r="Y93" i="7"/>
  <c r="AW92" i="7"/>
  <c r="Y92" i="7"/>
  <c r="AW91" i="7"/>
  <c r="Y91" i="7"/>
  <c r="AW90" i="7"/>
  <c r="Y90" i="7"/>
  <c r="AW89" i="7"/>
  <c r="Y89" i="7"/>
  <c r="AW88" i="7"/>
  <c r="Y88" i="7"/>
  <c r="AW87" i="7"/>
  <c r="Y87" i="7"/>
  <c r="AW86" i="7"/>
  <c r="Y86" i="7"/>
  <c r="AW85" i="7"/>
  <c r="Y85" i="7"/>
  <c r="AW84" i="7"/>
  <c r="Y84" i="7"/>
  <c r="AW83" i="7"/>
  <c r="Y83" i="7"/>
  <c r="AW82" i="7"/>
  <c r="Y82" i="7"/>
  <c r="AW81" i="7"/>
  <c r="Y81" i="7"/>
  <c r="AW80" i="7"/>
  <c r="Y80" i="7"/>
  <c r="AW79" i="7"/>
  <c r="Y79" i="7"/>
  <c r="AW78" i="7"/>
  <c r="Y78" i="7"/>
  <c r="AW77" i="7"/>
  <c r="Y77" i="7"/>
  <c r="AW76" i="7"/>
  <c r="Y76" i="7"/>
  <c r="AW75" i="7"/>
  <c r="Y75" i="7"/>
  <c r="AW74" i="7"/>
  <c r="Y74" i="7"/>
  <c r="AW72" i="7"/>
  <c r="Y72" i="7"/>
  <c r="AW71" i="7"/>
  <c r="Y71" i="7"/>
  <c r="AW70" i="7"/>
  <c r="Y70" i="7"/>
  <c r="AW69" i="7"/>
  <c r="Y69" i="7"/>
  <c r="AW68" i="7"/>
  <c r="Y68" i="7"/>
  <c r="AW67" i="7"/>
  <c r="Y67" i="7"/>
  <c r="AW66" i="7"/>
  <c r="Y66" i="7"/>
  <c r="AW65" i="7"/>
  <c r="Y65" i="7"/>
  <c r="AW64" i="7"/>
  <c r="Y64" i="7"/>
  <c r="AV63" i="7"/>
  <c r="AV21" i="8" s="1"/>
  <c r="AR63" i="7"/>
  <c r="AR21" i="8" s="1"/>
  <c r="AP63" i="7"/>
  <c r="AP21" i="8" s="1"/>
  <c r="AL63" i="7"/>
  <c r="AL21" i="8" s="1"/>
  <c r="AJ63" i="7"/>
  <c r="AF63" i="7"/>
  <c r="AF21" i="8" s="1"/>
  <c r="AD63" i="7"/>
  <c r="Z63" i="7"/>
  <c r="W63" i="7"/>
  <c r="S63" i="7"/>
  <c r="S21" i="8" s="1"/>
  <c r="Q63" i="7"/>
  <c r="M63" i="7"/>
  <c r="M21" i="8" s="1"/>
  <c r="K63" i="7"/>
  <c r="G63" i="7"/>
  <c r="G21" i="8" s="1"/>
  <c r="E63" i="7"/>
  <c r="Y62" i="7"/>
  <c r="AW61" i="7"/>
  <c r="Y61" i="7"/>
  <c r="AW60" i="7"/>
  <c r="Y60" i="7"/>
  <c r="AW59" i="7"/>
  <c r="Y59" i="7"/>
  <c r="AW58" i="7"/>
  <c r="Y58" i="7"/>
  <c r="AW57" i="7"/>
  <c r="Y57" i="7"/>
  <c r="AW56" i="7"/>
  <c r="Y56" i="7"/>
  <c r="AW55" i="7"/>
  <c r="Y55" i="7"/>
  <c r="AW54" i="7"/>
  <c r="Y54" i="7"/>
  <c r="AW53" i="7"/>
  <c r="Y53" i="7"/>
  <c r="AW52" i="7"/>
  <c r="Y52" i="7"/>
  <c r="AW51" i="7"/>
  <c r="Y51" i="7"/>
  <c r="AW50" i="7"/>
  <c r="Y50" i="7"/>
  <c r="AW49" i="7"/>
  <c r="Y49" i="7"/>
  <c r="AW48" i="7"/>
  <c r="Y48" i="7"/>
  <c r="AW47" i="7"/>
  <c r="Y47" i="7"/>
  <c r="AW46" i="7"/>
  <c r="Y46" i="7"/>
  <c r="AW45" i="7"/>
  <c r="Y45" i="7"/>
  <c r="AV44" i="7"/>
  <c r="AV22" i="8" s="1"/>
  <c r="AU44" i="7"/>
  <c r="AT44" i="7"/>
  <c r="AT22" i="8" s="1"/>
  <c r="AS44" i="7"/>
  <c r="AR44" i="7"/>
  <c r="AR22" i="8" s="1"/>
  <c r="AP44" i="7"/>
  <c r="AP22" i="8" s="1"/>
  <c r="AO44" i="7"/>
  <c r="AM44" i="7"/>
  <c r="AL44" i="7"/>
  <c r="AL22" i="8" s="1"/>
  <c r="AJ44" i="7"/>
  <c r="AJ22" i="8" s="1"/>
  <c r="AI44" i="7"/>
  <c r="AG44" i="7"/>
  <c r="AF44" i="7"/>
  <c r="AF22" i="8" s="1"/>
  <c r="AD44" i="7"/>
  <c r="AD22" i="8" s="1"/>
  <c r="AC44" i="7"/>
  <c r="AB44" i="7"/>
  <c r="AB22" i="8" s="1"/>
  <c r="AA44" i="7"/>
  <c r="Z44" i="7"/>
  <c r="X44" i="7"/>
  <c r="X22" i="8" s="1"/>
  <c r="W44" i="7"/>
  <c r="W22" i="8" s="1"/>
  <c r="V44" i="7"/>
  <c r="U44" i="7"/>
  <c r="U22" i="8" s="1"/>
  <c r="T44" i="7"/>
  <c r="S44" i="7"/>
  <c r="S22" i="8" s="1"/>
  <c r="R44" i="7"/>
  <c r="R22" i="8" s="1"/>
  <c r="Q44" i="7"/>
  <c r="Q22" i="8" s="1"/>
  <c r="P44" i="7"/>
  <c r="O44" i="7"/>
  <c r="O22" i="8" s="1"/>
  <c r="N44" i="7"/>
  <c r="M44" i="7"/>
  <c r="M22" i="8" s="1"/>
  <c r="L44" i="7"/>
  <c r="L22" i="8" s="1"/>
  <c r="K44" i="7"/>
  <c r="K22" i="8" s="1"/>
  <c r="J44" i="7"/>
  <c r="I44" i="7"/>
  <c r="I22" i="8" s="1"/>
  <c r="H44" i="7"/>
  <c r="G44" i="7"/>
  <c r="G22" i="8" s="1"/>
  <c r="F44" i="7"/>
  <c r="F22" i="8" s="1"/>
  <c r="E44" i="7"/>
  <c r="E22" i="8" s="1"/>
  <c r="D44" i="7"/>
  <c r="C44" i="7"/>
  <c r="C22" i="8" s="1"/>
  <c r="B44" i="7"/>
  <c r="AW43" i="7"/>
  <c r="Y43" i="7"/>
  <c r="AW42" i="7"/>
  <c r="Y42" i="7"/>
  <c r="AW41" i="7"/>
  <c r="Y41" i="7"/>
  <c r="AW40" i="7"/>
  <c r="Y40" i="7"/>
  <c r="AW39" i="7"/>
  <c r="Y39" i="7"/>
  <c r="AW38" i="7"/>
  <c r="Y38" i="7"/>
  <c r="AW37" i="7"/>
  <c r="Y37" i="7"/>
  <c r="AW36" i="7"/>
  <c r="Y36" i="7"/>
  <c r="AW35" i="7"/>
  <c r="Y35" i="7"/>
  <c r="AW34" i="7"/>
  <c r="Y34" i="7"/>
  <c r="AW33" i="7"/>
  <c r="Y33" i="7"/>
  <c r="AW32" i="7"/>
  <c r="Y32" i="7"/>
  <c r="AW31" i="7"/>
  <c r="Y31" i="7"/>
  <c r="AW30" i="7"/>
  <c r="Y30" i="7"/>
  <c r="AW29" i="7"/>
  <c r="Y29" i="7"/>
  <c r="AW28" i="7"/>
  <c r="Y28" i="7"/>
  <c r="AW27" i="7"/>
  <c r="Y27" i="7"/>
  <c r="AW25" i="7"/>
  <c r="Y25" i="7"/>
  <c r="AW24" i="7"/>
  <c r="Y24" i="7"/>
  <c r="AW23" i="7"/>
  <c r="Y23" i="7"/>
  <c r="AW22" i="7"/>
  <c r="Y22" i="7"/>
  <c r="AW21" i="7"/>
  <c r="Y21" i="7"/>
  <c r="AW20" i="7"/>
  <c r="Y20" i="7"/>
  <c r="AW19" i="7"/>
  <c r="Y19" i="7"/>
  <c r="AW18" i="7"/>
  <c r="Y18" i="7"/>
  <c r="AW17" i="7"/>
  <c r="Y17" i="7"/>
  <c r="AW16" i="7"/>
  <c r="Y16" i="7"/>
  <c r="AW15" i="7"/>
  <c r="Y15" i="7"/>
  <c r="AW14" i="7"/>
  <c r="Y14" i="7"/>
  <c r="AW13" i="7"/>
  <c r="Y13" i="7"/>
  <c r="AW12" i="7"/>
  <c r="Y12" i="7"/>
  <c r="AW11" i="7"/>
  <c r="Y11" i="7"/>
  <c r="AW10" i="7"/>
  <c r="Y10" i="7"/>
  <c r="AW9" i="7"/>
  <c r="Y9" i="7"/>
  <c r="AW8" i="7"/>
  <c r="Y8" i="7"/>
  <c r="AW7" i="7"/>
  <c r="Y7" i="7"/>
  <c r="Z22" i="8" l="1"/>
  <c r="AY44" i="7"/>
  <c r="AZ44" i="7"/>
  <c r="BA44" i="7" s="1"/>
  <c r="Z33" i="8"/>
  <c r="Z26" i="8" s="1"/>
  <c r="AY195" i="7"/>
  <c r="B33" i="8"/>
  <c r="B26" i="8" s="1"/>
  <c r="AZ195" i="7"/>
  <c r="BA195" i="7" s="1"/>
  <c r="B65" i="8"/>
  <c r="B63" i="8" s="1"/>
  <c r="AZ178" i="7"/>
  <c r="BA178" i="7" s="1"/>
  <c r="Z21" i="8"/>
  <c r="Z65" i="8"/>
  <c r="Z63" i="8" s="1"/>
  <c r="AY178" i="7"/>
  <c r="Q21" i="8"/>
  <c r="Q223" i="7"/>
  <c r="AU22" i="8"/>
  <c r="AU63" i="7"/>
  <c r="AO22" i="8"/>
  <c r="AO63" i="7"/>
  <c r="W21" i="8"/>
  <c r="W223" i="7"/>
  <c r="AG22" i="8"/>
  <c r="AG63" i="7"/>
  <c r="B22" i="8"/>
  <c r="B63" i="7"/>
  <c r="AZ63" i="7" s="1"/>
  <c r="BA63" i="7" s="1"/>
  <c r="H22" i="8"/>
  <c r="H63" i="7"/>
  <c r="N22" i="8"/>
  <c r="N63" i="7"/>
  <c r="T22" i="8"/>
  <c r="T63" i="7"/>
  <c r="AA22" i="8"/>
  <c r="AA63" i="7"/>
  <c r="AI22" i="8"/>
  <c r="AI63" i="7"/>
  <c r="K21" i="8"/>
  <c r="K223" i="7"/>
  <c r="AD21" i="8"/>
  <c r="AD223" i="7"/>
  <c r="AS22" i="8"/>
  <c r="AS63" i="7"/>
  <c r="V22" i="8"/>
  <c r="V63" i="7"/>
  <c r="AJ21" i="8"/>
  <c r="AJ223" i="7"/>
  <c r="P22" i="8"/>
  <c r="P63" i="7"/>
  <c r="J22" i="8"/>
  <c r="J63" i="7"/>
  <c r="E21" i="8"/>
  <c r="E223" i="7"/>
  <c r="D22" i="8"/>
  <c r="D63" i="7"/>
  <c r="AC22" i="8"/>
  <c r="AC63" i="7"/>
  <c r="AM22" i="8"/>
  <c r="AM63" i="7"/>
  <c r="AH44" i="7"/>
  <c r="AN44" i="7"/>
  <c r="F63" i="7"/>
  <c r="L63" i="7"/>
  <c r="R63" i="7"/>
  <c r="X63" i="7"/>
  <c r="AZ65" i="8"/>
  <c r="D63" i="8"/>
  <c r="Y33" i="8"/>
  <c r="F26" i="8"/>
  <c r="Y26" i="8" s="1"/>
  <c r="AP223" i="7"/>
  <c r="AV223" i="7"/>
  <c r="AD63" i="8"/>
  <c r="AW63" i="8" s="1"/>
  <c r="AW65" i="8"/>
  <c r="F63" i="8"/>
  <c r="Y63" i="8" s="1"/>
  <c r="Y65" i="8"/>
  <c r="AE44" i="7"/>
  <c r="AK44" i="7"/>
  <c r="AQ44" i="7"/>
  <c r="C63" i="7"/>
  <c r="I63" i="7"/>
  <c r="O63" i="7"/>
  <c r="U63" i="7"/>
  <c r="AB63" i="7"/>
  <c r="AT63" i="7"/>
  <c r="AF223" i="7"/>
  <c r="AL223" i="7"/>
  <c r="AR223" i="7"/>
  <c r="AZ33" i="8"/>
  <c r="D26" i="8"/>
  <c r="AD26" i="8"/>
  <c r="AW26" i="8" s="1"/>
  <c r="AW33" i="8"/>
  <c r="G223" i="7"/>
  <c r="M223" i="7"/>
  <c r="S223" i="7"/>
  <c r="Z223" i="7"/>
  <c r="AW195" i="7"/>
  <c r="AW178" i="7"/>
  <c r="Y178" i="7"/>
  <c r="Y44" i="7"/>
  <c r="Y195" i="7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B26" i="2"/>
  <c r="BA26" i="8" l="1"/>
  <c r="BB63" i="8"/>
  <c r="BC63" i="8" s="1"/>
  <c r="BA63" i="8"/>
  <c r="BB26" i="8"/>
  <c r="BC26" i="8" s="1"/>
  <c r="AY63" i="7"/>
  <c r="Y22" i="8"/>
  <c r="AW44" i="7"/>
  <c r="Y63" i="7"/>
  <c r="AC7" i="8"/>
  <c r="AC6" i="7"/>
  <c r="X7" i="8"/>
  <c r="K7" i="8"/>
  <c r="AQ7" i="8"/>
  <c r="AQ6" i="7"/>
  <c r="T7" i="8"/>
  <c r="AK7" i="8"/>
  <c r="AK6" i="7"/>
  <c r="AF7" i="8"/>
  <c r="AF6" i="7"/>
  <c r="G7" i="8"/>
  <c r="O21" i="8"/>
  <c r="O223" i="7"/>
  <c r="AP20" i="8"/>
  <c r="AP181" i="7"/>
  <c r="AM7" i="8"/>
  <c r="AM6" i="7"/>
  <c r="AL7" i="8"/>
  <c r="AL6" i="7"/>
  <c r="P7" i="8"/>
  <c r="AG7" i="8"/>
  <c r="AG6" i="7"/>
  <c r="F7" i="8"/>
  <c r="AB7" i="8"/>
  <c r="AB6" i="7"/>
  <c r="U7" i="8"/>
  <c r="E7" i="8"/>
  <c r="AF20" i="8"/>
  <c r="AF181" i="7"/>
  <c r="I21" i="8"/>
  <c r="I223" i="7"/>
  <c r="L21" i="8"/>
  <c r="L223" i="7"/>
  <c r="AC21" i="8"/>
  <c r="AC181" i="7"/>
  <c r="J21" i="8"/>
  <c r="J223" i="7"/>
  <c r="V21" i="8"/>
  <c r="V223" i="7"/>
  <c r="K20" i="8"/>
  <c r="K181" i="7"/>
  <c r="T21" i="8"/>
  <c r="T223" i="7"/>
  <c r="B21" i="8"/>
  <c r="B223" i="7"/>
  <c r="AZ223" i="7" s="1"/>
  <c r="BA223" i="7" s="1"/>
  <c r="AO21" i="8"/>
  <c r="AO223" i="7"/>
  <c r="I7" i="8"/>
  <c r="Z20" i="8"/>
  <c r="Z181" i="7"/>
  <c r="C21" i="8"/>
  <c r="C223" i="7"/>
  <c r="F21" i="8"/>
  <c r="F223" i="7"/>
  <c r="AV7" i="8"/>
  <c r="AV6" i="7"/>
  <c r="AE7" i="8"/>
  <c r="AE6" i="7"/>
  <c r="H7" i="8"/>
  <c r="W7" i="8"/>
  <c r="P21" i="8"/>
  <c r="P223" i="7"/>
  <c r="AI21" i="8"/>
  <c r="AI223" i="7"/>
  <c r="AG21" i="8"/>
  <c r="AG223" i="7"/>
  <c r="AI7" i="8"/>
  <c r="AI6" i="7"/>
  <c r="O7" i="8"/>
  <c r="B7" i="8"/>
  <c r="C14" i="4"/>
  <c r="AD7" i="8"/>
  <c r="AD6" i="7"/>
  <c r="V7" i="8"/>
  <c r="AR7" i="8"/>
  <c r="AR6" i="7"/>
  <c r="Q7" i="8"/>
  <c r="S20" i="8"/>
  <c r="S181" i="7"/>
  <c r="AT21" i="8"/>
  <c r="AT223" i="7"/>
  <c r="AQ22" i="8"/>
  <c r="AQ63" i="7"/>
  <c r="AN22" i="8"/>
  <c r="AN63" i="7"/>
  <c r="D21" i="8"/>
  <c r="D223" i="7"/>
  <c r="AS21" i="8"/>
  <c r="AS223" i="7"/>
  <c r="N21" i="8"/>
  <c r="N223" i="7"/>
  <c r="AU21" i="8"/>
  <c r="AU223" i="7"/>
  <c r="AA7" i="8"/>
  <c r="AA6" i="7"/>
  <c r="Z7" i="8"/>
  <c r="Z6" i="7"/>
  <c r="AS7" i="8"/>
  <c r="AS6" i="7"/>
  <c r="R7" i="8"/>
  <c r="AN7" i="8"/>
  <c r="AN6" i="7"/>
  <c r="S7" i="8"/>
  <c r="M7" i="8"/>
  <c r="M20" i="8"/>
  <c r="M181" i="7"/>
  <c r="AB21" i="8"/>
  <c r="AB223" i="7"/>
  <c r="AK22" i="8"/>
  <c r="AK63" i="7"/>
  <c r="AH22" i="8"/>
  <c r="AH63" i="7"/>
  <c r="AH7" i="8"/>
  <c r="AH6" i="7"/>
  <c r="AU7" i="8"/>
  <c r="AU6" i="7"/>
  <c r="AO7" i="8"/>
  <c r="AO6" i="7"/>
  <c r="AJ7" i="8"/>
  <c r="AJ6" i="7"/>
  <c r="C7" i="8"/>
  <c r="G20" i="8"/>
  <c r="G181" i="7"/>
  <c r="AR20" i="8"/>
  <c r="AR181" i="7"/>
  <c r="U21" i="8"/>
  <c r="U223" i="7"/>
  <c r="AE22" i="8"/>
  <c r="AE63" i="7"/>
  <c r="AV20" i="8"/>
  <c r="AV181" i="7"/>
  <c r="X21" i="8"/>
  <c r="X223" i="7"/>
  <c r="AM21" i="8"/>
  <c r="AM223" i="7"/>
  <c r="E20" i="8"/>
  <c r="E181" i="7"/>
  <c r="AJ20" i="8"/>
  <c r="AJ181" i="7"/>
  <c r="AD20" i="8"/>
  <c r="AD181" i="7"/>
  <c r="AA21" i="8"/>
  <c r="AA223" i="7"/>
  <c r="H21" i="8"/>
  <c r="H223" i="7"/>
  <c r="W20" i="8"/>
  <c r="W181" i="7"/>
  <c r="Q20" i="8"/>
  <c r="Q181" i="7"/>
  <c r="L7" i="8"/>
  <c r="AT7" i="8"/>
  <c r="AT6" i="7"/>
  <c r="N7" i="8"/>
  <c r="AP7" i="8"/>
  <c r="AP6" i="7"/>
  <c r="J7" i="8"/>
  <c r="D7" i="8"/>
  <c r="AL20" i="8"/>
  <c r="AL181" i="7"/>
  <c r="R21" i="8"/>
  <c r="R223" i="7"/>
  <c r="F13" i="4"/>
  <c r="AY247" i="4"/>
  <c r="AX247" i="4" s="1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AY246" i="4"/>
  <c r="AX246" i="4" s="1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AY245" i="4"/>
  <c r="AX245" i="4" s="1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AY244" i="4"/>
  <c r="AX244" i="4" s="1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AY243" i="4"/>
  <c r="AX243" i="4" s="1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AY242" i="4"/>
  <c r="AX242" i="4" s="1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AY241" i="4"/>
  <c r="AX241" i="4" s="1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AY240" i="4"/>
  <c r="AX240" i="4" s="1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AY239" i="4"/>
  <c r="AX239" i="4" s="1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AY238" i="4"/>
  <c r="AX238" i="4" s="1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AY237" i="4"/>
  <c r="AX237" i="4" s="1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AY236" i="4"/>
  <c r="AX236" i="4" s="1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AY235" i="4"/>
  <c r="AX235" i="4" s="1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AY234" i="4"/>
  <c r="AX234" i="4" s="1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AY233" i="4"/>
  <c r="AX233" i="4" s="1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AY232" i="4"/>
  <c r="AX232" i="4" s="1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AY231" i="4"/>
  <c r="AX231" i="4" s="1"/>
  <c r="AY230" i="4"/>
  <c r="AX230" i="4" s="1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AY229" i="4"/>
  <c r="AX229" i="4" s="1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AY228" i="4"/>
  <c r="AX228" i="4" s="1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B228" i="4"/>
  <c r="AY227" i="4"/>
  <c r="AX227" i="4" s="1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B227" i="4"/>
  <c r="AY226" i="4"/>
  <c r="AX226" i="4" s="1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B226" i="4"/>
  <c r="AY225" i="4"/>
  <c r="AX225" i="4" s="1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AY224" i="4"/>
  <c r="AX224" i="4" s="1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B224" i="4"/>
  <c r="AY223" i="4"/>
  <c r="AX223" i="4" s="1"/>
  <c r="AY222" i="4"/>
  <c r="AX222" i="4" s="1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AY221" i="4"/>
  <c r="AX221" i="4" s="1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AY220" i="4"/>
  <c r="AX220" i="4" s="1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AY219" i="4"/>
  <c r="AX219" i="4" s="1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AY218" i="4"/>
  <c r="AX218" i="4" s="1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AY217" i="4"/>
  <c r="AX217" i="4" s="1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AY216" i="4"/>
  <c r="AX216" i="4" s="1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AY215" i="4"/>
  <c r="AX215" i="4" s="1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AY214" i="4"/>
  <c r="AX214" i="4" s="1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AY213" i="4"/>
  <c r="AX213" i="4" s="1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AY212" i="4"/>
  <c r="AX212" i="4" s="1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AY211" i="4"/>
  <c r="AX211" i="4" s="1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AY210" i="4"/>
  <c r="AX210" i="4" s="1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AY209" i="4"/>
  <c r="AX209" i="4" s="1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AY208" i="4"/>
  <c r="AX208" i="4" s="1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AY207" i="4"/>
  <c r="AX207" i="4" s="1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AY206" i="4"/>
  <c r="AX206" i="4" s="1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AY205" i="4"/>
  <c r="AX205" i="4" s="1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AY204" i="4"/>
  <c r="AX204" i="4" s="1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AY203" i="4"/>
  <c r="AX203" i="4" s="1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AY202" i="4"/>
  <c r="AX202" i="4" s="1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AY201" i="4"/>
  <c r="AX201" i="4" s="1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AY200" i="4"/>
  <c r="AX200" i="4" s="1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AY199" i="4"/>
  <c r="AX199" i="4" s="1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AY198" i="4"/>
  <c r="AX198" i="4" s="1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AY197" i="4"/>
  <c r="AX197" i="4" s="1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AY196" i="4"/>
  <c r="AX196" i="4" s="1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AY195" i="4"/>
  <c r="AX195" i="4" s="1"/>
  <c r="AY194" i="4"/>
  <c r="AX194" i="4" s="1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AY193" i="4"/>
  <c r="AX193" i="4" s="1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AY192" i="4"/>
  <c r="AX192" i="4" s="1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AY191" i="4"/>
  <c r="AX191" i="4" s="1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AY190" i="4"/>
  <c r="AX190" i="4" s="1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AY189" i="4"/>
  <c r="AX189" i="4" s="1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AY188" i="4"/>
  <c r="AX188" i="4" s="1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Y187" i="4"/>
  <c r="AX187" i="4" s="1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Y186" i="4"/>
  <c r="AX186" i="4" s="1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Y185" i="4"/>
  <c r="AX185" i="4" s="1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Y184" i="4"/>
  <c r="AX184" i="4" s="1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Y183" i="4"/>
  <c r="AX183" i="4" s="1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Y182" i="4"/>
  <c r="AX182" i="4" s="1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Y181" i="4"/>
  <c r="AX181" i="4" s="1"/>
  <c r="AY180" i="4"/>
  <c r="AX180" i="4" s="1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Y179" i="4"/>
  <c r="AX179" i="4" s="1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Y178" i="4"/>
  <c r="AX178" i="4" s="1"/>
  <c r="AY177" i="4"/>
  <c r="AX177" i="4" s="1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Y176" i="4"/>
  <c r="AX176" i="4" s="1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Y175" i="4"/>
  <c r="AX175" i="4" s="1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Y174" i="4"/>
  <c r="AX174" i="4" s="1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Y173" i="4"/>
  <c r="AX173" i="4" s="1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Y172" i="4"/>
  <c r="AX172" i="4" s="1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Y171" i="4"/>
  <c r="AX171" i="4" s="1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I171" i="4"/>
  <c r="AH171" i="4"/>
  <c r="AG171" i="4"/>
  <c r="AF171" i="4"/>
  <c r="AE171" i="4"/>
  <c r="AD171" i="4"/>
  <c r="AC171" i="4"/>
  <c r="AB171" i="4"/>
  <c r="AA171" i="4"/>
  <c r="Z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Y170" i="4"/>
  <c r="AX170" i="4" s="1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I170" i="4"/>
  <c r="AH170" i="4"/>
  <c r="AG170" i="4"/>
  <c r="AF170" i="4"/>
  <c r="AE170" i="4"/>
  <c r="AD170" i="4"/>
  <c r="AC170" i="4"/>
  <c r="AB170" i="4"/>
  <c r="AA170" i="4"/>
  <c r="Z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Y169" i="4"/>
  <c r="AX169" i="4" s="1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I169" i="4"/>
  <c r="AH169" i="4"/>
  <c r="AG169" i="4"/>
  <c r="AE169" i="4"/>
  <c r="AD169" i="4"/>
  <c r="AC169" i="4"/>
  <c r="AB169" i="4"/>
  <c r="AA169" i="4"/>
  <c r="Z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Y168" i="4"/>
  <c r="AX168" i="4" s="1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I168" i="4"/>
  <c r="AH168" i="4"/>
  <c r="AG168" i="4"/>
  <c r="AF168" i="4"/>
  <c r="AE168" i="4"/>
  <c r="AD168" i="4"/>
  <c r="AC168" i="4"/>
  <c r="AB168" i="4"/>
  <c r="AA168" i="4"/>
  <c r="Z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Y167" i="4"/>
  <c r="AX167" i="4" s="1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I167" i="4"/>
  <c r="AH167" i="4"/>
  <c r="AG167" i="4"/>
  <c r="AF167" i="4"/>
  <c r="AE167" i="4"/>
  <c r="AD167" i="4"/>
  <c r="AC167" i="4"/>
  <c r="AB167" i="4"/>
  <c r="AA167" i="4"/>
  <c r="Z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Y166" i="4"/>
  <c r="AX166" i="4" s="1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Y165" i="4"/>
  <c r="AX165" i="4" s="1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Y164" i="4"/>
  <c r="AX164" i="4" s="1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Y163" i="4"/>
  <c r="AX163" i="4" s="1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Y162" i="4"/>
  <c r="AX162" i="4" s="1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Y161" i="4"/>
  <c r="AX161" i="4" s="1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Y160" i="4"/>
  <c r="AX160" i="4" s="1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Y159" i="4"/>
  <c r="AX159" i="4" s="1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Y158" i="4"/>
  <c r="AX158" i="4" s="1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Y157" i="4"/>
  <c r="AX157" i="4" s="1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Y156" i="4"/>
  <c r="AX156" i="4" s="1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Y155" i="4"/>
  <c r="AX155" i="4" s="1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Y154" i="4"/>
  <c r="AX154" i="4" s="1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AY153" i="4"/>
  <c r="AX153" i="4" s="1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Y152" i="4"/>
  <c r="AX152" i="4" s="1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Y151" i="4"/>
  <c r="AX151" i="4" s="1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Y150" i="4"/>
  <c r="AX150" i="4" s="1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Y149" i="4"/>
  <c r="AX149" i="4" s="1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Y148" i="4"/>
  <c r="AX148" i="4" s="1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AY147" i="4"/>
  <c r="AX147" i="4" s="1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AY146" i="4"/>
  <c r="AX146" i="4" s="1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AY145" i="4"/>
  <c r="AX145" i="4" s="1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AY144" i="4"/>
  <c r="AX144" i="4" s="1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AY143" i="4"/>
  <c r="AX143" i="4" s="1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AY142" i="4"/>
  <c r="AX142" i="4" s="1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AY141" i="4"/>
  <c r="AX141" i="4" s="1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AY140" i="4"/>
  <c r="AX140" i="4" s="1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AY139" i="4"/>
  <c r="AX139" i="4" s="1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AY138" i="4"/>
  <c r="AX138" i="4" s="1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AY137" i="4"/>
  <c r="AX137" i="4" s="1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AY136" i="4"/>
  <c r="AX136" i="4" s="1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Y135" i="4"/>
  <c r="AX135" i="4" s="1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Y134" i="4"/>
  <c r="AX134" i="4" s="1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Y133" i="4"/>
  <c r="AX133" i="4" s="1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Y132" i="4"/>
  <c r="AX132" i="4" s="1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Y131" i="4"/>
  <c r="AX131" i="4" s="1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Y130" i="4"/>
  <c r="AX130" i="4" s="1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Y129" i="4"/>
  <c r="AX129" i="4" s="1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Y128" i="4"/>
  <c r="AX128" i="4" s="1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Y127" i="4"/>
  <c r="AX127" i="4" s="1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Y126" i="4"/>
  <c r="AX126" i="4" s="1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Y125" i="4"/>
  <c r="AX125" i="4" s="1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Y124" i="4"/>
  <c r="AX124" i="4" s="1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Y123" i="4"/>
  <c r="AX123" i="4" s="1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AY122" i="4"/>
  <c r="AX122" i="4" s="1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Y121" i="4"/>
  <c r="AX121" i="4" s="1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AY120" i="4"/>
  <c r="AX120" i="4" s="1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AY119" i="4"/>
  <c r="AX119" i="4" s="1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Y118" i="4"/>
  <c r="AX118" i="4" s="1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Y117" i="4"/>
  <c r="AX117" i="4" s="1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Y116" i="4"/>
  <c r="AX116" i="4" s="1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Y115" i="4"/>
  <c r="AX115" i="4" s="1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Y114" i="4"/>
  <c r="AX114" i="4" s="1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Y113" i="4"/>
  <c r="AX113" i="4" s="1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Y112" i="4"/>
  <c r="AX112" i="4" s="1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Y111" i="4"/>
  <c r="AX111" i="4" s="1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Y110" i="4"/>
  <c r="AX110" i="4" s="1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Y109" i="4"/>
  <c r="AX109" i="4" s="1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Y108" i="4"/>
  <c r="AX108" i="4" s="1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Y107" i="4"/>
  <c r="AX107" i="4" s="1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Y106" i="4"/>
  <c r="AX106" i="4" s="1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Y105" i="4"/>
  <c r="AX105" i="4" s="1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Y104" i="4"/>
  <c r="AX104" i="4" s="1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Y103" i="4"/>
  <c r="AX103" i="4" s="1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Y102" i="4"/>
  <c r="AX102" i="4" s="1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Y101" i="4"/>
  <c r="AX101" i="4" s="1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Y100" i="4"/>
  <c r="AX100" i="4" s="1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Y99" i="4"/>
  <c r="AX99" i="4" s="1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Y98" i="4"/>
  <c r="AX98" i="4" s="1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Y97" i="4"/>
  <c r="AX97" i="4" s="1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Y96" i="4"/>
  <c r="AX96" i="4" s="1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Y95" i="4"/>
  <c r="AX95" i="4" s="1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Y94" i="4"/>
  <c r="AX94" i="4" s="1"/>
  <c r="AY93" i="4"/>
  <c r="AX93" i="4" s="1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Y92" i="4"/>
  <c r="AX92" i="4" s="1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Y91" i="4"/>
  <c r="AX91" i="4" s="1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Y90" i="4"/>
  <c r="AX90" i="4" s="1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Y89" i="4"/>
  <c r="AX89" i="4" s="1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Y88" i="4"/>
  <c r="AX88" i="4" s="1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Y87" i="4"/>
  <c r="AX87" i="4" s="1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Y86" i="4"/>
  <c r="AX86" i="4" s="1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Y85" i="4"/>
  <c r="AX85" i="4" s="1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Y84" i="4"/>
  <c r="AX84" i="4" s="1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Y83" i="4"/>
  <c r="AX83" i="4" s="1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Y82" i="4"/>
  <c r="AX82" i="4" s="1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Y81" i="4"/>
  <c r="AX81" i="4" s="1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Y80" i="4"/>
  <c r="AX80" i="4" s="1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Y79" i="4"/>
  <c r="AX79" i="4" s="1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Y78" i="4"/>
  <c r="AX78" i="4" s="1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Y77" i="4"/>
  <c r="AX77" i="4" s="1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Y76" i="4"/>
  <c r="AX76" i="4" s="1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Y75" i="4"/>
  <c r="AX75" i="4" s="1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Y74" i="4"/>
  <c r="AX74" i="4" s="1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Y73" i="4"/>
  <c r="AX73" i="4" s="1"/>
  <c r="AY72" i="4"/>
  <c r="AX72" i="4" s="1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Y71" i="4"/>
  <c r="AX71" i="4" s="1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Y70" i="4"/>
  <c r="AX70" i="4" s="1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Y69" i="4"/>
  <c r="AX69" i="4" s="1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Y68" i="4"/>
  <c r="AX68" i="4" s="1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Y67" i="4"/>
  <c r="AX67" i="4" s="1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Y66" i="4"/>
  <c r="AX66" i="4" s="1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Y65" i="4"/>
  <c r="AX65" i="4" s="1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Y64" i="4"/>
  <c r="AX64" i="4" s="1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Y63" i="4"/>
  <c r="AX63" i="4" s="1"/>
  <c r="AY62" i="4"/>
  <c r="AX62" i="4" s="1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Y61" i="4"/>
  <c r="AX61" i="4" s="1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Y60" i="4"/>
  <c r="AX60" i="4" s="1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Y59" i="4"/>
  <c r="AX59" i="4" s="1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Y58" i="4"/>
  <c r="AX58" i="4" s="1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Y57" i="4"/>
  <c r="AX57" i="4" s="1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Y56" i="4"/>
  <c r="AX56" i="4" s="1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Y55" i="4"/>
  <c r="AX55" i="4" s="1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Y54" i="4"/>
  <c r="AX54" i="4" s="1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Y53" i="4"/>
  <c r="AX53" i="4" s="1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Y52" i="4"/>
  <c r="AX52" i="4" s="1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Y51" i="4"/>
  <c r="AX51" i="4" s="1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Y50" i="4"/>
  <c r="AX50" i="4" s="1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Y49" i="4"/>
  <c r="AX49" i="4" s="1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Y48" i="4"/>
  <c r="AX48" i="4" s="1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Y47" i="4"/>
  <c r="AX47" i="4" s="1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Y46" i="4"/>
  <c r="AX46" i="4" s="1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Y45" i="4"/>
  <c r="AX45" i="4" s="1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Y44" i="4"/>
  <c r="AX44" i="4" s="1"/>
  <c r="AY43" i="4"/>
  <c r="AX43" i="4" s="1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Y42" i="4"/>
  <c r="AX42" i="4" s="1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Y41" i="4"/>
  <c r="AX41" i="4" s="1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Y40" i="4"/>
  <c r="AX40" i="4" s="1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Y39" i="4"/>
  <c r="AX39" i="4" s="1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Y38" i="4"/>
  <c r="AX38" i="4" s="1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Y37" i="4"/>
  <c r="AX37" i="4" s="1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Y36" i="4"/>
  <c r="AX36" i="4" s="1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Y35" i="4"/>
  <c r="AX35" i="4" s="1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Y34" i="4"/>
  <c r="AX34" i="4" s="1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Y33" i="4"/>
  <c r="AX33" i="4" s="1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Y32" i="4"/>
  <c r="AX32" i="4" s="1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Y31" i="4"/>
  <c r="AX31" i="4" s="1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Y30" i="4"/>
  <c r="AX30" i="4" s="1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Y29" i="4"/>
  <c r="AX29" i="4" s="1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Y28" i="4"/>
  <c r="AX28" i="4" s="1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Y27" i="4"/>
  <c r="AX27" i="4" s="1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Y26" i="4"/>
  <c r="AX26" i="4" s="1"/>
  <c r="AY25" i="4"/>
  <c r="AX25" i="4" s="1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Y24" i="4"/>
  <c r="AX24" i="4" s="1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Y23" i="4"/>
  <c r="AX23" i="4" s="1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Y22" i="4"/>
  <c r="AX22" i="4" s="1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Y21" i="4"/>
  <c r="AX21" i="4" s="1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Y20" i="4"/>
  <c r="AX20" i="4" s="1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Y19" i="4"/>
  <c r="AX19" i="4" s="1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Y18" i="4"/>
  <c r="AX18" i="4" s="1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Y17" i="4"/>
  <c r="AX17" i="4" s="1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Y16" i="4"/>
  <c r="AX16" i="4" s="1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Y15" i="4"/>
  <c r="AX15" i="4" s="1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Y14" i="4"/>
  <c r="AX14" i="4" s="1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B14" i="4"/>
  <c r="AY13" i="4"/>
  <c r="AX13" i="4" s="1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E13" i="4"/>
  <c r="D13" i="4"/>
  <c r="C13" i="4"/>
  <c r="B13" i="4"/>
  <c r="AY12" i="4"/>
  <c r="AX12" i="4" s="1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Y11" i="4"/>
  <c r="AX11" i="4" s="1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Y10" i="4"/>
  <c r="AX10" i="4" s="1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Y9" i="4"/>
  <c r="AX9" i="4" s="1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Y8" i="4"/>
  <c r="AX8" i="4" s="1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Y7" i="4"/>
  <c r="AX7" i="4" s="1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X7" i="4"/>
  <c r="W7" i="4"/>
  <c r="V7" i="4"/>
  <c r="U7" i="4"/>
  <c r="T7" i="4"/>
  <c r="S7" i="4"/>
  <c r="R7" i="4"/>
  <c r="AY6" i="4"/>
  <c r="AX6" i="4" s="1"/>
  <c r="AW243" i="3"/>
  <c r="Y243" i="3"/>
  <c r="Y241" i="3"/>
  <c r="AW239" i="3"/>
  <c r="Y239" i="3"/>
  <c r="Y238" i="3"/>
  <c r="AW237" i="3"/>
  <c r="Y237" i="3"/>
  <c r="AW236" i="3"/>
  <c r="Y236" i="3"/>
  <c r="AW235" i="3"/>
  <c r="Y235" i="3"/>
  <c r="AW234" i="3"/>
  <c r="Y234" i="3"/>
  <c r="AW233" i="3"/>
  <c r="Y233" i="3"/>
  <c r="AW232" i="3"/>
  <c r="Y232" i="3"/>
  <c r="AW230" i="3"/>
  <c r="Y230" i="3"/>
  <c r="Y228" i="3"/>
  <c r="AW226" i="3"/>
  <c r="Y226" i="3"/>
  <c r="AW225" i="3"/>
  <c r="Y225" i="3"/>
  <c r="AW224" i="3"/>
  <c r="Y224" i="3"/>
  <c r="AW222" i="3"/>
  <c r="Y222" i="3"/>
  <c r="AW221" i="3"/>
  <c r="Y221" i="3"/>
  <c r="AW220" i="3"/>
  <c r="Y220" i="3"/>
  <c r="AW219" i="3"/>
  <c r="Y219" i="3"/>
  <c r="AW218" i="3"/>
  <c r="Y218" i="3"/>
  <c r="AW217" i="3"/>
  <c r="Y217" i="3"/>
  <c r="Y215" i="3"/>
  <c r="Y210" i="3"/>
  <c r="AW209" i="3"/>
  <c r="Y209" i="3"/>
  <c r="AW208" i="3"/>
  <c r="Y208" i="3"/>
  <c r="AW207" i="3"/>
  <c r="Y207" i="3"/>
  <c r="AW206" i="3"/>
  <c r="Y206" i="3"/>
  <c r="AW205" i="3"/>
  <c r="Y205" i="3"/>
  <c r="Y203" i="3"/>
  <c r="AW202" i="3"/>
  <c r="Y202" i="3"/>
  <c r="AW200" i="3"/>
  <c r="Y200" i="3"/>
  <c r="AW199" i="3"/>
  <c r="Y199" i="3"/>
  <c r="AW197" i="3"/>
  <c r="Y197" i="3"/>
  <c r="AW196" i="3"/>
  <c r="Y196" i="3"/>
  <c r="AW193" i="3"/>
  <c r="Y193" i="3"/>
  <c r="Y191" i="3"/>
  <c r="Y190" i="3"/>
  <c r="AW189" i="3"/>
  <c r="Y189" i="3"/>
  <c r="AW188" i="3"/>
  <c r="Y188" i="3"/>
  <c r="AW187" i="3"/>
  <c r="Y187" i="3"/>
  <c r="AW186" i="3"/>
  <c r="Y186" i="3"/>
  <c r="AW185" i="3"/>
  <c r="Y185" i="3"/>
  <c r="AW184" i="3"/>
  <c r="Y184" i="3"/>
  <c r="AW183" i="3"/>
  <c r="Y183" i="3"/>
  <c r="AW182" i="3"/>
  <c r="Y182" i="3"/>
  <c r="AW179" i="3"/>
  <c r="Y179" i="3"/>
  <c r="AW176" i="3"/>
  <c r="Y176" i="3"/>
  <c r="AW174" i="3"/>
  <c r="Y174" i="3"/>
  <c r="AW173" i="3"/>
  <c r="Y173" i="3"/>
  <c r="Y171" i="3"/>
  <c r="AW170" i="3"/>
  <c r="Y170" i="3"/>
  <c r="AW169" i="3"/>
  <c r="Y169" i="3"/>
  <c r="AW166" i="3"/>
  <c r="Y166" i="3"/>
  <c r="AW162" i="3"/>
  <c r="Y162" i="3"/>
  <c r="AW160" i="3"/>
  <c r="Y160" i="3"/>
  <c r="AW159" i="3"/>
  <c r="Y159" i="3"/>
  <c r="AW157" i="3"/>
  <c r="Y157" i="3"/>
  <c r="AW156" i="3"/>
  <c r="Y156" i="3"/>
  <c r="AW155" i="3"/>
  <c r="Y155" i="3"/>
  <c r="AW153" i="3"/>
  <c r="Y153" i="3"/>
  <c r="AW152" i="3"/>
  <c r="Y152" i="3"/>
  <c r="AW151" i="3"/>
  <c r="Y151" i="3"/>
  <c r="Y149" i="3"/>
  <c r="AW148" i="3"/>
  <c r="Y148" i="3"/>
  <c r="AW146" i="3"/>
  <c r="Y146" i="3"/>
  <c r="AW143" i="3"/>
  <c r="Y143" i="3"/>
  <c r="AW139" i="3"/>
  <c r="Y139" i="3"/>
  <c r="AW138" i="3"/>
  <c r="Y138" i="3"/>
  <c r="AW136" i="3"/>
  <c r="Y136" i="3"/>
  <c r="AW135" i="3"/>
  <c r="Y135" i="3"/>
  <c r="AW133" i="3"/>
  <c r="Y133" i="3"/>
  <c r="AW132" i="3"/>
  <c r="Y132" i="3"/>
  <c r="AW131" i="3"/>
  <c r="Y131" i="3"/>
  <c r="AW130" i="3"/>
  <c r="Y130" i="3"/>
  <c r="AW129" i="3"/>
  <c r="Y129" i="3"/>
  <c r="AW128" i="3"/>
  <c r="Y128" i="3"/>
  <c r="AW127" i="3"/>
  <c r="Y127" i="3"/>
  <c r="AW125" i="3"/>
  <c r="Y125" i="3"/>
  <c r="AW124" i="3"/>
  <c r="Y124" i="3"/>
  <c r="Y122" i="3"/>
  <c r="AW121" i="3"/>
  <c r="Y121" i="3"/>
  <c r="AW120" i="3"/>
  <c r="Y120" i="3"/>
  <c r="AW119" i="3"/>
  <c r="Y119" i="3"/>
  <c r="Y118" i="3"/>
  <c r="AW117" i="3"/>
  <c r="Y117" i="3"/>
  <c r="AW116" i="3"/>
  <c r="Y116" i="3"/>
  <c r="AW115" i="3"/>
  <c r="Y115" i="3"/>
  <c r="AW113" i="3"/>
  <c r="Y113" i="3"/>
  <c r="AW112" i="3"/>
  <c r="Y112" i="3"/>
  <c r="AW111" i="3"/>
  <c r="Y111" i="3"/>
  <c r="AW110" i="3"/>
  <c r="Y110" i="3"/>
  <c r="AW109" i="3"/>
  <c r="Y109" i="3"/>
  <c r="AW108" i="3"/>
  <c r="Y108" i="3"/>
  <c r="AW107" i="3"/>
  <c r="Y107" i="3"/>
  <c r="AW105" i="3"/>
  <c r="Y105" i="3"/>
  <c r="AW104" i="3"/>
  <c r="Y104" i="3"/>
  <c r="AW103" i="3"/>
  <c r="Y103" i="3"/>
  <c r="AW102" i="3"/>
  <c r="Y102" i="3"/>
  <c r="AW101" i="3"/>
  <c r="Y101" i="3"/>
  <c r="AW100" i="3"/>
  <c r="Y100" i="3"/>
  <c r="AW99" i="3"/>
  <c r="Y99" i="3"/>
  <c r="AW97" i="3"/>
  <c r="Y97" i="3"/>
  <c r="AW96" i="3"/>
  <c r="Y96" i="3"/>
  <c r="AW95" i="3"/>
  <c r="Y95" i="3"/>
  <c r="AW93" i="3"/>
  <c r="Y93" i="3"/>
  <c r="AW92" i="3"/>
  <c r="Y92" i="3"/>
  <c r="AW91" i="3"/>
  <c r="Y91" i="3"/>
  <c r="AW90" i="3"/>
  <c r="Y90" i="3"/>
  <c r="AW89" i="3"/>
  <c r="Y89" i="3"/>
  <c r="AW88" i="3"/>
  <c r="Y88" i="3"/>
  <c r="AW86" i="3"/>
  <c r="Y86" i="3"/>
  <c r="AW85" i="3"/>
  <c r="Y85" i="3"/>
  <c r="AW84" i="3"/>
  <c r="Y84" i="3"/>
  <c r="AW83" i="3"/>
  <c r="Y83" i="3"/>
  <c r="AW82" i="3"/>
  <c r="Y82" i="3"/>
  <c r="AW81" i="3"/>
  <c r="Y81" i="3"/>
  <c r="AW80" i="3"/>
  <c r="Y80" i="3"/>
  <c r="AW79" i="3"/>
  <c r="Y79" i="3"/>
  <c r="AW78" i="3"/>
  <c r="Y78" i="3"/>
  <c r="AW76" i="3"/>
  <c r="Y76" i="3"/>
  <c r="AW75" i="3"/>
  <c r="Y75" i="3"/>
  <c r="AW74" i="3"/>
  <c r="Y74" i="3"/>
  <c r="Y71" i="3"/>
  <c r="AW70" i="3"/>
  <c r="Y70" i="3"/>
  <c r="Y69" i="3"/>
  <c r="Y68" i="3"/>
  <c r="AW66" i="3"/>
  <c r="Y66" i="3"/>
  <c r="AW65" i="3"/>
  <c r="Y65" i="3"/>
  <c r="AW64" i="3"/>
  <c r="Y64" i="3"/>
  <c r="Y62" i="3"/>
  <c r="Y59" i="3"/>
  <c r="Y58" i="3"/>
  <c r="Y57" i="3"/>
  <c r="Y56" i="3"/>
  <c r="Y52" i="3"/>
  <c r="AW50" i="3"/>
  <c r="Y50" i="3"/>
  <c r="AW49" i="3"/>
  <c r="Y49" i="3"/>
  <c r="AW48" i="3"/>
  <c r="Y48" i="3"/>
  <c r="AW47" i="3"/>
  <c r="Y47" i="3"/>
  <c r="AW46" i="3"/>
  <c r="Y46" i="3"/>
  <c r="AW45" i="3"/>
  <c r="Y45" i="3"/>
  <c r="AW42" i="3"/>
  <c r="Y42" i="3"/>
  <c r="AW41" i="3"/>
  <c r="Y41" i="3"/>
  <c r="AW39" i="3"/>
  <c r="Y39" i="3"/>
  <c r="AW37" i="3"/>
  <c r="Y37" i="3"/>
  <c r="AW36" i="3"/>
  <c r="Y36" i="3"/>
  <c r="AW35" i="3"/>
  <c r="Y35" i="3"/>
  <c r="AW34" i="3"/>
  <c r="Y34" i="3"/>
  <c r="AW33" i="3"/>
  <c r="Y33" i="3"/>
  <c r="AW32" i="3"/>
  <c r="Y32" i="3"/>
  <c r="Y31" i="3"/>
  <c r="AW30" i="3"/>
  <c r="Y30" i="3"/>
  <c r="AW29" i="3"/>
  <c r="Y29" i="3"/>
  <c r="AW28" i="3"/>
  <c r="Y28" i="3"/>
  <c r="AW27" i="3"/>
  <c r="Y27" i="3"/>
  <c r="AW25" i="3"/>
  <c r="Y25" i="3"/>
  <c r="AW24" i="3"/>
  <c r="Y24" i="3"/>
  <c r="AW19" i="3"/>
  <c r="Y19" i="3"/>
  <c r="AW17" i="3"/>
  <c r="Y17" i="3"/>
  <c r="AW16" i="3"/>
  <c r="Y16" i="3"/>
  <c r="AW15" i="3"/>
  <c r="Y15" i="3"/>
  <c r="AW14" i="3"/>
  <c r="Y14" i="3"/>
  <c r="AW13" i="3"/>
  <c r="Y13" i="3"/>
  <c r="AW12" i="3"/>
  <c r="Y12" i="3"/>
  <c r="AW11" i="3"/>
  <c r="Y11" i="3"/>
  <c r="AW10" i="3"/>
  <c r="Y10" i="3"/>
  <c r="AW9" i="3"/>
  <c r="Y9" i="3"/>
  <c r="AW8" i="3"/>
  <c r="Y8" i="3"/>
  <c r="AW7" i="3"/>
  <c r="Y7" i="3"/>
  <c r="AW246" i="2"/>
  <c r="Y246" i="2"/>
  <c r="AW245" i="2"/>
  <c r="Y245" i="2"/>
  <c r="AW243" i="2"/>
  <c r="Y243" i="2"/>
  <c r="Y242" i="2"/>
  <c r="AW241" i="2"/>
  <c r="Y241" i="2"/>
  <c r="AW239" i="2"/>
  <c r="Y239" i="2"/>
  <c r="AW238" i="2"/>
  <c r="Y238" i="2"/>
  <c r="AW237" i="2"/>
  <c r="Y237" i="2"/>
  <c r="AW236" i="2"/>
  <c r="Y236" i="2"/>
  <c r="AW235" i="2"/>
  <c r="Y235" i="2"/>
  <c r="AW234" i="2"/>
  <c r="Y234" i="2"/>
  <c r="AW233" i="2"/>
  <c r="Y233" i="2"/>
  <c r="AW232" i="2"/>
  <c r="Y232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B231" i="2"/>
  <c r="AA231" i="2"/>
  <c r="Z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W230" i="2"/>
  <c r="Y230" i="2"/>
  <c r="AW229" i="2"/>
  <c r="Y229" i="2"/>
  <c r="AW228" i="2"/>
  <c r="Y228" i="2"/>
  <c r="AW227" i="2"/>
  <c r="Y227" i="2"/>
  <c r="AW226" i="2"/>
  <c r="Y226" i="2"/>
  <c r="AW225" i="2"/>
  <c r="Y225" i="2"/>
  <c r="AW224" i="2"/>
  <c r="Y224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W217" i="2"/>
  <c r="Y217" i="2"/>
  <c r="AW216" i="2"/>
  <c r="Y216" i="2"/>
  <c r="AW215" i="2"/>
  <c r="Y215" i="2"/>
  <c r="AW214" i="2"/>
  <c r="Y214" i="2"/>
  <c r="Y213" i="2"/>
  <c r="Y212" i="2"/>
  <c r="AW211" i="2"/>
  <c r="Y211" i="2"/>
  <c r="AW210" i="2"/>
  <c r="Y210" i="2"/>
  <c r="AW209" i="2"/>
  <c r="Y209" i="2"/>
  <c r="AW208" i="2"/>
  <c r="Y208" i="2"/>
  <c r="AW207" i="2"/>
  <c r="Y207" i="2"/>
  <c r="AW206" i="2"/>
  <c r="Y206" i="2"/>
  <c r="AW205" i="2"/>
  <c r="Y205" i="2"/>
  <c r="AW204" i="2"/>
  <c r="Y204" i="2"/>
  <c r="AW203" i="2"/>
  <c r="Y203" i="2"/>
  <c r="AW201" i="2"/>
  <c r="Y201" i="2"/>
  <c r="AW200" i="2"/>
  <c r="Y200" i="2"/>
  <c r="AW198" i="2"/>
  <c r="Y198" i="2"/>
  <c r="AW197" i="2"/>
  <c r="Y197" i="2"/>
  <c r="AW196" i="2"/>
  <c r="Y196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W194" i="2"/>
  <c r="Y194" i="2"/>
  <c r="AW193" i="2"/>
  <c r="Y193" i="2"/>
  <c r="AW192" i="2"/>
  <c r="Y192" i="2"/>
  <c r="AW191" i="2"/>
  <c r="Y191" i="2"/>
  <c r="AW190" i="2"/>
  <c r="Y190" i="2"/>
  <c r="AW189" i="2"/>
  <c r="Y189" i="2"/>
  <c r="AW188" i="2"/>
  <c r="Y188" i="2"/>
  <c r="AW187" i="2"/>
  <c r="Y187" i="2"/>
  <c r="AW185" i="2"/>
  <c r="Y185" i="2"/>
  <c r="AW184" i="2"/>
  <c r="Y184" i="2"/>
  <c r="AW183" i="2"/>
  <c r="Y183" i="2"/>
  <c r="AW182" i="2"/>
  <c r="Y182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W179" i="2"/>
  <c r="Y179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B178" i="2"/>
  <c r="Z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D178" i="2"/>
  <c r="B178" i="2"/>
  <c r="AW177" i="2"/>
  <c r="Y177" i="2"/>
  <c r="AW176" i="2"/>
  <c r="Y176" i="2"/>
  <c r="AW175" i="2"/>
  <c r="Y175" i="2"/>
  <c r="AW174" i="2"/>
  <c r="Y174" i="2"/>
  <c r="AW173" i="2"/>
  <c r="Y173" i="2"/>
  <c r="AW172" i="2"/>
  <c r="Y172" i="2"/>
  <c r="AW171" i="2"/>
  <c r="Y171" i="2"/>
  <c r="AW170" i="2"/>
  <c r="Y170" i="2"/>
  <c r="AW169" i="2"/>
  <c r="Y169" i="2"/>
  <c r="AW168" i="2"/>
  <c r="Y168" i="2"/>
  <c r="AW167" i="2"/>
  <c r="Y167" i="2"/>
  <c r="AW166" i="2"/>
  <c r="Y166" i="2"/>
  <c r="AW165" i="2"/>
  <c r="Y165" i="2"/>
  <c r="AW164" i="2"/>
  <c r="Y164" i="2"/>
  <c r="AW163" i="2"/>
  <c r="Y163" i="2"/>
  <c r="AW162" i="2"/>
  <c r="Y162" i="2"/>
  <c r="AW161" i="2"/>
  <c r="Y161" i="2"/>
  <c r="AW160" i="2"/>
  <c r="Y160" i="2"/>
  <c r="AW159" i="2"/>
  <c r="Y159" i="2"/>
  <c r="AW158" i="2"/>
  <c r="Y158" i="2"/>
  <c r="AW156" i="2"/>
  <c r="Y156" i="2"/>
  <c r="AW155" i="2"/>
  <c r="Y155" i="2"/>
  <c r="AW153" i="2"/>
  <c r="Y153" i="2"/>
  <c r="Y152" i="2"/>
  <c r="AW151" i="2"/>
  <c r="Y151" i="2"/>
  <c r="AW150" i="2"/>
  <c r="Y150" i="2"/>
  <c r="AW149" i="2"/>
  <c r="Y149" i="2"/>
  <c r="AW148" i="2"/>
  <c r="Y148" i="2"/>
  <c r="AW147" i="2"/>
  <c r="Y147" i="2"/>
  <c r="AW146" i="2"/>
  <c r="Y146" i="2"/>
  <c r="AW143" i="2"/>
  <c r="Y143" i="2"/>
  <c r="AW141" i="2"/>
  <c r="Y141" i="2"/>
  <c r="AW140" i="2"/>
  <c r="Y140" i="2"/>
  <c r="AW139" i="2"/>
  <c r="Y139" i="2"/>
  <c r="AW138" i="2"/>
  <c r="Y138" i="2"/>
  <c r="Y137" i="2"/>
  <c r="AW136" i="2"/>
  <c r="Y136" i="2"/>
  <c r="AW135" i="2"/>
  <c r="Y135" i="2"/>
  <c r="AW134" i="2"/>
  <c r="Y134" i="2"/>
  <c r="AW132" i="2"/>
  <c r="Y132" i="2"/>
  <c r="AW131" i="2"/>
  <c r="Y131" i="2"/>
  <c r="AW130" i="2"/>
  <c r="Y130" i="2"/>
  <c r="AW129" i="2"/>
  <c r="Y129" i="2"/>
  <c r="AW128" i="2"/>
  <c r="Y128" i="2"/>
  <c r="AW127" i="2"/>
  <c r="Y127" i="2"/>
  <c r="AW125" i="2"/>
  <c r="Y125" i="2"/>
  <c r="AW124" i="2"/>
  <c r="Y124" i="2"/>
  <c r="AW123" i="2"/>
  <c r="Y123" i="2"/>
  <c r="AW122" i="2"/>
  <c r="Y122" i="2"/>
  <c r="AW121" i="2"/>
  <c r="Y121" i="2"/>
  <c r="AW120" i="2"/>
  <c r="Y120" i="2"/>
  <c r="Y119" i="2"/>
  <c r="AW118" i="2"/>
  <c r="Y118" i="2"/>
  <c r="AW117" i="2"/>
  <c r="Y117" i="2"/>
  <c r="AW116" i="2"/>
  <c r="Y116" i="2"/>
  <c r="AW115" i="2"/>
  <c r="Y115" i="2"/>
  <c r="AW114" i="2"/>
  <c r="Y114" i="2"/>
  <c r="AW113" i="2"/>
  <c r="Y113" i="2"/>
  <c r="AW112" i="2"/>
  <c r="Y112" i="2"/>
  <c r="AW111" i="2"/>
  <c r="Y111" i="2"/>
  <c r="AW110" i="2"/>
  <c r="Y110" i="2"/>
  <c r="AW109" i="2"/>
  <c r="Y109" i="2"/>
  <c r="AW108" i="2"/>
  <c r="Y108" i="2"/>
  <c r="AW107" i="2"/>
  <c r="Y107" i="2"/>
  <c r="AW105" i="2"/>
  <c r="Y105" i="2"/>
  <c r="AW104" i="2"/>
  <c r="Y104" i="2"/>
  <c r="AW102" i="2"/>
  <c r="Y102" i="2"/>
  <c r="AW101" i="2"/>
  <c r="Y101" i="2"/>
  <c r="AW99" i="2"/>
  <c r="Y99" i="2"/>
  <c r="Y98" i="2"/>
  <c r="AW97" i="2"/>
  <c r="Y97" i="2"/>
  <c r="AW96" i="2"/>
  <c r="Y96" i="2"/>
  <c r="AW95" i="2"/>
  <c r="Y95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Z94" i="2" s="1"/>
  <c r="BA94" i="2" s="1"/>
  <c r="Y92" i="2"/>
  <c r="AW91" i="2"/>
  <c r="Y91" i="2"/>
  <c r="AW90" i="2"/>
  <c r="Y90" i="2"/>
  <c r="AW89" i="2"/>
  <c r="Y89" i="2"/>
  <c r="AW88" i="2"/>
  <c r="Y88" i="2"/>
  <c r="AW86" i="2"/>
  <c r="Y86" i="2"/>
  <c r="AW85" i="2"/>
  <c r="Y85" i="2"/>
  <c r="AW84" i="2"/>
  <c r="Y84" i="2"/>
  <c r="AW83" i="2"/>
  <c r="Y83" i="2"/>
  <c r="AW82" i="2"/>
  <c r="Y82" i="2"/>
  <c r="AW81" i="2"/>
  <c r="Y81" i="2"/>
  <c r="AW80" i="2"/>
  <c r="Y80" i="2"/>
  <c r="AW79" i="2"/>
  <c r="Y79" i="2"/>
  <c r="AW78" i="2"/>
  <c r="Y78" i="2"/>
  <c r="AW76" i="2"/>
  <c r="Y76" i="2"/>
  <c r="AW75" i="2"/>
  <c r="Y75" i="2"/>
  <c r="AW74" i="2"/>
  <c r="Y74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W71" i="2"/>
  <c r="Y71" i="2"/>
  <c r="Y70" i="2"/>
  <c r="AW69" i="2"/>
  <c r="Y69" i="2"/>
  <c r="AW68" i="2"/>
  <c r="Y68" i="2"/>
  <c r="AW66" i="2"/>
  <c r="Y66" i="2"/>
  <c r="AW65" i="2"/>
  <c r="Y65" i="2"/>
  <c r="AW64" i="2"/>
  <c r="Y64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Z63" i="2" s="1"/>
  <c r="BA63" i="2" s="1"/>
  <c r="AW61" i="2"/>
  <c r="Y61" i="2"/>
  <c r="AW60" i="2"/>
  <c r="Y60" i="2"/>
  <c r="Y59" i="2"/>
  <c r="Y58" i="2"/>
  <c r="AW57" i="2"/>
  <c r="Y57" i="2"/>
  <c r="AW56" i="2"/>
  <c r="Y56" i="2"/>
  <c r="AW54" i="2"/>
  <c r="Y54" i="2"/>
  <c r="AW52" i="2"/>
  <c r="Y52" i="2"/>
  <c r="Y51" i="2"/>
  <c r="AW50" i="2"/>
  <c r="Y50" i="2"/>
  <c r="AW49" i="2"/>
  <c r="Y49" i="2"/>
  <c r="AW48" i="2"/>
  <c r="Y48" i="2"/>
  <c r="AW47" i="2"/>
  <c r="Y47" i="2"/>
  <c r="AW46" i="2"/>
  <c r="Y46" i="2"/>
  <c r="AW45" i="2"/>
  <c r="Y45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W43" i="2"/>
  <c r="Y43" i="2"/>
  <c r="AW42" i="2"/>
  <c r="Y42" i="2"/>
  <c r="AW41" i="2"/>
  <c r="Y41" i="2"/>
  <c r="AW40" i="2"/>
  <c r="Y40" i="2"/>
  <c r="AW39" i="2"/>
  <c r="Y39" i="2"/>
  <c r="AW38" i="2"/>
  <c r="Y38" i="2"/>
  <c r="AW36" i="2"/>
  <c r="Y36" i="2"/>
  <c r="AW35" i="2"/>
  <c r="Y35" i="2"/>
  <c r="AW34" i="2"/>
  <c r="Y34" i="2"/>
  <c r="AW33" i="2"/>
  <c r="Y33" i="2"/>
  <c r="AW32" i="2"/>
  <c r="Y32" i="2"/>
  <c r="AW30" i="2"/>
  <c r="Y30" i="2"/>
  <c r="AW29" i="2"/>
  <c r="Y29" i="2"/>
  <c r="AW28" i="2"/>
  <c r="Y28" i="2"/>
  <c r="AW27" i="2"/>
  <c r="Y27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AY26" i="2" s="1"/>
  <c r="AW25" i="2"/>
  <c r="Y25" i="2"/>
  <c r="AW24" i="2"/>
  <c r="Y24" i="2"/>
  <c r="AW20" i="2"/>
  <c r="Y20" i="2"/>
  <c r="AW18" i="2"/>
  <c r="Y18" i="2"/>
  <c r="AW16" i="2"/>
  <c r="Y16" i="2"/>
  <c r="AW15" i="2"/>
  <c r="Y15" i="2"/>
  <c r="AW14" i="2"/>
  <c r="Y14" i="2"/>
  <c r="AW12" i="2"/>
  <c r="Y12" i="2"/>
  <c r="AW11" i="2"/>
  <c r="Y11" i="2"/>
  <c r="AW10" i="2"/>
  <c r="Y10" i="2"/>
  <c r="AW9" i="2"/>
  <c r="Y9" i="2"/>
  <c r="AW7" i="2"/>
  <c r="Y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W243" i="1"/>
  <c r="Y243" i="1"/>
  <c r="AW241" i="1"/>
  <c r="Y241" i="1"/>
  <c r="AW239" i="1"/>
  <c r="Y239" i="1"/>
  <c r="AW238" i="1"/>
  <c r="Y238" i="1"/>
  <c r="AW237" i="1"/>
  <c r="Y237" i="1"/>
  <c r="AW235" i="1"/>
  <c r="Y235" i="1"/>
  <c r="AW234" i="1"/>
  <c r="Y234" i="1"/>
  <c r="AW233" i="1"/>
  <c r="Y233" i="1"/>
  <c r="AW232" i="1"/>
  <c r="Y232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Z231" i="1" s="1"/>
  <c r="BA231" i="1" s="1"/>
  <c r="Y230" i="1"/>
  <c r="AW228" i="1"/>
  <c r="Y228" i="1"/>
  <c r="Y227" i="1"/>
  <c r="AW226" i="1"/>
  <c r="Y226" i="1"/>
  <c r="AW225" i="1"/>
  <c r="Y225" i="1"/>
  <c r="Y224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Z223" i="1" s="1"/>
  <c r="BA223" i="1" s="1"/>
  <c r="AW207" i="1"/>
  <c r="Y207" i="1"/>
  <c r="AW205" i="1"/>
  <c r="Y205" i="1"/>
  <c r="AW196" i="1"/>
  <c r="Y196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AY195" i="1" s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W191" i="1"/>
  <c r="Y191" i="1"/>
  <c r="Y190" i="1"/>
  <c r="Y189" i="1"/>
  <c r="AW188" i="1"/>
  <c r="Y188" i="1"/>
  <c r="AW187" i="1"/>
  <c r="Y187" i="1"/>
  <c r="AW186" i="1"/>
  <c r="Y186" i="1"/>
  <c r="AW185" i="1"/>
  <c r="Y185" i="1"/>
  <c r="AW183" i="1"/>
  <c r="Y183" i="1"/>
  <c r="AW182" i="1"/>
  <c r="Y182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Z181" i="1" s="1"/>
  <c r="BA181" i="1" s="1"/>
  <c r="AW179" i="1"/>
  <c r="Y179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Z178" i="1" s="1"/>
  <c r="BA178" i="1" s="1"/>
  <c r="AW174" i="1"/>
  <c r="Y174" i="1"/>
  <c r="AW168" i="1"/>
  <c r="Y168" i="1"/>
  <c r="Y167" i="1"/>
  <c r="AW166" i="1"/>
  <c r="Y166" i="1"/>
  <c r="AW165" i="1"/>
  <c r="Y165" i="1"/>
  <c r="AW164" i="1"/>
  <c r="Y164" i="1"/>
  <c r="AW163" i="1"/>
  <c r="Y163" i="1"/>
  <c r="AW162" i="1"/>
  <c r="Y162" i="1"/>
  <c r="AW161" i="1"/>
  <c r="Y161" i="1"/>
  <c r="AW160" i="1"/>
  <c r="Y160" i="1"/>
  <c r="AW155" i="1"/>
  <c r="Y155" i="1"/>
  <c r="AW151" i="1"/>
  <c r="Y151" i="1"/>
  <c r="Y150" i="1"/>
  <c r="Y149" i="1"/>
  <c r="AW148" i="1"/>
  <c r="Y148" i="1"/>
  <c r="AW147" i="1"/>
  <c r="Y147" i="1"/>
  <c r="AW146" i="1"/>
  <c r="Y146" i="1"/>
  <c r="AW142" i="1"/>
  <c r="Y142" i="1"/>
  <c r="AW141" i="1"/>
  <c r="Y141" i="1"/>
  <c r="AW139" i="1"/>
  <c r="Y139" i="1"/>
  <c r="AW138" i="1"/>
  <c r="Y138" i="1"/>
  <c r="AW137" i="1"/>
  <c r="Y137" i="1"/>
  <c r="AW136" i="1"/>
  <c r="Y136" i="1"/>
  <c r="AW134" i="1"/>
  <c r="Y134" i="1"/>
  <c r="AW133" i="1"/>
  <c r="Y133" i="1"/>
  <c r="AW130" i="1"/>
  <c r="Y130" i="1"/>
  <c r="AW128" i="1"/>
  <c r="Y128" i="1"/>
  <c r="AW125" i="1"/>
  <c r="Y125" i="1"/>
  <c r="AW124" i="1"/>
  <c r="Y124" i="1"/>
  <c r="AW122" i="1"/>
  <c r="Y122" i="1"/>
  <c r="AW120" i="1"/>
  <c r="Y120" i="1"/>
  <c r="AW119" i="1"/>
  <c r="Y119" i="1"/>
  <c r="AW118" i="1"/>
  <c r="Y118" i="1"/>
  <c r="AW117" i="1"/>
  <c r="Y117" i="1"/>
  <c r="AW115" i="1"/>
  <c r="Y115" i="1"/>
  <c r="Y114" i="1"/>
  <c r="AW113" i="1"/>
  <c r="Y113" i="1"/>
  <c r="AW112" i="1"/>
  <c r="Y112" i="1"/>
  <c r="AW111" i="1"/>
  <c r="Y111" i="1"/>
  <c r="AW110" i="1"/>
  <c r="Y110" i="1"/>
  <c r="AW109" i="1"/>
  <c r="Y109" i="1"/>
  <c r="AW108" i="1"/>
  <c r="Y108" i="1"/>
  <c r="AW107" i="1"/>
  <c r="Y107" i="1"/>
  <c r="Y106" i="1"/>
  <c r="Y105" i="1"/>
  <c r="AW104" i="1"/>
  <c r="Y104" i="1"/>
  <c r="AW100" i="1"/>
  <c r="Y100" i="1"/>
  <c r="AW99" i="1"/>
  <c r="Y99" i="1"/>
  <c r="AW95" i="1"/>
  <c r="Y95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Z94" i="1" s="1"/>
  <c r="BA94" i="1" s="1"/>
  <c r="AW88" i="1"/>
  <c r="Y88" i="1"/>
  <c r="AW85" i="1"/>
  <c r="Y85" i="1"/>
  <c r="AW84" i="1"/>
  <c r="Y84" i="1"/>
  <c r="AW83" i="1"/>
  <c r="Y83" i="1"/>
  <c r="AW82" i="1"/>
  <c r="Y82" i="1"/>
  <c r="AW81" i="1"/>
  <c r="Y81" i="1"/>
  <c r="AW80" i="1"/>
  <c r="Y80" i="1"/>
  <c r="AW79" i="1"/>
  <c r="Y79" i="1"/>
  <c r="AW78" i="1"/>
  <c r="Y78" i="1"/>
  <c r="AW77" i="1"/>
  <c r="Y77" i="1"/>
  <c r="AW76" i="1"/>
  <c r="Y76" i="1"/>
  <c r="Y75" i="1"/>
  <c r="AW74" i="1"/>
  <c r="Y74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Z73" i="1" s="1"/>
  <c r="BA73" i="1" s="1"/>
  <c r="Y72" i="1"/>
  <c r="AW70" i="1"/>
  <c r="Y70" i="1"/>
  <c r="AW69" i="1"/>
  <c r="Y69" i="1"/>
  <c r="AW68" i="1"/>
  <c r="Y68" i="1"/>
  <c r="AW66" i="1"/>
  <c r="Y66" i="1"/>
  <c r="AW65" i="1"/>
  <c r="AW64" i="1"/>
  <c r="Y64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Z63" i="1" s="1"/>
  <c r="BA63" i="1" s="1"/>
  <c r="AW58" i="1"/>
  <c r="Y58" i="1"/>
  <c r="Y51" i="1"/>
  <c r="AW48" i="1"/>
  <c r="Y48" i="1"/>
  <c r="Y47" i="1"/>
  <c r="Y45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Z44" i="1" s="1"/>
  <c r="BA44" i="1" s="1"/>
  <c r="AW41" i="1"/>
  <c r="Y41" i="1"/>
  <c r="AW39" i="1"/>
  <c r="Y39" i="1"/>
  <c r="Y38" i="1"/>
  <c r="Y37" i="1"/>
  <c r="AW36" i="1"/>
  <c r="Y36" i="1"/>
  <c r="AW35" i="1"/>
  <c r="Y35" i="1"/>
  <c r="AW30" i="1"/>
  <c r="Y30" i="1"/>
  <c r="AW28" i="1"/>
  <c r="Y28" i="1"/>
  <c r="AW27" i="1"/>
  <c r="Y27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AY26" i="1" s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W25" i="1"/>
  <c r="Y25" i="1"/>
  <c r="AW24" i="1"/>
  <c r="Y24" i="1"/>
  <c r="AW18" i="1"/>
  <c r="Y18" i="1"/>
  <c r="AW16" i="1"/>
  <c r="Y16" i="1"/>
  <c r="AW13" i="1"/>
  <c r="Y13" i="1"/>
  <c r="Y12" i="1"/>
  <c r="AW11" i="1"/>
  <c r="Y11" i="1"/>
  <c r="AW10" i="1"/>
  <c r="Y10" i="1"/>
  <c r="AW9" i="1"/>
  <c r="Y9" i="1"/>
  <c r="AW8" i="1"/>
  <c r="Y8" i="1"/>
  <c r="AW7" i="1"/>
  <c r="Y7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Z6" i="1" s="1"/>
  <c r="BA6" i="1" s="1"/>
  <c r="AZ26" i="1" l="1"/>
  <c r="BA26" i="1" s="1"/>
  <c r="AY63" i="1"/>
  <c r="AZ195" i="1"/>
  <c r="BA195" i="1" s="1"/>
  <c r="AY44" i="1"/>
  <c r="AY94" i="1"/>
  <c r="AY178" i="1"/>
  <c r="AY181" i="1"/>
  <c r="AY223" i="1"/>
  <c r="AY6" i="1"/>
  <c r="AY73" i="1"/>
  <c r="AY231" i="1"/>
  <c r="AZ181" i="2"/>
  <c r="BA181" i="2" s="1"/>
  <c r="AZ44" i="2"/>
  <c r="BA44" i="2" s="1"/>
  <c r="AZ73" i="2"/>
  <c r="BA73" i="2" s="1"/>
  <c r="AY223" i="2"/>
  <c r="AY178" i="2"/>
  <c r="AY195" i="2"/>
  <c r="AY231" i="2"/>
  <c r="AY181" i="2"/>
  <c r="AY44" i="2"/>
  <c r="AY73" i="2"/>
  <c r="AY63" i="2"/>
  <c r="AY94" i="2"/>
  <c r="AZ6" i="2"/>
  <c r="BA6" i="2" s="1"/>
  <c r="AY6" i="2"/>
  <c r="AZ178" i="2"/>
  <c r="BA178" i="2" s="1"/>
  <c r="AZ195" i="2"/>
  <c r="BA195" i="2" s="1"/>
  <c r="AZ223" i="2"/>
  <c r="BA223" i="2" s="1"/>
  <c r="AZ231" i="2"/>
  <c r="BA231" i="2" s="1"/>
  <c r="AZ26" i="2"/>
  <c r="BA26" i="2" s="1"/>
  <c r="AY223" i="7"/>
  <c r="AW6" i="7"/>
  <c r="AZ21" i="8"/>
  <c r="AG20" i="8"/>
  <c r="AG181" i="7"/>
  <c r="Z16" i="8"/>
  <c r="Z73" i="7"/>
  <c r="B20" i="8"/>
  <c r="B181" i="7"/>
  <c r="AZ181" i="7" s="1"/>
  <c r="BA181" i="7" s="1"/>
  <c r="V20" i="8"/>
  <c r="V181" i="7"/>
  <c r="L20" i="8"/>
  <c r="L181" i="7"/>
  <c r="O20" i="8"/>
  <c r="O181" i="7"/>
  <c r="R20" i="8"/>
  <c r="R181" i="7"/>
  <c r="W16" i="8"/>
  <c r="W73" i="7"/>
  <c r="AD16" i="8"/>
  <c r="AD73" i="7"/>
  <c r="AM20" i="8"/>
  <c r="AM181" i="7"/>
  <c r="AE21" i="8"/>
  <c r="AE223" i="7"/>
  <c r="AW63" i="7"/>
  <c r="G16" i="8"/>
  <c r="G73" i="7"/>
  <c r="AH21" i="8"/>
  <c r="AH223" i="7"/>
  <c r="M16" i="8"/>
  <c r="M73" i="7"/>
  <c r="N20" i="8"/>
  <c r="N181" i="7"/>
  <c r="AN21" i="8"/>
  <c r="AN223" i="7"/>
  <c r="S16" i="8"/>
  <c r="S73" i="7"/>
  <c r="AI20" i="8"/>
  <c r="AI181" i="7"/>
  <c r="F20" i="8"/>
  <c r="F181" i="7"/>
  <c r="Y223" i="7"/>
  <c r="T20" i="8"/>
  <c r="T181" i="7"/>
  <c r="J20" i="8"/>
  <c r="J181" i="7"/>
  <c r="I20" i="8"/>
  <c r="I181" i="7"/>
  <c r="AL16" i="8"/>
  <c r="AL73" i="7"/>
  <c r="H20" i="8"/>
  <c r="H181" i="7"/>
  <c r="AJ16" i="8"/>
  <c r="AJ73" i="7"/>
  <c r="X20" i="8"/>
  <c r="X181" i="7"/>
  <c r="U20" i="8"/>
  <c r="U181" i="7"/>
  <c r="AK21" i="8"/>
  <c r="AK223" i="7"/>
  <c r="AS20" i="8"/>
  <c r="AS181" i="7"/>
  <c r="AQ21" i="8"/>
  <c r="AQ223" i="7"/>
  <c r="Y21" i="8"/>
  <c r="P20" i="8"/>
  <c r="P181" i="7"/>
  <c r="C20" i="8"/>
  <c r="C181" i="7"/>
  <c r="AO20" i="8"/>
  <c r="AO181" i="7"/>
  <c r="K16" i="8"/>
  <c r="K73" i="7"/>
  <c r="AC16" i="8"/>
  <c r="AC73" i="7"/>
  <c r="AF16" i="8"/>
  <c r="AF73" i="7"/>
  <c r="AP16" i="8"/>
  <c r="AP73" i="7"/>
  <c r="Q16" i="8"/>
  <c r="Q73" i="7"/>
  <c r="AA20" i="8"/>
  <c r="AA181" i="7"/>
  <c r="E16" i="8"/>
  <c r="E73" i="7"/>
  <c r="AV16" i="8"/>
  <c r="AV73" i="7"/>
  <c r="AR16" i="8"/>
  <c r="AR73" i="7"/>
  <c r="AB20" i="8"/>
  <c r="AB181" i="7"/>
  <c r="AU20" i="8"/>
  <c r="AU181" i="7"/>
  <c r="D20" i="8"/>
  <c r="D181" i="7"/>
  <c r="AT20" i="8"/>
  <c r="AT181" i="7"/>
  <c r="C178" i="4"/>
  <c r="AN247" i="2"/>
  <c r="D247" i="2"/>
  <c r="H247" i="2"/>
  <c r="L247" i="2"/>
  <c r="P247" i="2"/>
  <c r="T247" i="2"/>
  <c r="X247" i="2"/>
  <c r="AB247" i="2"/>
  <c r="AF247" i="2"/>
  <c r="AJ247" i="2"/>
  <c r="AR247" i="2"/>
  <c r="D247" i="1"/>
  <c r="H247" i="1"/>
  <c r="L247" i="1"/>
  <c r="P247" i="1"/>
  <c r="T247" i="1"/>
  <c r="X247" i="1"/>
  <c r="AC247" i="1"/>
  <c r="AG247" i="1"/>
  <c r="AK247" i="1"/>
  <c r="AO247" i="1"/>
  <c r="AS247" i="1"/>
  <c r="U247" i="2"/>
  <c r="I247" i="2"/>
  <c r="M247" i="2"/>
  <c r="B247" i="2"/>
  <c r="F247" i="2"/>
  <c r="Z247" i="2"/>
  <c r="AY247" i="2" s="1"/>
  <c r="AD247" i="2"/>
  <c r="AH247" i="2"/>
  <c r="AL247" i="2"/>
  <c r="AP247" i="2"/>
  <c r="AT247" i="2"/>
  <c r="E247" i="2"/>
  <c r="Q247" i="2"/>
  <c r="B247" i="1"/>
  <c r="AZ247" i="1" s="1"/>
  <c r="BA247" i="1" s="1"/>
  <c r="F247" i="1"/>
  <c r="J247" i="1"/>
  <c r="N247" i="1"/>
  <c r="R247" i="1"/>
  <c r="V247" i="1"/>
  <c r="AA247" i="1"/>
  <c r="AE247" i="1"/>
  <c r="AI247" i="1"/>
  <c r="AM247" i="1"/>
  <c r="AQ247" i="1"/>
  <c r="AU247" i="1"/>
  <c r="C247" i="2"/>
  <c r="G247" i="2"/>
  <c r="K247" i="2"/>
  <c r="O247" i="2"/>
  <c r="S247" i="2"/>
  <c r="W247" i="2"/>
  <c r="S178" i="4"/>
  <c r="AW73" i="2"/>
  <c r="AW94" i="2"/>
  <c r="Y26" i="2"/>
  <c r="AW178" i="2"/>
  <c r="Y231" i="2"/>
  <c r="AQ181" i="4"/>
  <c r="Z231" i="4"/>
  <c r="AD231" i="4"/>
  <c r="AH231" i="4"/>
  <c r="AL231" i="4"/>
  <c r="AP231" i="4"/>
  <c r="AT231" i="4"/>
  <c r="AW233" i="4"/>
  <c r="AV94" i="4"/>
  <c r="Z26" i="4"/>
  <c r="AH26" i="4"/>
  <c r="AL26" i="4"/>
  <c r="AP26" i="4"/>
  <c r="AT26" i="4"/>
  <c r="Y223" i="2"/>
  <c r="AW181" i="2"/>
  <c r="AV247" i="2"/>
  <c r="AW26" i="2"/>
  <c r="Y44" i="2"/>
  <c r="AW195" i="2"/>
  <c r="P94" i="4"/>
  <c r="AW27" i="4"/>
  <c r="V44" i="4"/>
  <c r="N44" i="4"/>
  <c r="Y197" i="4"/>
  <c r="AW200" i="4"/>
  <c r="Y201" i="4"/>
  <c r="AW204" i="4"/>
  <c r="Y205" i="4"/>
  <c r="AW212" i="4"/>
  <c r="Y213" i="4"/>
  <c r="AW216" i="4"/>
  <c r="AW229" i="4"/>
  <c r="AW34" i="4"/>
  <c r="B44" i="4"/>
  <c r="J44" i="4"/>
  <c r="E223" i="4"/>
  <c r="I223" i="4"/>
  <c r="M223" i="4"/>
  <c r="Q223" i="4"/>
  <c r="U223" i="4"/>
  <c r="AB231" i="4"/>
  <c r="AF231" i="4"/>
  <c r="AJ231" i="4"/>
  <c r="AN231" i="4"/>
  <c r="AR231" i="4"/>
  <c r="AV231" i="4"/>
  <c r="F44" i="4"/>
  <c r="R44" i="4"/>
  <c r="AO178" i="4"/>
  <c r="AA223" i="4"/>
  <c r="AE223" i="4"/>
  <c r="AI223" i="4"/>
  <c r="AM223" i="4"/>
  <c r="AQ223" i="4"/>
  <c r="AU223" i="4"/>
  <c r="E181" i="4"/>
  <c r="I181" i="4"/>
  <c r="M181" i="4"/>
  <c r="Q181" i="4"/>
  <c r="U181" i="4"/>
  <c r="AW238" i="4"/>
  <c r="AW246" i="4"/>
  <c r="J247" i="2"/>
  <c r="N247" i="2"/>
  <c r="R247" i="2"/>
  <c r="V247" i="2"/>
  <c r="AA247" i="2"/>
  <c r="AE247" i="2"/>
  <c r="AI247" i="2"/>
  <c r="AM247" i="2"/>
  <c r="AQ247" i="2"/>
  <c r="AU247" i="2"/>
  <c r="AW63" i="2"/>
  <c r="Y73" i="2"/>
  <c r="Y178" i="2"/>
  <c r="Y63" i="2"/>
  <c r="AC247" i="2"/>
  <c r="AG247" i="2"/>
  <c r="AK247" i="2"/>
  <c r="AO247" i="2"/>
  <c r="AS247" i="2"/>
  <c r="AW44" i="2"/>
  <c r="Y94" i="2"/>
  <c r="Y181" i="2"/>
  <c r="Y195" i="2"/>
  <c r="AW223" i="2"/>
  <c r="AW231" i="2"/>
  <c r="E247" i="1"/>
  <c r="I247" i="1"/>
  <c r="M247" i="1"/>
  <c r="Q247" i="1"/>
  <c r="U247" i="1"/>
  <c r="Z247" i="1"/>
  <c r="AD247" i="1"/>
  <c r="AH247" i="1"/>
  <c r="AL247" i="1"/>
  <c r="AP247" i="1"/>
  <c r="AT247" i="1"/>
  <c r="AW181" i="1"/>
  <c r="AW63" i="1"/>
  <c r="Y63" i="1"/>
  <c r="Y181" i="1"/>
  <c r="C247" i="1"/>
  <c r="G247" i="1"/>
  <c r="K247" i="1"/>
  <c r="O247" i="1"/>
  <c r="S247" i="1"/>
  <c r="W247" i="1"/>
  <c r="AB247" i="1"/>
  <c r="AF247" i="1"/>
  <c r="AJ247" i="1"/>
  <c r="AN247" i="1"/>
  <c r="AR247" i="1"/>
  <c r="AV247" i="1"/>
  <c r="AW26" i="1"/>
  <c r="AW44" i="1"/>
  <c r="AW73" i="1"/>
  <c r="AW94" i="1"/>
  <c r="AW178" i="1"/>
  <c r="AW195" i="1"/>
  <c r="AW223" i="1"/>
  <c r="AW231" i="1"/>
  <c r="Y26" i="1"/>
  <c r="Y44" i="1"/>
  <c r="Y73" i="1"/>
  <c r="Y94" i="1"/>
  <c r="Y178" i="1"/>
  <c r="Y195" i="1"/>
  <c r="Y223" i="1"/>
  <c r="Y231" i="1"/>
  <c r="Z94" i="4"/>
  <c r="AD94" i="4"/>
  <c r="AH94" i="4"/>
  <c r="AL94" i="4"/>
  <c r="AP94" i="4"/>
  <c r="AT94" i="4"/>
  <c r="B94" i="4"/>
  <c r="AW96" i="4"/>
  <c r="Y97" i="4"/>
  <c r="AW99" i="4"/>
  <c r="Y100" i="4"/>
  <c r="AW103" i="4"/>
  <c r="AW107" i="4"/>
  <c r="Y108" i="4"/>
  <c r="AW111" i="4"/>
  <c r="Y112" i="4"/>
  <c r="AW114" i="4"/>
  <c r="Y115" i="4"/>
  <c r="AW118" i="4"/>
  <c r="Y119" i="4"/>
  <c r="Y123" i="4"/>
  <c r="AW126" i="4"/>
  <c r="Y127" i="4"/>
  <c r="AW130" i="4"/>
  <c r="Y131" i="4"/>
  <c r="AW134" i="4"/>
  <c r="Y135" i="4"/>
  <c r="AW138" i="4"/>
  <c r="AW142" i="4"/>
  <c r="AW146" i="4"/>
  <c r="Y147" i="4"/>
  <c r="AW150" i="4"/>
  <c r="Y151" i="4"/>
  <c r="AW154" i="4"/>
  <c r="Y155" i="4"/>
  <c r="Y159" i="4"/>
  <c r="AW162" i="4"/>
  <c r="Y167" i="4"/>
  <c r="AW168" i="4"/>
  <c r="AW172" i="4"/>
  <c r="Y175" i="4"/>
  <c r="AW236" i="4"/>
  <c r="AN94" i="4"/>
  <c r="H94" i="4"/>
  <c r="X94" i="4"/>
  <c r="AF44" i="4"/>
  <c r="AN44" i="4"/>
  <c r="AV44" i="4"/>
  <c r="AF94" i="4"/>
  <c r="AW158" i="4"/>
  <c r="AW196" i="4"/>
  <c r="AW51" i="4"/>
  <c r="G178" i="4"/>
  <c r="K178" i="4"/>
  <c r="O178" i="4"/>
  <c r="W178" i="4"/>
  <c r="AB178" i="4"/>
  <c r="AF178" i="4"/>
  <c r="AJ178" i="4"/>
  <c r="AN178" i="4"/>
  <c r="AR178" i="4"/>
  <c r="AV178" i="4"/>
  <c r="AH181" i="4"/>
  <c r="D231" i="4"/>
  <c r="T231" i="4"/>
  <c r="AC178" i="4"/>
  <c r="AS178" i="4"/>
  <c r="AL181" i="4"/>
  <c r="C181" i="4"/>
  <c r="G181" i="4"/>
  <c r="K181" i="4"/>
  <c r="O181" i="4"/>
  <c r="S181" i="4"/>
  <c r="W181" i="4"/>
  <c r="AB181" i="4"/>
  <c r="AF181" i="4"/>
  <c r="AJ181" i="4"/>
  <c r="AN181" i="4"/>
  <c r="AR181" i="4"/>
  <c r="AV181" i="4"/>
  <c r="AU181" i="4"/>
  <c r="D223" i="4"/>
  <c r="H223" i="4"/>
  <c r="L223" i="4"/>
  <c r="P223" i="4"/>
  <c r="T223" i="4"/>
  <c r="X223" i="4"/>
  <c r="AC223" i="4"/>
  <c r="AG223" i="4"/>
  <c r="AK223" i="4"/>
  <c r="AO223" i="4"/>
  <c r="AS223" i="4"/>
  <c r="H231" i="4"/>
  <c r="X231" i="4"/>
  <c r="AC231" i="4"/>
  <c r="AC73" i="4" s="1"/>
  <c r="AC6" i="4" s="1"/>
  <c r="AG231" i="4"/>
  <c r="AK231" i="4"/>
  <c r="AK73" i="4" s="1"/>
  <c r="AK6" i="4" s="1"/>
  <c r="AO231" i="4"/>
  <c r="AS231" i="4"/>
  <c r="AS73" i="4" s="1"/>
  <c r="AS6" i="4" s="1"/>
  <c r="AG178" i="4"/>
  <c r="E178" i="4"/>
  <c r="I178" i="4"/>
  <c r="M178" i="4"/>
  <c r="Q178" i="4"/>
  <c r="U178" i="4"/>
  <c r="Z178" i="4"/>
  <c r="AH178" i="4"/>
  <c r="AL178" i="4"/>
  <c r="AP178" i="4"/>
  <c r="AT178" i="4"/>
  <c r="AA178" i="4"/>
  <c r="AE178" i="4"/>
  <c r="AI178" i="4"/>
  <c r="AM178" i="4"/>
  <c r="AQ178" i="4"/>
  <c r="AU178" i="4"/>
  <c r="Z181" i="4"/>
  <c r="AW208" i="4"/>
  <c r="Y209" i="4"/>
  <c r="Y217" i="4"/>
  <c r="AW220" i="4"/>
  <c r="L231" i="4"/>
  <c r="R63" i="4"/>
  <c r="R195" i="4" s="1"/>
  <c r="S73" i="4"/>
  <c r="S6" i="4" s="1"/>
  <c r="Y104" i="4"/>
  <c r="AW122" i="4"/>
  <c r="AK178" i="4"/>
  <c r="AD181" i="4"/>
  <c r="AP181" i="4"/>
  <c r="AT181" i="4"/>
  <c r="B223" i="4"/>
  <c r="J223" i="4"/>
  <c r="N223" i="4"/>
  <c r="R223" i="4"/>
  <c r="V223" i="4"/>
  <c r="C223" i="4"/>
  <c r="G223" i="4"/>
  <c r="K223" i="4"/>
  <c r="O223" i="4"/>
  <c r="S223" i="4"/>
  <c r="W223" i="4"/>
  <c r="AW227" i="4"/>
  <c r="P231" i="4"/>
  <c r="B231" i="4"/>
  <c r="F231" i="4"/>
  <c r="J231" i="4"/>
  <c r="N231" i="4"/>
  <c r="R231" i="4"/>
  <c r="V231" i="4"/>
  <c r="AA231" i="4"/>
  <c r="AI231" i="4"/>
  <c r="AM231" i="4"/>
  <c r="AQ231" i="4"/>
  <c r="AU231" i="4"/>
  <c r="AW12" i="4"/>
  <c r="AW14" i="4"/>
  <c r="AW17" i="4"/>
  <c r="Y18" i="4"/>
  <c r="B26" i="4"/>
  <c r="AW30" i="4"/>
  <c r="AW33" i="4"/>
  <c r="AF26" i="4"/>
  <c r="AN26" i="4"/>
  <c r="AV26" i="4"/>
  <c r="AW29" i="4"/>
  <c r="AW35" i="4"/>
  <c r="H44" i="4"/>
  <c r="P44" i="4"/>
  <c r="X44" i="4"/>
  <c r="H26" i="4"/>
  <c r="P26" i="4"/>
  <c r="X26" i="4"/>
  <c r="AW28" i="4"/>
  <c r="AW32" i="4"/>
  <c r="AW52" i="4"/>
  <c r="Y53" i="4"/>
  <c r="E73" i="4"/>
  <c r="E6" i="4" s="1"/>
  <c r="M73" i="4"/>
  <c r="M6" i="4" s="1"/>
  <c r="U73" i="4"/>
  <c r="U6" i="4" s="1"/>
  <c r="B178" i="4"/>
  <c r="J178" i="4"/>
  <c r="N178" i="4"/>
  <c r="R178" i="4"/>
  <c r="V178" i="4"/>
  <c r="B181" i="4"/>
  <c r="F181" i="4"/>
  <c r="J181" i="4"/>
  <c r="N181" i="4"/>
  <c r="R181" i="4"/>
  <c r="V181" i="4"/>
  <c r="AA181" i="4"/>
  <c r="AE181" i="4"/>
  <c r="AI181" i="4"/>
  <c r="AM181" i="4"/>
  <c r="AW221" i="4"/>
  <c r="Z223" i="4"/>
  <c r="AW224" i="4"/>
  <c r="AH223" i="4"/>
  <c r="AL223" i="4"/>
  <c r="AP223" i="4"/>
  <c r="AT223" i="4"/>
  <c r="AW228" i="4"/>
  <c r="C231" i="4"/>
  <c r="C73" i="4" s="1"/>
  <c r="C6" i="4" s="1"/>
  <c r="K231" i="4"/>
  <c r="O231" i="4"/>
  <c r="O73" i="4" s="1"/>
  <c r="O6" i="4" s="1"/>
  <c r="S231" i="4"/>
  <c r="W231" i="4"/>
  <c r="AW237" i="4"/>
  <c r="AW36" i="4"/>
  <c r="AW40" i="4"/>
  <c r="C44" i="4"/>
  <c r="G44" i="4"/>
  <c r="K44" i="4"/>
  <c r="O44" i="4"/>
  <c r="S44" i="4"/>
  <c r="W44" i="4"/>
  <c r="AB44" i="4"/>
  <c r="AJ44" i="4"/>
  <c r="AR44" i="4"/>
  <c r="AW48" i="4"/>
  <c r="Y49" i="4"/>
  <c r="AW50" i="4"/>
  <c r="K73" i="4"/>
  <c r="K6" i="4" s="1"/>
  <c r="W73" i="4"/>
  <c r="W6" i="4" s="1"/>
  <c r="AB73" i="4"/>
  <c r="AB6" i="4" s="1"/>
  <c r="AF73" i="4"/>
  <c r="AF6" i="4" s="1"/>
  <c r="AJ73" i="4"/>
  <c r="AJ6" i="4" s="1"/>
  <c r="AN73" i="4"/>
  <c r="AN6" i="4" s="1"/>
  <c r="AR73" i="4"/>
  <c r="AR6" i="4" s="1"/>
  <c r="AV73" i="4"/>
  <c r="AV6" i="4" s="1"/>
  <c r="D178" i="4"/>
  <c r="H178" i="4"/>
  <c r="L178" i="4"/>
  <c r="P178" i="4"/>
  <c r="T178" i="4"/>
  <c r="X178" i="4"/>
  <c r="D181" i="4"/>
  <c r="H181" i="4"/>
  <c r="L181" i="4"/>
  <c r="P181" i="4"/>
  <c r="T181" i="4"/>
  <c r="X181" i="4"/>
  <c r="AC181" i="4"/>
  <c r="AG181" i="4"/>
  <c r="AK181" i="4"/>
  <c r="AO181" i="4"/>
  <c r="AS181" i="4"/>
  <c r="AW219" i="4"/>
  <c r="Y220" i="4"/>
  <c r="AB223" i="4"/>
  <c r="AZ223" i="4" s="1"/>
  <c r="AF223" i="4"/>
  <c r="AJ223" i="4"/>
  <c r="AN223" i="4"/>
  <c r="AR223" i="4"/>
  <c r="AV223" i="4"/>
  <c r="AW230" i="4"/>
  <c r="E231" i="4"/>
  <c r="I231" i="4"/>
  <c r="I73" i="4" s="1"/>
  <c r="I6" i="4" s="1"/>
  <c r="M231" i="4"/>
  <c r="Q231" i="4"/>
  <c r="Q73" i="4" s="1"/>
  <c r="Q6" i="4" s="1"/>
  <c r="U231" i="4"/>
  <c r="AW232" i="4"/>
  <c r="AW235" i="4"/>
  <c r="Y54" i="4"/>
  <c r="Y58" i="4"/>
  <c r="Y62" i="4"/>
  <c r="D63" i="4"/>
  <c r="D195" i="4" s="1"/>
  <c r="H63" i="4"/>
  <c r="H195" i="4" s="1"/>
  <c r="L63" i="4"/>
  <c r="L195" i="4" s="1"/>
  <c r="P63" i="4"/>
  <c r="P195" i="4" s="1"/>
  <c r="T63" i="4"/>
  <c r="T195" i="4" s="1"/>
  <c r="X63" i="4"/>
  <c r="X195" i="4" s="1"/>
  <c r="AC63" i="4"/>
  <c r="AG63" i="4"/>
  <c r="AK63" i="4"/>
  <c r="AO63" i="4"/>
  <c r="AS63" i="4"/>
  <c r="AW65" i="4"/>
  <c r="Y66" i="4"/>
  <c r="AW69" i="4"/>
  <c r="Y70" i="4"/>
  <c r="AW83" i="4"/>
  <c r="AW214" i="4"/>
  <c r="Y215" i="4"/>
  <c r="AW218" i="4"/>
  <c r="AW225" i="4"/>
  <c r="AW234" i="4"/>
  <c r="AW38" i="4"/>
  <c r="Y57" i="4"/>
  <c r="Y61" i="4"/>
  <c r="AG73" i="4"/>
  <c r="AG6" i="4" s="1"/>
  <c r="AO73" i="4"/>
  <c r="AO6" i="4" s="1"/>
  <c r="AA73" i="4"/>
  <c r="AA6" i="4" s="1"/>
  <c r="AI73" i="4"/>
  <c r="AI6" i="4" s="1"/>
  <c r="AM73" i="4"/>
  <c r="AM6" i="4" s="1"/>
  <c r="AQ73" i="4"/>
  <c r="AQ6" i="4" s="1"/>
  <c r="AU73" i="4"/>
  <c r="Y84" i="4"/>
  <c r="AW87" i="4"/>
  <c r="Y88" i="4"/>
  <c r="AW91" i="4"/>
  <c r="Y92" i="4"/>
  <c r="AW217" i="4"/>
  <c r="Y222" i="4"/>
  <c r="AW241" i="4"/>
  <c r="Y242" i="4"/>
  <c r="AW31" i="4"/>
  <c r="AW37" i="4"/>
  <c r="Y56" i="4"/>
  <c r="Y60" i="4"/>
  <c r="Z195" i="4"/>
  <c r="AP195" i="4"/>
  <c r="AW8" i="4"/>
  <c r="Y9" i="4"/>
  <c r="Y15" i="4"/>
  <c r="AW20" i="4"/>
  <c r="Y21" i="4"/>
  <c r="AW24" i="4"/>
  <c r="Y25" i="4"/>
  <c r="D44" i="4"/>
  <c r="L44" i="4"/>
  <c r="T44" i="4"/>
  <c r="Z44" i="4"/>
  <c r="AD44" i="4"/>
  <c r="AH44" i="4"/>
  <c r="AL44" i="4"/>
  <c r="AP44" i="4"/>
  <c r="AT44" i="4"/>
  <c r="Y55" i="4"/>
  <c r="Y59" i="4"/>
  <c r="F94" i="4"/>
  <c r="J94" i="4"/>
  <c r="J26" i="4" s="1"/>
  <c r="N94" i="4"/>
  <c r="N26" i="4" s="1"/>
  <c r="R94" i="4"/>
  <c r="R26" i="4" s="1"/>
  <c r="V94" i="4"/>
  <c r="V26" i="4" s="1"/>
  <c r="AA94" i="4"/>
  <c r="AA26" i="4" s="1"/>
  <c r="AI94" i="4"/>
  <c r="AI26" i="4" s="1"/>
  <c r="AM94" i="4"/>
  <c r="AM26" i="4" s="1"/>
  <c r="AQ94" i="4"/>
  <c r="AQ26" i="4" s="1"/>
  <c r="AU94" i="4"/>
  <c r="AU26" i="4" s="1"/>
  <c r="AB94" i="4"/>
  <c r="AB26" i="4" s="1"/>
  <c r="AJ94" i="4"/>
  <c r="AJ26" i="4" s="1"/>
  <c r="AR94" i="4"/>
  <c r="AR26" i="4" s="1"/>
  <c r="D94" i="4"/>
  <c r="D26" i="4" s="1"/>
  <c r="L94" i="4"/>
  <c r="L26" i="4" s="1"/>
  <c r="T94" i="4"/>
  <c r="T26" i="4" s="1"/>
  <c r="Y139" i="4"/>
  <c r="Y143" i="4"/>
  <c r="Y163" i="4"/>
  <c r="AW166" i="4"/>
  <c r="Y171" i="4"/>
  <c r="AW176" i="4"/>
  <c r="AW226" i="4"/>
  <c r="AW239" i="4"/>
  <c r="Y240" i="4"/>
  <c r="AW243" i="4"/>
  <c r="Y244" i="4"/>
  <c r="AW39" i="4"/>
  <c r="Z63" i="4"/>
  <c r="AD63" i="4"/>
  <c r="AD195" i="4" s="1"/>
  <c r="AH63" i="4"/>
  <c r="AH195" i="4" s="1"/>
  <c r="AL63" i="4"/>
  <c r="AL195" i="4" s="1"/>
  <c r="AP63" i="4"/>
  <c r="AT63" i="4"/>
  <c r="AT195" i="4" s="1"/>
  <c r="B63" i="4"/>
  <c r="B195" i="4" s="1"/>
  <c r="F63" i="4"/>
  <c r="F195" i="4" s="1"/>
  <c r="J63" i="4"/>
  <c r="J195" i="4" s="1"/>
  <c r="N63" i="4"/>
  <c r="N195" i="4" s="1"/>
  <c r="V63" i="4"/>
  <c r="V195" i="4" s="1"/>
  <c r="AB63" i="4"/>
  <c r="AB195" i="4" s="1"/>
  <c r="AF63" i="4"/>
  <c r="AF195" i="4" s="1"/>
  <c r="AJ63" i="4"/>
  <c r="AJ195" i="4" s="1"/>
  <c r="AN63" i="4"/>
  <c r="AN195" i="4" s="1"/>
  <c r="AR63" i="4"/>
  <c r="AR195" i="4" s="1"/>
  <c r="AV63" i="4"/>
  <c r="AV195" i="4" s="1"/>
  <c r="AW7" i="4"/>
  <c r="AU6" i="4"/>
  <c r="Y8" i="4"/>
  <c r="AW11" i="4"/>
  <c r="Y12" i="4"/>
  <c r="AW13" i="4"/>
  <c r="Y14" i="4"/>
  <c r="AW16" i="4"/>
  <c r="Y17" i="4"/>
  <c r="Y20" i="4"/>
  <c r="AW23" i="4"/>
  <c r="Y24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AC44" i="4"/>
  <c r="AG44" i="4"/>
  <c r="AK44" i="4"/>
  <c r="AO44" i="4"/>
  <c r="AS44" i="4"/>
  <c r="AW47" i="4"/>
  <c r="Y48" i="4"/>
  <c r="Y51" i="4"/>
  <c r="Y52" i="4"/>
  <c r="Y7" i="4"/>
  <c r="AW10" i="4"/>
  <c r="Y11" i="4"/>
  <c r="Y13" i="4"/>
  <c r="Y16" i="4"/>
  <c r="AW19" i="4"/>
  <c r="AW22" i="4"/>
  <c r="Y23" i="4"/>
  <c r="E44" i="4"/>
  <c r="I44" i="4"/>
  <c r="M44" i="4"/>
  <c r="Q44" i="4"/>
  <c r="U44" i="4"/>
  <c r="AW46" i="4"/>
  <c r="Y47" i="4"/>
  <c r="AW9" i="4"/>
  <c r="Y10" i="4"/>
  <c r="AW15" i="4"/>
  <c r="AW18" i="4"/>
  <c r="Y19" i="4"/>
  <c r="AW21" i="4"/>
  <c r="Y22" i="4"/>
  <c r="AW25" i="4"/>
  <c r="AA44" i="4"/>
  <c r="AI44" i="4"/>
  <c r="AM44" i="4"/>
  <c r="AQ44" i="4"/>
  <c r="AU44" i="4"/>
  <c r="Y46" i="4"/>
  <c r="AW49" i="4"/>
  <c r="Y50" i="4"/>
  <c r="AW53" i="4"/>
  <c r="AA63" i="4"/>
  <c r="AA195" i="4" s="1"/>
  <c r="AW64" i="4"/>
  <c r="AI63" i="4"/>
  <c r="AI195" i="4" s="1"/>
  <c r="AM63" i="4"/>
  <c r="AM195" i="4" s="1"/>
  <c r="AQ63" i="4"/>
  <c r="AQ195" i="4" s="1"/>
  <c r="AU63" i="4"/>
  <c r="AU195" i="4" s="1"/>
  <c r="AW67" i="4"/>
  <c r="Y68" i="4"/>
  <c r="AW71" i="4"/>
  <c r="Y72" i="4"/>
  <c r="Z73" i="4"/>
  <c r="Z6" i="4" s="1"/>
  <c r="AW74" i="4"/>
  <c r="AH73" i="4"/>
  <c r="AH6" i="4" s="1"/>
  <c r="AL73" i="4"/>
  <c r="AL6" i="4" s="1"/>
  <c r="AP73" i="4"/>
  <c r="AP6" i="4" s="1"/>
  <c r="AT73" i="4"/>
  <c r="AT6" i="4" s="1"/>
  <c r="AW75" i="4"/>
  <c r="AW76" i="4"/>
  <c r="AW77" i="4"/>
  <c r="AW78" i="4"/>
  <c r="AW79" i="4"/>
  <c r="AW80" i="4"/>
  <c r="AW81" i="4"/>
  <c r="Y82" i="4"/>
  <c r="AW85" i="4"/>
  <c r="Y86" i="4"/>
  <c r="AW89" i="4"/>
  <c r="Y90" i="4"/>
  <c r="AW93" i="4"/>
  <c r="Y95" i="4"/>
  <c r="AC94" i="4"/>
  <c r="AC26" i="4" s="1"/>
  <c r="AG94" i="4"/>
  <c r="AG26" i="4" s="1"/>
  <c r="AK94" i="4"/>
  <c r="AK26" i="4" s="1"/>
  <c r="AO94" i="4"/>
  <c r="AO26" i="4" s="1"/>
  <c r="AS94" i="4"/>
  <c r="AS26" i="4" s="1"/>
  <c r="AW98" i="4"/>
  <c r="AW101" i="4"/>
  <c r="Y102" i="4"/>
  <c r="AW105" i="4"/>
  <c r="Y106" i="4"/>
  <c r="AW109" i="4"/>
  <c r="Y110" i="4"/>
  <c r="Y113" i="4"/>
  <c r="AW116" i="4"/>
  <c r="Y117" i="4"/>
  <c r="AW120" i="4"/>
  <c r="Y121" i="4"/>
  <c r="AW124" i="4"/>
  <c r="Y125" i="4"/>
  <c r="AW128" i="4"/>
  <c r="Y129" i="4"/>
  <c r="AW132" i="4"/>
  <c r="Y133" i="4"/>
  <c r="AW54" i="4"/>
  <c r="AW55" i="4"/>
  <c r="AW56" i="4"/>
  <c r="AW57" i="4"/>
  <c r="AW58" i="4"/>
  <c r="AW59" i="4"/>
  <c r="AW60" i="4"/>
  <c r="AW61" i="4"/>
  <c r="AW62" i="4"/>
  <c r="C63" i="4"/>
  <c r="Y64" i="4"/>
  <c r="K63" i="4"/>
  <c r="O63" i="4"/>
  <c r="S63" i="4"/>
  <c r="W63" i="4"/>
  <c r="AW66" i="4"/>
  <c r="Y67" i="4"/>
  <c r="AW70" i="4"/>
  <c r="Y71" i="4"/>
  <c r="B73" i="4"/>
  <c r="B6" i="4" s="1"/>
  <c r="Y74" i="4"/>
  <c r="J73" i="4"/>
  <c r="J6" i="4" s="1"/>
  <c r="N73" i="4"/>
  <c r="N6" i="4" s="1"/>
  <c r="R73" i="4"/>
  <c r="R6" i="4" s="1"/>
  <c r="V73" i="4"/>
  <c r="V6" i="4" s="1"/>
  <c r="Y75" i="4"/>
  <c r="Y76" i="4"/>
  <c r="Y77" i="4"/>
  <c r="Y78" i="4"/>
  <c r="Y79" i="4"/>
  <c r="Y80" i="4"/>
  <c r="Y81" i="4"/>
  <c r="AW84" i="4"/>
  <c r="Y85" i="4"/>
  <c r="AW88" i="4"/>
  <c r="Y89" i="4"/>
  <c r="AW92" i="4"/>
  <c r="Y93" i="4"/>
  <c r="E94" i="4"/>
  <c r="E26" i="4" s="1"/>
  <c r="I94" i="4"/>
  <c r="I26" i="4" s="1"/>
  <c r="M94" i="4"/>
  <c r="M26" i="4" s="1"/>
  <c r="Q94" i="4"/>
  <c r="Q26" i="4" s="1"/>
  <c r="U94" i="4"/>
  <c r="U26" i="4" s="1"/>
  <c r="AW97" i="4"/>
  <c r="Y98" i="4"/>
  <c r="AW100" i="4"/>
  <c r="Y101" i="4"/>
  <c r="AW104" i="4"/>
  <c r="Y105" i="4"/>
  <c r="AW108" i="4"/>
  <c r="Y109" i="4"/>
  <c r="AW112" i="4"/>
  <c r="AW115" i="4"/>
  <c r="Y116" i="4"/>
  <c r="AW119" i="4"/>
  <c r="Y120" i="4"/>
  <c r="E63" i="4"/>
  <c r="I63" i="4"/>
  <c r="M63" i="4"/>
  <c r="Q63" i="4"/>
  <c r="U63" i="4"/>
  <c r="Y65" i="4"/>
  <c r="AW68" i="4"/>
  <c r="Y69" i="4"/>
  <c r="AW72" i="4"/>
  <c r="D73" i="4"/>
  <c r="D6" i="4" s="1"/>
  <c r="H73" i="4"/>
  <c r="H6" i="4" s="1"/>
  <c r="L73" i="4"/>
  <c r="L6" i="4" s="1"/>
  <c r="P73" i="4"/>
  <c r="P6" i="4" s="1"/>
  <c r="T73" i="4"/>
  <c r="T6" i="4" s="1"/>
  <c r="X73" i="4"/>
  <c r="X6" i="4" s="1"/>
  <c r="AW82" i="4"/>
  <c r="Y83" i="4"/>
  <c r="AW86" i="4"/>
  <c r="Y87" i="4"/>
  <c r="AW90" i="4"/>
  <c r="Y91" i="4"/>
  <c r="AW95" i="4"/>
  <c r="C94" i="4"/>
  <c r="C26" i="4" s="1"/>
  <c r="Y96" i="4"/>
  <c r="K94" i="4"/>
  <c r="K26" i="4" s="1"/>
  <c r="O94" i="4"/>
  <c r="O26" i="4" s="1"/>
  <c r="S94" i="4"/>
  <c r="S26" i="4" s="1"/>
  <c r="W94" i="4"/>
  <c r="W26" i="4" s="1"/>
  <c r="Y99" i="4"/>
  <c r="AW102" i="4"/>
  <c r="Y103" i="4"/>
  <c r="AW106" i="4"/>
  <c r="Y107" i="4"/>
  <c r="AW110" i="4"/>
  <c r="Y111" i="4"/>
  <c r="AW113" i="4"/>
  <c r="Y114" i="4"/>
  <c r="AW117" i="4"/>
  <c r="Y118" i="4"/>
  <c r="AW123" i="4"/>
  <c r="Y124" i="4"/>
  <c r="AW127" i="4"/>
  <c r="Y128" i="4"/>
  <c r="AW131" i="4"/>
  <c r="Y132" i="4"/>
  <c r="AW135" i="4"/>
  <c r="Y136" i="4"/>
  <c r="AW139" i="4"/>
  <c r="Y140" i="4"/>
  <c r="AW143" i="4"/>
  <c r="Y144" i="4"/>
  <c r="AW147" i="4"/>
  <c r="Y148" i="4"/>
  <c r="AW151" i="4"/>
  <c r="Y152" i="4"/>
  <c r="AW155" i="4"/>
  <c r="Y156" i="4"/>
  <c r="AW159" i="4"/>
  <c r="Y160" i="4"/>
  <c r="AW163" i="4"/>
  <c r="Y164" i="4"/>
  <c r="AW167" i="4"/>
  <c r="Y168" i="4"/>
  <c r="Y170" i="4"/>
  <c r="AW171" i="4"/>
  <c r="Y174" i="4"/>
  <c r="AW175" i="4"/>
  <c r="Y179" i="4"/>
  <c r="Y180" i="4"/>
  <c r="E195" i="4"/>
  <c r="I195" i="4"/>
  <c r="M195" i="4"/>
  <c r="Q195" i="4"/>
  <c r="U195" i="4"/>
  <c r="AW197" i="4"/>
  <c r="Y198" i="4"/>
  <c r="AW201" i="4"/>
  <c r="Y202" i="4"/>
  <c r="AW205" i="4"/>
  <c r="Y206" i="4"/>
  <c r="AW209" i="4"/>
  <c r="Y210" i="4"/>
  <c r="AW213" i="4"/>
  <c r="Y214" i="4"/>
  <c r="Y218" i="4"/>
  <c r="Y234" i="4"/>
  <c r="Y238" i="4"/>
  <c r="AW245" i="4"/>
  <c r="Y221" i="4"/>
  <c r="Y224" i="4"/>
  <c r="Y225" i="4"/>
  <c r="Y226" i="4"/>
  <c r="Y227" i="4"/>
  <c r="Y228" i="4"/>
  <c r="Y229" i="4"/>
  <c r="Y230" i="4"/>
  <c r="Y237" i="4"/>
  <c r="AW240" i="4"/>
  <c r="Y241" i="4"/>
  <c r="AW244" i="4"/>
  <c r="Y245" i="4"/>
  <c r="AW121" i="4"/>
  <c r="Y122" i="4"/>
  <c r="AW125" i="4"/>
  <c r="Y126" i="4"/>
  <c r="AW129" i="4"/>
  <c r="Y130" i="4"/>
  <c r="AW133" i="4"/>
  <c r="Y134" i="4"/>
  <c r="AW137" i="4"/>
  <c r="Y138" i="4"/>
  <c r="AW141" i="4"/>
  <c r="Y142" i="4"/>
  <c r="AW145" i="4"/>
  <c r="Y146" i="4"/>
  <c r="AW149" i="4"/>
  <c r="Y150" i="4"/>
  <c r="AW153" i="4"/>
  <c r="Y154" i="4"/>
  <c r="AW157" i="4"/>
  <c r="Y158" i="4"/>
  <c r="AW161" i="4"/>
  <c r="Y162" i="4"/>
  <c r="AW165" i="4"/>
  <c r="Y166" i="4"/>
  <c r="AW169" i="4"/>
  <c r="Y172" i="4"/>
  <c r="AW173" i="4"/>
  <c r="Y176" i="4"/>
  <c r="AW177" i="4"/>
  <c r="AW182" i="4"/>
  <c r="AW183" i="4"/>
  <c r="AW184" i="4"/>
  <c r="AW185" i="4"/>
  <c r="AW186" i="4"/>
  <c r="AW187" i="4"/>
  <c r="AW188" i="4"/>
  <c r="AW189" i="4"/>
  <c r="AW190" i="4"/>
  <c r="AW191" i="4"/>
  <c r="AW192" i="4"/>
  <c r="AW193" i="4"/>
  <c r="AW194" i="4"/>
  <c r="C195" i="4"/>
  <c r="Y196" i="4"/>
  <c r="K195" i="4"/>
  <c r="O195" i="4"/>
  <c r="S195" i="4"/>
  <c r="W195" i="4"/>
  <c r="AW199" i="4"/>
  <c r="Y200" i="4"/>
  <c r="AW203" i="4"/>
  <c r="Y204" i="4"/>
  <c r="AW207" i="4"/>
  <c r="Y208" i="4"/>
  <c r="AW211" i="4"/>
  <c r="Y212" i="4"/>
  <c r="AW215" i="4"/>
  <c r="Y216" i="4"/>
  <c r="Y233" i="4"/>
  <c r="Y236" i="4"/>
  <c r="Y246" i="4"/>
  <c r="AW136" i="4"/>
  <c r="Y137" i="4"/>
  <c r="AW140" i="4"/>
  <c r="Y141" i="4"/>
  <c r="AW144" i="4"/>
  <c r="Y145" i="4"/>
  <c r="AW148" i="4"/>
  <c r="Y149" i="4"/>
  <c r="AW152" i="4"/>
  <c r="Y153" i="4"/>
  <c r="AW156" i="4"/>
  <c r="Y157" i="4"/>
  <c r="AW160" i="4"/>
  <c r="Y161" i="4"/>
  <c r="AW164" i="4"/>
  <c r="Y165" i="4"/>
  <c r="Y169" i="4"/>
  <c r="AW170" i="4"/>
  <c r="Y173" i="4"/>
  <c r="AW174" i="4"/>
  <c r="Y177" i="4"/>
  <c r="AW179" i="4"/>
  <c r="AW180" i="4"/>
  <c r="Y182" i="4"/>
  <c r="Y183" i="4"/>
  <c r="Y184" i="4"/>
  <c r="Y185" i="4"/>
  <c r="Y186" i="4"/>
  <c r="Y187" i="4"/>
  <c r="Y188" i="4"/>
  <c r="Y189" i="4"/>
  <c r="Y190" i="4"/>
  <c r="Y194" i="4"/>
  <c r="AC195" i="4"/>
  <c r="AG195" i="4"/>
  <c r="AK195" i="4"/>
  <c r="AO195" i="4"/>
  <c r="AS195" i="4"/>
  <c r="AW198" i="4"/>
  <c r="Y199" i="4"/>
  <c r="AW202" i="4"/>
  <c r="Y203" i="4"/>
  <c r="AW206" i="4"/>
  <c r="Y207" i="4"/>
  <c r="AW210" i="4"/>
  <c r="Y211" i="4"/>
  <c r="Y219" i="4"/>
  <c r="AW222" i="4"/>
  <c r="Y232" i="4"/>
  <c r="Y235" i="4"/>
  <c r="Y239" i="4"/>
  <c r="AW242" i="4"/>
  <c r="Y243" i="4"/>
  <c r="F26" i="4"/>
  <c r="AD26" i="4"/>
  <c r="Y42" i="4"/>
  <c r="Y43" i="4"/>
  <c r="AW45" i="4"/>
  <c r="AE44" i="4"/>
  <c r="Y45" i="4"/>
  <c r="AW41" i="4"/>
  <c r="AW42" i="4"/>
  <c r="AW43" i="4"/>
  <c r="F73" i="4"/>
  <c r="F6" i="4" s="1"/>
  <c r="AD73" i="4"/>
  <c r="G94" i="4"/>
  <c r="AE94" i="4"/>
  <c r="G63" i="4"/>
  <c r="AE63" i="4"/>
  <c r="F178" i="4"/>
  <c r="AD178" i="4"/>
  <c r="Y191" i="4"/>
  <c r="Y192" i="4"/>
  <c r="Y193" i="4"/>
  <c r="G195" i="4"/>
  <c r="F223" i="4"/>
  <c r="AD223" i="4"/>
  <c r="G231" i="4"/>
  <c r="AE231" i="4"/>
  <c r="Y6" i="2"/>
  <c r="AW6" i="2"/>
  <c r="Y6" i="1"/>
  <c r="AW6" i="1"/>
  <c r="AY247" i="1" l="1"/>
  <c r="AZ247" i="2"/>
  <c r="BA247" i="2" s="1"/>
  <c r="AY181" i="7"/>
  <c r="D16" i="8"/>
  <c r="D73" i="7"/>
  <c r="AR12" i="8"/>
  <c r="AR231" i="7"/>
  <c r="AA16" i="8"/>
  <c r="AA73" i="7"/>
  <c r="AF12" i="8"/>
  <c r="AF231" i="7"/>
  <c r="AO16" i="8"/>
  <c r="AO73" i="7"/>
  <c r="F16" i="8"/>
  <c r="F73" i="7"/>
  <c r="Y181" i="7"/>
  <c r="AE20" i="8"/>
  <c r="AE181" i="7"/>
  <c r="AW223" i="7"/>
  <c r="AZ20" i="8"/>
  <c r="AQ20" i="8"/>
  <c r="AQ181" i="7"/>
  <c r="U16" i="8"/>
  <c r="U73" i="7"/>
  <c r="H16" i="8"/>
  <c r="H73" i="7"/>
  <c r="J16" i="8"/>
  <c r="J73" i="7"/>
  <c r="Y20" i="8"/>
  <c r="AN20" i="8"/>
  <c r="AN181" i="7"/>
  <c r="AH20" i="8"/>
  <c r="AH181" i="7"/>
  <c r="AW21" i="8"/>
  <c r="W12" i="8"/>
  <c r="W231" i="7"/>
  <c r="L16" i="8"/>
  <c r="L73" i="7"/>
  <c r="Z12" i="8"/>
  <c r="Z231" i="7"/>
  <c r="AU16" i="8"/>
  <c r="AU73" i="7"/>
  <c r="AV12" i="8"/>
  <c r="AV231" i="7"/>
  <c r="Q12" i="8"/>
  <c r="Q231" i="7"/>
  <c r="C16" i="8"/>
  <c r="C73" i="7"/>
  <c r="AI16" i="8"/>
  <c r="AI73" i="7"/>
  <c r="AM16" i="8"/>
  <c r="AM73" i="7"/>
  <c r="AC12" i="8"/>
  <c r="AC231" i="7"/>
  <c r="AS16" i="8"/>
  <c r="AS73" i="7"/>
  <c r="X16" i="8"/>
  <c r="X73" i="7"/>
  <c r="AL12" i="8"/>
  <c r="AL231" i="7"/>
  <c r="T16" i="8"/>
  <c r="T73" i="7"/>
  <c r="N16" i="8"/>
  <c r="N73" i="7"/>
  <c r="G12" i="8"/>
  <c r="G231" i="7"/>
  <c r="R16" i="8"/>
  <c r="R73" i="7"/>
  <c r="V16" i="8"/>
  <c r="V73" i="7"/>
  <c r="AG16" i="8"/>
  <c r="AG73" i="7"/>
  <c r="AT16" i="8"/>
  <c r="AT73" i="7"/>
  <c r="AB16" i="8"/>
  <c r="AB73" i="7"/>
  <c r="E12" i="8"/>
  <c r="E231" i="7"/>
  <c r="AP12" i="8"/>
  <c r="AP231" i="7"/>
  <c r="K12" i="8"/>
  <c r="K231" i="7"/>
  <c r="P16" i="8"/>
  <c r="P73" i="7"/>
  <c r="AK20" i="8"/>
  <c r="AK181" i="7"/>
  <c r="AJ12" i="8"/>
  <c r="AJ231" i="7"/>
  <c r="I16" i="8"/>
  <c r="I73" i="7"/>
  <c r="S12" i="8"/>
  <c r="S231" i="7"/>
  <c r="M12" i="8"/>
  <c r="M231" i="7"/>
  <c r="AD12" i="8"/>
  <c r="AD231" i="7"/>
  <c r="O16" i="8"/>
  <c r="O73" i="7"/>
  <c r="B16" i="8"/>
  <c r="B73" i="7"/>
  <c r="AZ73" i="7" s="1"/>
  <c r="BA73" i="7" s="1"/>
  <c r="AZ231" i="4"/>
  <c r="G231" i="3"/>
  <c r="AN231" i="3"/>
  <c r="W231" i="3"/>
  <c r="O231" i="3"/>
  <c r="AL231" i="3"/>
  <c r="T231" i="3"/>
  <c r="AC231" i="3"/>
  <c r="I231" i="3"/>
  <c r="AI231" i="3"/>
  <c r="M231" i="3"/>
  <c r="P231" i="3"/>
  <c r="R231" i="3"/>
  <c r="AJ231" i="3"/>
  <c r="B231" i="3"/>
  <c r="AH231" i="3"/>
  <c r="L231" i="3"/>
  <c r="N231" i="3"/>
  <c r="AO231" i="3"/>
  <c r="X231" i="3"/>
  <c r="F231" i="3"/>
  <c r="AU231" i="3"/>
  <c r="AE231" i="3"/>
  <c r="E231" i="3"/>
  <c r="J231" i="3"/>
  <c r="AV231" i="3"/>
  <c r="AF231" i="3"/>
  <c r="AT231" i="3"/>
  <c r="AD231" i="3"/>
  <c r="D231" i="3"/>
  <c r="H231" i="3"/>
  <c r="AK231" i="3"/>
  <c r="Q231" i="3"/>
  <c r="AQ231" i="3"/>
  <c r="AA231" i="3"/>
  <c r="S231" i="3"/>
  <c r="AS231" i="3"/>
  <c r="C231" i="3"/>
  <c r="AR231" i="3"/>
  <c r="AB231" i="3"/>
  <c r="AP231" i="3"/>
  <c r="Z231" i="3"/>
  <c r="AG231" i="3"/>
  <c r="U231" i="3"/>
  <c r="AM231" i="3"/>
  <c r="V231" i="3"/>
  <c r="K231" i="3"/>
  <c r="AW247" i="2"/>
  <c r="AW247" i="1"/>
  <c r="AZ178" i="4"/>
  <c r="Y247" i="2"/>
  <c r="AZ44" i="4"/>
  <c r="AZ181" i="4"/>
  <c r="AZ195" i="4"/>
  <c r="AW181" i="4"/>
  <c r="Y44" i="4"/>
  <c r="AW178" i="4"/>
  <c r="Y223" i="4"/>
  <c r="AW231" i="4"/>
  <c r="AW63" i="4"/>
  <c r="AW44" i="4"/>
  <c r="Y231" i="4"/>
  <c r="Y63" i="4"/>
  <c r="AZ73" i="4"/>
  <c r="AW223" i="4"/>
  <c r="Y178" i="4"/>
  <c r="AW94" i="4"/>
  <c r="Y247" i="1"/>
  <c r="Y181" i="4"/>
  <c r="AZ26" i="4"/>
  <c r="AZ6" i="4"/>
  <c r="AE195" i="4"/>
  <c r="AW195" i="4" s="1"/>
  <c r="Y94" i="4"/>
  <c r="G26" i="4"/>
  <c r="Y26" i="4" s="1"/>
  <c r="AE26" i="4"/>
  <c r="AW26" i="4" s="1"/>
  <c r="Y195" i="4"/>
  <c r="AZ63" i="4"/>
  <c r="G73" i="4"/>
  <c r="G6" i="4" s="1"/>
  <c r="Y6" i="4" s="1"/>
  <c r="AE73" i="4"/>
  <c r="AE6" i="4" s="1"/>
  <c r="AD6" i="4"/>
  <c r="AZ94" i="4"/>
  <c r="AZ231" i="3" l="1"/>
  <c r="BA231" i="3" s="1"/>
  <c r="AY231" i="3"/>
  <c r="AY73" i="7"/>
  <c r="AJ10" i="8"/>
  <c r="AJ26" i="7"/>
  <c r="V12" i="8"/>
  <c r="V231" i="7"/>
  <c r="O12" i="8"/>
  <c r="O231" i="7"/>
  <c r="AH16" i="8"/>
  <c r="AH73" i="7"/>
  <c r="F12" i="8"/>
  <c r="F231" i="7"/>
  <c r="Y73" i="7"/>
  <c r="AA12" i="8"/>
  <c r="AA231" i="7"/>
  <c r="S10" i="8"/>
  <c r="S26" i="7"/>
  <c r="AK16" i="8"/>
  <c r="AK73" i="7"/>
  <c r="AP10" i="8"/>
  <c r="AP26" i="7"/>
  <c r="AT12" i="8"/>
  <c r="AT231" i="7"/>
  <c r="R12" i="8"/>
  <c r="R231" i="7"/>
  <c r="T12" i="8"/>
  <c r="T231" i="7"/>
  <c r="AS12" i="8"/>
  <c r="AS231" i="7"/>
  <c r="AI12" i="8"/>
  <c r="AI231" i="7"/>
  <c r="AV10" i="8"/>
  <c r="AV26" i="7"/>
  <c r="L12" i="8"/>
  <c r="L231" i="7"/>
  <c r="H12" i="8"/>
  <c r="H231" i="7"/>
  <c r="AR10" i="8"/>
  <c r="AR26" i="7"/>
  <c r="AN16" i="8"/>
  <c r="AN73" i="7"/>
  <c r="AD10" i="8"/>
  <c r="AD26" i="7"/>
  <c r="I12" i="8"/>
  <c r="I231" i="7"/>
  <c r="P12" i="8"/>
  <c r="P231" i="7"/>
  <c r="E10" i="8"/>
  <c r="E26" i="7"/>
  <c r="AG12" i="8"/>
  <c r="AG231" i="7"/>
  <c r="G10" i="8"/>
  <c r="G26" i="7"/>
  <c r="AL10" i="8"/>
  <c r="AL26" i="7"/>
  <c r="AC10" i="8"/>
  <c r="AC26" i="7"/>
  <c r="C12" i="8"/>
  <c r="C231" i="7"/>
  <c r="AU12" i="8"/>
  <c r="AU231" i="7"/>
  <c r="W10" i="8"/>
  <c r="W26" i="7"/>
  <c r="U12" i="8"/>
  <c r="U231" i="7"/>
  <c r="AE16" i="8"/>
  <c r="AE73" i="7"/>
  <c r="AW181" i="7"/>
  <c r="AO12" i="8"/>
  <c r="AO231" i="7"/>
  <c r="B12" i="8"/>
  <c r="B231" i="7"/>
  <c r="AZ231" i="7" s="1"/>
  <c r="BA231" i="7" s="1"/>
  <c r="AW20" i="8"/>
  <c r="AF10" i="8"/>
  <c r="AF26" i="7"/>
  <c r="D12" i="8"/>
  <c r="D231" i="7"/>
  <c r="M10" i="8"/>
  <c r="M26" i="7"/>
  <c r="K10" i="8"/>
  <c r="K26" i="7"/>
  <c r="AB12" i="8"/>
  <c r="AB231" i="7"/>
  <c r="N12" i="8"/>
  <c r="N231" i="7"/>
  <c r="X12" i="8"/>
  <c r="X231" i="7"/>
  <c r="AM12" i="8"/>
  <c r="AM231" i="7"/>
  <c r="Q10" i="8"/>
  <c r="Q26" i="7"/>
  <c r="Z10" i="8"/>
  <c r="Z26" i="7"/>
  <c r="J12" i="8"/>
  <c r="J231" i="7"/>
  <c r="AQ16" i="8"/>
  <c r="AQ73" i="7"/>
  <c r="AZ16" i="8"/>
  <c r="AW246" i="8"/>
  <c r="Y246" i="8"/>
  <c r="AW17" i="8"/>
  <c r="Y17" i="8"/>
  <c r="AA223" i="3"/>
  <c r="AA195" i="3" s="1"/>
  <c r="H223" i="3"/>
  <c r="J223" i="3"/>
  <c r="F223" i="3"/>
  <c r="Y231" i="3"/>
  <c r="L223" i="3"/>
  <c r="B223" i="3"/>
  <c r="V223" i="3"/>
  <c r="U223" i="3"/>
  <c r="Z223" i="3"/>
  <c r="AB223" i="3"/>
  <c r="C223" i="3"/>
  <c r="C195" i="3" s="1"/>
  <c r="P223" i="3"/>
  <c r="AI223" i="3"/>
  <c r="AC181" i="3"/>
  <c r="AL223" i="3"/>
  <c r="W223" i="3"/>
  <c r="G223" i="3"/>
  <c r="Q223" i="3"/>
  <c r="AF223" i="3"/>
  <c r="AE223" i="3"/>
  <c r="AO223" i="3"/>
  <c r="R223" i="3"/>
  <c r="S223" i="3"/>
  <c r="AQ223" i="3"/>
  <c r="AK223" i="3"/>
  <c r="D223" i="3"/>
  <c r="AT223" i="3"/>
  <c r="AV223" i="3"/>
  <c r="E223" i="3"/>
  <c r="E195" i="3" s="1"/>
  <c r="AU223" i="3"/>
  <c r="X223" i="3"/>
  <c r="N223" i="3"/>
  <c r="AH223" i="3"/>
  <c r="AJ223" i="3"/>
  <c r="AD223" i="3"/>
  <c r="AW231" i="3"/>
  <c r="K223" i="3"/>
  <c r="AM223" i="3"/>
  <c r="AG223" i="3"/>
  <c r="AP223" i="3"/>
  <c r="AR223" i="3"/>
  <c r="AS223" i="3"/>
  <c r="M223" i="3"/>
  <c r="I223" i="3"/>
  <c r="T223" i="3"/>
  <c r="O223" i="3"/>
  <c r="AN223" i="3"/>
  <c r="AW6" i="4"/>
  <c r="Y73" i="4"/>
  <c r="AW73" i="4"/>
  <c r="AY223" i="3" l="1"/>
  <c r="AZ223" i="3"/>
  <c r="BA223" i="3" s="1"/>
  <c r="AY231" i="7"/>
  <c r="Q9" i="8"/>
  <c r="Q94" i="7"/>
  <c r="AE12" i="8"/>
  <c r="AE231" i="7"/>
  <c r="AW73" i="7"/>
  <c r="AU10" i="8"/>
  <c r="AU26" i="7"/>
  <c r="AL9" i="8"/>
  <c r="AL94" i="7"/>
  <c r="AL8" i="8" s="1"/>
  <c r="E9" i="8"/>
  <c r="E94" i="7"/>
  <c r="O10" i="8"/>
  <c r="O26" i="7"/>
  <c r="AQ12" i="8"/>
  <c r="AQ231" i="7"/>
  <c r="B10" i="8"/>
  <c r="B26" i="7"/>
  <c r="AZ26" i="7" s="1"/>
  <c r="BA26" i="7" s="1"/>
  <c r="AD9" i="8"/>
  <c r="AD94" i="7"/>
  <c r="AD247" i="7" s="1"/>
  <c r="H10" i="8"/>
  <c r="H26" i="7"/>
  <c r="AI10" i="8"/>
  <c r="AI26" i="7"/>
  <c r="R10" i="8"/>
  <c r="R26" i="7"/>
  <c r="AK12" i="8"/>
  <c r="AK231" i="7"/>
  <c r="AM10" i="8"/>
  <c r="AM26" i="7"/>
  <c r="AB10" i="8"/>
  <c r="AB26" i="7"/>
  <c r="D10" i="8"/>
  <c r="D26" i="7"/>
  <c r="U10" i="8"/>
  <c r="U26" i="7"/>
  <c r="C10" i="8"/>
  <c r="C26" i="7"/>
  <c r="G9" i="8"/>
  <c r="G94" i="7"/>
  <c r="P10" i="8"/>
  <c r="P26" i="7"/>
  <c r="F10" i="8"/>
  <c r="F26" i="7"/>
  <c r="Y231" i="7"/>
  <c r="Y26" i="7" s="1"/>
  <c r="V10" i="8"/>
  <c r="V26" i="7"/>
  <c r="N10" i="8"/>
  <c r="N26" i="7"/>
  <c r="J10" i="8"/>
  <c r="J26" i="7"/>
  <c r="AZ12" i="8"/>
  <c r="AO10" i="8"/>
  <c r="AO26" i="7"/>
  <c r="AN12" i="8"/>
  <c r="AN231" i="7"/>
  <c r="L10" i="8"/>
  <c r="L26" i="7"/>
  <c r="AS10" i="8"/>
  <c r="AS26" i="7"/>
  <c r="AT10" i="8"/>
  <c r="AT26" i="7"/>
  <c r="S9" i="8"/>
  <c r="S94" i="7"/>
  <c r="M9" i="8"/>
  <c r="M94" i="7"/>
  <c r="Z9" i="8"/>
  <c r="Z94" i="7"/>
  <c r="X10" i="8"/>
  <c r="X26" i="7"/>
  <c r="K9" i="8"/>
  <c r="K94" i="7"/>
  <c r="AF9" i="8"/>
  <c r="AF94" i="7"/>
  <c r="AF8" i="8" s="1"/>
  <c r="W9" i="8"/>
  <c r="W94" i="7"/>
  <c r="AC9" i="8"/>
  <c r="AC94" i="7"/>
  <c r="AC8" i="8" s="1"/>
  <c r="AG10" i="8"/>
  <c r="AG26" i="7"/>
  <c r="I10" i="8"/>
  <c r="I26" i="7"/>
  <c r="AH12" i="8"/>
  <c r="AH231" i="7"/>
  <c r="AJ9" i="8"/>
  <c r="AJ94" i="7"/>
  <c r="AJ8" i="8" s="1"/>
  <c r="AR9" i="8"/>
  <c r="AR94" i="7"/>
  <c r="AR8" i="8" s="1"/>
  <c r="AV9" i="8"/>
  <c r="AV94" i="7"/>
  <c r="AV8" i="8" s="1"/>
  <c r="T10" i="8"/>
  <c r="T26" i="7"/>
  <c r="AP9" i="8"/>
  <c r="AP94" i="7"/>
  <c r="AP8" i="8" s="1"/>
  <c r="AA10" i="8"/>
  <c r="AA26" i="7"/>
  <c r="AW245" i="8"/>
  <c r="Y245" i="8"/>
  <c r="AW16" i="8"/>
  <c r="Y16" i="8"/>
  <c r="AS195" i="3"/>
  <c r="AM195" i="3"/>
  <c r="AN195" i="3"/>
  <c r="T195" i="3"/>
  <c r="M195" i="3"/>
  <c r="AD195" i="3"/>
  <c r="AW223" i="3"/>
  <c r="AH195" i="3"/>
  <c r="X195" i="3"/>
  <c r="E181" i="3"/>
  <c r="AT195" i="3"/>
  <c r="AK195" i="3"/>
  <c r="S195" i="3"/>
  <c r="AO195" i="3"/>
  <c r="AF195" i="3"/>
  <c r="G195" i="3"/>
  <c r="AL195" i="3"/>
  <c r="AI195" i="3"/>
  <c r="F195" i="3"/>
  <c r="Y223" i="3"/>
  <c r="H195" i="3"/>
  <c r="AR195" i="3"/>
  <c r="AG195" i="3"/>
  <c r="K195" i="3"/>
  <c r="C181" i="3"/>
  <c r="Z195" i="3"/>
  <c r="V195" i="3"/>
  <c r="L195" i="3"/>
  <c r="O195" i="3"/>
  <c r="I195" i="3"/>
  <c r="AJ195" i="3"/>
  <c r="N195" i="3"/>
  <c r="AU195" i="3"/>
  <c r="AV195" i="3"/>
  <c r="D195" i="3"/>
  <c r="AQ195" i="3"/>
  <c r="R195" i="3"/>
  <c r="AE195" i="3"/>
  <c r="Q195" i="3"/>
  <c r="W195" i="3"/>
  <c r="AC94" i="3"/>
  <c r="P195" i="3"/>
  <c r="J195" i="3"/>
  <c r="AA181" i="3"/>
  <c r="AP195" i="3"/>
  <c r="AB195" i="3"/>
  <c r="U195" i="3"/>
  <c r="B195" i="3"/>
  <c r="AZ195" i="3" l="1"/>
  <c r="BA195" i="3" s="1"/>
  <c r="AY195" i="3"/>
  <c r="Z8" i="8"/>
  <c r="AY26" i="7"/>
  <c r="AL247" i="7"/>
  <c r="AP247" i="7"/>
  <c r="AF247" i="7"/>
  <c r="AC247" i="7"/>
  <c r="AV247" i="7"/>
  <c r="Z247" i="7"/>
  <c r="AR247" i="7"/>
  <c r="AJ247" i="7"/>
  <c r="M8" i="8"/>
  <c r="M6" i="7"/>
  <c r="M247" i="7" s="1"/>
  <c r="AS9" i="8"/>
  <c r="AS94" i="7"/>
  <c r="AS8" i="8" s="1"/>
  <c r="AO9" i="8"/>
  <c r="AO94" i="7"/>
  <c r="AO8" i="8" s="1"/>
  <c r="P9" i="8"/>
  <c r="P94" i="7"/>
  <c r="U9" i="8"/>
  <c r="U94" i="7"/>
  <c r="AM9" i="8"/>
  <c r="AM94" i="7"/>
  <c r="AM8" i="8" s="1"/>
  <c r="AI9" i="8"/>
  <c r="AI94" i="7"/>
  <c r="AI8" i="8" s="1"/>
  <c r="AA9" i="8"/>
  <c r="AA94" i="7"/>
  <c r="AA8" i="8" s="1"/>
  <c r="AH10" i="8"/>
  <c r="AH26" i="7"/>
  <c r="K8" i="8"/>
  <c r="K6" i="7"/>
  <c r="K247" i="7" s="1"/>
  <c r="V9" i="8"/>
  <c r="V94" i="7"/>
  <c r="B9" i="8"/>
  <c r="B94" i="7"/>
  <c r="AZ94" i="7" s="1"/>
  <c r="BA94" i="7" s="1"/>
  <c r="E8" i="8"/>
  <c r="E6" i="7"/>
  <c r="E247" i="7" s="1"/>
  <c r="W8" i="8"/>
  <c r="W6" i="7"/>
  <c r="W247" i="7" s="1"/>
  <c r="S8" i="8"/>
  <c r="S6" i="7"/>
  <c r="S247" i="7" s="1"/>
  <c r="L9" i="8"/>
  <c r="L94" i="7"/>
  <c r="G8" i="8"/>
  <c r="G6" i="7"/>
  <c r="G247" i="7" s="1"/>
  <c r="D9" i="8"/>
  <c r="D94" i="7"/>
  <c r="AK10" i="8"/>
  <c r="AK26" i="7"/>
  <c r="H9" i="8"/>
  <c r="H94" i="7"/>
  <c r="AE10" i="8"/>
  <c r="AE26" i="7"/>
  <c r="AW231" i="7"/>
  <c r="I9" i="8"/>
  <c r="I94" i="7"/>
  <c r="X9" i="8"/>
  <c r="X94" i="7"/>
  <c r="J9" i="8"/>
  <c r="J94" i="7"/>
  <c r="AZ10" i="8"/>
  <c r="AQ10" i="8"/>
  <c r="AQ26" i="7"/>
  <c r="T9" i="8"/>
  <c r="T94" i="7"/>
  <c r="AT9" i="8"/>
  <c r="AT94" i="7"/>
  <c r="AT8" i="8" s="1"/>
  <c r="AN10" i="8"/>
  <c r="AN26" i="7"/>
  <c r="F9" i="8"/>
  <c r="F94" i="7"/>
  <c r="C9" i="8"/>
  <c r="C94" i="7"/>
  <c r="AB9" i="8"/>
  <c r="AB94" i="7"/>
  <c r="AB8" i="8" s="1"/>
  <c r="R9" i="8"/>
  <c r="R94" i="7"/>
  <c r="Q8" i="8"/>
  <c r="Q6" i="7"/>
  <c r="Q247" i="7" s="1"/>
  <c r="AG9" i="8"/>
  <c r="AG94" i="7"/>
  <c r="AG8" i="8" s="1"/>
  <c r="N9" i="8"/>
  <c r="N94" i="7"/>
  <c r="AD8" i="8"/>
  <c r="O9" i="8"/>
  <c r="O94" i="7"/>
  <c r="AU9" i="8"/>
  <c r="AU94" i="7"/>
  <c r="AU8" i="8" s="1"/>
  <c r="AW244" i="8"/>
  <c r="Y244" i="8"/>
  <c r="Y15" i="8"/>
  <c r="AW15" i="8"/>
  <c r="AB181" i="3"/>
  <c r="U181" i="3"/>
  <c r="J181" i="3"/>
  <c r="P181" i="3"/>
  <c r="AE181" i="3"/>
  <c r="AQ181" i="3"/>
  <c r="N181" i="3"/>
  <c r="C178" i="3"/>
  <c r="AG181" i="3"/>
  <c r="H181" i="3"/>
  <c r="AI181" i="3"/>
  <c r="E178" i="3"/>
  <c r="AH181" i="3"/>
  <c r="I181" i="3"/>
  <c r="L181" i="3"/>
  <c r="M181" i="3"/>
  <c r="AN181" i="3"/>
  <c r="AS181" i="3"/>
  <c r="AA94" i="3"/>
  <c r="Q181" i="3"/>
  <c r="D181" i="3"/>
  <c r="AJ181" i="3"/>
  <c r="Z181" i="3"/>
  <c r="S181" i="3"/>
  <c r="AC73" i="3"/>
  <c r="R181" i="3"/>
  <c r="AU181" i="3"/>
  <c r="K181" i="3"/>
  <c r="AR181" i="3"/>
  <c r="AL181" i="3"/>
  <c r="AF181" i="3"/>
  <c r="AT181" i="3"/>
  <c r="X181" i="3"/>
  <c r="O181" i="3"/>
  <c r="F181" i="3"/>
  <c r="Y195" i="3"/>
  <c r="AD181" i="3"/>
  <c r="AW195" i="3"/>
  <c r="T181" i="3"/>
  <c r="AM181" i="3"/>
  <c r="B181" i="3"/>
  <c r="AZ181" i="3" s="1"/>
  <c r="BA181" i="3" s="1"/>
  <c r="AP181" i="3"/>
  <c r="W181" i="3"/>
  <c r="AV181" i="3"/>
  <c r="V181" i="3"/>
  <c r="G181" i="3"/>
  <c r="AO181" i="3"/>
  <c r="AK181" i="3"/>
  <c r="AY181" i="3" l="1"/>
  <c r="AY94" i="7"/>
  <c r="AS247" i="7"/>
  <c r="AG247" i="7"/>
  <c r="AA247" i="7"/>
  <c r="AI247" i="7"/>
  <c r="AU247" i="7"/>
  <c r="AM247" i="7"/>
  <c r="AB247" i="7"/>
  <c r="AO247" i="7"/>
  <c r="AT247" i="7"/>
  <c r="R8" i="8"/>
  <c r="R6" i="7"/>
  <c r="R247" i="7" s="1"/>
  <c r="T8" i="8"/>
  <c r="T6" i="7"/>
  <c r="T247" i="7" s="1"/>
  <c r="AE9" i="8"/>
  <c r="AE94" i="7"/>
  <c r="AE247" i="7" s="1"/>
  <c r="AW26" i="7"/>
  <c r="B8" i="8"/>
  <c r="B6" i="7"/>
  <c r="AH9" i="8"/>
  <c r="AH94" i="7"/>
  <c r="AH8" i="8" s="1"/>
  <c r="N8" i="8"/>
  <c r="N6" i="7"/>
  <c r="N247" i="7" s="1"/>
  <c r="F8" i="8"/>
  <c r="Y94" i="7"/>
  <c r="F6" i="7"/>
  <c r="D8" i="8"/>
  <c r="AZ8" i="8" s="1"/>
  <c r="D6" i="7"/>
  <c r="D247" i="7" s="1"/>
  <c r="X8" i="8"/>
  <c r="X6" i="7"/>
  <c r="X247" i="7" s="1"/>
  <c r="AZ9" i="8"/>
  <c r="H8" i="8"/>
  <c r="H6" i="7"/>
  <c r="H247" i="7" s="1"/>
  <c r="U8" i="8"/>
  <c r="U6" i="7"/>
  <c r="U247" i="7" s="1"/>
  <c r="O8" i="8"/>
  <c r="O6" i="7"/>
  <c r="O247" i="7" s="1"/>
  <c r="AN9" i="8"/>
  <c r="AN94" i="7"/>
  <c r="AN8" i="8" s="1"/>
  <c r="AQ9" i="8"/>
  <c r="AQ94" i="7"/>
  <c r="AQ8" i="8" s="1"/>
  <c r="V8" i="8"/>
  <c r="V6" i="7"/>
  <c r="V247" i="7" s="1"/>
  <c r="I8" i="8"/>
  <c r="I6" i="7"/>
  <c r="I247" i="7" s="1"/>
  <c r="C8" i="8"/>
  <c r="C6" i="7"/>
  <c r="C247" i="7" s="1"/>
  <c r="L8" i="8"/>
  <c r="L6" i="7"/>
  <c r="L247" i="7" s="1"/>
  <c r="P8" i="8"/>
  <c r="P6" i="7"/>
  <c r="P247" i="7" s="1"/>
  <c r="AK9" i="8"/>
  <c r="AK94" i="7"/>
  <c r="AK8" i="8" s="1"/>
  <c r="J8" i="8"/>
  <c r="J6" i="7"/>
  <c r="J247" i="7" s="1"/>
  <c r="Y243" i="8"/>
  <c r="AW243" i="8"/>
  <c r="AW14" i="8"/>
  <c r="Y14" i="8"/>
  <c r="AK178" i="3"/>
  <c r="G178" i="3"/>
  <c r="AV178" i="3"/>
  <c r="AP178" i="3"/>
  <c r="O178" i="3"/>
  <c r="AL178" i="3"/>
  <c r="R178" i="3"/>
  <c r="AJ178" i="3"/>
  <c r="Q178" i="3"/>
  <c r="AS178" i="3"/>
  <c r="M178" i="3"/>
  <c r="I178" i="3"/>
  <c r="E94" i="3"/>
  <c r="H178" i="3"/>
  <c r="C94" i="3"/>
  <c r="AQ178" i="3"/>
  <c r="P178" i="3"/>
  <c r="U178" i="3"/>
  <c r="AT178" i="3"/>
  <c r="K178" i="3"/>
  <c r="S178" i="3"/>
  <c r="AM178" i="3"/>
  <c r="V178" i="3"/>
  <c r="B178" i="3"/>
  <c r="AD178" i="3"/>
  <c r="AW181" i="3"/>
  <c r="X178" i="3"/>
  <c r="AA73" i="3"/>
  <c r="AN178" i="3"/>
  <c r="L178" i="3"/>
  <c r="AH178" i="3"/>
  <c r="AI178" i="3"/>
  <c r="AG178" i="3"/>
  <c r="N178" i="3"/>
  <c r="AE178" i="3"/>
  <c r="J178" i="3"/>
  <c r="AB178" i="3"/>
  <c r="AO178" i="3"/>
  <c r="W178" i="3"/>
  <c r="F178" i="3"/>
  <c r="Y181" i="3"/>
  <c r="AF178" i="3"/>
  <c r="AR178" i="3"/>
  <c r="AU178" i="3"/>
  <c r="AC63" i="3"/>
  <c r="Z178" i="3"/>
  <c r="D178" i="3"/>
  <c r="T178" i="3"/>
  <c r="AY178" i="3" l="1"/>
  <c r="AZ178" i="3"/>
  <c r="BA178" i="3" s="1"/>
  <c r="B247" i="7"/>
  <c r="AZ6" i="7"/>
  <c r="BA6" i="7" s="1"/>
  <c r="AY6" i="7"/>
  <c r="AH247" i="7"/>
  <c r="AK247" i="7"/>
  <c r="Y6" i="7"/>
  <c r="Y247" i="7" s="1"/>
  <c r="F247" i="7"/>
  <c r="AQ247" i="7"/>
  <c r="AN247" i="7"/>
  <c r="AE8" i="8"/>
  <c r="AW94" i="7"/>
  <c r="AW247" i="7" s="1"/>
  <c r="Y13" i="8"/>
  <c r="AW242" i="8"/>
  <c r="Y242" i="8"/>
  <c r="AW13" i="8"/>
  <c r="T94" i="3"/>
  <c r="C73" i="3"/>
  <c r="W94" i="3"/>
  <c r="AB94" i="3"/>
  <c r="AE94" i="3"/>
  <c r="AG94" i="3"/>
  <c r="AH94" i="3"/>
  <c r="AN94" i="3"/>
  <c r="X94" i="3"/>
  <c r="AP94" i="3"/>
  <c r="G94" i="3"/>
  <c r="AU94" i="3"/>
  <c r="AD94" i="3"/>
  <c r="D94" i="3"/>
  <c r="AC44" i="3"/>
  <c r="AR94" i="3"/>
  <c r="B94" i="3"/>
  <c r="AM94" i="3"/>
  <c r="K94" i="3"/>
  <c r="U94" i="3"/>
  <c r="AQ94" i="3"/>
  <c r="H94" i="3"/>
  <c r="I94" i="3"/>
  <c r="AS94" i="3"/>
  <c r="AJ94" i="3"/>
  <c r="AL94" i="3"/>
  <c r="F94" i="3"/>
  <c r="AO94" i="3"/>
  <c r="J94" i="3"/>
  <c r="N94" i="3"/>
  <c r="AI94" i="3"/>
  <c r="L94" i="3"/>
  <c r="AA63" i="3"/>
  <c r="AV94" i="3"/>
  <c r="AK94" i="3"/>
  <c r="Z94" i="3"/>
  <c r="AY94" i="3" s="1"/>
  <c r="AF94" i="3"/>
  <c r="V94" i="3"/>
  <c r="S94" i="3"/>
  <c r="AT94" i="3"/>
  <c r="P94" i="3"/>
  <c r="E73" i="3"/>
  <c r="M94" i="3"/>
  <c r="Q94" i="3"/>
  <c r="R94" i="3"/>
  <c r="O94" i="3"/>
  <c r="AZ94" i="3" l="1"/>
  <c r="BA94" i="3" s="1"/>
  <c r="AZ247" i="7"/>
  <c r="BA247" i="7" s="1"/>
  <c r="AY247" i="7"/>
  <c r="AW241" i="8"/>
  <c r="Y12" i="8"/>
  <c r="AW12" i="8"/>
  <c r="M73" i="3"/>
  <c r="S73" i="3"/>
  <c r="AK73" i="3"/>
  <c r="N73" i="3"/>
  <c r="AL73" i="3"/>
  <c r="H73" i="3"/>
  <c r="AM73" i="3"/>
  <c r="D73" i="3"/>
  <c r="AP73" i="3"/>
  <c r="AG73" i="3"/>
  <c r="AB73" i="3"/>
  <c r="C63" i="3"/>
  <c r="R73" i="3"/>
  <c r="P73" i="3"/>
  <c r="AF73" i="3"/>
  <c r="L73" i="3"/>
  <c r="AO73" i="3"/>
  <c r="AS73" i="3"/>
  <c r="U73" i="3"/>
  <c r="AR73" i="3"/>
  <c r="AU73" i="3"/>
  <c r="AN73" i="3"/>
  <c r="O73" i="3"/>
  <c r="E63" i="3"/>
  <c r="V73" i="3"/>
  <c r="AV73" i="3"/>
  <c r="AA44" i="3"/>
  <c r="J73" i="3"/>
  <c r="AJ73" i="3"/>
  <c r="AQ73" i="3"/>
  <c r="B73" i="3"/>
  <c r="AC26" i="3"/>
  <c r="G73" i="3"/>
  <c r="AH73" i="3"/>
  <c r="W73" i="3"/>
  <c r="T73" i="3"/>
  <c r="Q73" i="3"/>
  <c r="AT73" i="3"/>
  <c r="Z73" i="3"/>
  <c r="AY73" i="3" s="1"/>
  <c r="AI73" i="3"/>
  <c r="F73" i="3"/>
  <c r="Y94" i="3"/>
  <c r="I73" i="3"/>
  <c r="K73" i="3"/>
  <c r="AD73" i="3"/>
  <c r="AW94" i="3"/>
  <c r="X73" i="3"/>
  <c r="AE73" i="3"/>
  <c r="AZ73" i="3" l="1"/>
  <c r="BA73" i="3" s="1"/>
  <c r="Y11" i="8"/>
  <c r="AW11" i="8"/>
  <c r="AE63" i="3"/>
  <c r="F63" i="3"/>
  <c r="Y73" i="3"/>
  <c r="Z63" i="3"/>
  <c r="W63" i="3"/>
  <c r="G63" i="3"/>
  <c r="B63" i="3"/>
  <c r="AJ63" i="3"/>
  <c r="V63" i="3"/>
  <c r="O63" i="3"/>
  <c r="AD63" i="3"/>
  <c r="AW73" i="3"/>
  <c r="I63" i="3"/>
  <c r="AU63" i="3"/>
  <c r="U63" i="3"/>
  <c r="AO63" i="3"/>
  <c r="P63" i="3"/>
  <c r="C44" i="3"/>
  <c r="AG63" i="3"/>
  <c r="D63" i="3"/>
  <c r="H63" i="3"/>
  <c r="N63" i="3"/>
  <c r="S63" i="3"/>
  <c r="AC6" i="8"/>
  <c r="AC6" i="3"/>
  <c r="AQ63" i="3"/>
  <c r="J63" i="3"/>
  <c r="AV63" i="3"/>
  <c r="AI63" i="3"/>
  <c r="AT63" i="3"/>
  <c r="T63" i="3"/>
  <c r="AH63" i="3"/>
  <c r="E44" i="3"/>
  <c r="K63" i="3"/>
  <c r="AN63" i="3"/>
  <c r="AR63" i="3"/>
  <c r="AS63" i="3"/>
  <c r="L63" i="3"/>
  <c r="AF63" i="3"/>
  <c r="R63" i="3"/>
  <c r="AB63" i="3"/>
  <c r="AP63" i="3"/>
  <c r="AM63" i="3"/>
  <c r="AL63" i="3"/>
  <c r="AK63" i="3"/>
  <c r="M63" i="3"/>
  <c r="X63" i="3"/>
  <c r="Q63" i="3"/>
  <c r="AA26" i="3"/>
  <c r="AZ63" i="3" l="1"/>
  <c r="BA63" i="3" s="1"/>
  <c r="AY63" i="3"/>
  <c r="AC231" i="8"/>
  <c r="AC247" i="3"/>
  <c r="AC247" i="8" s="1"/>
  <c r="AW10" i="8"/>
  <c r="Y239" i="8"/>
  <c r="AW239" i="8"/>
  <c r="Y10" i="8"/>
  <c r="AK44" i="3"/>
  <c r="AB44" i="3"/>
  <c r="AS44" i="3"/>
  <c r="T44" i="3"/>
  <c r="AV44" i="3"/>
  <c r="S44" i="3"/>
  <c r="AG44" i="3"/>
  <c r="U44" i="3"/>
  <c r="O44" i="3"/>
  <c r="G44" i="3"/>
  <c r="Q44" i="3"/>
  <c r="AL44" i="3"/>
  <c r="AP44" i="3"/>
  <c r="R44" i="3"/>
  <c r="L44" i="3"/>
  <c r="AR44" i="3"/>
  <c r="K44" i="3"/>
  <c r="AH44" i="3"/>
  <c r="AT44" i="3"/>
  <c r="J44" i="3"/>
  <c r="N44" i="3"/>
  <c r="D44" i="3"/>
  <c r="C26" i="3"/>
  <c r="AO44" i="3"/>
  <c r="AU44" i="3"/>
  <c r="AE44" i="3"/>
  <c r="AA6" i="8"/>
  <c r="AA6" i="3"/>
  <c r="X44" i="3"/>
  <c r="AM44" i="3"/>
  <c r="AF44" i="3"/>
  <c r="AN44" i="3"/>
  <c r="E26" i="3"/>
  <c r="AI44" i="3"/>
  <c r="AQ44" i="3"/>
  <c r="H44" i="3"/>
  <c r="P44" i="3"/>
  <c r="I44" i="3"/>
  <c r="F44" i="3"/>
  <c r="Y63" i="3"/>
  <c r="AJ44" i="3"/>
  <c r="Z44" i="3"/>
  <c r="M44" i="3"/>
  <c r="AD44" i="3"/>
  <c r="AW63" i="3"/>
  <c r="V44" i="3"/>
  <c r="B44" i="3"/>
  <c r="W44" i="3"/>
  <c r="AZ44" i="3" l="1"/>
  <c r="BA44" i="3" s="1"/>
  <c r="AY44" i="3"/>
  <c r="AA231" i="8"/>
  <c r="AA247" i="3"/>
  <c r="AA247" i="8" s="1"/>
  <c r="Y238" i="8"/>
  <c r="AW238" i="8"/>
  <c r="Y9" i="8"/>
  <c r="AW9" i="8"/>
  <c r="E6" i="8"/>
  <c r="E6" i="3"/>
  <c r="AF26" i="3"/>
  <c r="X26" i="3"/>
  <c r="AE26" i="3"/>
  <c r="AO26" i="3"/>
  <c r="D26" i="3"/>
  <c r="J26" i="3"/>
  <c r="AH26" i="3"/>
  <c r="AR26" i="3"/>
  <c r="R26" i="3"/>
  <c r="AL26" i="3"/>
  <c r="G26" i="3"/>
  <c r="G247" i="3" s="1"/>
  <c r="G247" i="8" s="1"/>
  <c r="U26" i="3"/>
  <c r="U247" i="3" s="1"/>
  <c r="U247" i="8" s="1"/>
  <c r="S26" i="3"/>
  <c r="S247" i="3" s="1"/>
  <c r="S247" i="8" s="1"/>
  <c r="T26" i="3"/>
  <c r="AB26" i="3"/>
  <c r="M26" i="3"/>
  <c r="AJ26" i="3"/>
  <c r="W26" i="3"/>
  <c r="V26" i="3"/>
  <c r="P26" i="3"/>
  <c r="P247" i="3" s="1"/>
  <c r="P247" i="8" s="1"/>
  <c r="B26" i="3"/>
  <c r="I26" i="3"/>
  <c r="I247" i="3" s="1"/>
  <c r="I247" i="8" s="1"/>
  <c r="H26" i="3"/>
  <c r="AI26" i="3"/>
  <c r="AN26" i="3"/>
  <c r="AM26" i="3"/>
  <c r="AU26" i="3"/>
  <c r="C6" i="8"/>
  <c r="C6" i="3"/>
  <c r="N26" i="3"/>
  <c r="N247" i="3" s="1"/>
  <c r="N247" i="8" s="1"/>
  <c r="AT26" i="3"/>
  <c r="K26" i="3"/>
  <c r="K247" i="3" s="1"/>
  <c r="K247" i="8" s="1"/>
  <c r="L26" i="3"/>
  <c r="AP26" i="3"/>
  <c r="Q26" i="3"/>
  <c r="O26" i="3"/>
  <c r="O247" i="3" s="1"/>
  <c r="O247" i="8" s="1"/>
  <c r="AG26" i="3"/>
  <c r="AV26" i="3"/>
  <c r="AS26" i="3"/>
  <c r="AK26" i="3"/>
  <c r="F26" i="3"/>
  <c r="F247" i="3" s="1"/>
  <c r="F247" i="8" s="1"/>
  <c r="Y44" i="3"/>
  <c r="Y26" i="3" s="1"/>
  <c r="AQ26" i="3"/>
  <c r="AD26" i="3"/>
  <c r="AW44" i="3"/>
  <c r="Z26" i="3"/>
  <c r="AZ26" i="3" l="1"/>
  <c r="BA26" i="3" s="1"/>
  <c r="AY26" i="3"/>
  <c r="AW237" i="8"/>
  <c r="C231" i="8"/>
  <c r="C247" i="3"/>
  <c r="C247" i="8" s="1"/>
  <c r="E231" i="8"/>
  <c r="E247" i="3"/>
  <c r="E247" i="8" s="1"/>
  <c r="O6" i="8"/>
  <c r="O231" i="8"/>
  <c r="K6" i="8"/>
  <c r="K231" i="8"/>
  <c r="N6" i="8"/>
  <c r="N231" i="8"/>
  <c r="S6" i="8"/>
  <c r="S231" i="8"/>
  <c r="AW8" i="8"/>
  <c r="F6" i="8"/>
  <c r="I6" i="8"/>
  <c r="I231" i="8"/>
  <c r="P6" i="8"/>
  <c r="P231" i="8"/>
  <c r="G6" i="8"/>
  <c r="G231" i="8"/>
  <c r="Y8" i="8"/>
  <c r="U6" i="8"/>
  <c r="U231" i="8"/>
  <c r="AB6" i="3"/>
  <c r="R6" i="8"/>
  <c r="R6" i="3"/>
  <c r="D6" i="8"/>
  <c r="D6" i="3"/>
  <c r="Z6" i="8"/>
  <c r="Z6" i="3"/>
  <c r="AS6" i="8"/>
  <c r="AS6" i="3"/>
  <c r="AG6" i="8"/>
  <c r="AG6" i="3"/>
  <c r="Q6" i="8"/>
  <c r="Q6" i="3"/>
  <c r="L6" i="8"/>
  <c r="L6" i="3"/>
  <c r="AT6" i="8"/>
  <c r="AT6" i="3"/>
  <c r="AM6" i="8"/>
  <c r="AM6" i="3"/>
  <c r="AI6" i="8"/>
  <c r="AI6" i="3"/>
  <c r="W6" i="8"/>
  <c r="W6" i="3"/>
  <c r="AD6" i="3"/>
  <c r="AD247" i="3" s="1"/>
  <c r="AD247" i="8" s="1"/>
  <c r="AW26" i="3"/>
  <c r="AE6" i="8"/>
  <c r="AE6" i="3"/>
  <c r="AQ6" i="8"/>
  <c r="AQ6" i="3"/>
  <c r="M6" i="8"/>
  <c r="M6" i="3"/>
  <c r="T6" i="8"/>
  <c r="T6" i="3"/>
  <c r="AL6" i="8"/>
  <c r="AL6" i="3"/>
  <c r="AR6" i="8"/>
  <c r="AR6" i="3"/>
  <c r="J6" i="8"/>
  <c r="J6" i="3"/>
  <c r="AO6" i="8"/>
  <c r="AO6" i="3"/>
  <c r="X6" i="8"/>
  <c r="X6" i="3"/>
  <c r="AJ6" i="8"/>
  <c r="AJ6" i="3"/>
  <c r="AH6" i="8"/>
  <c r="AH6" i="3"/>
  <c r="AF6" i="8"/>
  <c r="AF6" i="3"/>
  <c r="AK6" i="8"/>
  <c r="AK6" i="3"/>
  <c r="AV6" i="8"/>
  <c r="AV6" i="3"/>
  <c r="AP6" i="8"/>
  <c r="AP6" i="3"/>
  <c r="AU6" i="8"/>
  <c r="AU6" i="3"/>
  <c r="AN6" i="8"/>
  <c r="AN6" i="3"/>
  <c r="H6" i="8"/>
  <c r="H6" i="3"/>
  <c r="H247" i="3" s="1"/>
  <c r="H247" i="8" s="1"/>
  <c r="B6" i="8"/>
  <c r="B6" i="3"/>
  <c r="AZ6" i="3" s="1"/>
  <c r="BA6" i="3" s="1"/>
  <c r="V6" i="8"/>
  <c r="V6" i="3"/>
  <c r="AY6" i="3" l="1"/>
  <c r="BA6" i="8"/>
  <c r="BB6" i="8"/>
  <c r="BC6" i="8" s="1"/>
  <c r="B231" i="8"/>
  <c r="B247" i="3"/>
  <c r="AP231" i="8"/>
  <c r="AP247" i="3"/>
  <c r="AP247" i="8" s="1"/>
  <c r="AH231" i="8"/>
  <c r="AH247" i="3"/>
  <c r="AH247" i="8" s="1"/>
  <c r="J231" i="8"/>
  <c r="J247" i="3"/>
  <c r="J247" i="8" s="1"/>
  <c r="AL231" i="8"/>
  <c r="AL247" i="3"/>
  <c r="AL247" i="8" s="1"/>
  <c r="W231" i="8"/>
  <c r="W247" i="3"/>
  <c r="W247" i="8" s="1"/>
  <c r="AM231" i="8"/>
  <c r="AM247" i="3"/>
  <c r="AM247" i="8" s="1"/>
  <c r="L231" i="8"/>
  <c r="L247" i="3"/>
  <c r="L247" i="8" s="1"/>
  <c r="AG231" i="8"/>
  <c r="AG247" i="3"/>
  <c r="AG247" i="8" s="1"/>
  <c r="V231" i="8"/>
  <c r="V247" i="3"/>
  <c r="V247" i="8" s="1"/>
  <c r="AU231" i="8"/>
  <c r="AU247" i="3"/>
  <c r="AU247" i="8" s="1"/>
  <c r="AJ231" i="8"/>
  <c r="AJ247" i="3"/>
  <c r="AJ247" i="8" s="1"/>
  <c r="T231" i="8"/>
  <c r="T247" i="3"/>
  <c r="T247" i="8" s="1"/>
  <c r="AQ231" i="8"/>
  <c r="AQ247" i="3"/>
  <c r="AQ247" i="8" s="1"/>
  <c r="Z231" i="8"/>
  <c r="Z247" i="3"/>
  <c r="R231" i="8"/>
  <c r="R247" i="3"/>
  <c r="R247" i="8" s="1"/>
  <c r="AV231" i="8"/>
  <c r="AV247" i="3"/>
  <c r="AV247" i="8" s="1"/>
  <c r="AF231" i="8"/>
  <c r="AF247" i="3"/>
  <c r="AF247" i="8" s="1"/>
  <c r="AO231" i="8"/>
  <c r="AO247" i="3"/>
  <c r="AO247" i="8" s="1"/>
  <c r="AR231" i="8"/>
  <c r="AR247" i="3"/>
  <c r="AR247" i="8" s="1"/>
  <c r="AI231" i="8"/>
  <c r="AI247" i="3"/>
  <c r="AI247" i="8" s="1"/>
  <c r="AT231" i="8"/>
  <c r="AT247" i="3"/>
  <c r="AT247" i="8" s="1"/>
  <c r="Q231" i="8"/>
  <c r="Q247" i="3"/>
  <c r="Q247" i="8" s="1"/>
  <c r="AS231" i="8"/>
  <c r="AS247" i="3"/>
  <c r="AS247" i="8" s="1"/>
  <c r="AN231" i="8"/>
  <c r="AN247" i="3"/>
  <c r="AN247" i="8" s="1"/>
  <c r="AK231" i="8"/>
  <c r="AK247" i="3"/>
  <c r="AK247" i="8" s="1"/>
  <c r="X231" i="8"/>
  <c r="X247" i="3"/>
  <c r="X247" i="8" s="1"/>
  <c r="M231" i="8"/>
  <c r="M247" i="3"/>
  <c r="M247" i="8" s="1"/>
  <c r="AE231" i="8"/>
  <c r="AE247" i="3"/>
  <c r="AE247" i="8" s="1"/>
  <c r="D231" i="8"/>
  <c r="D247" i="3"/>
  <c r="D247" i="8" s="1"/>
  <c r="AB231" i="8"/>
  <c r="AB247" i="3"/>
  <c r="AB247" i="8" s="1"/>
  <c r="Y7" i="8"/>
  <c r="Y237" i="8"/>
  <c r="F231" i="8"/>
  <c r="Y6" i="8"/>
  <c r="AW6" i="3"/>
  <c r="Y6" i="3"/>
  <c r="AW7" i="8"/>
  <c r="AD6" i="8"/>
  <c r="AW6" i="8" s="1"/>
  <c r="AZ7" i="8"/>
  <c r="AB6" i="8"/>
  <c r="B247" i="8" l="1"/>
  <c r="AZ247" i="3"/>
  <c r="BA247" i="3" s="1"/>
  <c r="Z247" i="8"/>
  <c r="BA247" i="8" s="1"/>
  <c r="AY247" i="3"/>
  <c r="BA231" i="8"/>
  <c r="BB231" i="8"/>
  <c r="BC231" i="8" s="1"/>
  <c r="AZ247" i="8"/>
  <c r="Y247" i="3"/>
  <c r="Y247" i="8" s="1"/>
  <c r="AW247" i="3"/>
  <c r="AW247" i="8" s="1"/>
  <c r="AW236" i="8"/>
  <c r="AD231" i="8"/>
  <c r="AW231" i="8" s="1"/>
  <c r="Y236" i="8"/>
  <c r="H231" i="8"/>
  <c r="Y231" i="8" s="1"/>
  <c r="BB247" i="8" l="1"/>
  <c r="BC247" i="8" s="1"/>
</calcChain>
</file>

<file path=xl/sharedStrings.xml><?xml version="1.0" encoding="utf-8"?>
<sst xmlns="http://schemas.openxmlformats.org/spreadsheetml/2006/main" count="2670" uniqueCount="280">
  <si>
    <t>liczba wniosków</t>
  </si>
  <si>
    <t>liczba osób</t>
  </si>
  <si>
    <t>liczba podpisanych umów</t>
  </si>
  <si>
    <t>liczba osób objętych szkoleniem</t>
  </si>
  <si>
    <t>w tym dla przedsiębiorstw z sekcji</t>
  </si>
  <si>
    <t>ogółem</t>
  </si>
  <si>
    <t>w tym z instytucji publicznych</t>
  </si>
  <si>
    <t xml:space="preserve">ogółem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</si>
  <si>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</si>
  <si>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</si>
  <si>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</si>
  <si>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</si>
  <si>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</si>
  <si>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</si>
  <si>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</si>
  <si>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</si>
  <si>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</si>
  <si>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</si>
  <si>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</si>
  <si>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</si>
  <si>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</si>
  <si>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</si>
  <si>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</si>
  <si>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</si>
  <si>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</si>
  <si>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</si>
  <si>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</si>
  <si>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w tym dla instytucji publicznych</t>
  </si>
  <si>
    <t>średnia wartość szkolenia na os.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</si>
  <si>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Procedury, formalności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</si>
  <si>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medyczne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</si>
  <si>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miękkie</t>
    </r>
  </si>
  <si>
    <t>3.10.Coaching</t>
  </si>
  <si>
    <t>3.11.Mediacje</t>
  </si>
  <si>
    <t>3.12.Psychologia w biznesie</t>
  </si>
  <si>
    <t>3.13.Komunikacja w firmie</t>
  </si>
  <si>
    <t>3.14.Autoprezentacja</t>
  </si>
  <si>
    <t>3.15. Zarządzanie czasem</t>
  </si>
  <si>
    <t>3.16. Planowanie</t>
  </si>
  <si>
    <t>3.17. Zarządzanie ryzykiem</t>
  </si>
  <si>
    <t>3.18. Rekrutacja</t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</si>
  <si>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Marketing i zarządzanie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</si>
  <si>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informatyczne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</si>
  <si>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zawodowe / branżowe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</si>
  <si>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Szkolenia językowe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</si>
  <si>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Terapie / rozwój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</si>
  <si>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Edukacja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</si>
  <si>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Prawo jazdy</t>
    </r>
  </si>
  <si>
    <t>10.1.Kat. B</t>
  </si>
  <si>
    <t>10.2.Kat. D</t>
  </si>
  <si>
    <t>10.3.Kat. C, E, C+E, kwalifikacje</t>
  </si>
  <si>
    <t>10.4.Szkolenia instruktorskie</t>
  </si>
  <si>
    <t>10.5.Doskonalenie jazdy i szkolenia okresowe kierowców</t>
  </si>
  <si>
    <t>10.6.Prawo jazdy kat. T</t>
  </si>
  <si>
    <t>10.7.Inne</t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</si>
  <si>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  <scheme val="minor"/>
      </rPr>
      <t>Księgowość i finanse</t>
    </r>
  </si>
  <si>
    <t>OGÓŁEM</t>
  </si>
  <si>
    <t>2018-2020</t>
  </si>
  <si>
    <t>2.6. Dla położnych</t>
  </si>
  <si>
    <t>9.3. Logistyka w szkole</t>
  </si>
  <si>
    <t>9.4. Prawo oświatowe</t>
  </si>
  <si>
    <t>9.12.Nauczanie drugiego przedmiotu</t>
  </si>
  <si>
    <t>9.13.Doskonalenie pedagogiczne</t>
  </si>
  <si>
    <t>9.14. Plastyka/technika</t>
  </si>
  <si>
    <t>9.15. Geografia</t>
  </si>
  <si>
    <t>9.16. Matematyka</t>
  </si>
  <si>
    <t>9.17. Fizyka</t>
  </si>
  <si>
    <t>9.18. Edukacja artystyczna</t>
  </si>
  <si>
    <t>9.19. Biologia/Przyroda</t>
  </si>
  <si>
    <t>9.20. informatyka i technika</t>
  </si>
  <si>
    <t>9.21. Przedsiebiorczość</t>
  </si>
  <si>
    <t>9.22. Historia</t>
  </si>
  <si>
    <t>9.23. Edukacja cyfrowa i medialna w praktycznej nauce zawodu</t>
  </si>
  <si>
    <t>9.24. Przedmioty zawodowe</t>
  </si>
  <si>
    <t>9.25. Muzykoterapia</t>
  </si>
  <si>
    <t>9.26. Arteterapia</t>
  </si>
  <si>
    <t>9.27. Rytmika</t>
  </si>
  <si>
    <t>1.9.Celno-podatkowe</t>
  </si>
  <si>
    <r>
      <t>1.10.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Administracja – kwestie różne</t>
    </r>
  </si>
  <si>
    <r>
      <t>1.11.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Kontrola zarządcza</t>
    </r>
  </si>
  <si>
    <r>
      <t>1.12.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Archiwizacja i kancelaryjne</t>
    </r>
  </si>
  <si>
    <t>1.13. Relacje międzynarodowe/dyplomacja</t>
  </si>
  <si>
    <r>
      <t>1.14.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Fundusze unijne – kwestie różne</t>
    </r>
  </si>
  <si>
    <r>
      <t>1.15.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Rozliczenia projektów</t>
    </r>
  </si>
  <si>
    <r>
      <t>1.16.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Zamówienia w ramach projektów</t>
    </r>
  </si>
  <si>
    <t>1.17.Bezpieczeństwo i zarządzanie kryzysowe</t>
  </si>
  <si>
    <t>1.18.Ochrona danych osobowych</t>
  </si>
  <si>
    <t>1.19.Audyt, kontrola wewnętrzna</t>
  </si>
  <si>
    <r>
      <t>2.7.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Nad osobami niepełnosprawnymi</t>
    </r>
  </si>
  <si>
    <r>
      <t>2.8.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Nad osobami starszymi</t>
    </r>
  </si>
  <si>
    <r>
      <t>2.9.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Dla lekarzy (oprócz stomatologów)</t>
    </r>
  </si>
  <si>
    <r>
      <t>2.10.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Dla lekarzy stomatologów</t>
    </r>
  </si>
  <si>
    <t>2.14.Dla laborantów</t>
  </si>
  <si>
    <t>2.15.Inne</t>
  </si>
  <si>
    <t>2.16. Medycyna estetyczna</t>
  </si>
  <si>
    <t>2.17. Siłownia/trener personalny</t>
  </si>
  <si>
    <r>
      <t>4.2.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Zarządzanie – kwestie różne</t>
    </r>
  </si>
  <si>
    <r>
      <t>4.3.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Zarządzanie projektami</t>
    </r>
  </si>
  <si>
    <r>
      <t>4.4.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Kultura organizacyjna</t>
    </r>
  </si>
  <si>
    <r>
      <t>4.5.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Lean manufacturing</t>
    </r>
  </si>
  <si>
    <r>
      <t>4.6.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Zarządzanie w hotelarstwie i gastronomii</t>
    </r>
  </si>
  <si>
    <t>6.2. Dla kucharzy</t>
  </si>
  <si>
    <t>6.3. Kelnerskie</t>
  </si>
  <si>
    <t>11.5. Główny księgowy</t>
  </si>
  <si>
    <t>11.6.Finanse</t>
  </si>
  <si>
    <t>11.7.Płatnik</t>
  </si>
  <si>
    <t>11.8.Kadry i płace</t>
  </si>
  <si>
    <t>11.9.Umowy cywilno-prawne</t>
  </si>
  <si>
    <t>11.10.Kwestie księgowe związane z zatrudnianiem cudzoziemców</t>
  </si>
  <si>
    <t>11.11.Kwestie księgowe związane z pracą za granicą</t>
  </si>
  <si>
    <t>11.12.Zakładowy Fundusz Świadczeń Socjalnych</t>
  </si>
  <si>
    <t>11.13.Windykacja należności</t>
  </si>
  <si>
    <t>11.14. Dotyczące aktualizacji/zmiany przepisów w danej branży</t>
  </si>
  <si>
    <t>11.15. ZUS</t>
  </si>
  <si>
    <r>
      <t>6.1.</t>
    </r>
    <r>
      <rPr>
        <sz val="7"/>
        <color theme="1"/>
        <rFont val="Times New Roman"/>
        <family val="1"/>
        <charset val="238"/>
      </rPr>
      <t>  </t>
    </r>
    <r>
      <rPr>
        <sz val="11"/>
        <color theme="1"/>
        <rFont val="Calibri"/>
        <family val="2"/>
        <charset val="238"/>
        <scheme val="minor"/>
      </rPr>
      <t>Dla branży hotelarsko-gastronomicznej</t>
    </r>
  </si>
  <si>
    <r>
      <t>9.1.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Edukacja przedszkolna i wczesnoszkolna</t>
    </r>
  </si>
  <si>
    <r>
      <t>9.2.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Zarządzanie oświatą</t>
    </r>
  </si>
  <si>
    <r>
      <t>9.5.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Wychowanie do życia w rodzinie</t>
    </r>
  </si>
  <si>
    <r>
      <t>9.6.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Bibliotekoznawstwo</t>
    </r>
  </si>
  <si>
    <r>
      <t>9.7.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Edukacja dla bezpieczeństwa</t>
    </r>
  </si>
  <si>
    <r>
      <t>9.8.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Doradztwo zawodowe</t>
    </r>
  </si>
  <si>
    <r>
      <t>9.9.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Instruktorzy sportu</t>
    </r>
  </si>
  <si>
    <r>
      <t>9.10.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Uprawnienia pedagogiczne</t>
    </r>
  </si>
  <si>
    <r>
      <t>9.11.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E-nauczanie</t>
    </r>
  </si>
  <si>
    <r>
      <t>11.1.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Podatkowe – kwestie różne</t>
    </r>
  </si>
  <si>
    <r>
      <t>11.2.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Podatki w JST/Konsolidacja podatku VAT w JST</t>
    </r>
  </si>
  <si>
    <r>
      <t>11.3.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Rachunkowość i księgowanie – kwestie różne</t>
    </r>
  </si>
  <si>
    <r>
      <t>11.4.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Rachunkowość, księgowanie w instytucjach publicznych</t>
    </r>
  </si>
  <si>
    <r>
      <t>7.1.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Języki nowożytne</t>
    </r>
  </si>
  <si>
    <r>
      <t>7.2.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Język migowy</t>
    </r>
  </si>
  <si>
    <r>
      <t>4.9.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Analiza danych, opracowanie, wizualizacje</t>
    </r>
  </si>
  <si>
    <r>
      <t>4.8.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HR, zarządzanie zasobami ludzkimi</t>
    </r>
  </si>
  <si>
    <r>
      <t>4.7.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Zapewnianie jakości, certyfikacja jakości</t>
    </r>
  </si>
  <si>
    <r>
      <t>4.1.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Marketing, budowanie marki</t>
    </r>
  </si>
  <si>
    <r>
      <t>3.9.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CSR, etyka, ekonomia społeczna</t>
    </r>
  </si>
  <si>
    <r>
      <t>3.8.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Przemoc, mobbing</t>
    </r>
  </si>
  <si>
    <r>
      <t>3.7.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Twórczość, innowacyjność</t>
    </r>
  </si>
  <si>
    <r>
      <t>3.6.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Zarządzanie zespołem</t>
    </r>
  </si>
  <si>
    <r>
      <t>3.5.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Umiejętności społeczne – współpraca w grupie</t>
    </r>
  </si>
  <si>
    <r>
      <t>3.4.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Obsługa klienta, techniki sprzedażowe</t>
    </r>
  </si>
  <si>
    <r>
      <t>3.3.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Efektywność własna, stres, wypalenie zawodowe, motywacja, asertywność</t>
    </r>
  </si>
  <si>
    <r>
      <t>3.2.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Liderzy LGD, przywództwo</t>
    </r>
  </si>
  <si>
    <r>
      <t>3.1.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Komunikacja interpersonalna</t>
    </r>
  </si>
  <si>
    <r>
      <t>2.13.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Z zakresu dietetyki</t>
    </r>
  </si>
  <si>
    <r>
      <t>2.12.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Dla asystentek i higienistek stomatologicznych</t>
    </r>
  </si>
  <si>
    <r>
      <t>2.11.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Pierwsza pomoc, Kwalifikowana pierwsza pomoc</t>
    </r>
  </si>
  <si>
    <r>
      <t>2.5.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Dla rejestratorek</t>
    </r>
  </si>
  <si>
    <r>
      <t>2.4.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Dla fizjoterapeutów/rehabilitantów</t>
    </r>
  </si>
  <si>
    <t>2.3.Pojazdy uprzywilejowane</t>
  </si>
  <si>
    <r>
      <t>2.2.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Z zakresu ratownictwa medycznego</t>
    </r>
  </si>
  <si>
    <r>
      <t>2.1.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Dla pielęgniarek</t>
    </r>
  </si>
  <si>
    <r>
      <t>1.1.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Pomoc społeczna</t>
    </r>
  </si>
  <si>
    <r>
      <t>1.2.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Gospodarowanie odpadami</t>
    </r>
  </si>
  <si>
    <r>
      <t>1.3.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Prawo Zamówień Publicznych</t>
    </r>
  </si>
  <si>
    <r>
      <t>1.4.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Prawo pracy</t>
    </r>
  </si>
  <si>
    <r>
      <t>1.5.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BHP</t>
    </r>
  </si>
  <si>
    <r>
      <t>1.6.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Gospodarka przestrzenna, ochrona środowiska, decyzje dot. gruntów itp.</t>
    </r>
  </si>
  <si>
    <r>
      <t>1.7.</t>
    </r>
    <r>
      <rPr>
        <sz val="11"/>
        <color theme="1"/>
        <rFont val="Calibri"/>
        <family val="2"/>
        <charset val="238"/>
        <scheme val="minor"/>
      </rPr>
      <t>Zagadnienia prawne – kwestie różne</t>
    </r>
  </si>
  <si>
    <r>
      <t>1.8.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Kodeks Postępowania Administracyjnego</t>
    </r>
  </si>
  <si>
    <t>5.9.Grafika komputerowa</t>
  </si>
  <si>
    <t>5.10.Oprogramowanie księgowe</t>
  </si>
  <si>
    <t>5.11.Systemy ERP</t>
  </si>
  <si>
    <t>5.12.Bazy danych</t>
  </si>
  <si>
    <t>5.13.Drukarki 3D</t>
  </si>
  <si>
    <t>5.14.Photoshop</t>
  </si>
  <si>
    <t>5.15.Dot. obsługi serwerów, szkolenia dla administratorów itp.</t>
  </si>
  <si>
    <t>5.16.Serwisant elektroniki</t>
  </si>
  <si>
    <t>5.17. Media społecznościowe</t>
  </si>
  <si>
    <t>5.18. Układy sterowania</t>
  </si>
  <si>
    <t>5.19. Raportowanie/analiza danych/statystyka</t>
  </si>
  <si>
    <t>5.20. Komunikatory</t>
  </si>
  <si>
    <t>5.1. Oprogramowanie branżowe (dedykowane firmie/branży)</t>
  </si>
  <si>
    <t>5.2. Strony www/ sklepy internetowe</t>
  </si>
  <si>
    <t>5.3. Bezpieczeństwo sieci i systemów</t>
  </si>
  <si>
    <t>5.4. Informatyka w służbie zdrowia</t>
  </si>
  <si>
    <t>5.5. Projektowanie – AutoCAD, Cad/CAM, CATIA itp.</t>
  </si>
  <si>
    <t xml:space="preserve">5.6. Cisco/sieci </t>
  </si>
  <si>
    <t>5.8. Programowanie komputerowe</t>
  </si>
  <si>
    <t>5.7. Szkolenia podstawowe, pakiet MS Office</t>
  </si>
  <si>
    <r>
      <t>6.4.</t>
    </r>
    <r>
      <rPr>
        <sz val="7"/>
        <color theme="1"/>
        <rFont val="Times New Roman"/>
        <family val="1"/>
        <charset val="238"/>
      </rPr>
      <t>  </t>
    </r>
    <r>
      <rPr>
        <sz val="11"/>
        <color theme="1"/>
        <rFont val="Calibri"/>
        <family val="2"/>
        <charset val="238"/>
        <scheme val="minor"/>
      </rPr>
      <t>Opieka nad dziećmi</t>
    </r>
  </si>
  <si>
    <r>
      <t>6.5.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Budowlane – kwestie różne</t>
    </r>
  </si>
  <si>
    <r>
      <t>6.6.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Prawo budowlane</t>
    </r>
  </si>
  <si>
    <t>6.7. Badania dot. budownictwa/doradztwo techniczne</t>
  </si>
  <si>
    <t>6.8. Rusztowania</t>
  </si>
  <si>
    <t>6.9. Szkolenia wysokościowe</t>
  </si>
  <si>
    <r>
      <t>6.10.</t>
    </r>
    <r>
      <rPr>
        <sz val="7"/>
        <color theme="1"/>
        <rFont val="Times New Roman"/>
        <family val="1"/>
        <charset val="238"/>
      </rPr>
      <t>  </t>
    </r>
    <r>
      <rPr>
        <sz val="11"/>
        <color theme="1"/>
        <rFont val="Calibri"/>
        <family val="2"/>
        <charset val="238"/>
        <scheme val="minor"/>
      </rPr>
      <t>Koparki, ładowarki, koparko-ładowarki</t>
    </r>
  </si>
  <si>
    <r>
      <t>6.11.</t>
    </r>
    <r>
      <rPr>
        <sz val="7"/>
        <color theme="1"/>
        <rFont val="Times New Roman"/>
        <family val="1"/>
        <charset val="238"/>
      </rPr>
      <t>  </t>
    </r>
    <r>
      <rPr>
        <sz val="11"/>
        <color theme="1"/>
        <rFont val="Calibri"/>
        <family val="2"/>
        <charset val="238"/>
        <scheme val="minor"/>
      </rPr>
      <t>Nośniki wielozadaniowe</t>
    </r>
  </si>
  <si>
    <r>
      <t>6.12.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Ochrona fizyczna</t>
    </r>
  </si>
  <si>
    <r>
      <t>6.13.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Kosmetyczne</t>
    </r>
  </si>
  <si>
    <t>6.14. Wózki widłowe i jezdniowe</t>
  </si>
  <si>
    <r>
      <t>6.15.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Fryzjerskie</t>
    </r>
  </si>
  <si>
    <t>6.16.Maszyny drogowe</t>
  </si>
  <si>
    <t>6.17.Cieśle, stolarze</t>
  </si>
  <si>
    <t>6.18.Żurawie, HDS</t>
  </si>
  <si>
    <r>
      <t>6.19.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Spawanie – kursy spawalnicze</t>
    </r>
  </si>
  <si>
    <r>
      <t>6.20.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Nadzór, szkolenia instruktorskie z zakresu spawania</t>
    </r>
  </si>
  <si>
    <r>
      <t>6.21.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Badania/uprawnienia spawalnicze</t>
    </r>
  </si>
  <si>
    <t>6.22.Zarządzanie nieruchomościami</t>
  </si>
  <si>
    <t>6.23.Mechanika pojazdowa/serwis/konserwacja</t>
  </si>
  <si>
    <t>6.24.Działania p/poż</t>
  </si>
  <si>
    <t>6.25.Szkolenia bankowe</t>
  </si>
  <si>
    <t>6.26.Elektryczne i elektro-mechaniczne</t>
  </si>
  <si>
    <t>6.27.Architektura wnętrz</t>
  </si>
  <si>
    <t>6.28.Obróbka metali</t>
  </si>
  <si>
    <t>6.29. Kursy/certyfikaty</t>
  </si>
  <si>
    <t>6.30.Obrabiarki CNC</t>
  </si>
  <si>
    <t>6.31.Przetwórstwo tworzyw sztucznych</t>
  </si>
  <si>
    <t>6.32.Z zakresu studium wykonalności</t>
  </si>
  <si>
    <t>6.33.Przemysł lotniczy</t>
  </si>
  <si>
    <t>6.34.Suwnice</t>
  </si>
  <si>
    <t>6.35.Dźwigi</t>
  </si>
  <si>
    <t>6.36.Spycharki</t>
  </si>
  <si>
    <t>6.37.Pozostali operatorzy</t>
  </si>
  <si>
    <t>6.38.Ogrodnicze</t>
  </si>
  <si>
    <t>6.39.Magazynowe</t>
  </si>
  <si>
    <t>6.40.Pozyskiwanie drewna</t>
  </si>
  <si>
    <t>6.41.Poligraficzne</t>
  </si>
  <si>
    <t>6.42.Mechanicy, serwisanci, konserwatorzy</t>
  </si>
  <si>
    <t>6.43.Organizacja produkcji</t>
  </si>
  <si>
    <t>6.44.Podesty ruchome</t>
  </si>
  <si>
    <t>6.45.Energetyczne, elektroenergetyczne</t>
  </si>
  <si>
    <t>6.46.Wciągniki</t>
  </si>
  <si>
    <t>6.47.Krawiectwo, obuwnictwo</t>
  </si>
  <si>
    <t>6.48.Sprzątanie, prace proste</t>
  </si>
  <si>
    <t>6.49.Rolne i leśne</t>
  </si>
  <si>
    <t>6.50.Kasjerzy, kasy fiskalne</t>
  </si>
  <si>
    <t>6.51.Obsługa kotłów CO</t>
  </si>
  <si>
    <t>6.52.Geodezyjne</t>
  </si>
  <si>
    <t>6.53.Chłodnictwo, F gazy</t>
  </si>
  <si>
    <t>6.54.Weterynaryjne</t>
  </si>
  <si>
    <t>6.55.Biurowe</t>
  </si>
  <si>
    <t xml:space="preserve">6.56.Tanatokosmetologia, usługi pogrzebowe </t>
  </si>
  <si>
    <t>6.57.Fotografia, film</t>
  </si>
  <si>
    <t>6.58.Szkło, ceramika</t>
  </si>
  <si>
    <t>6.59.Lakiernictwo</t>
  </si>
  <si>
    <t>6.60.Wzornictwo</t>
  </si>
  <si>
    <t>6.61.Transport i logistyka</t>
  </si>
  <si>
    <t>6.62. Przewóz towarów niebezpiecznych</t>
  </si>
  <si>
    <t>6.63. Przewóz osób</t>
  </si>
  <si>
    <t>6.64.Odlewnictwo</t>
  </si>
  <si>
    <t>6.65.Kosztorysowanie</t>
  </si>
  <si>
    <t>6.66.Obsługa dronów</t>
  </si>
  <si>
    <t>6.67.Logistyka i gospodarka magazynowa</t>
  </si>
  <si>
    <t>6.68.Automatyka, robotyka</t>
  </si>
  <si>
    <t>6.69.Chemiczne</t>
  </si>
  <si>
    <t>6.70.Wymiarowanie, metrologia</t>
  </si>
  <si>
    <t>6.71.Rysunek techniczny</t>
  </si>
  <si>
    <t>6.72.INNE/ NIE PODANO NAZWY SZKOLENIA</t>
  </si>
  <si>
    <t>6.73.Florystyczne</t>
  </si>
  <si>
    <t>6.74.Frezarki</t>
  </si>
  <si>
    <t>6.75.Hydraulika siłowa</t>
  </si>
  <si>
    <t>6.76.Kolejowe</t>
  </si>
  <si>
    <t>6.77. Branża ślubna i eventowa</t>
  </si>
  <si>
    <t>6.78. Kontroler jakości</t>
  </si>
  <si>
    <t>6.79. Blacharstwo/Lakiernictwo samachodowe</t>
  </si>
  <si>
    <t>6.80. OZE</t>
  </si>
  <si>
    <t>6.81. Branża turystyczna</t>
  </si>
  <si>
    <t>6.82. Rękodzieło artystyczne</t>
  </si>
  <si>
    <t>6.83. Wodno-kanalizacyjne</t>
  </si>
  <si>
    <r>
      <t>8.1.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– kwestie różne</t>
    </r>
  </si>
  <si>
    <r>
      <t>8.2.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osób w spektrum autyzmu, z zespołem Aspergera</t>
    </r>
  </si>
  <si>
    <r>
      <t>8.3.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pedagogiczna, specjalne potrzeby edukacyjne</t>
    </r>
  </si>
  <si>
    <r>
      <t>8.4.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agresji, patologii społecznych, uzależnień</t>
    </r>
  </si>
  <si>
    <r>
      <t>8.5.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Interwencje kryzysowe</t>
    </r>
  </si>
  <si>
    <r>
      <t>8.6.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Terapia zajęciowa</t>
    </r>
  </si>
  <si>
    <r>
      <t>8.7.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Oligofrenopedagogika</t>
    </r>
  </si>
  <si>
    <r>
      <t>8.8.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Logopedia/dysleksja</t>
    </r>
  </si>
  <si>
    <r>
      <t>8.9.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Tyflopedagogika (wzrok)</t>
    </r>
  </si>
  <si>
    <r>
      <t>8.10.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Surdopedagogika (słuch)</t>
    </r>
  </si>
  <si>
    <r>
      <t>8.11.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Pedagogika osób niemych</t>
    </r>
  </si>
  <si>
    <t>8.12. Psychologia/psychoterapia</t>
  </si>
  <si>
    <t>8.13. Edukacja i rewalidacja osób z niepłosprawnością intelektualną</t>
  </si>
  <si>
    <t>odsetek osób, które wzięły udział we wsparciu</t>
  </si>
  <si>
    <t>9.20. Informatyka i technika</t>
  </si>
  <si>
    <t>suma średniej wartości szkolenia na osobę 2018-2022</t>
  </si>
  <si>
    <t>średni koszt szkolenia</t>
  </si>
  <si>
    <t>2018-2022</t>
  </si>
  <si>
    <t>% podpisanych umów</t>
  </si>
  <si>
    <t>ilość odrzuconych wniosków</t>
  </si>
  <si>
    <t>% wniosków odrzuconych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</si>
</sst>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 tint="4.9989318521683403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</borders>
  <cellStyleXfs count="21">
    <xf numFmtId="0" fontId="0" fillId="0" borderId="0"/>
    <xf numFmtId="0" fontId="9" fillId="0" borderId="0" applyNumberFormat="0" applyFill="0" applyBorder="0" applyAlignment="0" applyProtection="0"/>
    <xf numFmtId="0" fontId="8" fillId="16" borderId="22" applyNumberFormat="0" applyFon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3" borderId="18" applyNumberFormat="0" applyAlignment="0" applyProtection="0"/>
    <xf numFmtId="0" fontId="12" fillId="14" borderId="19" applyNumberFormat="0" applyAlignment="0" applyProtection="0"/>
    <xf numFmtId="0" fontId="13" fillId="0" borderId="20" applyNumberFormat="0" applyFill="0" applyAlignment="0" applyProtection="0"/>
    <xf numFmtId="0" fontId="14" fillId="15" borderId="21" applyNumberFormat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18" applyNumberFormat="0" applyAlignment="0" applyProtection="0"/>
    <xf numFmtId="0" fontId="1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8">
    <xf numFmtId="0" fontId="0" fillId="0" borderId="0" xfId="0"/>
    <xf numFmtId="3" fontId="0" fillId="0" borderId="0" xfId="0" applyNumberFormat="1"/>
    <xf numFmtId="2" fontId="0" fillId="0" borderId="0" xfId="0" applyNumberFormat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0" fontId="0" fillId="0" borderId="1" xfId="0" applyBorder="1"/>
    <xf numFmtId="3" fontId="0" fillId="6" borderId="1" xfId="0" applyNumberFormat="1" applyFill="1" applyBorder="1"/>
    <xf numFmtId="0" fontId="0" fillId="6" borderId="0" xfId="0" applyFill="1"/>
    <xf numFmtId="0" fontId="0" fillId="0" borderId="1" xfId="0" applyBorder="1" applyAlignment="1">
      <alignment horizontal="left" vertical="center" indent="5"/>
    </xf>
    <xf numFmtId="3" fontId="0" fillId="0" borderId="1" xfId="0" applyNumberFormat="1" applyBorder="1"/>
    <xf numFmtId="2" fontId="0" fillId="0" borderId="1" xfId="0" applyNumberFormat="1" applyBorder="1"/>
    <xf numFmtId="0" fontId="0" fillId="7" borderId="0" xfId="0" applyFill="1"/>
    <xf numFmtId="4" fontId="0" fillId="0" borderId="1" xfId="0" applyNumberFormat="1" applyBorder="1"/>
    <xf numFmtId="0" fontId="0" fillId="0" borderId="2" xfId="0" applyBorder="1" applyAlignment="1">
      <alignment horizontal="left" vertical="center" indent="5"/>
    </xf>
    <xf numFmtId="3" fontId="0" fillId="0" borderId="2" xfId="0" applyNumberFormat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2" fontId="1" fillId="6" borderId="1" xfId="0" applyNumberFormat="1" applyFont="1" applyFill="1" applyBorder="1"/>
    <xf numFmtId="3" fontId="0" fillId="2" borderId="1" xfId="0" applyNumberFormat="1" applyFill="1" applyBorder="1" applyAlignment="1">
      <alignment wrapText="1"/>
    </xf>
    <xf numFmtId="2" fontId="0" fillId="0" borderId="6" xfId="0" applyNumberFormat="1" applyBorder="1"/>
    <xf numFmtId="4" fontId="0" fillId="0" borderId="0" xfId="0" applyNumberFormat="1"/>
    <xf numFmtId="4" fontId="0" fillId="6" borderId="0" xfId="0" applyNumberFormat="1" applyFill="1"/>
    <xf numFmtId="3" fontId="4" fillId="0" borderId="0" xfId="0" applyNumberFormat="1" applyFont="1"/>
    <xf numFmtId="9" fontId="0" fillId="0" borderId="0" xfId="0" applyNumberFormat="1"/>
    <xf numFmtId="3" fontId="0" fillId="5" borderId="3" xfId="0" applyNumberFormat="1" applyFill="1" applyBorder="1"/>
    <xf numFmtId="3" fontId="0" fillId="5" borderId="4" xfId="0" applyNumberFormat="1" applyFill="1" applyBorder="1"/>
    <xf numFmtId="3" fontId="0" fillId="5" borderId="5" xfId="0" applyNumberFormat="1" applyFill="1" applyBorder="1"/>
    <xf numFmtId="4" fontId="0" fillId="5" borderId="1" xfId="0" applyNumberFormat="1" applyFill="1" applyBorder="1"/>
    <xf numFmtId="3" fontId="4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left" vertical="center" indent="2"/>
    </xf>
    <xf numFmtId="3" fontId="0" fillId="8" borderId="1" xfId="0" applyNumberFormat="1" applyFill="1" applyBorder="1"/>
    <xf numFmtId="4" fontId="0" fillId="8" borderId="1" xfId="0" applyNumberFormat="1" applyFill="1" applyBorder="1"/>
    <xf numFmtId="2" fontId="0" fillId="8" borderId="1" xfId="0" applyNumberFormat="1" applyFill="1" applyBorder="1"/>
    <xf numFmtId="0" fontId="0" fillId="8" borderId="1" xfId="0" applyFill="1" applyBorder="1"/>
    <xf numFmtId="0" fontId="0" fillId="8" borderId="0" xfId="0" applyFill="1"/>
    <xf numFmtId="3" fontId="4" fillId="0" borderId="1" xfId="0" applyNumberFormat="1" applyFont="1" applyBorder="1"/>
    <xf numFmtId="0" fontId="0" fillId="9" borderId="0" xfId="0" applyFill="1"/>
    <xf numFmtId="3" fontId="4" fillId="8" borderId="1" xfId="0" applyNumberFormat="1" applyFont="1" applyFill="1" applyBorder="1"/>
    <xf numFmtId="0" fontId="0" fillId="8" borderId="0" xfId="0" applyFill="1" applyAlignment="1">
      <alignment horizontal="left" vertical="center" indent="2"/>
    </xf>
    <xf numFmtId="3" fontId="6" fillId="6" borderId="1" xfId="0" applyNumberFormat="1" applyFont="1" applyFill="1" applyBorder="1"/>
    <xf numFmtId="0" fontId="0" fillId="0" borderId="0" xfId="0" applyAlignment="1">
      <alignment wrapText="1"/>
    </xf>
    <xf numFmtId="3" fontId="4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0" fontId="5" fillId="0" borderId="11" xfId="0" applyFont="1" applyBorder="1" applyAlignment="1">
      <alignment horizontal="center" vertical="center"/>
    </xf>
    <xf numFmtId="3" fontId="0" fillId="10" borderId="1" xfId="0" applyNumberFormat="1" applyFill="1" applyBorder="1"/>
    <xf numFmtId="3" fontId="0" fillId="10" borderId="0" xfId="0" applyNumberFormat="1" applyFill="1"/>
    <xf numFmtId="3" fontId="3" fillId="10" borderId="0" xfId="0" applyNumberFormat="1" applyFont="1" applyFill="1"/>
    <xf numFmtId="3" fontId="0" fillId="3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4" fontId="0" fillId="11" borderId="1" xfId="0" applyNumberFormat="1" applyFill="1" applyBorder="1"/>
    <xf numFmtId="4" fontId="0" fillId="4" borderId="0" xfId="0" applyNumberFormat="1" applyFill="1" applyAlignment="1">
      <alignment wrapText="1"/>
    </xf>
    <xf numFmtId="4" fontId="0" fillId="12" borderId="0" xfId="0" applyNumberFormat="1" applyFill="1" applyAlignment="1">
      <alignment horizontal="center" vertical="center" wrapText="1"/>
    </xf>
    <xf numFmtId="4" fontId="1" fillId="6" borderId="1" xfId="0" applyNumberFormat="1" applyFont="1" applyFill="1" applyBorder="1"/>
    <xf numFmtId="4" fontId="1" fillId="11" borderId="1" xfId="0" applyNumberFormat="1" applyFont="1" applyFill="1" applyBorder="1"/>
    <xf numFmtId="4" fontId="0" fillId="5" borderId="1" xfId="0" applyNumberFormat="1" applyFill="1" applyBorder="1" applyAlignment="1">
      <alignment wrapText="1"/>
    </xf>
    <xf numFmtId="0" fontId="0" fillId="6" borderId="1" xfId="0" applyFill="1" applyBorder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7" fillId="0" borderId="0" xfId="0" applyNumberFormat="1" applyFont="1"/>
    <xf numFmtId="164" fontId="8" fillId="0" borderId="1" xfId="0" applyNumberFormat="1" applyFon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0" fillId="6" borderId="24" xfId="0" applyFill="1" applyBorder="1"/>
    <xf numFmtId="0" fontId="0" fillId="0" borderId="25" xfId="0" applyBorder="1"/>
    <xf numFmtId="0" fontId="0" fillId="23" borderId="26" xfId="0" applyFill="1" applyBorder="1"/>
    <xf numFmtId="0" fontId="0" fillId="23" borderId="27" xfId="0" applyFill="1" applyBorder="1"/>
    <xf numFmtId="0" fontId="0" fillId="23" borderId="28" xfId="0" applyFill="1" applyBorder="1"/>
    <xf numFmtId="0" fontId="0" fillId="23" borderId="29" xfId="0" applyFill="1" applyBorder="1"/>
    <xf numFmtId="0" fontId="0" fillId="23" borderId="30" xfId="0" applyFill="1" applyBorder="1"/>
    <xf numFmtId="0" fontId="0" fillId="0" borderId="31" xfId="0" applyBorder="1"/>
    <xf numFmtId="4" fontId="0" fillId="0" borderId="32" xfId="0" applyNumberFormat="1" applyBorder="1"/>
    <xf numFmtId="0" fontId="0" fillId="23" borderId="33" xfId="0" applyFill="1" applyBorder="1"/>
    <xf numFmtId="0" fontId="0" fillId="23" borderId="34" xfId="0" applyFill="1" applyBorder="1"/>
    <xf numFmtId="2" fontId="0" fillId="23" borderId="33" xfId="0" applyNumberFormat="1" applyFill="1" applyBorder="1"/>
    <xf numFmtId="4" fontId="0" fillId="0" borderId="3" xfId="0" applyNumberFormat="1" applyBorder="1"/>
    <xf numFmtId="0" fontId="0" fillId="23" borderId="35" xfId="0" applyFill="1" applyBorder="1"/>
    <xf numFmtId="0" fontId="0" fillId="0" borderId="30" xfId="0" applyBorder="1"/>
    <xf numFmtId="3" fontId="0" fillId="6" borderId="32" xfId="0" applyNumberFormat="1" applyFill="1" applyBorder="1"/>
    <xf numFmtId="0" fontId="4" fillId="23" borderId="29" xfId="0" applyFont="1" applyFill="1" applyBorder="1"/>
    <xf numFmtId="3" fontId="0" fillId="23" borderId="33" xfId="0" applyNumberFormat="1" applyFill="1" applyBorder="1"/>
    <xf numFmtId="3" fontId="0" fillId="23" borderId="29" xfId="0" applyNumberFormat="1" applyFill="1" applyBorder="1"/>
    <xf numFmtId="4" fontId="0" fillId="23" borderId="33" xfId="0" applyNumberFormat="1" applyFill="1" applyBorder="1"/>
    <xf numFmtId="4" fontId="0" fillId="23" borderId="29" xfId="0" applyNumberFormat="1" applyFill="1" applyBorder="1"/>
    <xf numFmtId="0" fontId="0" fillId="23" borderId="36" xfId="0" applyFill="1" applyBorder="1"/>
    <xf numFmtId="0" fontId="0" fillId="23" borderId="37" xfId="0" applyFill="1" applyBorder="1"/>
    <xf numFmtId="0" fontId="0" fillId="23" borderId="38" xfId="0" applyFill="1" applyBorder="1"/>
    <xf numFmtId="2" fontId="1" fillId="6" borderId="10" xfId="0" applyNumberFormat="1" applyFont="1" applyFill="1" applyBorder="1"/>
    <xf numFmtId="2" fontId="1" fillId="6" borderId="39" xfId="0" applyNumberFormat="1" applyFont="1" applyFill="1" applyBorder="1"/>
    <xf numFmtId="2" fontId="1" fillId="6" borderId="40" xfId="0" applyNumberFormat="1" applyFont="1" applyFill="1" applyBorder="1"/>
    <xf numFmtId="2" fontId="1" fillId="6" borderId="41" xfId="0" applyNumberFormat="1" applyFont="1" applyFill="1" applyBorder="1"/>
    <xf numFmtId="2" fontId="1" fillId="6" borderId="5" xfId="0" applyNumberFormat="1" applyFont="1" applyFill="1" applyBorder="1"/>
    <xf numFmtId="0" fontId="0" fillId="24" borderId="1" xfId="0" applyFill="1" applyBorder="1" applyAlignment="1">
      <alignment horizontal="left" vertical="center" indent="2"/>
    </xf>
    <xf numFmtId="3" fontId="0" fillId="24" borderId="1" xfId="0" applyNumberFormat="1" applyFill="1" applyBorder="1"/>
    <xf numFmtId="4" fontId="0" fillId="24" borderId="1" xfId="0" applyNumberFormat="1" applyFill="1" applyBorder="1"/>
    <xf numFmtId="0" fontId="0" fillId="24" borderId="0" xfId="0" applyFill="1"/>
    <xf numFmtId="4" fontId="0" fillId="25" borderId="1" xfId="0" applyNumberFormat="1" applyFill="1" applyBorder="1"/>
    <xf numFmtId="3" fontId="0" fillId="5" borderId="0" xfId="0" applyNumberFormat="1" applyFill="1" applyBorder="1"/>
    <xf numFmtId="3" fontId="0" fillId="0" borderId="0" xfId="0" applyNumberFormat="1" applyFill="1"/>
    <xf numFmtId="3" fontId="1" fillId="0" borderId="1" xfId="0" applyNumberFormat="1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0" fillId="10" borderId="3" xfId="0" applyNumberFormat="1" applyFill="1" applyBorder="1" applyAlignment="1">
      <alignment horizontal="center"/>
    </xf>
    <xf numFmtId="3" fontId="0" fillId="10" borderId="4" xfId="0" applyNumberFormat="1" applyFill="1" applyBorder="1" applyAlignment="1">
      <alignment horizontal="center"/>
    </xf>
    <xf numFmtId="3" fontId="0" fillId="10" borderId="5" xfId="0" applyNumberForma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 applyFill="1"/>
    <xf numFmtId="3" fontId="4" fillId="0" borderId="0" xfId="0" applyNumberFormat="1" applyFont="1" applyFill="1"/>
    <xf numFmtId="4" fontId="0" fillId="0" borderId="0" xfId="0" applyNumberFormat="1" applyFill="1"/>
    <xf numFmtId="0" fontId="5" fillId="0" borderId="7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indent="2"/>
    </xf>
    <xf numFmtId="3" fontId="0" fillId="0" borderId="1" xfId="0" applyNumberFormat="1" applyFill="1" applyBorder="1"/>
    <xf numFmtId="0" fontId="0" fillId="0" borderId="1" xfId="0" applyFill="1" applyBorder="1" applyAlignment="1">
      <alignment horizontal="left" vertical="center" indent="5"/>
    </xf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4" fontId="1" fillId="0" borderId="1" xfId="0" applyNumberFormat="1" applyFont="1" applyFill="1" applyBorder="1"/>
    <xf numFmtId="2" fontId="0" fillId="0" borderId="0" xfId="0" applyNumberFormat="1" applyFill="1"/>
    <xf numFmtId="1" fontId="0" fillId="0" borderId="0" xfId="0" applyNumberFormat="1" applyFill="1"/>
    <xf numFmtId="2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 applyFill="1" applyAlignment="1">
      <alignment horizontal="left" vertical="center" indent="2"/>
    </xf>
    <xf numFmtId="3" fontId="1" fillId="0" borderId="0" xfId="0" applyNumberFormat="1" applyFont="1" applyFill="1"/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left" vertical="center" indent="2"/>
    </xf>
    <xf numFmtId="3" fontId="0" fillId="0" borderId="1" xfId="0" applyNumberFormat="1" applyFill="1" applyBorder="1" applyAlignment="1">
      <alignment horizontal="left" vertical="center" indent="5"/>
    </xf>
    <xf numFmtId="4" fontId="0" fillId="0" borderId="0" xfId="0" applyNumberFormat="1" applyFill="1" applyBorder="1"/>
    <xf numFmtId="3" fontId="0" fillId="0" borderId="0" xfId="0" applyNumberFormat="1" applyFill="1" applyBorder="1"/>
    <xf numFmtId="4" fontId="0" fillId="0" borderId="32" xfId="0" applyNumberFormat="1" applyFill="1" applyBorder="1"/>
    <xf numFmtId="4" fontId="0" fillId="0" borderId="3" xfId="0" applyNumberFormat="1" applyFill="1" applyBorder="1"/>
    <xf numFmtId="3" fontId="0" fillId="0" borderId="29" xfId="0" applyNumberFormat="1" applyFill="1" applyBorder="1"/>
    <xf numFmtId="3" fontId="0" fillId="0" borderId="2" xfId="0" applyNumberFormat="1" applyFill="1" applyBorder="1" applyAlignment="1">
      <alignment horizontal="left" vertical="center" indent="5"/>
    </xf>
    <xf numFmtId="3" fontId="0" fillId="0" borderId="2" xfId="0" applyNumberFormat="1" applyFill="1" applyBorder="1" applyAlignment="1">
      <alignment horizontal="left" vertical="center" indent="2"/>
    </xf>
    <xf numFmtId="4" fontId="1" fillId="0" borderId="3" xfId="0" applyNumberFormat="1" applyFont="1" applyFill="1" applyBorder="1"/>
    <xf numFmtId="0" fontId="5" fillId="0" borderId="11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" fontId="0" fillId="0" borderId="6" xfId="0" applyNumberFormat="1" applyFill="1" applyBorder="1"/>
    <xf numFmtId="2" fontId="0" fillId="0" borderId="6" xfId="0" applyNumberFormat="1" applyFill="1" applyBorder="1"/>
    <xf numFmtId="0" fontId="0" fillId="0" borderId="2" xfId="0" applyFill="1" applyBorder="1" applyAlignment="1">
      <alignment horizontal="left" vertical="center" indent="5"/>
    </xf>
    <xf numFmtId="3" fontId="0" fillId="0" borderId="2" xfId="0" applyNumberForma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3" fontId="0" fillId="0" borderId="3" xfId="0" applyNumberFormat="1" applyFill="1" applyBorder="1"/>
    <xf numFmtId="0" fontId="0" fillId="0" borderId="1" xfId="0" applyFill="1" applyBorder="1" applyAlignment="1">
      <alignment horizontal="center" vertical="center" wrapText="1"/>
    </xf>
    <xf numFmtId="3" fontId="0" fillId="0" borderId="6" xfId="0" applyNumberFormat="1" applyFill="1" applyBorder="1"/>
    <xf numFmtId="3" fontId="1" fillId="0" borderId="3" xfId="0" applyNumberFormat="1" applyFont="1" applyFill="1" applyBorder="1"/>
    <xf numFmtId="2" fontId="1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5" xfId="0" applyFont="1" applyFill="1" applyBorder="1"/>
  </cellXfs>
  <cellStyles count="21">
    <cellStyle name="Akcent 1 2" xfId="3" xr:uid="{00000000-0005-0000-0000-000000000000}"/>
    <cellStyle name="Akcent 2 2" xfId="4" xr:uid="{00000000-0005-0000-0000-000001000000}"/>
    <cellStyle name="Akcent 3 2" xfId="5" xr:uid="{00000000-0005-0000-0000-000002000000}"/>
    <cellStyle name="Akcent 4 2" xfId="6" xr:uid="{00000000-0005-0000-0000-000003000000}"/>
    <cellStyle name="Akcent 5 2" xfId="7" xr:uid="{00000000-0005-0000-0000-000004000000}"/>
    <cellStyle name="Akcent 6 2" xfId="8" xr:uid="{00000000-0005-0000-0000-000005000000}"/>
    <cellStyle name="Dane wejściowe 2" xfId="9" xr:uid="{00000000-0005-0000-0000-000006000000}"/>
    <cellStyle name="Dane wyjściowe 2" xfId="10" xr:uid="{00000000-0005-0000-0000-000007000000}"/>
    <cellStyle name="Komórka połączona 2" xfId="11" xr:uid="{00000000-0005-0000-0000-000008000000}"/>
    <cellStyle name="Komórka zaznaczona 2" xfId="12" xr:uid="{00000000-0005-0000-0000-000009000000}"/>
    <cellStyle name="Nagłówek 1 2" xfId="13" xr:uid="{00000000-0005-0000-0000-00000A000000}"/>
    <cellStyle name="Nagłówek 2 2" xfId="14" xr:uid="{00000000-0005-0000-0000-00000B000000}"/>
    <cellStyle name="Nagłówek 3 2" xfId="15" xr:uid="{00000000-0005-0000-0000-00000C000000}"/>
    <cellStyle name="Nagłówek 4 2" xfId="16" xr:uid="{00000000-0005-0000-0000-00000D000000}"/>
    <cellStyle name="Normalny" xfId="0" builtinId="0"/>
    <cellStyle name="Obliczenia 2" xfId="17" xr:uid="{00000000-0005-0000-0000-00000F000000}"/>
    <cellStyle name="Suma 2" xfId="18" xr:uid="{00000000-0005-0000-0000-000010000000}"/>
    <cellStyle name="Tekst objaśnienia 2" xfId="19" xr:uid="{00000000-0005-0000-0000-000011000000}"/>
    <cellStyle name="Tekst ostrzeżenia 2" xfId="20" xr:uid="{00000000-0005-0000-0000-000012000000}"/>
    <cellStyle name="Tytuł" xfId="1" builtinId="15" customBuiltin="1"/>
    <cellStyle name="Uwaga" xfId="2" builtinId="10" customBuiltin="1"/>
  </cellStyles>
  <dxfs count="2">
    <dxf>
      <fill>
        <patternFill patternType="solid">
          <fgColor rgb="FF808080"/>
          <bgColor rgb="FF000000"/>
        </patternFill>
      </fill>
    </dxf>
    <dxf>
      <fill>
        <patternFill patternType="solid">
          <fgColor rgb="FFBFBFB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FS/KFS%202022/2022/KFS%20PUP/Nowy%20folder/Szkolenia%20KFS,%20FP-%20zestawienia_%202015-2020%20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19-FP"/>
      <sheetName val="2020"/>
      <sheetName val="2020-FP"/>
      <sheetName val="łącznie"/>
      <sheetName val="Arkusz1"/>
      <sheetName val="2018-2020"/>
      <sheetName val="Arkusz2"/>
      <sheetName val="Arkusz3"/>
    </sheetNames>
    <sheetDataSet>
      <sheetData sheetId="0"/>
      <sheetData sheetId="1"/>
      <sheetData sheetId="2"/>
      <sheetData sheetId="3">
        <row r="6">
          <cell r="AX6">
            <v>578.33000000000004</v>
          </cell>
        </row>
        <row r="7">
          <cell r="B7">
            <v>4</v>
          </cell>
          <cell r="C7">
            <v>3</v>
          </cell>
          <cell r="D7">
            <v>15</v>
          </cell>
          <cell r="E7">
            <v>15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15</v>
          </cell>
          <cell r="W7">
            <v>0</v>
          </cell>
          <cell r="X7">
            <v>0</v>
          </cell>
          <cell r="Z7">
            <v>3</v>
          </cell>
          <cell r="AA7">
            <v>3</v>
          </cell>
          <cell r="AB7">
            <v>3</v>
          </cell>
          <cell r="AC7">
            <v>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</v>
          </cell>
          <cell r="AU7">
            <v>0</v>
          </cell>
          <cell r="AV7">
            <v>0</v>
          </cell>
          <cell r="AX7">
            <v>1277.77</v>
          </cell>
        </row>
        <row r="8">
          <cell r="B8">
            <v>1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1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X8">
            <v>952</v>
          </cell>
        </row>
        <row r="9">
          <cell r="B9">
            <v>2</v>
          </cell>
          <cell r="C9">
            <v>1</v>
          </cell>
          <cell r="D9">
            <v>7</v>
          </cell>
          <cell r="E9">
            <v>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5</v>
          </cell>
          <cell r="W9">
            <v>0</v>
          </cell>
          <cell r="X9">
            <v>0</v>
          </cell>
          <cell r="Z9">
            <v>3</v>
          </cell>
          <cell r="AA9">
            <v>3</v>
          </cell>
          <cell r="AB9">
            <v>4</v>
          </cell>
          <cell r="AC9">
            <v>4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0</v>
          </cell>
          <cell r="AT9">
            <v>2</v>
          </cell>
          <cell r="AU9">
            <v>0</v>
          </cell>
          <cell r="AV9">
            <v>0</v>
          </cell>
          <cell r="AX9">
            <v>715.75</v>
          </cell>
        </row>
        <row r="10">
          <cell r="B10">
            <v>7</v>
          </cell>
          <cell r="C10">
            <v>4</v>
          </cell>
          <cell r="D10">
            <v>26</v>
          </cell>
          <cell r="E10">
            <v>6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8</v>
          </cell>
          <cell r="L10">
            <v>3</v>
          </cell>
          <cell r="M10">
            <v>0</v>
          </cell>
          <cell r="N10">
            <v>0</v>
          </cell>
          <cell r="O10">
            <v>2</v>
          </cell>
          <cell r="P10">
            <v>0</v>
          </cell>
          <cell r="Q10">
            <v>0</v>
          </cell>
          <cell r="R10">
            <v>9</v>
          </cell>
          <cell r="S10">
            <v>0</v>
          </cell>
          <cell r="T10">
            <v>0</v>
          </cell>
          <cell r="U10">
            <v>0</v>
          </cell>
          <cell r="V10">
            <v>3</v>
          </cell>
          <cell r="W10">
            <v>0</v>
          </cell>
          <cell r="X10">
            <v>0</v>
          </cell>
          <cell r="Z10">
            <v>2</v>
          </cell>
          <cell r="AA10">
            <v>0</v>
          </cell>
          <cell r="AB10">
            <v>4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2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X10">
            <v>901.45</v>
          </cell>
        </row>
        <row r="11">
          <cell r="B11">
            <v>3</v>
          </cell>
          <cell r="C11">
            <v>1</v>
          </cell>
          <cell r="D11">
            <v>48</v>
          </cell>
          <cell r="E11">
            <v>25</v>
          </cell>
          <cell r="F11">
            <v>0</v>
          </cell>
          <cell r="G11">
            <v>0</v>
          </cell>
          <cell r="H11">
            <v>20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U11">
            <v>0</v>
          </cell>
          <cell r="V11">
            <v>25</v>
          </cell>
          <cell r="W11">
            <v>0</v>
          </cell>
          <cell r="X11">
            <v>0</v>
          </cell>
          <cell r="Z11">
            <v>2</v>
          </cell>
          <cell r="AA11">
            <v>1</v>
          </cell>
          <cell r="AB11">
            <v>26</v>
          </cell>
          <cell r="AC11">
            <v>25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0</v>
          </cell>
          <cell r="AT11">
            <v>25</v>
          </cell>
          <cell r="AU11">
            <v>0</v>
          </cell>
          <cell r="AV11">
            <v>0</v>
          </cell>
          <cell r="AX11">
            <v>160</v>
          </cell>
        </row>
        <row r="12"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X12">
            <v>0</v>
          </cell>
        </row>
        <row r="14">
          <cell r="B14">
            <v>4</v>
          </cell>
          <cell r="C14">
            <v>2</v>
          </cell>
          <cell r="D14">
            <v>12</v>
          </cell>
          <cell r="E14">
            <v>3</v>
          </cell>
          <cell r="F14">
            <v>0</v>
          </cell>
          <cell r="G14">
            <v>0</v>
          </cell>
          <cell r="H14">
            <v>5</v>
          </cell>
          <cell r="I14">
            <v>0</v>
          </cell>
          <cell r="J14">
            <v>2</v>
          </cell>
          <cell r="K14">
            <v>0</v>
          </cell>
          <cell r="L14">
            <v>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</v>
          </cell>
          <cell r="S14">
            <v>0</v>
          </cell>
          <cell r="T14">
            <v>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2</v>
          </cell>
          <cell r="AA14">
            <v>1</v>
          </cell>
          <cell r="AB14">
            <v>6</v>
          </cell>
          <cell r="AC14">
            <v>1</v>
          </cell>
          <cell r="AD14">
            <v>0</v>
          </cell>
          <cell r="AE14">
            <v>0</v>
          </cell>
          <cell r="AF14">
            <v>4</v>
          </cell>
          <cell r="AG14">
            <v>0</v>
          </cell>
          <cell r="AH14">
            <v>0</v>
          </cell>
          <cell r="AI14">
            <v>0</v>
          </cell>
          <cell r="AJ14">
            <v>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X14">
            <v>2016.67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X16">
            <v>0</v>
          </cell>
        </row>
        <row r="18">
          <cell r="B18">
            <v>3</v>
          </cell>
          <cell r="C18">
            <v>3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</v>
          </cell>
          <cell r="W18">
            <v>0</v>
          </cell>
          <cell r="X18">
            <v>0</v>
          </cell>
          <cell r="Z18">
            <v>2</v>
          </cell>
          <cell r="AA18">
            <v>1</v>
          </cell>
          <cell r="AB18">
            <v>4</v>
          </cell>
          <cell r="AC18">
            <v>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</v>
          </cell>
          <cell r="AU18">
            <v>0</v>
          </cell>
          <cell r="AV18">
            <v>0</v>
          </cell>
          <cell r="AX18">
            <v>492.18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</row>
        <row r="20">
          <cell r="B20">
            <v>2</v>
          </cell>
          <cell r="C20">
            <v>0</v>
          </cell>
          <cell r="D20">
            <v>3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Z20">
            <v>1</v>
          </cell>
          <cell r="AA20">
            <v>0</v>
          </cell>
          <cell r="AB20">
            <v>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</v>
          </cell>
          <cell r="AU20">
            <v>0</v>
          </cell>
          <cell r="AV20">
            <v>0</v>
          </cell>
          <cell r="AX20">
            <v>712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X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</row>
        <row r="27">
          <cell r="B27">
            <v>9</v>
          </cell>
          <cell r="C27">
            <v>4</v>
          </cell>
          <cell r="D27">
            <v>93</v>
          </cell>
          <cell r="E27">
            <v>34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30</v>
          </cell>
          <cell r="K27">
            <v>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9</v>
          </cell>
          <cell r="S27">
            <v>0</v>
          </cell>
          <cell r="T27">
            <v>2</v>
          </cell>
          <cell r="U27">
            <v>0</v>
          </cell>
          <cell r="V27">
            <v>48</v>
          </cell>
          <cell r="W27">
            <v>0</v>
          </cell>
          <cell r="X27">
            <v>0</v>
          </cell>
          <cell r="Z27">
            <v>8</v>
          </cell>
          <cell r="AA27">
            <v>4</v>
          </cell>
          <cell r="AB27">
            <v>37</v>
          </cell>
          <cell r="AC27">
            <v>33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30</v>
          </cell>
          <cell r="AI27">
            <v>1</v>
          </cell>
          <cell r="AJ27">
            <v>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</v>
          </cell>
          <cell r="AQ27">
            <v>0</v>
          </cell>
          <cell r="AR27">
            <v>2</v>
          </cell>
          <cell r="AS27">
            <v>0</v>
          </cell>
          <cell r="AT27">
            <v>1</v>
          </cell>
          <cell r="AU27">
            <v>0</v>
          </cell>
          <cell r="AV27">
            <v>0</v>
          </cell>
          <cell r="AX27">
            <v>377.12</v>
          </cell>
        </row>
        <row r="28">
          <cell r="B28">
            <v>5</v>
          </cell>
          <cell r="C28">
            <v>0</v>
          </cell>
          <cell r="D28">
            <v>17</v>
          </cell>
          <cell r="E28">
            <v>0</v>
          </cell>
          <cell r="F28">
            <v>0</v>
          </cell>
          <cell r="G28">
            <v>0</v>
          </cell>
          <cell r="H28">
            <v>15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3</v>
          </cell>
          <cell r="AA28">
            <v>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4</v>
          </cell>
          <cell r="AG28">
            <v>0</v>
          </cell>
          <cell r="AH28">
            <v>0</v>
          </cell>
          <cell r="AI28">
            <v>0</v>
          </cell>
          <cell r="AJ28">
            <v>1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1337.6</v>
          </cell>
        </row>
        <row r="29">
          <cell r="AX29">
            <v>1509.45</v>
          </cell>
        </row>
        <row r="30">
          <cell r="B30">
            <v>14</v>
          </cell>
          <cell r="C30">
            <v>9</v>
          </cell>
          <cell r="D30">
            <v>608</v>
          </cell>
          <cell r="E30">
            <v>504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608</v>
          </cell>
          <cell r="W30">
            <v>0</v>
          </cell>
          <cell r="X30">
            <v>0</v>
          </cell>
          <cell r="Z30">
            <v>9</v>
          </cell>
          <cell r="AA30">
            <v>5</v>
          </cell>
          <cell r="AB30">
            <v>362</v>
          </cell>
          <cell r="AC30">
            <v>259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362</v>
          </cell>
          <cell r="AU30">
            <v>0</v>
          </cell>
          <cell r="AV30">
            <v>0</v>
          </cell>
          <cell r="AX30">
            <v>787.65</v>
          </cell>
        </row>
        <row r="31">
          <cell r="B31">
            <v>7</v>
          </cell>
          <cell r="C31">
            <v>7</v>
          </cell>
          <cell r="D31">
            <v>175</v>
          </cell>
          <cell r="E31">
            <v>149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175</v>
          </cell>
          <cell r="W31">
            <v>0</v>
          </cell>
          <cell r="X31">
            <v>0</v>
          </cell>
          <cell r="Z31">
            <v>5</v>
          </cell>
          <cell r="AA31">
            <v>4</v>
          </cell>
          <cell r="AB31">
            <v>131</v>
          </cell>
          <cell r="AC31">
            <v>105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131</v>
          </cell>
          <cell r="AU31">
            <v>0</v>
          </cell>
          <cell r="AV31">
            <v>0</v>
          </cell>
          <cell r="AX31">
            <v>637.98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X32">
            <v>0</v>
          </cell>
        </row>
        <row r="33">
          <cell r="B33">
            <v>152</v>
          </cell>
          <cell r="C33">
            <v>70</v>
          </cell>
          <cell r="D33">
            <v>540</v>
          </cell>
          <cell r="E33">
            <v>158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4</v>
          </cell>
          <cell r="M33">
            <v>0</v>
          </cell>
          <cell r="N33">
            <v>4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9</v>
          </cell>
          <cell r="V33">
            <v>477</v>
          </cell>
          <cell r="W33">
            <v>4</v>
          </cell>
          <cell r="X33">
            <v>39</v>
          </cell>
          <cell r="Z33">
            <v>132</v>
          </cell>
          <cell r="AA33">
            <v>49</v>
          </cell>
          <cell r="AB33">
            <v>312</v>
          </cell>
          <cell r="AC33">
            <v>123</v>
          </cell>
          <cell r="AD33">
            <v>0</v>
          </cell>
          <cell r="AE33">
            <v>0</v>
          </cell>
          <cell r="AF33">
            <v>2</v>
          </cell>
          <cell r="AG33">
            <v>0</v>
          </cell>
          <cell r="AH33">
            <v>0</v>
          </cell>
          <cell r="AI33">
            <v>0</v>
          </cell>
          <cell r="AJ33">
            <v>4</v>
          </cell>
          <cell r="AK33">
            <v>0</v>
          </cell>
          <cell r="AL33">
            <v>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5</v>
          </cell>
          <cell r="AT33">
            <v>284</v>
          </cell>
          <cell r="AU33">
            <v>0</v>
          </cell>
          <cell r="AV33">
            <v>15</v>
          </cell>
          <cell r="AX33">
            <v>2191.17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X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0</v>
          </cell>
        </row>
        <row r="40">
          <cell r="B40">
            <v>13</v>
          </cell>
          <cell r="C40">
            <v>0</v>
          </cell>
          <cell r="D40">
            <v>19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  <cell r="T40">
            <v>0</v>
          </cell>
          <cell r="U40">
            <v>0</v>
          </cell>
          <cell r="V40">
            <v>17</v>
          </cell>
          <cell r="W40">
            <v>0</v>
          </cell>
          <cell r="X40">
            <v>0</v>
          </cell>
          <cell r="Z40">
            <v>7</v>
          </cell>
          <cell r="AA40">
            <v>0</v>
          </cell>
          <cell r="AB40">
            <v>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9</v>
          </cell>
          <cell r="AU40">
            <v>0</v>
          </cell>
          <cell r="AV40">
            <v>0</v>
          </cell>
          <cell r="AX40">
            <v>3566.67</v>
          </cell>
        </row>
        <row r="41">
          <cell r="B41">
            <v>11</v>
          </cell>
          <cell r="C41">
            <v>0</v>
          </cell>
          <cell r="D41">
            <v>25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25</v>
          </cell>
          <cell r="W41">
            <v>0</v>
          </cell>
          <cell r="X41">
            <v>0</v>
          </cell>
          <cell r="Z41">
            <v>5</v>
          </cell>
          <cell r="AA41">
            <v>0</v>
          </cell>
          <cell r="AB41">
            <v>5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</v>
          </cell>
          <cell r="AU41">
            <v>0</v>
          </cell>
          <cell r="AV41">
            <v>0</v>
          </cell>
          <cell r="AX41">
            <v>7937.68</v>
          </cell>
        </row>
        <row r="42">
          <cell r="B42">
            <v>1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</row>
        <row r="43">
          <cell r="B43">
            <v>4</v>
          </cell>
          <cell r="C43">
            <v>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</v>
          </cell>
          <cell r="W43">
            <v>0</v>
          </cell>
          <cell r="X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</row>
        <row r="44">
          <cell r="B44">
            <v>2</v>
          </cell>
          <cell r="C44">
            <v>0</v>
          </cell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</v>
          </cell>
          <cell r="W44">
            <v>0</v>
          </cell>
          <cell r="X44">
            <v>1</v>
          </cell>
          <cell r="Z44">
            <v>1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</v>
          </cell>
          <cell r="AX44">
            <v>288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</row>
        <row r="46">
          <cell r="B46">
            <v>9</v>
          </cell>
          <cell r="C46">
            <v>6</v>
          </cell>
          <cell r="D46">
            <v>413</v>
          </cell>
          <cell r="E46">
            <v>293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413</v>
          </cell>
          <cell r="W46">
            <v>0</v>
          </cell>
          <cell r="X46">
            <v>0</v>
          </cell>
          <cell r="Z46">
            <v>9</v>
          </cell>
          <cell r="AA46">
            <v>12</v>
          </cell>
          <cell r="AB46">
            <v>75</v>
          </cell>
          <cell r="AC46">
            <v>63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75</v>
          </cell>
          <cell r="AU46">
            <v>0</v>
          </cell>
          <cell r="AV46">
            <v>0</v>
          </cell>
          <cell r="AX46">
            <v>2093.0500000000002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X49">
            <v>1226.5899999999999</v>
          </cell>
        </row>
        <row r="50">
          <cell r="B50">
            <v>1</v>
          </cell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</row>
        <row r="52">
          <cell r="B52">
            <v>1</v>
          </cell>
          <cell r="C52">
            <v>0</v>
          </cell>
          <cell r="D52">
            <v>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0</v>
          </cell>
        </row>
        <row r="53">
          <cell r="B53">
            <v>35</v>
          </cell>
          <cell r="C53">
            <v>2</v>
          </cell>
          <cell r="D53">
            <v>376</v>
          </cell>
          <cell r="E53">
            <v>11</v>
          </cell>
          <cell r="F53">
            <v>0</v>
          </cell>
          <cell r="G53">
            <v>0</v>
          </cell>
          <cell r="H53">
            <v>141</v>
          </cell>
          <cell r="I53">
            <v>0</v>
          </cell>
          <cell r="J53">
            <v>0</v>
          </cell>
          <cell r="K53">
            <v>11</v>
          </cell>
          <cell r="L53">
            <v>153</v>
          </cell>
          <cell r="M53">
            <v>4</v>
          </cell>
          <cell r="N53">
            <v>8</v>
          </cell>
          <cell r="O53">
            <v>18</v>
          </cell>
          <cell r="P53">
            <v>23</v>
          </cell>
          <cell r="Q53">
            <v>0</v>
          </cell>
          <cell r="R53">
            <v>8</v>
          </cell>
          <cell r="S53">
            <v>3</v>
          </cell>
          <cell r="T53">
            <v>0</v>
          </cell>
          <cell r="U53">
            <v>5</v>
          </cell>
          <cell r="V53">
            <v>0</v>
          </cell>
          <cell r="W53">
            <v>0</v>
          </cell>
          <cell r="X53">
            <v>2</v>
          </cell>
          <cell r="Z53">
            <v>15</v>
          </cell>
          <cell r="AA53">
            <v>2</v>
          </cell>
          <cell r="AB53">
            <v>202</v>
          </cell>
          <cell r="AC53">
            <v>7</v>
          </cell>
          <cell r="AD53">
            <v>0</v>
          </cell>
          <cell r="AE53">
            <v>0</v>
          </cell>
          <cell r="AF53">
            <v>104</v>
          </cell>
          <cell r="AG53">
            <v>0</v>
          </cell>
          <cell r="AH53">
            <v>0</v>
          </cell>
          <cell r="AI53">
            <v>0</v>
          </cell>
          <cell r="AJ53">
            <v>75</v>
          </cell>
          <cell r="AK53">
            <v>4</v>
          </cell>
          <cell r="AL53">
            <v>0</v>
          </cell>
          <cell r="AM53">
            <v>6</v>
          </cell>
          <cell r="AN53">
            <v>5</v>
          </cell>
          <cell r="AO53">
            <v>0</v>
          </cell>
          <cell r="AP53">
            <v>3</v>
          </cell>
          <cell r="AQ53">
            <v>0</v>
          </cell>
          <cell r="AR53">
            <v>0</v>
          </cell>
          <cell r="AS53">
            <v>5</v>
          </cell>
          <cell r="AT53">
            <v>0</v>
          </cell>
          <cell r="AU53">
            <v>0</v>
          </cell>
          <cell r="AV53">
            <v>0</v>
          </cell>
          <cell r="AX53">
            <v>1278.26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X55">
            <v>0</v>
          </cell>
        </row>
        <row r="56">
          <cell r="B56">
            <v>1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X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X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</row>
        <row r="63">
          <cell r="B63">
            <v>2</v>
          </cell>
          <cell r="C63">
            <v>0</v>
          </cell>
          <cell r="D63">
            <v>16</v>
          </cell>
          <cell r="E63">
            <v>0</v>
          </cell>
          <cell r="F63">
            <v>0</v>
          </cell>
          <cell r="G63">
            <v>0</v>
          </cell>
          <cell r="H63">
            <v>15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Z63">
            <v>1</v>
          </cell>
          <cell r="AA63">
            <v>0</v>
          </cell>
          <cell r="AB63">
            <v>15</v>
          </cell>
          <cell r="AC63">
            <v>0</v>
          </cell>
          <cell r="AD63">
            <v>0</v>
          </cell>
          <cell r="AE63">
            <v>0</v>
          </cell>
          <cell r="AF63">
            <v>15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358.4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AX68">
            <v>1709.72</v>
          </cell>
        </row>
        <row r="69">
          <cell r="B69">
            <v>9</v>
          </cell>
          <cell r="C69">
            <v>0</v>
          </cell>
          <cell r="D69">
            <v>26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2</v>
          </cell>
          <cell r="L69">
            <v>15</v>
          </cell>
          <cell r="M69">
            <v>0</v>
          </cell>
          <cell r="N69">
            <v>2</v>
          </cell>
          <cell r="O69">
            <v>2</v>
          </cell>
          <cell r="P69">
            <v>0</v>
          </cell>
          <cell r="Q69">
            <v>0</v>
          </cell>
          <cell r="R69">
            <v>1</v>
          </cell>
          <cell r="S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Z69">
            <v>7</v>
          </cell>
          <cell r="AA69">
            <v>0</v>
          </cell>
          <cell r="AB69">
            <v>21</v>
          </cell>
          <cell r="AC69">
            <v>0</v>
          </cell>
          <cell r="AD69">
            <v>0</v>
          </cell>
          <cell r="AE69">
            <v>0</v>
          </cell>
          <cell r="AF69">
            <v>8</v>
          </cell>
          <cell r="AG69">
            <v>0</v>
          </cell>
          <cell r="AH69">
            <v>0</v>
          </cell>
          <cell r="AI69">
            <v>2</v>
          </cell>
          <cell r="AJ69">
            <v>6</v>
          </cell>
          <cell r="AK69">
            <v>0</v>
          </cell>
          <cell r="AL69">
            <v>0</v>
          </cell>
          <cell r="AM69">
            <v>2</v>
          </cell>
          <cell r="AN69">
            <v>0</v>
          </cell>
          <cell r="AO69">
            <v>0</v>
          </cell>
          <cell r="AP69">
            <v>1</v>
          </cell>
          <cell r="AQ69">
            <v>0</v>
          </cell>
          <cell r="AR69">
            <v>1</v>
          </cell>
          <cell r="AS69">
            <v>1</v>
          </cell>
          <cell r="AT69">
            <v>0</v>
          </cell>
          <cell r="AU69">
            <v>0</v>
          </cell>
          <cell r="AV69">
            <v>0</v>
          </cell>
          <cell r="AX69">
            <v>2549.4299999999998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6</v>
          </cell>
          <cell r="AA71">
            <v>0</v>
          </cell>
          <cell r="AB71">
            <v>15</v>
          </cell>
          <cell r="AC71">
            <v>0</v>
          </cell>
          <cell r="AD71">
            <v>0</v>
          </cell>
          <cell r="AE71">
            <v>0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1</v>
          </cell>
          <cell r="AQ71">
            <v>1</v>
          </cell>
          <cell r="AR71">
            <v>0</v>
          </cell>
          <cell r="AS71">
            <v>1</v>
          </cell>
          <cell r="AT71">
            <v>10</v>
          </cell>
          <cell r="AU71">
            <v>1</v>
          </cell>
          <cell r="AV71">
            <v>0</v>
          </cell>
          <cell r="AX71">
            <v>1592</v>
          </cell>
        </row>
        <row r="72">
          <cell r="B72">
            <v>8</v>
          </cell>
          <cell r="C72">
            <v>2</v>
          </cell>
          <cell r="D72">
            <v>60</v>
          </cell>
          <cell r="E72">
            <v>11</v>
          </cell>
          <cell r="F72">
            <v>0</v>
          </cell>
          <cell r="G72">
            <v>0</v>
          </cell>
          <cell r="H72">
            <v>17</v>
          </cell>
          <cell r="I72">
            <v>0</v>
          </cell>
          <cell r="J72">
            <v>0</v>
          </cell>
          <cell r="K72">
            <v>38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4</v>
          </cell>
          <cell r="Z72">
            <v>5</v>
          </cell>
          <cell r="AA72">
            <v>2</v>
          </cell>
          <cell r="AB72">
            <v>18</v>
          </cell>
          <cell r="AC72">
            <v>11</v>
          </cell>
          <cell r="AD72">
            <v>0</v>
          </cell>
          <cell r="AE72">
            <v>0</v>
          </cell>
          <cell r="AF72">
            <v>8</v>
          </cell>
          <cell r="AG72">
            <v>0</v>
          </cell>
          <cell r="AH72">
            <v>0</v>
          </cell>
          <cell r="AI72">
            <v>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</v>
          </cell>
          <cell r="AT72">
            <v>0</v>
          </cell>
          <cell r="AU72">
            <v>0</v>
          </cell>
          <cell r="AV72">
            <v>1</v>
          </cell>
          <cell r="AX72">
            <v>2319.92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</row>
        <row r="74">
          <cell r="B74">
            <v>1</v>
          </cell>
          <cell r="C74">
            <v>0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1</v>
          </cell>
          <cell r="AA74">
            <v>0</v>
          </cell>
          <cell r="AB74">
            <v>4</v>
          </cell>
          <cell r="AC74">
            <v>0</v>
          </cell>
          <cell r="AD74">
            <v>0</v>
          </cell>
          <cell r="AE74">
            <v>0</v>
          </cell>
          <cell r="AF74">
            <v>4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5280</v>
          </cell>
        </row>
        <row r="75">
          <cell r="B75">
            <v>1</v>
          </cell>
          <cell r="C75">
            <v>0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1</v>
          </cell>
          <cell r="AA75">
            <v>0</v>
          </cell>
          <cell r="AB75">
            <v>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2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2000</v>
          </cell>
        </row>
        <row r="76">
          <cell r="B76">
            <v>8</v>
          </cell>
          <cell r="C76">
            <v>6</v>
          </cell>
          <cell r="D76">
            <v>212</v>
          </cell>
          <cell r="E76">
            <v>52</v>
          </cell>
          <cell r="F76">
            <v>0</v>
          </cell>
          <cell r="G76">
            <v>0</v>
          </cell>
          <cell r="H76">
            <v>132</v>
          </cell>
          <cell r="I76">
            <v>0</v>
          </cell>
          <cell r="J76">
            <v>31</v>
          </cell>
          <cell r="K76">
            <v>19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30</v>
          </cell>
          <cell r="W76">
            <v>0</v>
          </cell>
          <cell r="X76">
            <v>0</v>
          </cell>
          <cell r="Z76">
            <v>6</v>
          </cell>
          <cell r="AA76">
            <v>3</v>
          </cell>
          <cell r="AB76">
            <v>52</v>
          </cell>
          <cell r="AC76">
            <v>15</v>
          </cell>
          <cell r="AD76">
            <v>0</v>
          </cell>
          <cell r="AE76">
            <v>0</v>
          </cell>
          <cell r="AF76">
            <v>18</v>
          </cell>
          <cell r="AG76">
            <v>0</v>
          </cell>
          <cell r="AH76">
            <v>30</v>
          </cell>
          <cell r="AI76">
            <v>4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1031.3699999999999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X77">
            <v>0</v>
          </cell>
        </row>
        <row r="78">
          <cell r="B78">
            <v>2</v>
          </cell>
          <cell r="C78">
            <v>1</v>
          </cell>
          <cell r="D78">
            <v>2</v>
          </cell>
          <cell r="E78">
            <v>1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0</v>
          </cell>
        </row>
        <row r="79">
          <cell r="AX79">
            <v>2080.87</v>
          </cell>
        </row>
        <row r="80">
          <cell r="B80">
            <v>7</v>
          </cell>
          <cell r="C80">
            <v>0</v>
          </cell>
          <cell r="D80">
            <v>23</v>
          </cell>
          <cell r="E80">
            <v>0</v>
          </cell>
          <cell r="F80">
            <v>0</v>
          </cell>
          <cell r="G80">
            <v>0</v>
          </cell>
          <cell r="H80">
            <v>15</v>
          </cell>
          <cell r="I80">
            <v>0</v>
          </cell>
          <cell r="J80">
            <v>0</v>
          </cell>
          <cell r="K80">
            <v>0</v>
          </cell>
          <cell r="L80">
            <v>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3</v>
          </cell>
          <cell r="AA80">
            <v>0</v>
          </cell>
          <cell r="AB80">
            <v>13</v>
          </cell>
          <cell r="AC80">
            <v>0</v>
          </cell>
          <cell r="AD80">
            <v>0</v>
          </cell>
          <cell r="AE80">
            <v>0</v>
          </cell>
          <cell r="AF80">
            <v>7</v>
          </cell>
          <cell r="AG80">
            <v>0</v>
          </cell>
          <cell r="AH80">
            <v>0</v>
          </cell>
          <cell r="AI80">
            <v>0</v>
          </cell>
          <cell r="AJ80">
            <v>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3331.69</v>
          </cell>
        </row>
        <row r="81">
          <cell r="B81">
            <v>1</v>
          </cell>
          <cell r="C81">
            <v>0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</row>
        <row r="82">
          <cell r="B82">
            <v>1</v>
          </cell>
          <cell r="C82">
            <v>1</v>
          </cell>
          <cell r="D82">
            <v>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X82">
            <v>2360</v>
          </cell>
        </row>
        <row r="83">
          <cell r="B83">
            <v>4</v>
          </cell>
          <cell r="C83">
            <v>1</v>
          </cell>
          <cell r="D83">
            <v>95</v>
          </cell>
          <cell r="E83">
            <v>10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95</v>
          </cell>
          <cell r="W83">
            <v>0</v>
          </cell>
          <cell r="X83">
            <v>0</v>
          </cell>
          <cell r="Z83">
            <v>4</v>
          </cell>
          <cell r="AA83">
            <v>1</v>
          </cell>
          <cell r="AB83">
            <v>56</v>
          </cell>
          <cell r="AC83">
            <v>10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56</v>
          </cell>
          <cell r="AU83">
            <v>0</v>
          </cell>
          <cell r="AV83">
            <v>0</v>
          </cell>
          <cell r="AX83">
            <v>1956.78</v>
          </cell>
        </row>
        <row r="84">
          <cell r="B84">
            <v>9</v>
          </cell>
          <cell r="C84">
            <v>0</v>
          </cell>
          <cell r="D84">
            <v>47</v>
          </cell>
          <cell r="E84">
            <v>0</v>
          </cell>
          <cell r="F84">
            <v>0</v>
          </cell>
          <cell r="G84">
            <v>0</v>
          </cell>
          <cell r="H84">
            <v>46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9</v>
          </cell>
          <cell r="AA84">
            <v>0</v>
          </cell>
          <cell r="AB84">
            <v>21</v>
          </cell>
          <cell r="AC84">
            <v>0</v>
          </cell>
          <cell r="AD84">
            <v>0</v>
          </cell>
          <cell r="AE84">
            <v>0</v>
          </cell>
          <cell r="AF84">
            <v>21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1438.18</v>
          </cell>
        </row>
        <row r="85">
          <cell r="B85">
            <v>3</v>
          </cell>
          <cell r="C85">
            <v>1</v>
          </cell>
          <cell r="D85">
            <v>3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1</v>
          </cell>
          <cell r="AT85">
            <v>0</v>
          </cell>
          <cell r="AU85">
            <v>0</v>
          </cell>
          <cell r="AV85">
            <v>0</v>
          </cell>
          <cell r="AX85">
            <v>4938.3999999999996</v>
          </cell>
        </row>
        <row r="87">
          <cell r="B87">
            <v>7</v>
          </cell>
          <cell r="C87">
            <v>0</v>
          </cell>
          <cell r="D87">
            <v>59</v>
          </cell>
          <cell r="E87">
            <v>0</v>
          </cell>
          <cell r="F87">
            <v>0</v>
          </cell>
          <cell r="G87">
            <v>0</v>
          </cell>
          <cell r="H87">
            <v>50</v>
          </cell>
          <cell r="I87">
            <v>0</v>
          </cell>
          <cell r="J87">
            <v>0</v>
          </cell>
          <cell r="K87">
            <v>8</v>
          </cell>
          <cell r="L87">
            <v>0</v>
          </cell>
          <cell r="M87">
            <v>0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Z87">
            <v>2</v>
          </cell>
          <cell r="AA87">
            <v>0</v>
          </cell>
          <cell r="AB87">
            <v>12</v>
          </cell>
          <cell r="AC87">
            <v>0</v>
          </cell>
          <cell r="AD87">
            <v>0</v>
          </cell>
          <cell r="AE87">
            <v>0</v>
          </cell>
          <cell r="AF87">
            <v>11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335.83</v>
          </cell>
        </row>
        <row r="88">
          <cell r="B88">
            <v>7</v>
          </cell>
          <cell r="C88">
            <v>0</v>
          </cell>
          <cell r="D88">
            <v>20</v>
          </cell>
          <cell r="E88">
            <v>0</v>
          </cell>
          <cell r="F88">
            <v>0</v>
          </cell>
          <cell r="G88">
            <v>0</v>
          </cell>
          <cell r="H88">
            <v>10</v>
          </cell>
          <cell r="I88">
            <v>0</v>
          </cell>
          <cell r="J88">
            <v>0</v>
          </cell>
          <cell r="K88">
            <v>4</v>
          </cell>
          <cell r="L88">
            <v>2</v>
          </cell>
          <cell r="M88">
            <v>0</v>
          </cell>
          <cell r="N88">
            <v>0</v>
          </cell>
          <cell r="O88">
            <v>2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6</v>
          </cell>
          <cell r="AA88">
            <v>0</v>
          </cell>
          <cell r="AB88">
            <v>11</v>
          </cell>
          <cell r="AC88">
            <v>0</v>
          </cell>
          <cell r="AD88">
            <v>0</v>
          </cell>
          <cell r="AE88">
            <v>0</v>
          </cell>
          <cell r="AF88">
            <v>6</v>
          </cell>
          <cell r="AG88">
            <v>0</v>
          </cell>
          <cell r="AH88">
            <v>0</v>
          </cell>
          <cell r="AI88">
            <v>4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X88">
            <v>3421.6</v>
          </cell>
        </row>
        <row r="89">
          <cell r="B89">
            <v>6</v>
          </cell>
          <cell r="C89">
            <v>2</v>
          </cell>
          <cell r="D89">
            <v>26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19</v>
          </cell>
          <cell r="M89">
            <v>0</v>
          </cell>
          <cell r="N89">
            <v>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Z89">
            <v>6</v>
          </cell>
          <cell r="AA89">
            <v>2</v>
          </cell>
          <cell r="AB89">
            <v>19</v>
          </cell>
          <cell r="AC89">
            <v>2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16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2</v>
          </cell>
          <cell r="AS89">
            <v>1</v>
          </cell>
          <cell r="AT89">
            <v>0</v>
          </cell>
          <cell r="AU89">
            <v>0</v>
          </cell>
          <cell r="AV89">
            <v>0</v>
          </cell>
          <cell r="AX89">
            <v>1986.35</v>
          </cell>
        </row>
        <row r="90">
          <cell r="B90">
            <v>3</v>
          </cell>
          <cell r="C90">
            <v>0</v>
          </cell>
          <cell r="D90">
            <v>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3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Z90">
            <v>2</v>
          </cell>
          <cell r="AA90">
            <v>0</v>
          </cell>
          <cell r="AB90">
            <v>4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2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710.1</v>
          </cell>
        </row>
        <row r="91">
          <cell r="B91">
            <v>5</v>
          </cell>
          <cell r="C91">
            <v>0</v>
          </cell>
          <cell r="D91">
            <v>54</v>
          </cell>
          <cell r="E91">
            <v>0</v>
          </cell>
          <cell r="F91">
            <v>0</v>
          </cell>
          <cell r="G91">
            <v>0</v>
          </cell>
          <cell r="H91">
            <v>19</v>
          </cell>
          <cell r="I91">
            <v>0</v>
          </cell>
          <cell r="J91">
            <v>0</v>
          </cell>
          <cell r="K91">
            <v>0</v>
          </cell>
          <cell r="L91">
            <v>30</v>
          </cell>
          <cell r="M91">
            <v>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6</v>
          </cell>
          <cell r="AA91">
            <v>0</v>
          </cell>
          <cell r="AB91">
            <v>21</v>
          </cell>
          <cell r="AC91">
            <v>0</v>
          </cell>
          <cell r="AD91">
            <v>0</v>
          </cell>
          <cell r="AE91">
            <v>0</v>
          </cell>
          <cell r="AF91">
            <v>2</v>
          </cell>
          <cell r="AG91">
            <v>0</v>
          </cell>
          <cell r="AH91">
            <v>0</v>
          </cell>
          <cell r="AI91">
            <v>0</v>
          </cell>
          <cell r="AJ91">
            <v>19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2359.2199999999998</v>
          </cell>
        </row>
        <row r="92">
          <cell r="B92">
            <v>2</v>
          </cell>
          <cell r="C92">
            <v>0</v>
          </cell>
          <cell r="D92">
            <v>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Z92">
            <v>1</v>
          </cell>
          <cell r="AA92">
            <v>0</v>
          </cell>
          <cell r="AB92">
            <v>1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1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4413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</row>
        <row r="95">
          <cell r="B95">
            <v>7</v>
          </cell>
          <cell r="C95">
            <v>6</v>
          </cell>
          <cell r="D95">
            <v>39</v>
          </cell>
          <cell r="E95">
            <v>19</v>
          </cell>
          <cell r="F95">
            <v>0</v>
          </cell>
          <cell r="G95">
            <v>0</v>
          </cell>
          <cell r="H95">
            <v>9</v>
          </cell>
          <cell r="I95">
            <v>0</v>
          </cell>
          <cell r="J95">
            <v>6</v>
          </cell>
          <cell r="K95">
            <v>0</v>
          </cell>
          <cell r="L95">
            <v>2</v>
          </cell>
          <cell r="M95">
            <v>5</v>
          </cell>
          <cell r="N95">
            <v>0</v>
          </cell>
          <cell r="O95">
            <v>8</v>
          </cell>
          <cell r="P95">
            <v>1</v>
          </cell>
          <cell r="Q95">
            <v>0</v>
          </cell>
          <cell r="R95">
            <v>0</v>
          </cell>
          <cell r="S95">
            <v>0</v>
          </cell>
          <cell r="T95">
            <v>6</v>
          </cell>
          <cell r="U95">
            <v>0</v>
          </cell>
          <cell r="V95">
            <v>2</v>
          </cell>
          <cell r="W95">
            <v>0</v>
          </cell>
          <cell r="X95">
            <v>0</v>
          </cell>
          <cell r="Z95">
            <v>8</v>
          </cell>
          <cell r="AA95">
            <v>1</v>
          </cell>
          <cell r="AB95">
            <v>9</v>
          </cell>
          <cell r="AC95">
            <v>2</v>
          </cell>
          <cell r="AD95">
            <v>0</v>
          </cell>
          <cell r="AE95">
            <v>0</v>
          </cell>
          <cell r="AF95">
            <v>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2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X95">
            <v>3458.67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X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X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X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X100">
            <v>0</v>
          </cell>
        </row>
        <row r="101">
          <cell r="AX101">
            <v>2352.59</v>
          </cell>
        </row>
        <row r="102">
          <cell r="C102">
            <v>3</v>
          </cell>
          <cell r="D102">
            <v>198</v>
          </cell>
          <cell r="E102">
            <v>3</v>
          </cell>
          <cell r="F102">
            <v>0</v>
          </cell>
          <cell r="G102">
            <v>0</v>
          </cell>
          <cell r="H102">
            <v>15</v>
          </cell>
          <cell r="I102">
            <v>0</v>
          </cell>
          <cell r="J102">
            <v>0</v>
          </cell>
          <cell r="K102">
            <v>0</v>
          </cell>
          <cell r="L102">
            <v>14</v>
          </cell>
          <cell r="M102">
            <v>0</v>
          </cell>
          <cell r="N102">
            <v>141</v>
          </cell>
          <cell r="O102">
            <v>0</v>
          </cell>
          <cell r="P102">
            <v>0</v>
          </cell>
          <cell r="Q102">
            <v>0</v>
          </cell>
          <cell r="R102">
            <v>23</v>
          </cell>
          <cell r="S102">
            <v>2</v>
          </cell>
          <cell r="T102">
            <v>0</v>
          </cell>
          <cell r="U102">
            <v>1</v>
          </cell>
          <cell r="V102">
            <v>2</v>
          </cell>
          <cell r="W102">
            <v>0</v>
          </cell>
          <cell r="X102">
            <v>0</v>
          </cell>
          <cell r="Z102">
            <v>23</v>
          </cell>
          <cell r="AA102">
            <v>3</v>
          </cell>
          <cell r="AB102">
            <v>51</v>
          </cell>
          <cell r="AC102">
            <v>3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1</v>
          </cell>
          <cell r="AK102">
            <v>0</v>
          </cell>
          <cell r="AL102">
            <v>46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1</v>
          </cell>
          <cell r="AR102">
            <v>0</v>
          </cell>
          <cell r="AS102">
            <v>1</v>
          </cell>
          <cell r="AT102">
            <v>1</v>
          </cell>
          <cell r="AU102">
            <v>0</v>
          </cell>
          <cell r="AV102">
            <v>0</v>
          </cell>
          <cell r="AX102">
            <v>2033.61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X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0</v>
          </cell>
        </row>
        <row r="107">
          <cell r="B107">
            <v>6</v>
          </cell>
          <cell r="C107">
            <v>0</v>
          </cell>
          <cell r="D107">
            <v>14</v>
          </cell>
          <cell r="E107">
            <v>0</v>
          </cell>
          <cell r="F107">
            <v>0</v>
          </cell>
          <cell r="G107">
            <v>0</v>
          </cell>
          <cell r="H107">
            <v>2</v>
          </cell>
          <cell r="I107">
            <v>0</v>
          </cell>
          <cell r="J107">
            <v>0</v>
          </cell>
          <cell r="K107">
            <v>8</v>
          </cell>
          <cell r="L107">
            <v>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4</v>
          </cell>
          <cell r="AA107">
            <v>0</v>
          </cell>
          <cell r="AB107">
            <v>7</v>
          </cell>
          <cell r="AC107">
            <v>0</v>
          </cell>
          <cell r="AD107">
            <v>0</v>
          </cell>
          <cell r="AE107">
            <v>0</v>
          </cell>
          <cell r="AF107">
            <v>2</v>
          </cell>
          <cell r="AG107">
            <v>0</v>
          </cell>
          <cell r="AH107">
            <v>0</v>
          </cell>
          <cell r="AI107">
            <v>5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2240</v>
          </cell>
        </row>
        <row r="108">
          <cell r="B108">
            <v>1</v>
          </cell>
          <cell r="C108">
            <v>1</v>
          </cell>
          <cell r="D108">
            <v>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1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1352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0</v>
          </cell>
        </row>
        <row r="112">
          <cell r="B112">
            <v>18</v>
          </cell>
          <cell r="C112">
            <v>2</v>
          </cell>
          <cell r="D112">
            <v>76</v>
          </cell>
          <cell r="E112">
            <v>2</v>
          </cell>
          <cell r="F112">
            <v>0</v>
          </cell>
          <cell r="G112">
            <v>14</v>
          </cell>
          <cell r="H112">
            <v>31</v>
          </cell>
          <cell r="I112">
            <v>0</v>
          </cell>
          <cell r="J112">
            <v>1</v>
          </cell>
          <cell r="K112">
            <v>14</v>
          </cell>
          <cell r="L112">
            <v>12</v>
          </cell>
          <cell r="M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</v>
          </cell>
          <cell r="Z112">
            <v>19</v>
          </cell>
          <cell r="AA112">
            <v>1</v>
          </cell>
          <cell r="AB112">
            <v>47</v>
          </cell>
          <cell r="AC112">
            <v>1</v>
          </cell>
          <cell r="AD112">
            <v>0</v>
          </cell>
          <cell r="AE112">
            <v>11</v>
          </cell>
          <cell r="AF112">
            <v>17</v>
          </cell>
          <cell r="AG112">
            <v>0</v>
          </cell>
          <cell r="AH112">
            <v>0</v>
          </cell>
          <cell r="AI112">
            <v>7</v>
          </cell>
          <cell r="AJ112">
            <v>9</v>
          </cell>
          <cell r="AK112">
            <v>0</v>
          </cell>
          <cell r="AL112">
            <v>0</v>
          </cell>
          <cell r="AM112">
            <v>2</v>
          </cell>
          <cell r="AN112">
            <v>0</v>
          </cell>
          <cell r="AO112">
            <v>0</v>
          </cell>
          <cell r="AP112">
            <v>0</v>
          </cell>
          <cell r="AQ112">
            <v>1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1568.29</v>
          </cell>
        </row>
        <row r="113">
          <cell r="B113">
            <v>1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0</v>
          </cell>
        </row>
        <row r="114">
          <cell r="B114">
            <v>1</v>
          </cell>
          <cell r="C114">
            <v>1</v>
          </cell>
          <cell r="D114">
            <v>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</row>
        <row r="115">
          <cell r="B115">
            <v>46</v>
          </cell>
          <cell r="C115">
            <v>0</v>
          </cell>
          <cell r="D115">
            <v>120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8</v>
          </cell>
          <cell r="W115">
            <v>0</v>
          </cell>
          <cell r="X115">
            <v>107</v>
          </cell>
          <cell r="Z115">
            <v>26</v>
          </cell>
          <cell r="AA115">
            <v>0</v>
          </cell>
          <cell r="AB115">
            <v>44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44</v>
          </cell>
          <cell r="AX115">
            <v>2697.96</v>
          </cell>
        </row>
        <row r="116">
          <cell r="B116">
            <v>9</v>
          </cell>
          <cell r="C116">
            <v>3</v>
          </cell>
          <cell r="D116">
            <v>102</v>
          </cell>
          <cell r="E116">
            <v>14</v>
          </cell>
          <cell r="F116">
            <v>0</v>
          </cell>
          <cell r="G116">
            <v>0</v>
          </cell>
          <cell r="H116">
            <v>86</v>
          </cell>
          <cell r="I116">
            <v>0</v>
          </cell>
          <cell r="J116">
            <v>2</v>
          </cell>
          <cell r="K116">
            <v>0</v>
          </cell>
          <cell r="L116">
            <v>1</v>
          </cell>
          <cell r="M116">
            <v>6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7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10</v>
          </cell>
          <cell r="AA116">
            <v>2</v>
          </cell>
          <cell r="AB116">
            <v>56</v>
          </cell>
          <cell r="AC116">
            <v>4</v>
          </cell>
          <cell r="AD116">
            <v>0</v>
          </cell>
          <cell r="AE116">
            <v>0</v>
          </cell>
          <cell r="AF116">
            <v>43</v>
          </cell>
          <cell r="AG116">
            <v>0</v>
          </cell>
          <cell r="AH116">
            <v>4</v>
          </cell>
          <cell r="AI116">
            <v>0</v>
          </cell>
          <cell r="AJ116">
            <v>3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6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593.30999999999995</v>
          </cell>
        </row>
        <row r="117">
          <cell r="B117">
            <v>43</v>
          </cell>
          <cell r="C117">
            <v>0</v>
          </cell>
          <cell r="D117">
            <v>86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</v>
          </cell>
          <cell r="X117">
            <v>84</v>
          </cell>
          <cell r="Z117">
            <v>20</v>
          </cell>
          <cell r="AA117">
            <v>0</v>
          </cell>
          <cell r="AB117">
            <v>42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</v>
          </cell>
          <cell r="AV117">
            <v>41</v>
          </cell>
          <cell r="AX117">
            <v>3337.11</v>
          </cell>
        </row>
        <row r="118">
          <cell r="B118">
            <v>9</v>
          </cell>
          <cell r="C118">
            <v>8</v>
          </cell>
          <cell r="D118">
            <v>12</v>
          </cell>
          <cell r="E118">
            <v>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5</v>
          </cell>
          <cell r="AA118">
            <v>5</v>
          </cell>
          <cell r="AB118">
            <v>5</v>
          </cell>
          <cell r="AC118">
            <v>5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5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1587.04</v>
          </cell>
        </row>
        <row r="119">
          <cell r="B119">
            <v>3</v>
          </cell>
          <cell r="C119">
            <v>0</v>
          </cell>
          <cell r="D119">
            <v>6</v>
          </cell>
          <cell r="E119">
            <v>0</v>
          </cell>
          <cell r="F119">
            <v>0</v>
          </cell>
          <cell r="G119">
            <v>0</v>
          </cell>
          <cell r="H119">
            <v>5</v>
          </cell>
          <cell r="I119">
            <v>0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2</v>
          </cell>
          <cell r="AA119">
            <v>0</v>
          </cell>
          <cell r="AB119">
            <v>5</v>
          </cell>
          <cell r="AC119">
            <v>0</v>
          </cell>
          <cell r="AD119">
            <v>0</v>
          </cell>
          <cell r="AE119">
            <v>0</v>
          </cell>
          <cell r="AF119">
            <v>5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X119">
            <v>4015.4</v>
          </cell>
        </row>
        <row r="120">
          <cell r="B120">
            <v>5</v>
          </cell>
          <cell r="C120">
            <v>1</v>
          </cell>
          <cell r="D120">
            <v>10</v>
          </cell>
          <cell r="E120">
            <v>4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4</v>
          </cell>
          <cell r="K120">
            <v>1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3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3</v>
          </cell>
          <cell r="AA120">
            <v>1</v>
          </cell>
          <cell r="AB120">
            <v>6</v>
          </cell>
          <cell r="AC120">
            <v>4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4</v>
          </cell>
          <cell r="AI120">
            <v>0</v>
          </cell>
          <cell r="AJ120">
            <v>1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666.07</v>
          </cell>
        </row>
        <row r="122">
          <cell r="B122">
            <v>123</v>
          </cell>
          <cell r="C122">
            <v>1</v>
          </cell>
          <cell r="D122">
            <v>615</v>
          </cell>
          <cell r="E122">
            <v>1</v>
          </cell>
          <cell r="F122">
            <v>0</v>
          </cell>
          <cell r="G122">
            <v>0</v>
          </cell>
          <cell r="H122">
            <v>521</v>
          </cell>
          <cell r="I122">
            <v>0</v>
          </cell>
          <cell r="J122">
            <v>0</v>
          </cell>
          <cell r="K122">
            <v>60</v>
          </cell>
          <cell r="L122">
            <v>13</v>
          </cell>
          <cell r="M122">
            <v>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18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79</v>
          </cell>
          <cell r="AA122">
            <v>1</v>
          </cell>
          <cell r="AB122">
            <v>523</v>
          </cell>
          <cell r="AC122">
            <v>1</v>
          </cell>
          <cell r="AD122">
            <v>0</v>
          </cell>
          <cell r="AE122">
            <v>0</v>
          </cell>
          <cell r="AF122">
            <v>501</v>
          </cell>
          <cell r="AG122">
            <v>0</v>
          </cell>
          <cell r="AH122">
            <v>0</v>
          </cell>
          <cell r="AI122">
            <v>12</v>
          </cell>
          <cell r="AJ122">
            <v>4</v>
          </cell>
          <cell r="AK122">
            <v>1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2</v>
          </cell>
          <cell r="AQ122">
            <v>3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X122">
            <v>1392.54</v>
          </cell>
        </row>
        <row r="123">
          <cell r="B123">
            <v>3</v>
          </cell>
          <cell r="C123">
            <v>0</v>
          </cell>
          <cell r="D123">
            <v>11</v>
          </cell>
          <cell r="E123">
            <v>0</v>
          </cell>
          <cell r="F123">
            <v>0</v>
          </cell>
          <cell r="G123">
            <v>0</v>
          </cell>
          <cell r="H123">
            <v>11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X123">
            <v>0</v>
          </cell>
        </row>
        <row r="124">
          <cell r="B124">
            <v>21</v>
          </cell>
          <cell r="C124">
            <v>0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10</v>
          </cell>
          <cell r="AA124">
            <v>0</v>
          </cell>
          <cell r="AB124">
            <v>16</v>
          </cell>
          <cell r="AC124">
            <v>0</v>
          </cell>
          <cell r="AD124">
            <v>0</v>
          </cell>
          <cell r="AE124">
            <v>0</v>
          </cell>
          <cell r="AF124">
            <v>6</v>
          </cell>
          <cell r="AG124">
            <v>0</v>
          </cell>
          <cell r="AH124">
            <v>0</v>
          </cell>
          <cell r="AI124">
            <v>8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2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2603.75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0</v>
          </cell>
        </row>
        <row r="126">
          <cell r="B126">
            <v>10</v>
          </cell>
          <cell r="C126">
            <v>1</v>
          </cell>
          <cell r="D126">
            <v>23</v>
          </cell>
          <cell r="E126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18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3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13</v>
          </cell>
          <cell r="AA126">
            <v>1</v>
          </cell>
          <cell r="AB126">
            <v>23</v>
          </cell>
          <cell r="AC126">
            <v>2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21</v>
          </cell>
          <cell r="AK126">
            <v>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X126">
            <v>1498.45</v>
          </cell>
        </row>
        <row r="127">
          <cell r="B127">
            <v>1</v>
          </cell>
          <cell r="C127">
            <v>1</v>
          </cell>
          <cell r="D127">
            <v>4</v>
          </cell>
          <cell r="E127">
            <v>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</v>
          </cell>
          <cell r="W127">
            <v>0</v>
          </cell>
          <cell r="X127">
            <v>0</v>
          </cell>
          <cell r="Z127">
            <v>1</v>
          </cell>
          <cell r="AA127">
            <v>1</v>
          </cell>
          <cell r="AB127">
            <v>4</v>
          </cell>
          <cell r="AC127">
            <v>4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4</v>
          </cell>
          <cell r="AU127">
            <v>0</v>
          </cell>
          <cell r="AV127">
            <v>0</v>
          </cell>
          <cell r="AX127">
            <v>1200</v>
          </cell>
        </row>
        <row r="128">
          <cell r="B128">
            <v>3</v>
          </cell>
          <cell r="C128">
            <v>0</v>
          </cell>
          <cell r="D128">
            <v>38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38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Z128">
            <v>3</v>
          </cell>
          <cell r="AA128">
            <v>0</v>
          </cell>
          <cell r="AB128">
            <v>55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55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145.6</v>
          </cell>
        </row>
        <row r="129">
          <cell r="B129">
            <v>13</v>
          </cell>
          <cell r="C129">
            <v>6</v>
          </cell>
          <cell r="D129">
            <v>74</v>
          </cell>
          <cell r="E129">
            <v>25</v>
          </cell>
          <cell r="F129">
            <v>0</v>
          </cell>
          <cell r="G129">
            <v>0</v>
          </cell>
          <cell r="H129">
            <v>32</v>
          </cell>
          <cell r="I129">
            <v>0</v>
          </cell>
          <cell r="J129">
            <v>18</v>
          </cell>
          <cell r="K129">
            <v>9</v>
          </cell>
          <cell r="L129">
            <v>8</v>
          </cell>
          <cell r="M129">
            <v>0</v>
          </cell>
          <cell r="N129">
            <v>0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5</v>
          </cell>
          <cell r="W129">
            <v>0</v>
          </cell>
          <cell r="X129">
            <v>0</v>
          </cell>
          <cell r="Z129">
            <v>19</v>
          </cell>
          <cell r="AA129">
            <v>16</v>
          </cell>
          <cell r="AB129">
            <v>63</v>
          </cell>
          <cell r="AC129">
            <v>25</v>
          </cell>
          <cell r="AD129">
            <v>0</v>
          </cell>
          <cell r="AE129">
            <v>0</v>
          </cell>
          <cell r="AF129">
            <v>24</v>
          </cell>
          <cell r="AG129">
            <v>0</v>
          </cell>
          <cell r="AH129">
            <v>21</v>
          </cell>
          <cell r="AI129">
            <v>9</v>
          </cell>
          <cell r="AJ129">
            <v>4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5</v>
          </cell>
          <cell r="AU129">
            <v>0</v>
          </cell>
          <cell r="AV129">
            <v>0</v>
          </cell>
          <cell r="AX129">
            <v>1735.13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0</v>
          </cell>
        </row>
        <row r="131">
          <cell r="B131">
            <v>1</v>
          </cell>
          <cell r="C131">
            <v>0</v>
          </cell>
          <cell r="D131">
            <v>3</v>
          </cell>
          <cell r="E131">
            <v>0</v>
          </cell>
          <cell r="F131">
            <v>0</v>
          </cell>
          <cell r="G131">
            <v>0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1</v>
          </cell>
          <cell r="AA131">
            <v>0</v>
          </cell>
          <cell r="AB131">
            <v>3</v>
          </cell>
          <cell r="AC131">
            <v>0</v>
          </cell>
          <cell r="AD131">
            <v>0</v>
          </cell>
          <cell r="AE131">
            <v>0</v>
          </cell>
          <cell r="AF131">
            <v>3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X131">
            <v>3200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</row>
        <row r="133">
          <cell r="B133">
            <v>5</v>
          </cell>
          <cell r="C133">
            <v>0</v>
          </cell>
          <cell r="D133">
            <v>26</v>
          </cell>
          <cell r="E133">
            <v>0</v>
          </cell>
          <cell r="F133">
            <v>0</v>
          </cell>
          <cell r="G133">
            <v>0</v>
          </cell>
          <cell r="H133">
            <v>20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5</v>
          </cell>
          <cell r="AA133">
            <v>0</v>
          </cell>
          <cell r="AB133">
            <v>30</v>
          </cell>
          <cell r="AC133">
            <v>0</v>
          </cell>
          <cell r="AD133">
            <v>0</v>
          </cell>
          <cell r="AE133">
            <v>0</v>
          </cell>
          <cell r="AF133">
            <v>26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4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2721.73</v>
          </cell>
        </row>
        <row r="134">
          <cell r="B134">
            <v>2</v>
          </cell>
          <cell r="C134">
            <v>0</v>
          </cell>
          <cell r="D134">
            <v>9</v>
          </cell>
          <cell r="E134">
            <v>0</v>
          </cell>
          <cell r="F134">
            <v>0</v>
          </cell>
          <cell r="G134">
            <v>0</v>
          </cell>
          <cell r="H134">
            <v>9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1</v>
          </cell>
          <cell r="AA134">
            <v>0</v>
          </cell>
          <cell r="AB134">
            <v>2</v>
          </cell>
          <cell r="AC134">
            <v>0</v>
          </cell>
          <cell r="AD134">
            <v>0</v>
          </cell>
          <cell r="AE134">
            <v>0</v>
          </cell>
          <cell r="AF134">
            <v>2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X134">
            <v>1853.6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X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0</v>
          </cell>
        </row>
        <row r="137">
          <cell r="B137">
            <v>7</v>
          </cell>
          <cell r="C137">
            <v>1</v>
          </cell>
          <cell r="D137">
            <v>87</v>
          </cell>
          <cell r="E137">
            <v>2</v>
          </cell>
          <cell r="F137">
            <v>0</v>
          </cell>
          <cell r="G137">
            <v>0</v>
          </cell>
          <cell r="H137">
            <v>85</v>
          </cell>
          <cell r="I137">
            <v>0</v>
          </cell>
          <cell r="J137">
            <v>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4</v>
          </cell>
          <cell r="AA137">
            <v>0</v>
          </cell>
          <cell r="AB137">
            <v>33</v>
          </cell>
          <cell r="AC137">
            <v>0</v>
          </cell>
          <cell r="AD137">
            <v>0</v>
          </cell>
          <cell r="AE137">
            <v>0</v>
          </cell>
          <cell r="AF137">
            <v>33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X137">
            <v>618.64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</row>
        <row r="139">
          <cell r="B139">
            <v>3</v>
          </cell>
          <cell r="C139">
            <v>0</v>
          </cell>
          <cell r="D139">
            <v>20</v>
          </cell>
          <cell r="E139">
            <v>0</v>
          </cell>
          <cell r="F139">
            <v>0</v>
          </cell>
          <cell r="G139">
            <v>1</v>
          </cell>
          <cell r="H139">
            <v>19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2</v>
          </cell>
          <cell r="AA139">
            <v>0</v>
          </cell>
          <cell r="AB139">
            <v>7</v>
          </cell>
          <cell r="AC139">
            <v>0</v>
          </cell>
          <cell r="AD139">
            <v>0</v>
          </cell>
          <cell r="AE139">
            <v>1</v>
          </cell>
          <cell r="AF139">
            <v>6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1862.86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0</v>
          </cell>
        </row>
        <row r="142">
          <cell r="B142">
            <v>2</v>
          </cell>
          <cell r="C142">
            <v>0</v>
          </cell>
          <cell r="D142">
            <v>11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10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2</v>
          </cell>
          <cell r="AA142">
            <v>0</v>
          </cell>
          <cell r="AB142">
            <v>21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20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946.29</v>
          </cell>
        </row>
        <row r="143">
          <cell r="B143">
            <v>1</v>
          </cell>
          <cell r="C143">
            <v>0</v>
          </cell>
          <cell r="D143">
            <v>4</v>
          </cell>
          <cell r="E143">
            <v>0</v>
          </cell>
          <cell r="F143">
            <v>0</v>
          </cell>
          <cell r="G143">
            <v>0</v>
          </cell>
          <cell r="H143">
            <v>4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1</v>
          </cell>
          <cell r="AA143">
            <v>0</v>
          </cell>
          <cell r="AB143">
            <v>4</v>
          </cell>
          <cell r="AC143">
            <v>0</v>
          </cell>
          <cell r="AD143">
            <v>0</v>
          </cell>
          <cell r="AE143">
            <v>0</v>
          </cell>
          <cell r="AF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960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0</v>
          </cell>
        </row>
        <row r="145">
          <cell r="B145">
            <v>16</v>
          </cell>
          <cell r="C145">
            <v>3</v>
          </cell>
          <cell r="D145">
            <v>61</v>
          </cell>
          <cell r="E145">
            <v>9</v>
          </cell>
          <cell r="F145">
            <v>0</v>
          </cell>
          <cell r="G145">
            <v>0</v>
          </cell>
          <cell r="H145">
            <v>21</v>
          </cell>
          <cell r="I145">
            <v>0</v>
          </cell>
          <cell r="J145">
            <v>8</v>
          </cell>
          <cell r="K145">
            <v>7</v>
          </cell>
          <cell r="L145">
            <v>16</v>
          </cell>
          <cell r="M145">
            <v>0</v>
          </cell>
          <cell r="N145">
            <v>0</v>
          </cell>
          <cell r="O145">
            <v>2</v>
          </cell>
          <cell r="P145">
            <v>0</v>
          </cell>
          <cell r="Q145">
            <v>0</v>
          </cell>
          <cell r="R145">
            <v>4</v>
          </cell>
          <cell r="S145">
            <v>0</v>
          </cell>
          <cell r="T145">
            <v>0</v>
          </cell>
          <cell r="U145">
            <v>0</v>
          </cell>
          <cell r="V145">
            <v>1</v>
          </cell>
          <cell r="W145">
            <v>0</v>
          </cell>
          <cell r="X145">
            <v>2</v>
          </cell>
          <cell r="Z145">
            <v>11</v>
          </cell>
          <cell r="AA145">
            <v>2</v>
          </cell>
          <cell r="AB145">
            <v>20</v>
          </cell>
          <cell r="AC145">
            <v>5</v>
          </cell>
          <cell r="AD145">
            <v>0</v>
          </cell>
          <cell r="AE145">
            <v>0</v>
          </cell>
          <cell r="AF145">
            <v>10</v>
          </cell>
          <cell r="AG145">
            <v>0</v>
          </cell>
          <cell r="AH145">
            <v>3</v>
          </cell>
          <cell r="AI145">
            <v>2</v>
          </cell>
          <cell r="AJ145">
            <v>2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3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1969.4</v>
          </cell>
        </row>
        <row r="146">
          <cell r="B146">
            <v>8</v>
          </cell>
          <cell r="C146">
            <v>0</v>
          </cell>
          <cell r="D146">
            <v>51</v>
          </cell>
          <cell r="E146">
            <v>0</v>
          </cell>
          <cell r="F146">
            <v>0</v>
          </cell>
          <cell r="G146">
            <v>0</v>
          </cell>
          <cell r="H146">
            <v>26</v>
          </cell>
          <cell r="I146">
            <v>0</v>
          </cell>
          <cell r="J146">
            <v>0</v>
          </cell>
          <cell r="K146">
            <v>0</v>
          </cell>
          <cell r="L146">
            <v>25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2</v>
          </cell>
          <cell r="AA146">
            <v>0</v>
          </cell>
          <cell r="AB146">
            <v>7</v>
          </cell>
          <cell r="AC146">
            <v>0</v>
          </cell>
          <cell r="AD146">
            <v>0</v>
          </cell>
          <cell r="AE146">
            <v>0</v>
          </cell>
          <cell r="AF146">
            <v>7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3656</v>
          </cell>
        </row>
        <row r="147">
          <cell r="B147">
            <v>11</v>
          </cell>
          <cell r="C147">
            <v>2</v>
          </cell>
          <cell r="D147">
            <v>36</v>
          </cell>
          <cell r="E147">
            <v>8</v>
          </cell>
          <cell r="F147">
            <v>0</v>
          </cell>
          <cell r="G147">
            <v>0</v>
          </cell>
          <cell r="H147">
            <v>18</v>
          </cell>
          <cell r="I147">
            <v>0</v>
          </cell>
          <cell r="J147">
            <v>1</v>
          </cell>
          <cell r="K147">
            <v>13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3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6</v>
          </cell>
          <cell r="AA147">
            <v>1</v>
          </cell>
          <cell r="AB147">
            <v>15</v>
          </cell>
          <cell r="AC147">
            <v>6</v>
          </cell>
          <cell r="AD147">
            <v>0</v>
          </cell>
          <cell r="AE147">
            <v>0</v>
          </cell>
          <cell r="AF147">
            <v>2</v>
          </cell>
          <cell r="AG147">
            <v>0</v>
          </cell>
          <cell r="AH147">
            <v>0</v>
          </cell>
          <cell r="AI147">
            <v>12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804.36</v>
          </cell>
        </row>
        <row r="148">
          <cell r="B148">
            <v>3</v>
          </cell>
          <cell r="C148">
            <v>0</v>
          </cell>
          <cell r="D148">
            <v>9</v>
          </cell>
          <cell r="E148">
            <v>0</v>
          </cell>
          <cell r="F148">
            <v>0</v>
          </cell>
          <cell r="G148">
            <v>0</v>
          </cell>
          <cell r="H148">
            <v>3</v>
          </cell>
          <cell r="I148">
            <v>0</v>
          </cell>
          <cell r="J148">
            <v>0</v>
          </cell>
          <cell r="K148">
            <v>1</v>
          </cell>
          <cell r="L148">
            <v>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1</v>
          </cell>
          <cell r="AA148">
            <v>0</v>
          </cell>
          <cell r="AB148">
            <v>8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8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1200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0</v>
          </cell>
        </row>
        <row r="150">
          <cell r="B150">
            <v>4</v>
          </cell>
          <cell r="C150">
            <v>0</v>
          </cell>
          <cell r="D150">
            <v>17</v>
          </cell>
          <cell r="E150">
            <v>0</v>
          </cell>
          <cell r="F150">
            <v>0</v>
          </cell>
          <cell r="G150">
            <v>0</v>
          </cell>
          <cell r="H150">
            <v>15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2</v>
          </cell>
          <cell r="Z150">
            <v>4</v>
          </cell>
          <cell r="AA150">
            <v>0</v>
          </cell>
          <cell r="AB150">
            <v>13</v>
          </cell>
          <cell r="AC150">
            <v>0</v>
          </cell>
          <cell r="AD150">
            <v>0</v>
          </cell>
          <cell r="AE150">
            <v>0</v>
          </cell>
          <cell r="AF150">
            <v>12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X150">
            <v>1914.35</v>
          </cell>
        </row>
        <row r="151">
          <cell r="B151">
            <v>3</v>
          </cell>
          <cell r="C151">
            <v>1</v>
          </cell>
          <cell r="D151">
            <v>12</v>
          </cell>
          <cell r="E151">
            <v>2</v>
          </cell>
          <cell r="F151">
            <v>0</v>
          </cell>
          <cell r="G151">
            <v>0</v>
          </cell>
          <cell r="H151">
            <v>10</v>
          </cell>
          <cell r="I151">
            <v>0</v>
          </cell>
          <cell r="J151">
            <v>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2</v>
          </cell>
          <cell r="AA151">
            <v>1</v>
          </cell>
          <cell r="AB151">
            <v>12</v>
          </cell>
          <cell r="AC151">
            <v>2</v>
          </cell>
          <cell r="AD151">
            <v>0</v>
          </cell>
          <cell r="AE151">
            <v>0</v>
          </cell>
          <cell r="AF151">
            <v>10</v>
          </cell>
          <cell r="AG151">
            <v>0</v>
          </cell>
          <cell r="AH151">
            <v>2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X151">
            <v>321.33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X154">
            <v>0</v>
          </cell>
        </row>
        <row r="155">
          <cell r="B155">
            <v>3</v>
          </cell>
          <cell r="C155">
            <v>1</v>
          </cell>
          <cell r="D155">
            <v>9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8</v>
          </cell>
          <cell r="S155">
            <v>0</v>
          </cell>
          <cell r="T155">
            <v>1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Z155">
            <v>2</v>
          </cell>
          <cell r="AA155">
            <v>0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5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1280</v>
          </cell>
        </row>
        <row r="156">
          <cell r="B156">
            <v>1</v>
          </cell>
          <cell r="C156">
            <v>0</v>
          </cell>
          <cell r="D156">
            <v>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1</v>
          </cell>
          <cell r="AA156">
            <v>0</v>
          </cell>
          <cell r="AB156">
            <v>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1500</v>
          </cell>
        </row>
        <row r="157">
          <cell r="B157">
            <v>7</v>
          </cell>
          <cell r="C157">
            <v>0</v>
          </cell>
          <cell r="D157">
            <v>8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7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Z157">
            <v>5</v>
          </cell>
          <cell r="AA157">
            <v>0</v>
          </cell>
          <cell r="AB157">
            <v>5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4</v>
          </cell>
          <cell r="AQ157">
            <v>1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X157">
            <v>1939</v>
          </cell>
        </row>
        <row r="158">
          <cell r="B158">
            <v>1</v>
          </cell>
          <cell r="C158">
            <v>0</v>
          </cell>
          <cell r="D158">
            <v>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X158">
            <v>0</v>
          </cell>
        </row>
        <row r="159">
          <cell r="B159">
            <v>3</v>
          </cell>
          <cell r="C159">
            <v>0</v>
          </cell>
          <cell r="D159">
            <v>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X159">
            <v>0</v>
          </cell>
        </row>
        <row r="160">
          <cell r="B160">
            <v>1</v>
          </cell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</v>
          </cell>
          <cell r="X160">
            <v>0</v>
          </cell>
          <cell r="Z160">
            <v>1</v>
          </cell>
          <cell r="AA160">
            <v>0</v>
          </cell>
          <cell r="AB160">
            <v>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X160">
            <v>480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X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X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X163">
            <v>0</v>
          </cell>
        </row>
        <row r="164">
          <cell r="B164">
            <v>3</v>
          </cell>
          <cell r="C164">
            <v>0</v>
          </cell>
          <cell r="D164">
            <v>6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6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2</v>
          </cell>
          <cell r="AA164">
            <v>0</v>
          </cell>
          <cell r="AB164">
            <v>5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5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1136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X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X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0</v>
          </cell>
        </row>
        <row r="169">
          <cell r="B169">
            <v>1</v>
          </cell>
          <cell r="C169">
            <v>0</v>
          </cell>
          <cell r="D169">
            <v>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Z169">
            <v>1</v>
          </cell>
          <cell r="AA169">
            <v>0</v>
          </cell>
          <cell r="AB169">
            <v>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1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4500</v>
          </cell>
        </row>
        <row r="170">
          <cell r="B170">
            <v>5</v>
          </cell>
          <cell r="C170">
            <v>1</v>
          </cell>
          <cell r="D170">
            <v>11</v>
          </cell>
          <cell r="E170">
            <v>1</v>
          </cell>
          <cell r="F170">
            <v>0</v>
          </cell>
          <cell r="G170">
            <v>0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  <cell r="X170">
            <v>0</v>
          </cell>
          <cell r="Z170">
            <v>3</v>
          </cell>
          <cell r="AA170">
            <v>0</v>
          </cell>
          <cell r="AB170">
            <v>10</v>
          </cell>
          <cell r="AC170">
            <v>0</v>
          </cell>
          <cell r="AD170">
            <v>0</v>
          </cell>
          <cell r="AE170">
            <v>0</v>
          </cell>
          <cell r="AF170">
            <v>10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X170">
            <v>1036.4000000000001</v>
          </cell>
        </row>
        <row r="171">
          <cell r="B171">
            <v>8</v>
          </cell>
          <cell r="C171">
            <v>1</v>
          </cell>
          <cell r="D171">
            <v>32</v>
          </cell>
          <cell r="E171">
            <v>1</v>
          </cell>
          <cell r="F171">
            <v>0</v>
          </cell>
          <cell r="G171">
            <v>0</v>
          </cell>
          <cell r="H171">
            <v>20</v>
          </cell>
          <cell r="I171">
            <v>0</v>
          </cell>
          <cell r="J171">
            <v>1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Z171">
            <v>4</v>
          </cell>
          <cell r="AA171">
            <v>0</v>
          </cell>
          <cell r="AB171">
            <v>11</v>
          </cell>
          <cell r="AC171">
            <v>0</v>
          </cell>
          <cell r="AD171">
            <v>0</v>
          </cell>
          <cell r="AE171">
            <v>0</v>
          </cell>
          <cell r="AF171">
            <v>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3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X171">
            <v>2022.35</v>
          </cell>
        </row>
        <row r="172">
          <cell r="B172">
            <v>1</v>
          </cell>
          <cell r="C172">
            <v>0</v>
          </cell>
          <cell r="D172">
            <v>2</v>
          </cell>
          <cell r="E172">
            <v>0</v>
          </cell>
          <cell r="F172">
            <v>0</v>
          </cell>
          <cell r="G172">
            <v>0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Z172">
            <v>1</v>
          </cell>
          <cell r="AA172">
            <v>0</v>
          </cell>
          <cell r="AB172">
            <v>2</v>
          </cell>
          <cell r="AC172">
            <v>0</v>
          </cell>
          <cell r="AD172">
            <v>0</v>
          </cell>
          <cell r="AE172">
            <v>0</v>
          </cell>
          <cell r="AF172">
            <v>2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X172">
            <v>1560</v>
          </cell>
        </row>
        <row r="173">
          <cell r="B173">
            <v>2</v>
          </cell>
          <cell r="C173">
            <v>0</v>
          </cell>
          <cell r="D173">
            <v>14</v>
          </cell>
          <cell r="E173">
            <v>0</v>
          </cell>
          <cell r="F173">
            <v>0</v>
          </cell>
          <cell r="G173">
            <v>0</v>
          </cell>
          <cell r="H173">
            <v>14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Z173">
            <v>3</v>
          </cell>
          <cell r="AA173">
            <v>0</v>
          </cell>
          <cell r="AB173">
            <v>15</v>
          </cell>
          <cell r="AC173">
            <v>0</v>
          </cell>
          <cell r="AD173">
            <v>0</v>
          </cell>
          <cell r="AE173">
            <v>0</v>
          </cell>
          <cell r="AF173">
            <v>15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1488</v>
          </cell>
        </row>
        <row r="174">
          <cell r="B174">
            <v>2</v>
          </cell>
          <cell r="C174">
            <v>0</v>
          </cell>
          <cell r="D174">
            <v>61</v>
          </cell>
          <cell r="E174">
            <v>0</v>
          </cell>
          <cell r="F174">
            <v>0</v>
          </cell>
          <cell r="G174">
            <v>0</v>
          </cell>
          <cell r="H174">
            <v>61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2</v>
          </cell>
          <cell r="AA174">
            <v>0</v>
          </cell>
          <cell r="AB174">
            <v>22</v>
          </cell>
          <cell r="AC174">
            <v>0</v>
          </cell>
          <cell r="AD174">
            <v>0</v>
          </cell>
          <cell r="AE174">
            <v>0</v>
          </cell>
          <cell r="AF174">
            <v>22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262.97000000000003</v>
          </cell>
        </row>
        <row r="175">
          <cell r="B175">
            <v>4</v>
          </cell>
          <cell r="C175">
            <v>1</v>
          </cell>
          <cell r="D175">
            <v>11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2</v>
          </cell>
          <cell r="N175">
            <v>0</v>
          </cell>
          <cell r="O175">
            <v>1</v>
          </cell>
          <cell r="P175">
            <v>0</v>
          </cell>
          <cell r="Q175">
            <v>0</v>
          </cell>
          <cell r="R175">
            <v>5</v>
          </cell>
          <cell r="S175">
            <v>1</v>
          </cell>
          <cell r="T175">
            <v>0</v>
          </cell>
          <cell r="U175">
            <v>0</v>
          </cell>
          <cell r="V175">
            <v>1</v>
          </cell>
          <cell r="W175">
            <v>0</v>
          </cell>
          <cell r="X175">
            <v>1</v>
          </cell>
          <cell r="Z175">
            <v>2</v>
          </cell>
          <cell r="AA175">
            <v>1</v>
          </cell>
          <cell r="AB175">
            <v>2</v>
          </cell>
          <cell r="AC175">
            <v>1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</v>
          </cell>
          <cell r="AU175">
            <v>0</v>
          </cell>
          <cell r="AV175">
            <v>1</v>
          </cell>
          <cell r="AX175">
            <v>931</v>
          </cell>
        </row>
        <row r="176">
          <cell r="B176">
            <v>5</v>
          </cell>
          <cell r="C176">
            <v>0</v>
          </cell>
          <cell r="D176">
            <v>11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X176">
            <v>0</v>
          </cell>
        </row>
        <row r="177">
          <cell r="B177">
            <v>3</v>
          </cell>
          <cell r="C177">
            <v>3</v>
          </cell>
          <cell r="D177">
            <v>9</v>
          </cell>
          <cell r="E177">
            <v>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9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3</v>
          </cell>
          <cell r="AA177">
            <v>3</v>
          </cell>
          <cell r="AB177">
            <v>13</v>
          </cell>
          <cell r="AC177">
            <v>13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13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637.85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X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X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0</v>
          </cell>
        </row>
        <row r="183">
          <cell r="B183">
            <v>8</v>
          </cell>
          <cell r="C183">
            <v>0</v>
          </cell>
          <cell r="D183">
            <v>14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7</v>
          </cell>
          <cell r="L183">
            <v>5</v>
          </cell>
          <cell r="M183">
            <v>0</v>
          </cell>
          <cell r="N183">
            <v>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Z183">
            <v>4</v>
          </cell>
          <cell r="AA183">
            <v>0</v>
          </cell>
          <cell r="AB183">
            <v>7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5</v>
          </cell>
          <cell r="AJ183">
            <v>0</v>
          </cell>
          <cell r="AK183">
            <v>0</v>
          </cell>
          <cell r="AL183">
            <v>2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X183">
            <v>2306.9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X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X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X186">
            <v>0</v>
          </cell>
        </row>
        <row r="187">
          <cell r="AX187">
            <v>4009.12</v>
          </cell>
        </row>
        <row r="188">
          <cell r="B188">
            <v>7</v>
          </cell>
          <cell r="C188">
            <v>2</v>
          </cell>
          <cell r="D188">
            <v>15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1</v>
          </cell>
          <cell r="L188">
            <v>2</v>
          </cell>
          <cell r="M188">
            <v>4</v>
          </cell>
          <cell r="N188">
            <v>1</v>
          </cell>
          <cell r="O188">
            <v>2</v>
          </cell>
          <cell r="P188">
            <v>0</v>
          </cell>
          <cell r="Q188">
            <v>0</v>
          </cell>
          <cell r="R188">
            <v>1</v>
          </cell>
          <cell r="S188">
            <v>0</v>
          </cell>
          <cell r="T188">
            <v>0</v>
          </cell>
          <cell r="U188">
            <v>1</v>
          </cell>
          <cell r="V188">
            <v>0</v>
          </cell>
          <cell r="W188">
            <v>2</v>
          </cell>
          <cell r="X188">
            <v>1</v>
          </cell>
          <cell r="Z188">
            <v>5</v>
          </cell>
          <cell r="AA188">
            <v>1</v>
          </cell>
          <cell r="AB188">
            <v>12</v>
          </cell>
          <cell r="AC188">
            <v>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4</v>
          </cell>
          <cell r="AL188">
            <v>2</v>
          </cell>
          <cell r="AM188">
            <v>3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2</v>
          </cell>
          <cell r="AV188">
            <v>0</v>
          </cell>
          <cell r="AX188">
            <v>4009.12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0</v>
          </cell>
        </row>
        <row r="190">
          <cell r="AX190">
            <v>1708.78</v>
          </cell>
        </row>
        <row r="192">
          <cell r="B192">
            <v>18</v>
          </cell>
          <cell r="C192">
            <v>10</v>
          </cell>
          <cell r="D192">
            <v>98</v>
          </cell>
          <cell r="E192">
            <v>63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</v>
          </cell>
          <cell r="S192">
            <v>1</v>
          </cell>
          <cell r="T192">
            <v>0</v>
          </cell>
          <cell r="U192">
            <v>11</v>
          </cell>
          <cell r="V192">
            <v>67</v>
          </cell>
          <cell r="W192">
            <v>0</v>
          </cell>
          <cell r="X192">
            <v>18</v>
          </cell>
          <cell r="Z192">
            <v>9</v>
          </cell>
          <cell r="AA192">
            <v>3</v>
          </cell>
          <cell r="AB192">
            <v>41</v>
          </cell>
          <cell r="AC192">
            <v>15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</v>
          </cell>
          <cell r="AR192">
            <v>0</v>
          </cell>
          <cell r="AS192">
            <v>9</v>
          </cell>
          <cell r="AT192">
            <v>18</v>
          </cell>
          <cell r="AU192">
            <v>0</v>
          </cell>
          <cell r="AV192">
            <v>13</v>
          </cell>
          <cell r="AX192">
            <v>2029.42</v>
          </cell>
        </row>
        <row r="193">
          <cell r="B193">
            <v>6</v>
          </cell>
          <cell r="C193">
            <v>3</v>
          </cell>
          <cell r="D193">
            <v>26</v>
          </cell>
          <cell r="E193">
            <v>14</v>
          </cell>
          <cell r="F193">
            <v>0</v>
          </cell>
          <cell r="G193">
            <v>0</v>
          </cell>
          <cell r="H193">
            <v>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8</v>
          </cell>
          <cell r="V193">
            <v>17</v>
          </cell>
          <cell r="W193">
            <v>0</v>
          </cell>
          <cell r="X193">
            <v>0</v>
          </cell>
          <cell r="Z193">
            <v>5</v>
          </cell>
          <cell r="AA193">
            <v>2</v>
          </cell>
          <cell r="AB193">
            <v>30</v>
          </cell>
          <cell r="AC193">
            <v>23</v>
          </cell>
          <cell r="AD193">
            <v>0</v>
          </cell>
          <cell r="AE193">
            <v>0</v>
          </cell>
          <cell r="AF193">
            <v>1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10</v>
          </cell>
          <cell r="AT193">
            <v>19</v>
          </cell>
          <cell r="AU193">
            <v>0</v>
          </cell>
          <cell r="AV193">
            <v>0</v>
          </cell>
          <cell r="AX193">
            <v>925.36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X194">
            <v>0</v>
          </cell>
        </row>
        <row r="195">
          <cell r="B195">
            <v>2</v>
          </cell>
          <cell r="C195">
            <v>1</v>
          </cell>
          <cell r="D195">
            <v>4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4</v>
          </cell>
          <cell r="W195">
            <v>0</v>
          </cell>
          <cell r="X195">
            <v>0</v>
          </cell>
          <cell r="Z195">
            <v>1</v>
          </cell>
          <cell r="AA195">
            <v>0</v>
          </cell>
          <cell r="AB195">
            <v>3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3</v>
          </cell>
          <cell r="AU195">
            <v>0</v>
          </cell>
          <cell r="AV195">
            <v>0</v>
          </cell>
          <cell r="AX195">
            <v>1600</v>
          </cell>
        </row>
        <row r="196">
          <cell r="B196">
            <v>1</v>
          </cell>
          <cell r="C196">
            <v>0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</v>
          </cell>
          <cell r="W196">
            <v>0</v>
          </cell>
          <cell r="X196">
            <v>0</v>
          </cell>
          <cell r="Z196">
            <v>1</v>
          </cell>
          <cell r="AA196">
            <v>0</v>
          </cell>
          <cell r="AB196">
            <v>1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1</v>
          </cell>
          <cell r="AU196">
            <v>0</v>
          </cell>
          <cell r="AV196">
            <v>0</v>
          </cell>
          <cell r="AX196">
            <v>2600</v>
          </cell>
        </row>
        <row r="197">
          <cell r="B197">
            <v>2</v>
          </cell>
          <cell r="C197">
            <v>0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2</v>
          </cell>
          <cell r="W197">
            <v>0</v>
          </cell>
          <cell r="X197">
            <v>0</v>
          </cell>
          <cell r="Z197">
            <v>1</v>
          </cell>
          <cell r="AA197">
            <v>0</v>
          </cell>
          <cell r="AB197">
            <v>1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</v>
          </cell>
          <cell r="AU197">
            <v>0</v>
          </cell>
          <cell r="AV197">
            <v>0</v>
          </cell>
          <cell r="AX197">
            <v>750</v>
          </cell>
        </row>
        <row r="198">
          <cell r="B198">
            <v>5</v>
          </cell>
          <cell r="C198">
            <v>7</v>
          </cell>
          <cell r="D198">
            <v>10</v>
          </cell>
          <cell r="E198">
            <v>8</v>
          </cell>
          <cell r="F198">
            <v>0</v>
          </cell>
          <cell r="G198">
            <v>0</v>
          </cell>
          <cell r="H198">
            <v>1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9</v>
          </cell>
          <cell r="V198">
            <v>0</v>
          </cell>
          <cell r="W198">
            <v>0</v>
          </cell>
          <cell r="X198">
            <v>0</v>
          </cell>
          <cell r="Z198">
            <v>6</v>
          </cell>
          <cell r="AA198">
            <v>4</v>
          </cell>
          <cell r="AB198">
            <v>12</v>
          </cell>
          <cell r="AC198">
            <v>10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12</v>
          </cell>
          <cell r="AT198">
            <v>0</v>
          </cell>
          <cell r="AU198">
            <v>0</v>
          </cell>
          <cell r="AV198">
            <v>0</v>
          </cell>
          <cell r="AX198">
            <v>2824</v>
          </cell>
        </row>
        <row r="199">
          <cell r="B199">
            <v>1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1</v>
          </cell>
          <cell r="W199">
            <v>0</v>
          </cell>
          <cell r="X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X199">
            <v>0</v>
          </cell>
        </row>
        <row r="200">
          <cell r="B200">
            <v>3</v>
          </cell>
          <cell r="C200">
            <v>2</v>
          </cell>
          <cell r="D200">
            <v>5</v>
          </cell>
          <cell r="E200">
            <v>4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</v>
          </cell>
          <cell r="V200">
            <v>2</v>
          </cell>
          <cell r="W200">
            <v>0</v>
          </cell>
          <cell r="X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X200">
            <v>0</v>
          </cell>
        </row>
        <row r="201">
          <cell r="B201">
            <v>2</v>
          </cell>
          <cell r="C201">
            <v>1</v>
          </cell>
          <cell r="D201">
            <v>2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1</v>
          </cell>
          <cell r="V201">
            <v>1</v>
          </cell>
          <cell r="W201">
            <v>0</v>
          </cell>
          <cell r="X201">
            <v>0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1</v>
          </cell>
          <cell r="AT201">
            <v>0</v>
          </cell>
          <cell r="AU201">
            <v>0</v>
          </cell>
          <cell r="AV201">
            <v>0</v>
          </cell>
          <cell r="AX201">
            <v>2600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X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0</v>
          </cell>
        </row>
        <row r="205">
          <cell r="AX205">
            <v>2690</v>
          </cell>
        </row>
        <row r="206">
          <cell r="B206">
            <v>5</v>
          </cell>
          <cell r="C206">
            <v>0</v>
          </cell>
          <cell r="D206">
            <v>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</v>
          </cell>
          <cell r="V206">
            <v>4</v>
          </cell>
          <cell r="W206">
            <v>0</v>
          </cell>
          <cell r="X206">
            <v>1</v>
          </cell>
          <cell r="Z206">
            <v>3</v>
          </cell>
          <cell r="AA206">
            <v>0</v>
          </cell>
          <cell r="AB206">
            <v>3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2</v>
          </cell>
          <cell r="AU206">
            <v>0</v>
          </cell>
          <cell r="AV206">
            <v>1</v>
          </cell>
          <cell r="AX206">
            <v>3856.67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X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X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X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X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X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0</v>
          </cell>
        </row>
        <row r="215">
          <cell r="B215">
            <v>3</v>
          </cell>
          <cell r="C215">
            <v>1</v>
          </cell>
          <cell r="D215">
            <v>3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0</v>
          </cell>
          <cell r="W215">
            <v>0</v>
          </cell>
          <cell r="X215">
            <v>1</v>
          </cell>
          <cell r="Z215">
            <v>2</v>
          </cell>
          <cell r="AA215">
            <v>0</v>
          </cell>
          <cell r="AB215">
            <v>2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</v>
          </cell>
          <cell r="AX215">
            <v>1530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X216">
            <v>0</v>
          </cell>
        </row>
        <row r="217">
          <cell r="B217">
            <v>2</v>
          </cell>
          <cell r="C217">
            <v>1</v>
          </cell>
          <cell r="D217">
            <v>2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0</v>
          </cell>
          <cell r="W217">
            <v>0</v>
          </cell>
          <cell r="X217">
            <v>0</v>
          </cell>
          <cell r="Z217">
            <v>2</v>
          </cell>
          <cell r="AA217">
            <v>1</v>
          </cell>
          <cell r="AB217">
            <v>2</v>
          </cell>
          <cell r="AC217">
            <v>1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2</v>
          </cell>
          <cell r="AT217">
            <v>0</v>
          </cell>
          <cell r="AU217">
            <v>0</v>
          </cell>
          <cell r="AV217">
            <v>0</v>
          </cell>
          <cell r="AX217">
            <v>2100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X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X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X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X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X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X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X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X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X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X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X232">
            <v>0</v>
          </cell>
        </row>
        <row r="233">
          <cell r="AX233">
            <v>3799.74</v>
          </cell>
        </row>
        <row r="234">
          <cell r="B234">
            <v>2</v>
          </cell>
          <cell r="C234">
            <v>0</v>
          </cell>
          <cell r="D234">
            <v>2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0</v>
          </cell>
        </row>
        <row r="235">
          <cell r="B235">
            <v>5</v>
          </cell>
          <cell r="C235">
            <v>2</v>
          </cell>
          <cell r="D235">
            <v>5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  <cell r="L235">
            <v>0</v>
          </cell>
          <cell r="M235">
            <v>3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Z235">
            <v>2</v>
          </cell>
          <cell r="AA235">
            <v>0</v>
          </cell>
          <cell r="AB235">
            <v>2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  <cell r="AK235">
            <v>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X235">
            <v>6215</v>
          </cell>
        </row>
        <row r="236">
          <cell r="B236">
            <v>36</v>
          </cell>
          <cell r="C236">
            <v>4</v>
          </cell>
          <cell r="D236">
            <v>74</v>
          </cell>
          <cell r="E236">
            <v>6</v>
          </cell>
          <cell r="F236">
            <v>4</v>
          </cell>
          <cell r="G236">
            <v>1</v>
          </cell>
          <cell r="H236">
            <v>9</v>
          </cell>
          <cell r="I236">
            <v>0</v>
          </cell>
          <cell r="J236">
            <v>5</v>
          </cell>
          <cell r="K236">
            <v>7</v>
          </cell>
          <cell r="L236">
            <v>23</v>
          </cell>
          <cell r="M236">
            <v>18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6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1</v>
          </cell>
          <cell r="X236">
            <v>0</v>
          </cell>
          <cell r="Z236">
            <v>36</v>
          </cell>
          <cell r="AA236">
            <v>2</v>
          </cell>
          <cell r="AB236">
            <v>49</v>
          </cell>
          <cell r="AC236">
            <v>3</v>
          </cell>
          <cell r="AD236">
            <v>1</v>
          </cell>
          <cell r="AE236">
            <v>1</v>
          </cell>
          <cell r="AF236">
            <v>7</v>
          </cell>
          <cell r="AG236">
            <v>0</v>
          </cell>
          <cell r="AH236">
            <v>4</v>
          </cell>
          <cell r="AI236">
            <v>5</v>
          </cell>
          <cell r="AJ236">
            <v>14</v>
          </cell>
          <cell r="AK236">
            <v>12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4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X236">
            <v>3876.65</v>
          </cell>
        </row>
        <row r="237">
          <cell r="B237">
            <v>1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0</v>
          </cell>
        </row>
        <row r="238">
          <cell r="B238">
            <v>1</v>
          </cell>
          <cell r="C238">
            <v>1</v>
          </cell>
          <cell r="D238">
            <v>3</v>
          </cell>
          <cell r="E238">
            <v>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3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Z238">
            <v>1</v>
          </cell>
          <cell r="AA238">
            <v>1</v>
          </cell>
          <cell r="AB238">
            <v>3</v>
          </cell>
          <cell r="AC238">
            <v>3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3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X238">
            <v>600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X239">
            <v>0</v>
          </cell>
        </row>
        <row r="240">
          <cell r="B240">
            <v>1</v>
          </cell>
          <cell r="C240">
            <v>0</v>
          </cell>
          <cell r="D240">
            <v>6</v>
          </cell>
          <cell r="E240">
            <v>0</v>
          </cell>
          <cell r="F240">
            <v>0</v>
          </cell>
          <cell r="G240">
            <v>0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X240">
            <v>0</v>
          </cell>
        </row>
        <row r="241">
          <cell r="AX241">
            <v>1456.26</v>
          </cell>
        </row>
        <row r="243">
          <cell r="B243">
            <v>86</v>
          </cell>
          <cell r="C243">
            <v>7</v>
          </cell>
          <cell r="D243">
            <v>171</v>
          </cell>
          <cell r="E243">
            <v>8</v>
          </cell>
          <cell r="F243">
            <v>0</v>
          </cell>
          <cell r="G243">
            <v>0</v>
          </cell>
          <cell r="H243">
            <v>24</v>
          </cell>
          <cell r="I243">
            <v>0</v>
          </cell>
          <cell r="J243">
            <v>4</v>
          </cell>
          <cell r="K243">
            <v>3</v>
          </cell>
          <cell r="L243">
            <v>15</v>
          </cell>
          <cell r="M243">
            <v>10</v>
          </cell>
          <cell r="N243">
            <v>0</v>
          </cell>
          <cell r="O243">
            <v>1</v>
          </cell>
          <cell r="P243">
            <v>2</v>
          </cell>
          <cell r="Q243">
            <v>0</v>
          </cell>
          <cell r="R243">
            <v>91</v>
          </cell>
          <cell r="S243">
            <v>2</v>
          </cell>
          <cell r="T243">
            <v>3</v>
          </cell>
          <cell r="U243">
            <v>2</v>
          </cell>
          <cell r="V243">
            <v>4</v>
          </cell>
          <cell r="W243">
            <v>4</v>
          </cell>
          <cell r="X243">
            <v>6</v>
          </cell>
          <cell r="Z243">
            <v>44</v>
          </cell>
          <cell r="AA243">
            <v>5</v>
          </cell>
          <cell r="AB243">
            <v>65</v>
          </cell>
          <cell r="AC243">
            <v>6</v>
          </cell>
          <cell r="AD243">
            <v>0</v>
          </cell>
          <cell r="AE243">
            <v>0</v>
          </cell>
          <cell r="AF243">
            <v>10</v>
          </cell>
          <cell r="AG243">
            <v>0</v>
          </cell>
          <cell r="AH243">
            <v>2</v>
          </cell>
          <cell r="AI243">
            <v>1</v>
          </cell>
          <cell r="AJ243">
            <v>6</v>
          </cell>
          <cell r="AK243">
            <v>3</v>
          </cell>
          <cell r="AL243">
            <v>0</v>
          </cell>
          <cell r="AM243">
            <v>0</v>
          </cell>
          <cell r="AN243">
            <v>1</v>
          </cell>
          <cell r="AO243">
            <v>0</v>
          </cell>
          <cell r="AP243">
            <v>31</v>
          </cell>
          <cell r="AQ243">
            <v>1</v>
          </cell>
          <cell r="AR243">
            <v>1</v>
          </cell>
          <cell r="AS243">
            <v>1</v>
          </cell>
          <cell r="AT243">
            <v>2</v>
          </cell>
          <cell r="AU243">
            <v>2</v>
          </cell>
          <cell r="AV243">
            <v>4</v>
          </cell>
          <cell r="AX243">
            <v>1899.72</v>
          </cell>
        </row>
        <row r="244">
          <cell r="B244">
            <v>2</v>
          </cell>
          <cell r="C244">
            <v>2</v>
          </cell>
          <cell r="D244">
            <v>6</v>
          </cell>
          <cell r="E244">
            <v>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4</v>
          </cell>
          <cell r="U244">
            <v>0</v>
          </cell>
          <cell r="V244">
            <v>2</v>
          </cell>
          <cell r="W244">
            <v>0</v>
          </cell>
          <cell r="X244">
            <v>0</v>
          </cell>
          <cell r="Z244">
            <v>2</v>
          </cell>
          <cell r="AA244">
            <v>2</v>
          </cell>
          <cell r="AB244">
            <v>6</v>
          </cell>
          <cell r="AC244">
            <v>6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4</v>
          </cell>
          <cell r="AS244">
            <v>0</v>
          </cell>
          <cell r="AT244">
            <v>2</v>
          </cell>
          <cell r="AU244">
            <v>0</v>
          </cell>
          <cell r="AV244">
            <v>0</v>
          </cell>
          <cell r="AX244">
            <v>1269.92</v>
          </cell>
        </row>
        <row r="246">
          <cell r="B246">
            <v>47</v>
          </cell>
          <cell r="C246">
            <v>9</v>
          </cell>
          <cell r="D246">
            <v>75</v>
          </cell>
          <cell r="E246">
            <v>15</v>
          </cell>
          <cell r="F246">
            <v>0</v>
          </cell>
          <cell r="G246">
            <v>0</v>
          </cell>
          <cell r="H246">
            <v>6</v>
          </cell>
          <cell r="I246">
            <v>0</v>
          </cell>
          <cell r="J246">
            <v>4</v>
          </cell>
          <cell r="K246">
            <v>0</v>
          </cell>
          <cell r="L246">
            <v>6</v>
          </cell>
          <cell r="M246">
            <v>2</v>
          </cell>
          <cell r="N246">
            <v>2</v>
          </cell>
          <cell r="O246">
            <v>2</v>
          </cell>
          <cell r="P246">
            <v>0</v>
          </cell>
          <cell r="Q246">
            <v>0</v>
          </cell>
          <cell r="R246">
            <v>31</v>
          </cell>
          <cell r="S246">
            <v>10</v>
          </cell>
          <cell r="T246">
            <v>1</v>
          </cell>
          <cell r="U246">
            <v>0</v>
          </cell>
          <cell r="V246">
            <v>7</v>
          </cell>
          <cell r="W246">
            <v>0</v>
          </cell>
          <cell r="X246">
            <v>4</v>
          </cell>
          <cell r="Z246">
            <v>15</v>
          </cell>
          <cell r="AA246">
            <v>6</v>
          </cell>
          <cell r="AB246">
            <v>36</v>
          </cell>
          <cell r="AC246">
            <v>12</v>
          </cell>
          <cell r="AD246">
            <v>0</v>
          </cell>
          <cell r="AE246">
            <v>0</v>
          </cell>
          <cell r="AF246">
            <v>2</v>
          </cell>
          <cell r="AG246">
            <v>0</v>
          </cell>
          <cell r="AH246">
            <v>6</v>
          </cell>
          <cell r="AI246">
            <v>0</v>
          </cell>
          <cell r="AJ246">
            <v>3</v>
          </cell>
          <cell r="AK246">
            <v>0</v>
          </cell>
          <cell r="AL246">
            <v>2</v>
          </cell>
          <cell r="AM246">
            <v>2</v>
          </cell>
          <cell r="AN246">
            <v>0</v>
          </cell>
          <cell r="AO246">
            <v>0</v>
          </cell>
          <cell r="AP246">
            <v>12</v>
          </cell>
          <cell r="AQ246">
            <v>3</v>
          </cell>
          <cell r="AR246">
            <v>0</v>
          </cell>
          <cell r="AS246">
            <v>0</v>
          </cell>
          <cell r="AT246">
            <v>3</v>
          </cell>
          <cell r="AU246">
            <v>0</v>
          </cell>
          <cell r="AV246">
            <v>3</v>
          </cell>
          <cell r="AX246">
            <v>1673.71</v>
          </cell>
        </row>
        <row r="247">
          <cell r="B247">
            <v>10</v>
          </cell>
          <cell r="C247">
            <v>10</v>
          </cell>
          <cell r="D247">
            <v>14</v>
          </cell>
          <cell r="E247">
            <v>14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5</v>
          </cell>
          <cell r="U247">
            <v>1</v>
          </cell>
          <cell r="V247">
            <v>6</v>
          </cell>
          <cell r="W247">
            <v>0</v>
          </cell>
          <cell r="X247">
            <v>0</v>
          </cell>
          <cell r="Z247">
            <v>7</v>
          </cell>
          <cell r="AA247">
            <v>8</v>
          </cell>
          <cell r="AB247">
            <v>28</v>
          </cell>
          <cell r="AC247">
            <v>28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23</v>
          </cell>
          <cell r="AS247">
            <v>0</v>
          </cell>
          <cell r="AT247">
            <v>5</v>
          </cell>
          <cell r="AU247">
            <v>0</v>
          </cell>
          <cell r="AV247">
            <v>0</v>
          </cell>
          <cell r="AX247">
            <v>735.43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X248">
            <v>0</v>
          </cell>
        </row>
        <row r="249">
          <cell r="B249">
            <v>3</v>
          </cell>
          <cell r="C249">
            <v>1</v>
          </cell>
          <cell r="D249">
            <v>4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2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Z249">
            <v>2</v>
          </cell>
          <cell r="AA249">
            <v>1</v>
          </cell>
          <cell r="AB249">
            <v>2</v>
          </cell>
          <cell r="AC249">
            <v>1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1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X249">
            <v>2560</v>
          </cell>
        </row>
        <row r="250">
          <cell r="B250">
            <v>1</v>
          </cell>
          <cell r="C250">
            <v>1</v>
          </cell>
          <cell r="D250">
            <v>5</v>
          </cell>
          <cell r="E250">
            <v>5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1</v>
          </cell>
          <cell r="AA250">
            <v>1</v>
          </cell>
          <cell r="AB250">
            <v>5</v>
          </cell>
          <cell r="AC250">
            <v>5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5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192</v>
          </cell>
        </row>
        <row r="251">
          <cell r="B251">
            <v>9</v>
          </cell>
          <cell r="C251">
            <v>4</v>
          </cell>
          <cell r="D251">
            <v>30</v>
          </cell>
          <cell r="E251">
            <v>8</v>
          </cell>
          <cell r="F251">
            <v>0</v>
          </cell>
          <cell r="G251">
            <v>0</v>
          </cell>
          <cell r="H251">
            <v>1</v>
          </cell>
          <cell r="I251">
            <v>0</v>
          </cell>
          <cell r="J251">
            <v>0</v>
          </cell>
          <cell r="K251">
            <v>0</v>
          </cell>
          <cell r="L251">
            <v>1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</v>
          </cell>
          <cell r="S251">
            <v>0</v>
          </cell>
          <cell r="T251">
            <v>5</v>
          </cell>
          <cell r="U251">
            <v>0</v>
          </cell>
          <cell r="V251">
            <v>3</v>
          </cell>
          <cell r="W251">
            <v>0</v>
          </cell>
          <cell r="X251">
            <v>0</v>
          </cell>
          <cell r="Z251">
            <v>5</v>
          </cell>
          <cell r="AA251">
            <v>2</v>
          </cell>
          <cell r="AB251">
            <v>15</v>
          </cell>
          <cell r="AC251">
            <v>2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13</v>
          </cell>
          <cell r="AQ251">
            <v>0</v>
          </cell>
          <cell r="AR251">
            <v>0</v>
          </cell>
          <cell r="AS251">
            <v>0</v>
          </cell>
          <cell r="AT251">
            <v>2</v>
          </cell>
          <cell r="AU251">
            <v>0</v>
          </cell>
          <cell r="AV251">
            <v>0</v>
          </cell>
          <cell r="AX251">
            <v>671.27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X252">
            <v>0</v>
          </cell>
        </row>
        <row r="253">
          <cell r="B253">
            <v>1</v>
          </cell>
          <cell r="C253">
            <v>0</v>
          </cell>
          <cell r="D253">
            <v>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Z253">
            <v>1</v>
          </cell>
          <cell r="AA253">
            <v>0</v>
          </cell>
          <cell r="AB253">
            <v>11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11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X253">
            <v>630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0</v>
          </cell>
        </row>
        <row r="255">
          <cell r="B255">
            <v>3</v>
          </cell>
          <cell r="C255">
            <v>3</v>
          </cell>
          <cell r="D255">
            <v>4</v>
          </cell>
          <cell r="E255">
            <v>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4</v>
          </cell>
          <cell r="W255">
            <v>0</v>
          </cell>
          <cell r="X255">
            <v>0</v>
          </cell>
          <cell r="Z255">
            <v>1</v>
          </cell>
          <cell r="AA255">
            <v>1</v>
          </cell>
          <cell r="AB255">
            <v>2</v>
          </cell>
          <cell r="AC255">
            <v>2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2</v>
          </cell>
          <cell r="AU255">
            <v>0</v>
          </cell>
          <cell r="AV255">
            <v>0</v>
          </cell>
          <cell r="AX255">
            <v>851.2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X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X258">
            <v>0</v>
          </cell>
        </row>
        <row r="259">
          <cell r="B259">
            <v>1123</v>
          </cell>
          <cell r="C259">
            <v>247</v>
          </cell>
          <cell r="D259">
            <v>5629</v>
          </cell>
          <cell r="E259">
            <v>1576</v>
          </cell>
          <cell r="F259">
            <v>4</v>
          </cell>
          <cell r="G259">
            <v>16</v>
          </cell>
          <cell r="H259">
            <v>1612</v>
          </cell>
          <cell r="I259">
            <v>0</v>
          </cell>
          <cell r="J259">
            <v>131</v>
          </cell>
          <cell r="K259">
            <v>246</v>
          </cell>
          <cell r="L259">
            <v>443</v>
          </cell>
          <cell r="M259">
            <v>74</v>
          </cell>
          <cell r="N259">
            <v>166</v>
          </cell>
          <cell r="O259">
            <v>46</v>
          </cell>
          <cell r="P259">
            <v>64</v>
          </cell>
          <cell r="Q259">
            <v>0</v>
          </cell>
          <cell r="R259">
            <v>280</v>
          </cell>
          <cell r="S259">
            <v>56</v>
          </cell>
          <cell r="T259">
            <v>42</v>
          </cell>
          <cell r="U259">
            <v>61</v>
          </cell>
          <cell r="V259">
            <v>2094</v>
          </cell>
          <cell r="W259">
            <v>14</v>
          </cell>
          <cell r="X259">
            <v>280</v>
          </cell>
          <cell r="Y259">
            <v>5629</v>
          </cell>
          <cell r="Z259">
            <v>753</v>
          </cell>
          <cell r="AA259">
            <v>177</v>
          </cell>
          <cell r="AB259">
            <v>3040</v>
          </cell>
          <cell r="AC259">
            <v>866</v>
          </cell>
          <cell r="AD259">
            <v>1</v>
          </cell>
          <cell r="AE259">
            <v>13</v>
          </cell>
          <cell r="AF259">
            <v>1015</v>
          </cell>
          <cell r="AG259">
            <v>0</v>
          </cell>
          <cell r="AH259">
            <v>119</v>
          </cell>
          <cell r="AI259">
            <v>93</v>
          </cell>
          <cell r="AJ259">
            <v>234</v>
          </cell>
          <cell r="AK259">
            <v>35</v>
          </cell>
          <cell r="AL259">
            <v>57</v>
          </cell>
          <cell r="AM259">
            <v>16</v>
          </cell>
          <cell r="AN259">
            <v>61</v>
          </cell>
          <cell r="AO259">
            <v>0</v>
          </cell>
          <cell r="AP259">
            <v>105</v>
          </cell>
          <cell r="AQ259">
            <v>21</v>
          </cell>
          <cell r="AR259">
            <v>46</v>
          </cell>
          <cell r="AS259">
            <v>51</v>
          </cell>
          <cell r="AT259">
            <v>1039</v>
          </cell>
          <cell r="AU259">
            <v>8</v>
          </cell>
          <cell r="AV259">
            <v>126</v>
          </cell>
          <cell r="AW259">
            <v>3040</v>
          </cell>
          <cell r="AX259">
            <v>1892.15</v>
          </cell>
        </row>
      </sheetData>
      <sheetData sheetId="4">
        <row r="6">
          <cell r="AX6">
            <v>1037.647432283811</v>
          </cell>
        </row>
        <row r="7">
          <cell r="B7">
            <v>71</v>
          </cell>
          <cell r="C7">
            <v>60</v>
          </cell>
          <cell r="D7">
            <v>232</v>
          </cell>
          <cell r="E7">
            <v>225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2</v>
          </cell>
          <cell r="U7">
            <v>0</v>
          </cell>
          <cell r="V7">
            <v>228</v>
          </cell>
          <cell r="W7">
            <v>0</v>
          </cell>
          <cell r="X7">
            <v>2</v>
          </cell>
          <cell r="Z7">
            <v>66</v>
          </cell>
          <cell r="AA7">
            <v>49</v>
          </cell>
          <cell r="AB7">
            <v>209</v>
          </cell>
          <cell r="AC7">
            <v>195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2</v>
          </cell>
          <cell r="AS7">
            <v>0</v>
          </cell>
          <cell r="AT7">
            <v>206</v>
          </cell>
          <cell r="AU7">
            <v>0</v>
          </cell>
          <cell r="AV7">
            <v>1</v>
          </cell>
          <cell r="AX7">
            <v>1334.2294117647057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X8">
            <v>0</v>
          </cell>
        </row>
        <row r="9">
          <cell r="B9">
            <v>5</v>
          </cell>
          <cell r="C9">
            <v>4</v>
          </cell>
          <cell r="D9">
            <v>16</v>
          </cell>
          <cell r="E9">
            <v>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3</v>
          </cell>
          <cell r="W9">
            <v>0</v>
          </cell>
          <cell r="X9">
            <v>0</v>
          </cell>
          <cell r="Z9">
            <v>3</v>
          </cell>
          <cell r="AA9">
            <v>2</v>
          </cell>
          <cell r="AB9">
            <v>14</v>
          </cell>
          <cell r="AC9">
            <v>3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X9">
            <v>208</v>
          </cell>
        </row>
        <row r="10">
          <cell r="B10">
            <v>42</v>
          </cell>
          <cell r="C10">
            <v>11</v>
          </cell>
          <cell r="D10">
            <v>87</v>
          </cell>
          <cell r="E10">
            <v>15</v>
          </cell>
          <cell r="F10">
            <v>0</v>
          </cell>
          <cell r="G10">
            <v>0</v>
          </cell>
          <cell r="H10">
            <v>9</v>
          </cell>
          <cell r="I10">
            <v>0</v>
          </cell>
          <cell r="J10">
            <v>37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8</v>
          </cell>
          <cell r="P10">
            <v>0</v>
          </cell>
          <cell r="Q10">
            <v>0</v>
          </cell>
          <cell r="R10">
            <v>12</v>
          </cell>
          <cell r="S10">
            <v>2</v>
          </cell>
          <cell r="T10">
            <v>1</v>
          </cell>
          <cell r="U10">
            <v>2</v>
          </cell>
          <cell r="V10">
            <v>3</v>
          </cell>
          <cell r="W10">
            <v>6</v>
          </cell>
          <cell r="X10">
            <v>6</v>
          </cell>
          <cell r="Z10">
            <v>25</v>
          </cell>
          <cell r="AA10">
            <v>8</v>
          </cell>
          <cell r="AB10">
            <v>69</v>
          </cell>
          <cell r="AC10">
            <v>11</v>
          </cell>
          <cell r="AD10">
            <v>0</v>
          </cell>
          <cell r="AE10">
            <v>0</v>
          </cell>
          <cell r="AF10">
            <v>7</v>
          </cell>
          <cell r="AG10">
            <v>0</v>
          </cell>
          <cell r="AH10">
            <v>37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1</v>
          </cell>
          <cell r="AS10">
            <v>1</v>
          </cell>
          <cell r="AT10">
            <v>2</v>
          </cell>
          <cell r="AU10">
            <v>6</v>
          </cell>
          <cell r="AV10">
            <v>6</v>
          </cell>
          <cell r="AX10">
            <v>756.80769230769226</v>
          </cell>
        </row>
        <row r="11">
          <cell r="B11">
            <v>5</v>
          </cell>
          <cell r="C11">
            <v>2</v>
          </cell>
          <cell r="D11">
            <v>5</v>
          </cell>
          <cell r="E11">
            <v>2</v>
          </cell>
          <cell r="F11">
            <v>0</v>
          </cell>
          <cell r="G11">
            <v>0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</v>
          </cell>
          <cell r="W11">
            <v>0</v>
          </cell>
          <cell r="X11">
            <v>0</v>
          </cell>
          <cell r="Z11">
            <v>5</v>
          </cell>
          <cell r="AA11">
            <v>2</v>
          </cell>
          <cell r="AB11">
            <v>5</v>
          </cell>
          <cell r="AC11">
            <v>2</v>
          </cell>
          <cell r="AD11">
            <v>0</v>
          </cell>
          <cell r="AE11">
            <v>0</v>
          </cell>
          <cell r="AF11">
            <v>3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2</v>
          </cell>
          <cell r="AU11">
            <v>0</v>
          </cell>
          <cell r="AV11">
            <v>0</v>
          </cell>
          <cell r="AX11">
            <v>1549.3333333333333</v>
          </cell>
        </row>
        <row r="12">
          <cell r="B12">
            <v>4</v>
          </cell>
          <cell r="C12">
            <v>4</v>
          </cell>
          <cell r="D12">
            <v>12</v>
          </cell>
          <cell r="E12">
            <v>12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4</v>
          </cell>
          <cell r="AA12">
            <v>4</v>
          </cell>
          <cell r="AB12">
            <v>12</v>
          </cell>
          <cell r="AC12">
            <v>12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12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X12">
            <v>1175.8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X14">
            <v>0</v>
          </cell>
        </row>
        <row r="15">
          <cell r="B15">
            <v>3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  <cell r="Z15">
            <v>2</v>
          </cell>
          <cell r="AA15">
            <v>2</v>
          </cell>
          <cell r="AB15">
            <v>2</v>
          </cell>
          <cell r="AC15">
            <v>2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</v>
          </cell>
          <cell r="AU15">
            <v>0</v>
          </cell>
          <cell r="AV15">
            <v>0</v>
          </cell>
          <cell r="AX15">
            <v>670</v>
          </cell>
        </row>
        <row r="16">
          <cell r="B16">
            <v>4</v>
          </cell>
          <cell r="C16">
            <v>0</v>
          </cell>
          <cell r="D16">
            <v>16</v>
          </cell>
          <cell r="E16">
            <v>0</v>
          </cell>
          <cell r="F16">
            <v>0</v>
          </cell>
          <cell r="G16">
            <v>0</v>
          </cell>
          <cell r="H16">
            <v>16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2</v>
          </cell>
          <cell r="AA16">
            <v>0</v>
          </cell>
          <cell r="AB16">
            <v>14</v>
          </cell>
          <cell r="AC16">
            <v>0</v>
          </cell>
          <cell r="AD16">
            <v>0</v>
          </cell>
          <cell r="AE16">
            <v>0</v>
          </cell>
          <cell r="AF16">
            <v>14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X16">
            <v>720</v>
          </cell>
        </row>
        <row r="18">
          <cell r="B18">
            <v>33</v>
          </cell>
          <cell r="C18">
            <v>28</v>
          </cell>
          <cell r="D18">
            <v>51</v>
          </cell>
          <cell r="E18">
            <v>17</v>
          </cell>
          <cell r="F18">
            <v>0</v>
          </cell>
          <cell r="G18">
            <v>0</v>
          </cell>
          <cell r="H18">
            <v>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44</v>
          </cell>
          <cell r="U18">
            <v>0</v>
          </cell>
          <cell r="V18">
            <v>2</v>
          </cell>
          <cell r="W18">
            <v>0</v>
          </cell>
          <cell r="X18">
            <v>1</v>
          </cell>
          <cell r="Z18">
            <v>36</v>
          </cell>
          <cell r="AA18">
            <v>13</v>
          </cell>
          <cell r="AB18">
            <v>39</v>
          </cell>
          <cell r="AC18">
            <v>13</v>
          </cell>
          <cell r="AD18">
            <v>0</v>
          </cell>
          <cell r="AE18">
            <v>0</v>
          </cell>
          <cell r="AF18">
            <v>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36</v>
          </cell>
          <cell r="AS18">
            <v>0</v>
          </cell>
          <cell r="AT18">
            <v>2</v>
          </cell>
          <cell r="AU18">
            <v>0</v>
          </cell>
          <cell r="AV18">
            <v>0</v>
          </cell>
          <cell r="AX18">
            <v>2470.8537500000002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Z20">
            <v>2</v>
          </cell>
          <cell r="AA20">
            <v>2</v>
          </cell>
          <cell r="AB20">
            <v>2</v>
          </cell>
          <cell r="AC20">
            <v>2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</v>
          </cell>
          <cell r="AT20">
            <v>0</v>
          </cell>
          <cell r="AU20">
            <v>1</v>
          </cell>
          <cell r="AV20">
            <v>0</v>
          </cell>
          <cell r="AX20">
            <v>990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0</v>
          </cell>
        </row>
        <row r="23">
          <cell r="B23">
            <v>6</v>
          </cell>
          <cell r="C23">
            <v>3</v>
          </cell>
          <cell r="D23">
            <v>7</v>
          </cell>
          <cell r="E23">
            <v>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7</v>
          </cell>
          <cell r="V23">
            <v>0</v>
          </cell>
          <cell r="W23">
            <v>0</v>
          </cell>
          <cell r="X23">
            <v>0</v>
          </cell>
          <cell r="Z23">
            <v>3</v>
          </cell>
          <cell r="AA23">
            <v>3</v>
          </cell>
          <cell r="AB23">
            <v>7</v>
          </cell>
          <cell r="AC23">
            <v>7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</v>
          </cell>
          <cell r="AT23">
            <v>0</v>
          </cell>
          <cell r="AU23">
            <v>0</v>
          </cell>
          <cell r="AV23">
            <v>0</v>
          </cell>
          <cell r="AX23">
            <v>784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X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</row>
        <row r="27">
          <cell r="B27">
            <v>6</v>
          </cell>
          <cell r="C27">
            <v>3</v>
          </cell>
          <cell r="D27">
            <v>58</v>
          </cell>
          <cell r="E27">
            <v>37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2</v>
          </cell>
          <cell r="U27">
            <v>0</v>
          </cell>
          <cell r="V27">
            <v>35</v>
          </cell>
          <cell r="W27">
            <v>0</v>
          </cell>
          <cell r="X27">
            <v>1</v>
          </cell>
          <cell r="Z27">
            <v>4</v>
          </cell>
          <cell r="AA27">
            <v>2</v>
          </cell>
          <cell r="AB27">
            <v>56</v>
          </cell>
          <cell r="AC27">
            <v>36</v>
          </cell>
          <cell r="AD27">
            <v>0</v>
          </cell>
          <cell r="AE27">
            <v>0</v>
          </cell>
          <cell r="AF27">
            <v>3</v>
          </cell>
          <cell r="AG27">
            <v>0</v>
          </cell>
          <cell r="AH27">
            <v>17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1</v>
          </cell>
          <cell r="AS27">
            <v>0</v>
          </cell>
          <cell r="AT27">
            <v>35</v>
          </cell>
          <cell r="AU27">
            <v>0</v>
          </cell>
          <cell r="AV27">
            <v>0</v>
          </cell>
          <cell r="AX27">
            <v>584.245</v>
          </cell>
        </row>
        <row r="28">
          <cell r="B28">
            <v>5</v>
          </cell>
          <cell r="C28">
            <v>1</v>
          </cell>
          <cell r="D28">
            <v>20</v>
          </cell>
          <cell r="E28">
            <v>16</v>
          </cell>
          <cell r="F28">
            <v>0</v>
          </cell>
          <cell r="G28">
            <v>0</v>
          </cell>
          <cell r="H28">
            <v>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</v>
          </cell>
          <cell r="W28">
            <v>0</v>
          </cell>
          <cell r="X28">
            <v>0</v>
          </cell>
          <cell r="Z28">
            <v>5</v>
          </cell>
          <cell r="AA28">
            <v>1</v>
          </cell>
          <cell r="AB28">
            <v>20</v>
          </cell>
          <cell r="AC28">
            <v>16</v>
          </cell>
          <cell r="AD28">
            <v>0</v>
          </cell>
          <cell r="AE28">
            <v>0</v>
          </cell>
          <cell r="AF28">
            <v>4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16</v>
          </cell>
          <cell r="AU28">
            <v>0</v>
          </cell>
          <cell r="AV28">
            <v>0</v>
          </cell>
          <cell r="AX28">
            <v>1208.5</v>
          </cell>
        </row>
        <row r="29">
          <cell r="AX29">
            <v>5188.2619839682538</v>
          </cell>
        </row>
        <row r="30">
          <cell r="B30">
            <v>36</v>
          </cell>
          <cell r="C30">
            <v>10</v>
          </cell>
          <cell r="D30">
            <v>638</v>
          </cell>
          <cell r="E30">
            <v>211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638</v>
          </cell>
          <cell r="W30">
            <v>0</v>
          </cell>
          <cell r="X30">
            <v>0</v>
          </cell>
          <cell r="Z30">
            <v>45</v>
          </cell>
          <cell r="AA30">
            <v>10</v>
          </cell>
          <cell r="AB30">
            <v>638</v>
          </cell>
          <cell r="AC30">
            <v>211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638</v>
          </cell>
          <cell r="AU30">
            <v>0</v>
          </cell>
          <cell r="AV30">
            <v>0</v>
          </cell>
          <cell r="AX30">
            <v>632.154</v>
          </cell>
        </row>
        <row r="31">
          <cell r="B31">
            <v>5</v>
          </cell>
          <cell r="C31">
            <v>3</v>
          </cell>
          <cell r="D31">
            <v>185</v>
          </cell>
          <cell r="E31">
            <v>155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185</v>
          </cell>
          <cell r="W31">
            <v>0</v>
          </cell>
          <cell r="X31">
            <v>0</v>
          </cell>
          <cell r="Z31">
            <v>5</v>
          </cell>
          <cell r="AA31">
            <v>3</v>
          </cell>
          <cell r="AB31">
            <v>169</v>
          </cell>
          <cell r="AC31">
            <v>140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169</v>
          </cell>
          <cell r="AU31">
            <v>0</v>
          </cell>
          <cell r="AV31">
            <v>0</v>
          </cell>
          <cell r="AX31">
            <v>641.18499999999995</v>
          </cell>
        </row>
        <row r="32">
          <cell r="B32">
            <v>2</v>
          </cell>
          <cell r="C32">
            <v>2</v>
          </cell>
          <cell r="D32">
            <v>11</v>
          </cell>
          <cell r="E32">
            <v>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</v>
          </cell>
          <cell r="W32">
            <v>0</v>
          </cell>
          <cell r="X32">
            <v>0</v>
          </cell>
          <cell r="Z32">
            <v>2</v>
          </cell>
          <cell r="AA32">
            <v>2</v>
          </cell>
          <cell r="AB32">
            <v>11</v>
          </cell>
          <cell r="AC32">
            <v>11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11</v>
          </cell>
          <cell r="AU32">
            <v>0</v>
          </cell>
          <cell r="AV32">
            <v>0</v>
          </cell>
          <cell r="AX32">
            <v>800</v>
          </cell>
        </row>
        <row r="33">
          <cell r="B33">
            <v>365</v>
          </cell>
          <cell r="C33">
            <v>36</v>
          </cell>
          <cell r="D33">
            <v>491</v>
          </cell>
          <cell r="E33">
            <v>39</v>
          </cell>
          <cell r="F33">
            <v>0</v>
          </cell>
          <cell r="G33">
            <v>0</v>
          </cell>
          <cell r="H33">
            <v>3</v>
          </cell>
          <cell r="I33">
            <v>0</v>
          </cell>
          <cell r="J33">
            <v>0</v>
          </cell>
          <cell r="K33">
            <v>4</v>
          </cell>
          <cell r="L33">
            <v>5</v>
          </cell>
          <cell r="M33">
            <v>0</v>
          </cell>
          <cell r="N33">
            <v>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9</v>
          </cell>
          <cell r="U33">
            <v>0</v>
          </cell>
          <cell r="V33">
            <v>432</v>
          </cell>
          <cell r="W33">
            <v>28</v>
          </cell>
          <cell r="X33">
            <v>4</v>
          </cell>
          <cell r="Z33">
            <v>302</v>
          </cell>
          <cell r="AA33">
            <v>37</v>
          </cell>
          <cell r="AB33">
            <v>485</v>
          </cell>
          <cell r="AC33">
            <v>39</v>
          </cell>
          <cell r="AD33">
            <v>0</v>
          </cell>
          <cell r="AE33">
            <v>0</v>
          </cell>
          <cell r="AF33">
            <v>3</v>
          </cell>
          <cell r="AG33">
            <v>0</v>
          </cell>
          <cell r="AH33">
            <v>0</v>
          </cell>
          <cell r="AI33">
            <v>4</v>
          </cell>
          <cell r="AJ33">
            <v>5</v>
          </cell>
          <cell r="AK33">
            <v>0</v>
          </cell>
          <cell r="AL33">
            <v>6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447</v>
          </cell>
          <cell r="AU33">
            <v>17</v>
          </cell>
          <cell r="AV33">
            <v>3</v>
          </cell>
          <cell r="AX33">
            <v>3097.0158928571427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</row>
        <row r="35">
          <cell r="B35">
            <v>2</v>
          </cell>
          <cell r="C35">
            <v>2</v>
          </cell>
          <cell r="D35">
            <v>48</v>
          </cell>
          <cell r="E35">
            <v>48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48</v>
          </cell>
          <cell r="W35">
            <v>0</v>
          </cell>
          <cell r="X35">
            <v>0</v>
          </cell>
          <cell r="Z35">
            <v>2</v>
          </cell>
          <cell r="AA35">
            <v>2</v>
          </cell>
          <cell r="AB35">
            <v>48</v>
          </cell>
          <cell r="AC35">
            <v>48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48</v>
          </cell>
          <cell r="AU35">
            <v>0</v>
          </cell>
          <cell r="AV35">
            <v>0</v>
          </cell>
          <cell r="AX35">
            <v>36836</v>
          </cell>
        </row>
        <row r="37">
          <cell r="B37">
            <v>6</v>
          </cell>
          <cell r="C37">
            <v>2</v>
          </cell>
          <cell r="D37">
            <v>29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18</v>
          </cell>
          <cell r="W37">
            <v>6</v>
          </cell>
          <cell r="X37">
            <v>5</v>
          </cell>
          <cell r="Z37">
            <v>3</v>
          </cell>
          <cell r="AA37">
            <v>1</v>
          </cell>
          <cell r="AB37">
            <v>13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10</v>
          </cell>
          <cell r="AU37">
            <v>0</v>
          </cell>
          <cell r="AV37">
            <v>3</v>
          </cell>
          <cell r="AX37">
            <v>1059.6666666666667</v>
          </cell>
        </row>
        <row r="38">
          <cell r="B38">
            <v>6</v>
          </cell>
          <cell r="C38">
            <v>1</v>
          </cell>
          <cell r="D38">
            <v>25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16</v>
          </cell>
          <cell r="W38">
            <v>0</v>
          </cell>
          <cell r="X38">
            <v>3</v>
          </cell>
          <cell r="Z38">
            <v>3</v>
          </cell>
          <cell r="AA38">
            <v>0</v>
          </cell>
          <cell r="AB38">
            <v>14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6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</v>
          </cell>
          <cell r="AU38">
            <v>0</v>
          </cell>
          <cell r="AV38">
            <v>0</v>
          </cell>
          <cell r="AX38">
            <v>2090</v>
          </cell>
        </row>
        <row r="40">
          <cell r="B40">
            <v>145</v>
          </cell>
          <cell r="C40">
            <v>67</v>
          </cell>
          <cell r="D40">
            <v>479</v>
          </cell>
          <cell r="E40">
            <v>327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478</v>
          </cell>
          <cell r="W40">
            <v>0</v>
          </cell>
          <cell r="X40">
            <v>0</v>
          </cell>
          <cell r="Z40">
            <v>152</v>
          </cell>
          <cell r="AA40">
            <v>46</v>
          </cell>
          <cell r="AB40">
            <v>432</v>
          </cell>
          <cell r="AC40">
            <v>324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431</v>
          </cell>
          <cell r="AU40">
            <v>0</v>
          </cell>
          <cell r="AV40">
            <v>0</v>
          </cell>
          <cell r="AX40">
            <v>3822.5831999999996</v>
          </cell>
        </row>
        <row r="41">
          <cell r="B41">
            <v>37</v>
          </cell>
          <cell r="C41">
            <v>0</v>
          </cell>
          <cell r="D41">
            <v>47</v>
          </cell>
          <cell r="E41">
            <v>0</v>
          </cell>
          <cell r="F41">
            <v>0</v>
          </cell>
          <cell r="G41">
            <v>0</v>
          </cell>
          <cell r="H41">
            <v>17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26</v>
          </cell>
          <cell r="W41">
            <v>4</v>
          </cell>
          <cell r="X41">
            <v>0</v>
          </cell>
          <cell r="Z41">
            <v>31</v>
          </cell>
          <cell r="AA41">
            <v>0</v>
          </cell>
          <cell r="AB41">
            <v>40</v>
          </cell>
          <cell r="AC41">
            <v>0</v>
          </cell>
          <cell r="AD41">
            <v>0</v>
          </cell>
          <cell r="AE41">
            <v>0</v>
          </cell>
          <cell r="AF41">
            <v>14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22</v>
          </cell>
          <cell r="AU41">
            <v>4</v>
          </cell>
          <cell r="AV41">
            <v>0</v>
          </cell>
          <cell r="AX41">
            <v>5913.3250000000007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</row>
        <row r="43">
          <cell r="B43">
            <v>1</v>
          </cell>
          <cell r="C43">
            <v>0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</v>
          </cell>
          <cell r="W43">
            <v>0</v>
          </cell>
          <cell r="X43">
            <v>0</v>
          </cell>
          <cell r="Z43">
            <v>1</v>
          </cell>
          <cell r="AA43">
            <v>0</v>
          </cell>
          <cell r="AB43">
            <v>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</v>
          </cell>
          <cell r="AU43">
            <v>0</v>
          </cell>
          <cell r="AV43">
            <v>0</v>
          </cell>
          <cell r="AX43">
            <v>2880</v>
          </cell>
        </row>
        <row r="44">
          <cell r="B44">
            <v>6</v>
          </cell>
          <cell r="C44">
            <v>3</v>
          </cell>
          <cell r="D44">
            <v>7</v>
          </cell>
          <cell r="E44">
            <v>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0</v>
          </cell>
          <cell r="V44">
            <v>2</v>
          </cell>
          <cell r="W44">
            <v>0</v>
          </cell>
          <cell r="X44">
            <v>3</v>
          </cell>
          <cell r="Z44">
            <v>4</v>
          </cell>
          <cell r="AA44">
            <v>3</v>
          </cell>
          <cell r="AB44">
            <v>5</v>
          </cell>
          <cell r="AC44">
            <v>4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  <cell r="AS44">
            <v>0</v>
          </cell>
          <cell r="AT44">
            <v>2</v>
          </cell>
          <cell r="AU44">
            <v>0</v>
          </cell>
          <cell r="AV44">
            <v>2</v>
          </cell>
          <cell r="AX44">
            <v>2542</v>
          </cell>
        </row>
        <row r="45">
          <cell r="B45">
            <v>1</v>
          </cell>
          <cell r="C45">
            <v>0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Z45">
            <v>1</v>
          </cell>
          <cell r="AA45">
            <v>0</v>
          </cell>
          <cell r="AB45">
            <v>1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1</v>
          </cell>
          <cell r="AX45">
            <v>11000</v>
          </cell>
        </row>
        <row r="46">
          <cell r="B46">
            <v>18</v>
          </cell>
          <cell r="C46">
            <v>33</v>
          </cell>
          <cell r="D46">
            <v>111</v>
          </cell>
          <cell r="E46">
            <v>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108</v>
          </cell>
          <cell r="W46">
            <v>1</v>
          </cell>
          <cell r="X46">
            <v>1</v>
          </cell>
          <cell r="Z46">
            <v>3</v>
          </cell>
          <cell r="AA46">
            <v>2</v>
          </cell>
          <cell r="AB46">
            <v>103</v>
          </cell>
          <cell r="AC46">
            <v>99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103</v>
          </cell>
          <cell r="AU46">
            <v>0</v>
          </cell>
          <cell r="AV46">
            <v>0</v>
          </cell>
          <cell r="AX46">
            <v>1185</v>
          </cell>
        </row>
        <row r="47">
          <cell r="B47">
            <v>15</v>
          </cell>
          <cell r="C47">
            <v>0</v>
          </cell>
          <cell r="D47">
            <v>15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13</v>
          </cell>
          <cell r="W47">
            <v>0</v>
          </cell>
          <cell r="X47">
            <v>1</v>
          </cell>
          <cell r="Z47">
            <v>3</v>
          </cell>
          <cell r="AA47">
            <v>0</v>
          </cell>
          <cell r="AB47">
            <v>3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</v>
          </cell>
          <cell r="AU47">
            <v>0</v>
          </cell>
          <cell r="AV47">
            <v>0</v>
          </cell>
          <cell r="AX47">
            <v>3700</v>
          </cell>
        </row>
        <row r="48">
          <cell r="B48">
            <v>8</v>
          </cell>
          <cell r="C48">
            <v>0</v>
          </cell>
          <cell r="D48">
            <v>10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</v>
          </cell>
          <cell r="X48">
            <v>0</v>
          </cell>
          <cell r="Z48">
            <v>3</v>
          </cell>
          <cell r="AA48">
            <v>0</v>
          </cell>
          <cell r="AB48">
            <v>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5</v>
          </cell>
          <cell r="AV48">
            <v>0</v>
          </cell>
          <cell r="AX48">
            <v>1625</v>
          </cell>
        </row>
        <row r="49">
          <cell r="AX49">
            <v>2265.7892424242427</v>
          </cell>
        </row>
        <row r="50">
          <cell r="B50">
            <v>2</v>
          </cell>
          <cell r="C50">
            <v>0</v>
          </cell>
          <cell r="D50">
            <v>54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20</v>
          </cell>
          <cell r="V50">
            <v>34</v>
          </cell>
          <cell r="W50">
            <v>0</v>
          </cell>
          <cell r="X50">
            <v>0</v>
          </cell>
          <cell r="Z50">
            <v>2</v>
          </cell>
          <cell r="AA50">
            <v>0</v>
          </cell>
          <cell r="AB50">
            <v>54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20</v>
          </cell>
          <cell r="AT50">
            <v>34</v>
          </cell>
          <cell r="AU50">
            <v>0</v>
          </cell>
          <cell r="AV50">
            <v>0</v>
          </cell>
          <cell r="AX50">
            <v>400</v>
          </cell>
        </row>
        <row r="51">
          <cell r="B51">
            <v>9</v>
          </cell>
          <cell r="C51">
            <v>2</v>
          </cell>
          <cell r="D51">
            <v>17</v>
          </cell>
          <cell r="E51">
            <v>2</v>
          </cell>
          <cell r="F51">
            <v>0</v>
          </cell>
          <cell r="G51">
            <v>0</v>
          </cell>
          <cell r="H51">
            <v>11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  <cell r="U51">
            <v>3</v>
          </cell>
          <cell r="V51">
            <v>0</v>
          </cell>
          <cell r="W51">
            <v>0</v>
          </cell>
          <cell r="X51">
            <v>1</v>
          </cell>
          <cell r="Z51">
            <v>12</v>
          </cell>
          <cell r="AA51">
            <v>1</v>
          </cell>
          <cell r="AB51">
            <v>12</v>
          </cell>
          <cell r="AC51">
            <v>1</v>
          </cell>
          <cell r="AD51">
            <v>0</v>
          </cell>
          <cell r="AE51">
            <v>0</v>
          </cell>
          <cell r="AF51">
            <v>10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6970.333333333333</v>
          </cell>
        </row>
        <row r="52">
          <cell r="B52">
            <v>4</v>
          </cell>
          <cell r="C52">
            <v>0</v>
          </cell>
          <cell r="D52">
            <v>20</v>
          </cell>
          <cell r="E52">
            <v>0</v>
          </cell>
          <cell r="F52">
            <v>0</v>
          </cell>
          <cell r="G52">
            <v>0</v>
          </cell>
          <cell r="H52">
            <v>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1</v>
          </cell>
          <cell r="AA52">
            <v>0</v>
          </cell>
          <cell r="AB52">
            <v>5</v>
          </cell>
          <cell r="AC52">
            <v>0</v>
          </cell>
          <cell r="AD52">
            <v>0</v>
          </cell>
          <cell r="AE52">
            <v>0</v>
          </cell>
          <cell r="AF52">
            <v>5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3768.72</v>
          </cell>
        </row>
        <row r="53">
          <cell r="B53">
            <v>69</v>
          </cell>
          <cell r="C53">
            <v>1</v>
          </cell>
          <cell r="D53">
            <v>319</v>
          </cell>
          <cell r="E53">
            <v>1</v>
          </cell>
          <cell r="F53">
            <v>0</v>
          </cell>
          <cell r="G53">
            <v>0</v>
          </cell>
          <cell r="H53">
            <v>55</v>
          </cell>
          <cell r="I53">
            <v>0</v>
          </cell>
          <cell r="J53">
            <v>0</v>
          </cell>
          <cell r="K53">
            <v>0</v>
          </cell>
          <cell r="L53">
            <v>167</v>
          </cell>
          <cell r="M53">
            <v>30</v>
          </cell>
          <cell r="N53">
            <v>36</v>
          </cell>
          <cell r="O53">
            <v>0</v>
          </cell>
          <cell r="P53">
            <v>4</v>
          </cell>
          <cell r="Q53">
            <v>0</v>
          </cell>
          <cell r="R53">
            <v>9</v>
          </cell>
          <cell r="S53">
            <v>8</v>
          </cell>
          <cell r="T53">
            <v>0</v>
          </cell>
          <cell r="U53">
            <v>6</v>
          </cell>
          <cell r="V53">
            <v>0</v>
          </cell>
          <cell r="W53">
            <v>0</v>
          </cell>
          <cell r="X53">
            <v>4</v>
          </cell>
          <cell r="Z53">
            <v>29</v>
          </cell>
          <cell r="AA53">
            <v>1</v>
          </cell>
          <cell r="AB53">
            <v>178</v>
          </cell>
          <cell r="AC53">
            <v>1</v>
          </cell>
          <cell r="AD53">
            <v>0</v>
          </cell>
          <cell r="AE53">
            <v>0</v>
          </cell>
          <cell r="AF53">
            <v>19</v>
          </cell>
          <cell r="AG53">
            <v>0</v>
          </cell>
          <cell r="AH53">
            <v>0</v>
          </cell>
          <cell r="AI53">
            <v>0</v>
          </cell>
          <cell r="AJ53">
            <v>111</v>
          </cell>
          <cell r="AK53">
            <v>0</v>
          </cell>
          <cell r="AL53">
            <v>34</v>
          </cell>
          <cell r="AM53">
            <v>0</v>
          </cell>
          <cell r="AN53">
            <v>4</v>
          </cell>
          <cell r="AO53">
            <v>0</v>
          </cell>
          <cell r="AP53">
            <v>0</v>
          </cell>
          <cell r="AQ53">
            <v>2</v>
          </cell>
          <cell r="AR53">
            <v>0</v>
          </cell>
          <cell r="AS53">
            <v>6</v>
          </cell>
          <cell r="AT53">
            <v>0</v>
          </cell>
          <cell r="AU53">
            <v>0</v>
          </cell>
          <cell r="AV53">
            <v>2</v>
          </cell>
          <cell r="AX53">
            <v>1921.7509090909093</v>
          </cell>
        </row>
        <row r="54">
          <cell r="B54">
            <v>5</v>
          </cell>
          <cell r="C54">
            <v>2</v>
          </cell>
          <cell r="D54">
            <v>27</v>
          </cell>
          <cell r="E54">
            <v>3</v>
          </cell>
          <cell r="F54">
            <v>0</v>
          </cell>
          <cell r="G54">
            <v>0</v>
          </cell>
          <cell r="H54">
            <v>23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4</v>
          </cell>
          <cell r="Z54">
            <v>3</v>
          </cell>
          <cell r="AA54">
            <v>1</v>
          </cell>
          <cell r="AB54">
            <v>24</v>
          </cell>
          <cell r="AC54">
            <v>1</v>
          </cell>
          <cell r="AD54">
            <v>0</v>
          </cell>
          <cell r="AE54">
            <v>0</v>
          </cell>
          <cell r="AF54">
            <v>23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</v>
          </cell>
          <cell r="AX54">
            <v>1042.6666666666667</v>
          </cell>
        </row>
        <row r="55">
          <cell r="B55">
            <v>5</v>
          </cell>
          <cell r="C55">
            <v>0</v>
          </cell>
          <cell r="D55">
            <v>52</v>
          </cell>
          <cell r="E55">
            <v>0</v>
          </cell>
          <cell r="F55">
            <v>0</v>
          </cell>
          <cell r="G55">
            <v>0</v>
          </cell>
          <cell r="H55">
            <v>35</v>
          </cell>
          <cell r="I55">
            <v>0</v>
          </cell>
          <cell r="J55">
            <v>0</v>
          </cell>
          <cell r="K55">
            <v>0</v>
          </cell>
          <cell r="L55">
            <v>17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A55">
            <v>0</v>
          </cell>
          <cell r="AB55">
            <v>34</v>
          </cell>
          <cell r="AC55">
            <v>0</v>
          </cell>
          <cell r="AD55">
            <v>0</v>
          </cell>
          <cell r="AE55">
            <v>0</v>
          </cell>
          <cell r="AF55">
            <v>17</v>
          </cell>
          <cell r="AG55">
            <v>0</v>
          </cell>
          <cell r="AH55">
            <v>0</v>
          </cell>
          <cell r="AI55">
            <v>0</v>
          </cell>
          <cell r="AJ55">
            <v>17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X55">
            <v>807.33333333333337</v>
          </cell>
        </row>
        <row r="56">
          <cell r="B56">
            <v>1</v>
          </cell>
          <cell r="C56">
            <v>0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</row>
        <row r="57">
          <cell r="B57">
            <v>3</v>
          </cell>
          <cell r="C57">
            <v>2</v>
          </cell>
          <cell r="D57">
            <v>62</v>
          </cell>
          <cell r="E57">
            <v>3</v>
          </cell>
          <cell r="F57">
            <v>0</v>
          </cell>
          <cell r="G57">
            <v>0</v>
          </cell>
          <cell r="H57">
            <v>59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3</v>
          </cell>
          <cell r="W57">
            <v>0</v>
          </cell>
          <cell r="X57">
            <v>0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</v>
          </cell>
          <cell r="AU57">
            <v>0</v>
          </cell>
          <cell r="AV57">
            <v>0</v>
          </cell>
          <cell r="AX57">
            <v>896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X58">
            <v>0</v>
          </cell>
        </row>
        <row r="59">
          <cell r="B59">
            <v>2</v>
          </cell>
          <cell r="C59">
            <v>0</v>
          </cell>
          <cell r="D59">
            <v>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</v>
          </cell>
          <cell r="Z59">
            <v>2</v>
          </cell>
          <cell r="AA59">
            <v>0</v>
          </cell>
          <cell r="AB59">
            <v>4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3</v>
          </cell>
          <cell r="AX59">
            <v>3000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</row>
        <row r="61">
          <cell r="B61">
            <v>1</v>
          </cell>
          <cell r="C61">
            <v>1</v>
          </cell>
          <cell r="D61">
            <v>30</v>
          </cell>
          <cell r="E61">
            <v>30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30</v>
          </cell>
          <cell r="Z61">
            <v>1</v>
          </cell>
          <cell r="AA61">
            <v>1</v>
          </cell>
          <cell r="AB61">
            <v>26</v>
          </cell>
          <cell r="AC61">
            <v>26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26</v>
          </cell>
          <cell r="AX61">
            <v>288</v>
          </cell>
        </row>
        <row r="62">
          <cell r="B62">
            <v>4</v>
          </cell>
          <cell r="C62">
            <v>0</v>
          </cell>
          <cell r="D62">
            <v>52</v>
          </cell>
          <cell r="E62">
            <v>0</v>
          </cell>
          <cell r="F62">
            <v>0</v>
          </cell>
          <cell r="G62">
            <v>0</v>
          </cell>
          <cell r="H62">
            <v>49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3</v>
          </cell>
          <cell r="AA62">
            <v>0</v>
          </cell>
          <cell r="AB62">
            <v>45</v>
          </cell>
          <cell r="AC62">
            <v>0</v>
          </cell>
          <cell r="AD62">
            <v>0</v>
          </cell>
          <cell r="AE62">
            <v>0</v>
          </cell>
          <cell r="AF62">
            <v>42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3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1086.6666666666667</v>
          </cell>
        </row>
        <row r="63">
          <cell r="B63">
            <v>2</v>
          </cell>
          <cell r="C63">
            <v>0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</row>
        <row r="64">
          <cell r="B64">
            <v>1</v>
          </cell>
          <cell r="C64">
            <v>0</v>
          </cell>
          <cell r="D64">
            <v>12</v>
          </cell>
          <cell r="E64">
            <v>0</v>
          </cell>
          <cell r="F64">
            <v>0</v>
          </cell>
          <cell r="G64">
            <v>0</v>
          </cell>
          <cell r="H64">
            <v>12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</row>
        <row r="65">
          <cell r="B65">
            <v>3</v>
          </cell>
          <cell r="C65">
            <v>0</v>
          </cell>
          <cell r="D65">
            <v>7</v>
          </cell>
          <cell r="E65">
            <v>0</v>
          </cell>
          <cell r="F65">
            <v>0</v>
          </cell>
          <cell r="G65">
            <v>0</v>
          </cell>
          <cell r="H65">
            <v>7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3</v>
          </cell>
          <cell r="AA65">
            <v>0</v>
          </cell>
          <cell r="AB65">
            <v>7</v>
          </cell>
          <cell r="AC65">
            <v>0</v>
          </cell>
          <cell r="AD65">
            <v>0</v>
          </cell>
          <cell r="AE65">
            <v>0</v>
          </cell>
          <cell r="AF65">
            <v>7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4728</v>
          </cell>
        </row>
        <row r="66">
          <cell r="B66">
            <v>1</v>
          </cell>
          <cell r="C66">
            <v>1</v>
          </cell>
          <cell r="D66">
            <v>10</v>
          </cell>
          <cell r="E66">
            <v>10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10</v>
          </cell>
          <cell r="W66">
            <v>0</v>
          </cell>
          <cell r="X66">
            <v>0</v>
          </cell>
          <cell r="Z66">
            <v>1</v>
          </cell>
          <cell r="AA66">
            <v>1</v>
          </cell>
          <cell r="AB66">
            <v>6</v>
          </cell>
          <cell r="AC66">
            <v>6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6</v>
          </cell>
          <cell r="AU66">
            <v>0</v>
          </cell>
          <cell r="AV66">
            <v>0</v>
          </cell>
          <cell r="AX66">
            <v>2280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</row>
        <row r="68">
          <cell r="AX68">
            <v>2494.1194742063494</v>
          </cell>
        </row>
        <row r="69">
          <cell r="B69">
            <v>12</v>
          </cell>
          <cell r="C69">
            <v>0</v>
          </cell>
          <cell r="D69">
            <v>135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</v>
          </cell>
          <cell r="L69">
            <v>119</v>
          </cell>
          <cell r="M69">
            <v>0</v>
          </cell>
          <cell r="N69">
            <v>5</v>
          </cell>
          <cell r="O69">
            <v>0</v>
          </cell>
          <cell r="P69">
            <v>3</v>
          </cell>
          <cell r="Q69">
            <v>0</v>
          </cell>
          <cell r="R69">
            <v>1</v>
          </cell>
          <cell r="S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32</v>
          </cell>
          <cell r="AA69">
            <v>0</v>
          </cell>
          <cell r="AB69">
            <v>46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33</v>
          </cell>
          <cell r="AK69">
            <v>0</v>
          </cell>
          <cell r="AL69">
            <v>5</v>
          </cell>
          <cell r="AM69">
            <v>0</v>
          </cell>
          <cell r="AN69">
            <v>3</v>
          </cell>
          <cell r="AO69">
            <v>0</v>
          </cell>
          <cell r="AP69">
            <v>1</v>
          </cell>
          <cell r="AQ69">
            <v>4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X69">
            <v>2745.2114285714283</v>
          </cell>
        </row>
        <row r="71">
          <cell r="B71">
            <v>15</v>
          </cell>
          <cell r="C71">
            <v>1</v>
          </cell>
          <cell r="D71">
            <v>133</v>
          </cell>
          <cell r="E71">
            <v>1</v>
          </cell>
          <cell r="F71">
            <v>0</v>
          </cell>
          <cell r="G71">
            <v>0</v>
          </cell>
          <cell r="H71">
            <v>115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</v>
          </cell>
          <cell r="Q71">
            <v>0</v>
          </cell>
          <cell r="R71">
            <v>6</v>
          </cell>
          <cell r="S71">
            <v>0</v>
          </cell>
          <cell r="T71">
            <v>4</v>
          </cell>
          <cell r="U71">
            <v>0</v>
          </cell>
          <cell r="V71">
            <v>4</v>
          </cell>
          <cell r="W71">
            <v>0</v>
          </cell>
          <cell r="X71">
            <v>0</v>
          </cell>
          <cell r="Z71">
            <v>10</v>
          </cell>
          <cell r="AA71">
            <v>1</v>
          </cell>
          <cell r="AB71">
            <v>81</v>
          </cell>
          <cell r="AC71">
            <v>1</v>
          </cell>
          <cell r="AD71">
            <v>0</v>
          </cell>
          <cell r="AE71">
            <v>0</v>
          </cell>
          <cell r="AF71">
            <v>75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</v>
          </cell>
          <cell r="AO71">
            <v>0</v>
          </cell>
          <cell r="AP71">
            <v>4</v>
          </cell>
          <cell r="AQ71">
            <v>0</v>
          </cell>
          <cell r="AR71">
            <v>0</v>
          </cell>
          <cell r="AS71">
            <v>0</v>
          </cell>
          <cell r="AT71">
            <v>1</v>
          </cell>
          <cell r="AU71">
            <v>0</v>
          </cell>
          <cell r="AV71">
            <v>0</v>
          </cell>
          <cell r="AX71">
            <v>2375.21875</v>
          </cell>
        </row>
        <row r="72">
          <cell r="B72">
            <v>9</v>
          </cell>
          <cell r="C72">
            <v>2</v>
          </cell>
          <cell r="D72">
            <v>20</v>
          </cell>
          <cell r="E72">
            <v>2</v>
          </cell>
          <cell r="F72">
            <v>0</v>
          </cell>
          <cell r="G72">
            <v>0</v>
          </cell>
          <cell r="H72">
            <v>17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1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</v>
          </cell>
          <cell r="AT72">
            <v>0</v>
          </cell>
          <cell r="AU72">
            <v>0</v>
          </cell>
          <cell r="AV72">
            <v>0</v>
          </cell>
          <cell r="AX72">
            <v>3060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</row>
        <row r="74">
          <cell r="B74">
            <v>1</v>
          </cell>
          <cell r="C74">
            <v>0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1</v>
          </cell>
          <cell r="AA74">
            <v>0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1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3400</v>
          </cell>
        </row>
        <row r="75">
          <cell r="B75">
            <v>9</v>
          </cell>
          <cell r="C75">
            <v>0</v>
          </cell>
          <cell r="D75">
            <v>20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9</v>
          </cell>
          <cell r="AA75">
            <v>0</v>
          </cell>
          <cell r="AB75">
            <v>20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20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1648.8866666666665</v>
          </cell>
        </row>
        <row r="76">
          <cell r="B76">
            <v>1</v>
          </cell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0</v>
          </cell>
        </row>
        <row r="77">
          <cell r="B77">
            <v>9</v>
          </cell>
          <cell r="C77">
            <v>0</v>
          </cell>
          <cell r="D77">
            <v>69</v>
          </cell>
          <cell r="E77">
            <v>0</v>
          </cell>
          <cell r="F77">
            <v>0</v>
          </cell>
          <cell r="G77">
            <v>0</v>
          </cell>
          <cell r="H77">
            <v>51</v>
          </cell>
          <cell r="I77">
            <v>0</v>
          </cell>
          <cell r="J77">
            <v>0</v>
          </cell>
          <cell r="K77">
            <v>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</v>
          </cell>
          <cell r="V77">
            <v>14</v>
          </cell>
          <cell r="W77">
            <v>0</v>
          </cell>
          <cell r="X77">
            <v>0</v>
          </cell>
          <cell r="Z77">
            <v>4</v>
          </cell>
          <cell r="AA77">
            <v>0</v>
          </cell>
          <cell r="AB77">
            <v>11</v>
          </cell>
          <cell r="AC77">
            <v>0</v>
          </cell>
          <cell r="AD77">
            <v>0</v>
          </cell>
          <cell r="AE77">
            <v>0</v>
          </cell>
          <cell r="AF77">
            <v>10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1</v>
          </cell>
          <cell r="AT77">
            <v>0</v>
          </cell>
          <cell r="AU77">
            <v>0</v>
          </cell>
          <cell r="AV77">
            <v>0</v>
          </cell>
          <cell r="AX77">
            <v>1735.4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0</v>
          </cell>
        </row>
        <row r="79">
          <cell r="AX79">
            <v>4200.8786480150775</v>
          </cell>
        </row>
        <row r="80">
          <cell r="B80">
            <v>33</v>
          </cell>
          <cell r="C80">
            <v>3</v>
          </cell>
          <cell r="D80">
            <v>139</v>
          </cell>
          <cell r="E80">
            <v>14</v>
          </cell>
          <cell r="F80">
            <v>0</v>
          </cell>
          <cell r="G80">
            <v>0</v>
          </cell>
          <cell r="H80">
            <v>78</v>
          </cell>
          <cell r="I80">
            <v>0</v>
          </cell>
          <cell r="J80">
            <v>0</v>
          </cell>
          <cell r="K80">
            <v>7</v>
          </cell>
          <cell r="L80">
            <v>23</v>
          </cell>
          <cell r="M80">
            <v>0</v>
          </cell>
          <cell r="N80">
            <v>7</v>
          </cell>
          <cell r="O80">
            <v>0</v>
          </cell>
          <cell r="P80">
            <v>0</v>
          </cell>
          <cell r="Q80">
            <v>0</v>
          </cell>
          <cell r="R80">
            <v>18</v>
          </cell>
          <cell r="S80">
            <v>0</v>
          </cell>
          <cell r="T80">
            <v>3</v>
          </cell>
          <cell r="U80">
            <v>3</v>
          </cell>
          <cell r="V80">
            <v>0</v>
          </cell>
          <cell r="W80">
            <v>0</v>
          </cell>
          <cell r="X80">
            <v>0</v>
          </cell>
          <cell r="Z80">
            <v>41</v>
          </cell>
          <cell r="AA80">
            <v>2</v>
          </cell>
          <cell r="AB80">
            <v>92</v>
          </cell>
          <cell r="AC80">
            <v>3</v>
          </cell>
          <cell r="AD80">
            <v>0</v>
          </cell>
          <cell r="AE80">
            <v>0</v>
          </cell>
          <cell r="AF80">
            <v>59</v>
          </cell>
          <cell r="AG80">
            <v>0</v>
          </cell>
          <cell r="AH80">
            <v>0</v>
          </cell>
          <cell r="AI80">
            <v>4</v>
          </cell>
          <cell r="AJ80">
            <v>16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0</v>
          </cell>
          <cell r="AR80">
            <v>3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2575.4117647058824</v>
          </cell>
        </row>
        <row r="81">
          <cell r="B81">
            <v>3</v>
          </cell>
          <cell r="C81">
            <v>0</v>
          </cell>
          <cell r="D81">
            <v>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11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3</v>
          </cell>
          <cell r="AA81">
            <v>0</v>
          </cell>
          <cell r="AB81">
            <v>11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11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1450</v>
          </cell>
        </row>
        <row r="82">
          <cell r="B82">
            <v>12</v>
          </cell>
          <cell r="C82">
            <v>8</v>
          </cell>
          <cell r="D82">
            <v>40</v>
          </cell>
          <cell r="E82">
            <v>6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11</v>
          </cell>
          <cell r="O82">
            <v>0</v>
          </cell>
          <cell r="P82">
            <v>0</v>
          </cell>
          <cell r="Q82">
            <v>0</v>
          </cell>
          <cell r="R82">
            <v>3</v>
          </cell>
          <cell r="S82">
            <v>0</v>
          </cell>
          <cell r="T82">
            <v>14</v>
          </cell>
          <cell r="U82">
            <v>3</v>
          </cell>
          <cell r="V82">
            <v>1</v>
          </cell>
          <cell r="W82">
            <v>0</v>
          </cell>
          <cell r="X82">
            <v>7</v>
          </cell>
          <cell r="Z82">
            <v>9</v>
          </cell>
          <cell r="AA82">
            <v>5</v>
          </cell>
          <cell r="AB82">
            <v>22</v>
          </cell>
          <cell r="AC82">
            <v>6</v>
          </cell>
          <cell r="AD82">
            <v>0</v>
          </cell>
          <cell r="AE82">
            <v>0</v>
          </cell>
          <cell r="AF82">
            <v>1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</v>
          </cell>
          <cell r="AM82">
            <v>0</v>
          </cell>
          <cell r="AN82">
            <v>0</v>
          </cell>
          <cell r="AO82">
            <v>0</v>
          </cell>
          <cell r="AP82">
            <v>3</v>
          </cell>
          <cell r="AQ82">
            <v>0</v>
          </cell>
          <cell r="AR82">
            <v>2</v>
          </cell>
          <cell r="AS82">
            <v>3</v>
          </cell>
          <cell r="AT82">
            <v>1</v>
          </cell>
          <cell r="AU82">
            <v>0</v>
          </cell>
          <cell r="AV82">
            <v>1</v>
          </cell>
          <cell r="AX82">
            <v>2254.1212500000001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</row>
        <row r="84">
          <cell r="B84">
            <v>20</v>
          </cell>
          <cell r="C84">
            <v>0</v>
          </cell>
          <cell r="D84">
            <v>49</v>
          </cell>
          <cell r="E84">
            <v>0</v>
          </cell>
          <cell r="F84">
            <v>0</v>
          </cell>
          <cell r="G84">
            <v>0</v>
          </cell>
          <cell r="H84">
            <v>28</v>
          </cell>
          <cell r="I84">
            <v>3</v>
          </cell>
          <cell r="J84">
            <v>0</v>
          </cell>
          <cell r="K84">
            <v>5</v>
          </cell>
          <cell r="L84">
            <v>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6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15</v>
          </cell>
          <cell r="AA84">
            <v>0</v>
          </cell>
          <cell r="AB84">
            <v>35</v>
          </cell>
          <cell r="AC84">
            <v>0</v>
          </cell>
          <cell r="AD84">
            <v>0</v>
          </cell>
          <cell r="AE84">
            <v>0</v>
          </cell>
          <cell r="AF84">
            <v>18</v>
          </cell>
          <cell r="AG84">
            <v>3</v>
          </cell>
          <cell r="AH84">
            <v>0</v>
          </cell>
          <cell r="AI84">
            <v>5</v>
          </cell>
          <cell r="AJ84">
            <v>3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6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2435.3333333333335</v>
          </cell>
        </row>
        <row r="85">
          <cell r="B85">
            <v>7</v>
          </cell>
          <cell r="C85">
            <v>2</v>
          </cell>
          <cell r="D85">
            <v>15</v>
          </cell>
          <cell r="E85">
            <v>2</v>
          </cell>
          <cell r="F85">
            <v>0</v>
          </cell>
          <cell r="G85">
            <v>0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2</v>
          </cell>
          <cell r="P85">
            <v>0</v>
          </cell>
          <cell r="Q85">
            <v>2</v>
          </cell>
          <cell r="R85">
            <v>0</v>
          </cell>
          <cell r="S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Z85">
            <v>4</v>
          </cell>
          <cell r="AA85">
            <v>2</v>
          </cell>
          <cell r="AB85">
            <v>6</v>
          </cell>
          <cell r="AC85">
            <v>2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4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1</v>
          </cell>
          <cell r="AS85">
            <v>1</v>
          </cell>
          <cell r="AT85">
            <v>0</v>
          </cell>
          <cell r="AU85">
            <v>0</v>
          </cell>
          <cell r="AV85">
            <v>0</v>
          </cell>
          <cell r="AX85">
            <v>3151</v>
          </cell>
        </row>
        <row r="87">
          <cell r="B87">
            <v>26</v>
          </cell>
          <cell r="C87">
            <v>9</v>
          </cell>
          <cell r="D87">
            <v>135</v>
          </cell>
          <cell r="E87">
            <v>40</v>
          </cell>
          <cell r="F87">
            <v>0</v>
          </cell>
          <cell r="G87">
            <v>0</v>
          </cell>
          <cell r="H87">
            <v>68</v>
          </cell>
          <cell r="I87">
            <v>0</v>
          </cell>
          <cell r="J87">
            <v>14</v>
          </cell>
          <cell r="K87">
            <v>0</v>
          </cell>
          <cell r="L87">
            <v>6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38</v>
          </cell>
          <cell r="U87">
            <v>0</v>
          </cell>
          <cell r="V87">
            <v>4</v>
          </cell>
          <cell r="W87">
            <v>2</v>
          </cell>
          <cell r="X87">
            <v>3</v>
          </cell>
          <cell r="Z87">
            <v>19</v>
          </cell>
          <cell r="AA87">
            <v>7</v>
          </cell>
          <cell r="AB87">
            <v>70</v>
          </cell>
          <cell r="AC87">
            <v>16</v>
          </cell>
          <cell r="AD87">
            <v>0</v>
          </cell>
          <cell r="AE87">
            <v>0</v>
          </cell>
          <cell r="AF87">
            <v>40</v>
          </cell>
          <cell r="AG87">
            <v>0</v>
          </cell>
          <cell r="AH87">
            <v>2</v>
          </cell>
          <cell r="AI87">
            <v>0</v>
          </cell>
          <cell r="AJ87">
            <v>5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14</v>
          </cell>
          <cell r="AS87">
            <v>0</v>
          </cell>
          <cell r="AT87">
            <v>4</v>
          </cell>
          <cell r="AU87">
            <v>2</v>
          </cell>
          <cell r="AV87">
            <v>3</v>
          </cell>
          <cell r="AX87">
            <v>1973.2244444444445</v>
          </cell>
        </row>
        <row r="88">
          <cell r="B88">
            <v>11</v>
          </cell>
          <cell r="C88">
            <v>0</v>
          </cell>
          <cell r="D88">
            <v>31</v>
          </cell>
          <cell r="E88">
            <v>0</v>
          </cell>
          <cell r="F88">
            <v>0</v>
          </cell>
          <cell r="G88">
            <v>0</v>
          </cell>
          <cell r="H88">
            <v>6</v>
          </cell>
          <cell r="I88">
            <v>0</v>
          </cell>
          <cell r="J88">
            <v>0</v>
          </cell>
          <cell r="K88">
            <v>2</v>
          </cell>
          <cell r="L88">
            <v>0</v>
          </cell>
          <cell r="M88">
            <v>0</v>
          </cell>
          <cell r="N88">
            <v>6</v>
          </cell>
          <cell r="O88">
            <v>17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10</v>
          </cell>
          <cell r="AA88">
            <v>0</v>
          </cell>
          <cell r="AB88">
            <v>27</v>
          </cell>
          <cell r="AC88">
            <v>0</v>
          </cell>
          <cell r="AD88">
            <v>0</v>
          </cell>
          <cell r="AE88">
            <v>0</v>
          </cell>
          <cell r="AF88">
            <v>6</v>
          </cell>
          <cell r="AG88">
            <v>0</v>
          </cell>
          <cell r="AH88">
            <v>0</v>
          </cell>
          <cell r="AI88">
            <v>1</v>
          </cell>
          <cell r="AJ88">
            <v>0</v>
          </cell>
          <cell r="AK88">
            <v>0</v>
          </cell>
          <cell r="AL88">
            <v>3</v>
          </cell>
          <cell r="AM88">
            <v>17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X88">
            <v>3175.1533333333332</v>
          </cell>
        </row>
        <row r="89">
          <cell r="B89">
            <v>12</v>
          </cell>
          <cell r="C89">
            <v>0</v>
          </cell>
          <cell r="D89">
            <v>15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6</v>
          </cell>
          <cell r="AA89">
            <v>0</v>
          </cell>
          <cell r="AB89">
            <v>9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9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4984.3899999999994</v>
          </cell>
        </row>
        <row r="90">
          <cell r="B90">
            <v>1</v>
          </cell>
          <cell r="C90">
            <v>0</v>
          </cell>
          <cell r="D90">
            <v>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5</v>
          </cell>
          <cell r="V90">
            <v>0</v>
          </cell>
          <cell r="W90">
            <v>0</v>
          </cell>
          <cell r="X90">
            <v>0</v>
          </cell>
          <cell r="Z90">
            <v>1</v>
          </cell>
          <cell r="AA90">
            <v>0</v>
          </cell>
          <cell r="AB90">
            <v>3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3</v>
          </cell>
          <cell r="AT90">
            <v>0</v>
          </cell>
          <cell r="AU90">
            <v>0</v>
          </cell>
          <cell r="AV90">
            <v>0</v>
          </cell>
          <cell r="AX90">
            <v>5000</v>
          </cell>
        </row>
        <row r="91">
          <cell r="B91">
            <v>3</v>
          </cell>
          <cell r="C91">
            <v>0</v>
          </cell>
          <cell r="D91">
            <v>21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0</v>
          </cell>
          <cell r="L91">
            <v>10</v>
          </cell>
          <cell r="M91">
            <v>0</v>
          </cell>
          <cell r="N91">
            <v>10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3</v>
          </cell>
          <cell r="AA91">
            <v>0</v>
          </cell>
          <cell r="AB91">
            <v>21</v>
          </cell>
          <cell r="AC91">
            <v>0</v>
          </cell>
          <cell r="AD91">
            <v>0</v>
          </cell>
          <cell r="AE91">
            <v>0</v>
          </cell>
          <cell r="AF91">
            <v>1</v>
          </cell>
          <cell r="AG91">
            <v>0</v>
          </cell>
          <cell r="AH91">
            <v>0</v>
          </cell>
          <cell r="AI91">
            <v>0</v>
          </cell>
          <cell r="AJ91">
            <v>10</v>
          </cell>
          <cell r="AK91">
            <v>0</v>
          </cell>
          <cell r="AL91">
            <v>10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14797.333333333334</v>
          </cell>
        </row>
        <row r="92">
          <cell r="B92">
            <v>20</v>
          </cell>
          <cell r="C92">
            <v>0</v>
          </cell>
          <cell r="D92">
            <v>40</v>
          </cell>
          <cell r="E92">
            <v>0</v>
          </cell>
          <cell r="F92">
            <v>0</v>
          </cell>
          <cell r="G92">
            <v>0</v>
          </cell>
          <cell r="H92">
            <v>5</v>
          </cell>
          <cell r="I92">
            <v>0</v>
          </cell>
          <cell r="J92">
            <v>0</v>
          </cell>
          <cell r="K92">
            <v>0</v>
          </cell>
          <cell r="L92">
            <v>12</v>
          </cell>
          <cell r="M92">
            <v>0</v>
          </cell>
          <cell r="N92">
            <v>0</v>
          </cell>
          <cell r="O92">
            <v>15</v>
          </cell>
          <cell r="P92">
            <v>0</v>
          </cell>
          <cell r="Q92">
            <v>0</v>
          </cell>
          <cell r="R92">
            <v>0</v>
          </cell>
          <cell r="S92">
            <v>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6</v>
          </cell>
          <cell r="Z92">
            <v>33</v>
          </cell>
          <cell r="AA92">
            <v>0</v>
          </cell>
          <cell r="AB92">
            <v>27</v>
          </cell>
          <cell r="AC92">
            <v>0</v>
          </cell>
          <cell r="AD92">
            <v>0</v>
          </cell>
          <cell r="AE92">
            <v>0</v>
          </cell>
          <cell r="AF92">
            <v>3</v>
          </cell>
          <cell r="AG92">
            <v>0</v>
          </cell>
          <cell r="AH92">
            <v>0</v>
          </cell>
          <cell r="AI92">
            <v>0</v>
          </cell>
          <cell r="AJ92">
            <v>5</v>
          </cell>
          <cell r="AK92">
            <v>0</v>
          </cell>
          <cell r="AL92">
            <v>0</v>
          </cell>
          <cell r="AM92">
            <v>11</v>
          </cell>
          <cell r="AN92">
            <v>0</v>
          </cell>
          <cell r="AO92">
            <v>0</v>
          </cell>
          <cell r="AP92">
            <v>0</v>
          </cell>
          <cell r="AQ92">
            <v>2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6</v>
          </cell>
          <cell r="AX92">
            <v>5743.090909090909</v>
          </cell>
        </row>
        <row r="93">
          <cell r="B93">
            <v>1</v>
          </cell>
          <cell r="C93">
            <v>0</v>
          </cell>
          <cell r="D93">
            <v>8</v>
          </cell>
          <cell r="E93">
            <v>0</v>
          </cell>
          <cell r="F93">
            <v>0</v>
          </cell>
          <cell r="G93">
            <v>0</v>
          </cell>
          <cell r="H93">
            <v>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1</v>
          </cell>
          <cell r="AA93">
            <v>0</v>
          </cell>
          <cell r="AB93">
            <v>8</v>
          </cell>
          <cell r="AC93">
            <v>0</v>
          </cell>
          <cell r="AD93">
            <v>0</v>
          </cell>
          <cell r="AE93">
            <v>0</v>
          </cell>
          <cell r="AF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800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</row>
        <row r="95">
          <cell r="B95">
            <v>12</v>
          </cell>
          <cell r="C95">
            <v>2</v>
          </cell>
          <cell r="D95">
            <v>19</v>
          </cell>
          <cell r="E95">
            <v>3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2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2</v>
          </cell>
          <cell r="P95">
            <v>4</v>
          </cell>
          <cell r="Q95">
            <v>3</v>
          </cell>
          <cell r="R95">
            <v>0</v>
          </cell>
          <cell r="S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3</v>
          </cell>
          <cell r="Z95">
            <v>7</v>
          </cell>
          <cell r="AA95">
            <v>1</v>
          </cell>
          <cell r="AB95">
            <v>10</v>
          </cell>
          <cell r="AC95">
            <v>2</v>
          </cell>
          <cell r="AD95">
            <v>0</v>
          </cell>
          <cell r="AE95">
            <v>0</v>
          </cell>
          <cell r="AF95">
            <v>1</v>
          </cell>
          <cell r="AG95">
            <v>0</v>
          </cell>
          <cell r="AH95">
            <v>2</v>
          </cell>
          <cell r="AI95">
            <v>0</v>
          </cell>
          <cell r="AJ95">
            <v>0</v>
          </cell>
          <cell r="AK95">
            <v>2</v>
          </cell>
          <cell r="AL95">
            <v>0</v>
          </cell>
          <cell r="AM95">
            <v>2</v>
          </cell>
          <cell r="AN95">
            <v>0</v>
          </cell>
          <cell r="AO95">
            <v>2</v>
          </cell>
          <cell r="AP95">
            <v>0</v>
          </cell>
          <cell r="AQ95">
            <v>0</v>
          </cell>
          <cell r="AR95">
            <v>1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X95">
            <v>3246</v>
          </cell>
        </row>
        <row r="96">
          <cell r="B96">
            <v>11</v>
          </cell>
          <cell r="C96">
            <v>0</v>
          </cell>
          <cell r="D96">
            <v>17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2</v>
          </cell>
          <cell r="P96">
            <v>0</v>
          </cell>
          <cell r="Q96">
            <v>1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</v>
          </cell>
          <cell r="Z96">
            <v>4</v>
          </cell>
          <cell r="AA96">
            <v>0</v>
          </cell>
          <cell r="AB96">
            <v>5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3</v>
          </cell>
          <cell r="AK96">
            <v>0</v>
          </cell>
          <cell r="AL96">
            <v>0</v>
          </cell>
          <cell r="AM96">
            <v>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X96">
            <v>8400</v>
          </cell>
        </row>
        <row r="97">
          <cell r="B97">
            <v>6</v>
          </cell>
          <cell r="C97">
            <v>1</v>
          </cell>
          <cell r="D97">
            <v>9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2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6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Z97">
            <v>1</v>
          </cell>
          <cell r="AA97">
            <v>0</v>
          </cell>
          <cell r="AB97">
            <v>2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2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X97">
            <v>1497</v>
          </cell>
        </row>
        <row r="98">
          <cell r="B98">
            <v>4</v>
          </cell>
          <cell r="C98">
            <v>0</v>
          </cell>
          <cell r="D98">
            <v>8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3</v>
          </cell>
          <cell r="M98">
            <v>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4</v>
          </cell>
          <cell r="AA98">
            <v>0</v>
          </cell>
          <cell r="AB98">
            <v>8</v>
          </cell>
          <cell r="AC98">
            <v>0</v>
          </cell>
          <cell r="AD98">
            <v>0</v>
          </cell>
          <cell r="AE98">
            <v>0</v>
          </cell>
          <cell r="AF98">
            <v>1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X98">
            <v>5732</v>
          </cell>
        </row>
        <row r="99">
          <cell r="B99">
            <v>1</v>
          </cell>
          <cell r="C99">
            <v>1</v>
          </cell>
          <cell r="D99">
            <v>19</v>
          </cell>
          <cell r="E99">
            <v>19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19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X100">
            <v>0</v>
          </cell>
        </row>
        <row r="101">
          <cell r="AX101">
            <v>2304.7963522225173</v>
          </cell>
        </row>
        <row r="102">
          <cell r="C102">
            <v>5</v>
          </cell>
          <cell r="D102">
            <v>634</v>
          </cell>
          <cell r="E102">
            <v>48</v>
          </cell>
          <cell r="F102">
            <v>0</v>
          </cell>
          <cell r="G102">
            <v>0</v>
          </cell>
          <cell r="H102">
            <v>55</v>
          </cell>
          <cell r="I102">
            <v>0</v>
          </cell>
          <cell r="J102">
            <v>0</v>
          </cell>
          <cell r="K102">
            <v>26</v>
          </cell>
          <cell r="L102">
            <v>49</v>
          </cell>
          <cell r="M102">
            <v>8</v>
          </cell>
          <cell r="N102">
            <v>386</v>
          </cell>
          <cell r="O102">
            <v>0</v>
          </cell>
          <cell r="P102">
            <v>0</v>
          </cell>
          <cell r="Q102">
            <v>0</v>
          </cell>
          <cell r="R102">
            <v>6</v>
          </cell>
          <cell r="S102">
            <v>2</v>
          </cell>
          <cell r="T102">
            <v>0</v>
          </cell>
          <cell r="U102">
            <v>47</v>
          </cell>
          <cell r="V102">
            <v>52</v>
          </cell>
          <cell r="W102">
            <v>0</v>
          </cell>
          <cell r="X102">
            <v>3</v>
          </cell>
          <cell r="Z102">
            <v>69</v>
          </cell>
          <cell r="AA102">
            <v>5</v>
          </cell>
          <cell r="AB102">
            <v>365</v>
          </cell>
          <cell r="AC102">
            <v>18</v>
          </cell>
          <cell r="AD102">
            <v>0</v>
          </cell>
          <cell r="AE102">
            <v>0</v>
          </cell>
          <cell r="AF102">
            <v>47</v>
          </cell>
          <cell r="AG102">
            <v>0</v>
          </cell>
          <cell r="AH102">
            <v>0</v>
          </cell>
          <cell r="AI102">
            <v>23</v>
          </cell>
          <cell r="AJ102">
            <v>0</v>
          </cell>
          <cell r="AK102">
            <v>8</v>
          </cell>
          <cell r="AL102">
            <v>238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>
            <v>0</v>
          </cell>
          <cell r="AS102">
            <v>21</v>
          </cell>
          <cell r="AT102">
            <v>26</v>
          </cell>
          <cell r="AU102">
            <v>0</v>
          </cell>
          <cell r="AV102">
            <v>0</v>
          </cell>
          <cell r="AX102">
            <v>3189.6178787878789</v>
          </cell>
        </row>
        <row r="103">
          <cell r="B103">
            <v>29</v>
          </cell>
          <cell r="C103">
            <v>4</v>
          </cell>
          <cell r="D103">
            <v>125</v>
          </cell>
          <cell r="E103">
            <v>34</v>
          </cell>
          <cell r="F103">
            <v>0</v>
          </cell>
          <cell r="G103">
            <v>0</v>
          </cell>
          <cell r="H103">
            <v>15</v>
          </cell>
          <cell r="I103">
            <v>0</v>
          </cell>
          <cell r="J103">
            <v>0</v>
          </cell>
          <cell r="K103">
            <v>4</v>
          </cell>
          <cell r="L103">
            <v>6</v>
          </cell>
          <cell r="M103">
            <v>0</v>
          </cell>
          <cell r="N103">
            <v>65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34</v>
          </cell>
          <cell r="W103">
            <v>0</v>
          </cell>
          <cell r="X103">
            <v>0</v>
          </cell>
          <cell r="Z103">
            <v>46</v>
          </cell>
          <cell r="AA103">
            <v>4</v>
          </cell>
          <cell r="AB103">
            <v>89</v>
          </cell>
          <cell r="AC103">
            <v>30</v>
          </cell>
          <cell r="AD103">
            <v>0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I103">
            <v>3</v>
          </cell>
          <cell r="AJ103">
            <v>6</v>
          </cell>
          <cell r="AK103">
            <v>0</v>
          </cell>
          <cell r="AL103">
            <v>45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</v>
          </cell>
          <cell r="AT103">
            <v>30</v>
          </cell>
          <cell r="AU103">
            <v>0</v>
          </cell>
          <cell r="AV103">
            <v>0</v>
          </cell>
          <cell r="AX103">
            <v>2309.8176470588237</v>
          </cell>
        </row>
        <row r="104">
          <cell r="B104">
            <v>5</v>
          </cell>
          <cell r="C104">
            <v>0</v>
          </cell>
          <cell r="D104">
            <v>13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0</v>
          </cell>
          <cell r="N104">
            <v>12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5</v>
          </cell>
          <cell r="AA104">
            <v>0</v>
          </cell>
          <cell r="AB104">
            <v>13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12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1480</v>
          </cell>
        </row>
        <row r="105">
          <cell r="B105">
            <v>2</v>
          </cell>
          <cell r="C105">
            <v>0</v>
          </cell>
          <cell r="D105">
            <v>10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0</v>
          </cell>
        </row>
        <row r="107">
          <cell r="B107">
            <v>17</v>
          </cell>
          <cell r="C107">
            <v>1</v>
          </cell>
          <cell r="D107">
            <v>44</v>
          </cell>
          <cell r="E107">
            <v>1</v>
          </cell>
          <cell r="F107">
            <v>0</v>
          </cell>
          <cell r="G107">
            <v>0</v>
          </cell>
          <cell r="H107">
            <v>26</v>
          </cell>
          <cell r="I107">
            <v>0</v>
          </cell>
          <cell r="J107">
            <v>0</v>
          </cell>
          <cell r="K107">
            <v>17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</v>
          </cell>
          <cell r="Z107">
            <v>33</v>
          </cell>
          <cell r="AA107">
            <v>0</v>
          </cell>
          <cell r="AB107">
            <v>36</v>
          </cell>
          <cell r="AC107">
            <v>0</v>
          </cell>
          <cell r="AD107">
            <v>0</v>
          </cell>
          <cell r="AE107">
            <v>0</v>
          </cell>
          <cell r="AF107">
            <v>20</v>
          </cell>
          <cell r="AG107">
            <v>0</v>
          </cell>
          <cell r="AH107">
            <v>0</v>
          </cell>
          <cell r="AI107">
            <v>16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1707.7876923076924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0</v>
          </cell>
        </row>
        <row r="109">
          <cell r="B109">
            <v>22</v>
          </cell>
          <cell r="C109">
            <v>0</v>
          </cell>
          <cell r="D109">
            <v>54</v>
          </cell>
          <cell r="E109">
            <v>0</v>
          </cell>
          <cell r="F109">
            <v>0</v>
          </cell>
          <cell r="G109">
            <v>0</v>
          </cell>
          <cell r="H109">
            <v>54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11</v>
          </cell>
          <cell r="AA109">
            <v>0</v>
          </cell>
          <cell r="AB109">
            <v>26</v>
          </cell>
          <cell r="AC109">
            <v>0</v>
          </cell>
          <cell r="AD109">
            <v>0</v>
          </cell>
          <cell r="AE109">
            <v>0</v>
          </cell>
          <cell r="AF109">
            <v>26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1615.2</v>
          </cell>
        </row>
        <row r="110">
          <cell r="B110">
            <v>2</v>
          </cell>
          <cell r="C110">
            <v>0</v>
          </cell>
          <cell r="D110">
            <v>11</v>
          </cell>
          <cell r="E110">
            <v>0</v>
          </cell>
          <cell r="F110">
            <v>0</v>
          </cell>
          <cell r="G110">
            <v>0</v>
          </cell>
          <cell r="H110">
            <v>10</v>
          </cell>
          <cell r="I110">
            <v>0</v>
          </cell>
          <cell r="J110">
            <v>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2</v>
          </cell>
          <cell r="AA110">
            <v>0</v>
          </cell>
          <cell r="AB110">
            <v>7</v>
          </cell>
          <cell r="AC110">
            <v>0</v>
          </cell>
          <cell r="AD110">
            <v>0</v>
          </cell>
          <cell r="AE110">
            <v>0</v>
          </cell>
          <cell r="AF110">
            <v>6</v>
          </cell>
          <cell r="AG110">
            <v>0</v>
          </cell>
          <cell r="AH110">
            <v>0</v>
          </cell>
          <cell r="AI110">
            <v>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1240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0</v>
          </cell>
        </row>
        <row r="112">
          <cell r="B112">
            <v>47</v>
          </cell>
          <cell r="C112">
            <v>2</v>
          </cell>
          <cell r="D112">
            <v>108</v>
          </cell>
          <cell r="E112">
            <v>2</v>
          </cell>
          <cell r="F112">
            <v>0</v>
          </cell>
          <cell r="G112">
            <v>6</v>
          </cell>
          <cell r="H112">
            <v>35</v>
          </cell>
          <cell r="I112">
            <v>0</v>
          </cell>
          <cell r="J112">
            <v>3</v>
          </cell>
          <cell r="K112">
            <v>48</v>
          </cell>
          <cell r="L112">
            <v>5</v>
          </cell>
          <cell r="M112">
            <v>9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40</v>
          </cell>
          <cell r="AA112">
            <v>2</v>
          </cell>
          <cell r="AB112">
            <v>86</v>
          </cell>
          <cell r="AC112">
            <v>2</v>
          </cell>
          <cell r="AD112">
            <v>0</v>
          </cell>
          <cell r="AE112">
            <v>6</v>
          </cell>
          <cell r="AF112">
            <v>32</v>
          </cell>
          <cell r="AG112">
            <v>0</v>
          </cell>
          <cell r="AH112">
            <v>3</v>
          </cell>
          <cell r="AI112">
            <v>30</v>
          </cell>
          <cell r="AJ112">
            <v>4</v>
          </cell>
          <cell r="AK112">
            <v>9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1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1752.8996153846153</v>
          </cell>
        </row>
        <row r="113">
          <cell r="B113">
            <v>1</v>
          </cell>
          <cell r="C113">
            <v>0</v>
          </cell>
          <cell r="D113">
            <v>9</v>
          </cell>
          <cell r="E113">
            <v>0</v>
          </cell>
          <cell r="F113">
            <v>0</v>
          </cell>
          <cell r="G113">
            <v>0</v>
          </cell>
          <cell r="H113">
            <v>9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1</v>
          </cell>
          <cell r="AA113">
            <v>0</v>
          </cell>
          <cell r="AB113">
            <v>9</v>
          </cell>
          <cell r="AC113">
            <v>0</v>
          </cell>
          <cell r="AD113">
            <v>0</v>
          </cell>
          <cell r="AE113">
            <v>0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712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</row>
        <row r="115">
          <cell r="B115">
            <v>164</v>
          </cell>
          <cell r="C115">
            <v>2</v>
          </cell>
          <cell r="D115">
            <v>240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4</v>
          </cell>
          <cell r="L115">
            <v>5</v>
          </cell>
          <cell r="M115">
            <v>0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5</v>
          </cell>
          <cell r="S115">
            <v>0</v>
          </cell>
          <cell r="T115">
            <v>0</v>
          </cell>
          <cell r="U115">
            <v>2</v>
          </cell>
          <cell r="V115">
            <v>2</v>
          </cell>
          <cell r="W115">
            <v>0</v>
          </cell>
          <cell r="X115">
            <v>218</v>
          </cell>
          <cell r="Z115">
            <v>126</v>
          </cell>
          <cell r="AA115">
            <v>2</v>
          </cell>
          <cell r="AB115">
            <v>132</v>
          </cell>
          <cell r="AC115">
            <v>2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2</v>
          </cell>
          <cell r="AJ115">
            <v>3</v>
          </cell>
          <cell r="AK115">
            <v>0</v>
          </cell>
          <cell r="AL115">
            <v>2</v>
          </cell>
          <cell r="AM115">
            <v>0</v>
          </cell>
          <cell r="AN115">
            <v>0</v>
          </cell>
          <cell r="AO115">
            <v>0</v>
          </cell>
          <cell r="AP115">
            <v>2</v>
          </cell>
          <cell r="AQ115">
            <v>0</v>
          </cell>
          <cell r="AR115">
            <v>0</v>
          </cell>
          <cell r="AS115">
            <v>1</v>
          </cell>
          <cell r="AT115">
            <v>1</v>
          </cell>
          <cell r="AU115">
            <v>0</v>
          </cell>
          <cell r="AV115">
            <v>121</v>
          </cell>
          <cell r="AX115">
            <v>3809.5237037037036</v>
          </cell>
        </row>
        <row r="116">
          <cell r="B116">
            <v>51</v>
          </cell>
          <cell r="C116">
            <v>1</v>
          </cell>
          <cell r="D116">
            <v>563</v>
          </cell>
          <cell r="E116">
            <v>12</v>
          </cell>
          <cell r="F116">
            <v>0</v>
          </cell>
          <cell r="G116">
            <v>0</v>
          </cell>
          <cell r="H116">
            <v>521</v>
          </cell>
          <cell r="I116">
            <v>0</v>
          </cell>
          <cell r="J116">
            <v>7</v>
          </cell>
          <cell r="K116">
            <v>11</v>
          </cell>
          <cell r="L116">
            <v>11</v>
          </cell>
          <cell r="M116">
            <v>12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46</v>
          </cell>
          <cell r="AA116">
            <v>1</v>
          </cell>
          <cell r="AB116">
            <v>482</v>
          </cell>
          <cell r="AC116">
            <v>12</v>
          </cell>
          <cell r="AD116">
            <v>0</v>
          </cell>
          <cell r="AE116">
            <v>0</v>
          </cell>
          <cell r="AF116">
            <v>442</v>
          </cell>
          <cell r="AG116">
            <v>0</v>
          </cell>
          <cell r="AH116">
            <v>7</v>
          </cell>
          <cell r="AI116">
            <v>10</v>
          </cell>
          <cell r="AJ116">
            <v>10</v>
          </cell>
          <cell r="AK116">
            <v>12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787.28464285714279</v>
          </cell>
        </row>
        <row r="117">
          <cell r="B117">
            <v>205</v>
          </cell>
          <cell r="C117">
            <v>0</v>
          </cell>
          <cell r="D117">
            <v>384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6</v>
          </cell>
          <cell r="L117">
            <v>11</v>
          </cell>
          <cell r="M117">
            <v>0</v>
          </cell>
          <cell r="N117">
            <v>0</v>
          </cell>
          <cell r="O117">
            <v>3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2</v>
          </cell>
          <cell r="V117">
            <v>0</v>
          </cell>
          <cell r="W117">
            <v>0</v>
          </cell>
          <cell r="X117">
            <v>362</v>
          </cell>
          <cell r="Z117">
            <v>162</v>
          </cell>
          <cell r="AA117">
            <v>0</v>
          </cell>
          <cell r="AB117">
            <v>206</v>
          </cell>
          <cell r="AC117">
            <v>0</v>
          </cell>
          <cell r="AD117">
            <v>0</v>
          </cell>
          <cell r="AE117">
            <v>0</v>
          </cell>
          <cell r="AF117">
            <v>2</v>
          </cell>
          <cell r="AG117">
            <v>0</v>
          </cell>
          <cell r="AH117">
            <v>0</v>
          </cell>
          <cell r="AI117">
            <v>4</v>
          </cell>
          <cell r="AJ117">
            <v>7</v>
          </cell>
          <cell r="AK117">
            <v>0</v>
          </cell>
          <cell r="AL117">
            <v>0</v>
          </cell>
          <cell r="AM117">
            <v>1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1</v>
          </cell>
          <cell r="AT117">
            <v>0</v>
          </cell>
          <cell r="AU117">
            <v>0</v>
          </cell>
          <cell r="AV117">
            <v>191</v>
          </cell>
          <cell r="AX117">
            <v>3805.8023404255305</v>
          </cell>
        </row>
        <row r="118">
          <cell r="B118">
            <v>11</v>
          </cell>
          <cell r="C118">
            <v>0</v>
          </cell>
          <cell r="D118">
            <v>18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  <cell r="I118">
            <v>0</v>
          </cell>
          <cell r="J118">
            <v>0</v>
          </cell>
          <cell r="K118">
            <v>17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9</v>
          </cell>
          <cell r="AA118">
            <v>0</v>
          </cell>
          <cell r="AB118">
            <v>14</v>
          </cell>
          <cell r="AC118">
            <v>0</v>
          </cell>
          <cell r="AD118">
            <v>0</v>
          </cell>
          <cell r="AE118">
            <v>1</v>
          </cell>
          <cell r="AF118">
            <v>0</v>
          </cell>
          <cell r="AG118">
            <v>0</v>
          </cell>
          <cell r="AH118">
            <v>0</v>
          </cell>
          <cell r="AI118">
            <v>13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1897.3333333333333</v>
          </cell>
        </row>
        <row r="119">
          <cell r="B119">
            <v>3</v>
          </cell>
          <cell r="C119">
            <v>0</v>
          </cell>
          <cell r="D119">
            <v>20</v>
          </cell>
          <cell r="E119">
            <v>0</v>
          </cell>
          <cell r="F119">
            <v>0</v>
          </cell>
          <cell r="G119">
            <v>0</v>
          </cell>
          <cell r="H119">
            <v>17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</v>
          </cell>
          <cell r="Z119">
            <v>3</v>
          </cell>
          <cell r="AA119">
            <v>0</v>
          </cell>
          <cell r="AB119">
            <v>17</v>
          </cell>
          <cell r="AC119">
            <v>0</v>
          </cell>
          <cell r="AD119">
            <v>0</v>
          </cell>
          <cell r="AE119">
            <v>0</v>
          </cell>
          <cell r="AF119">
            <v>14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3</v>
          </cell>
          <cell r="AX119">
            <v>3678.4</v>
          </cell>
        </row>
        <row r="120">
          <cell r="B120">
            <v>13</v>
          </cell>
          <cell r="C120">
            <v>1</v>
          </cell>
          <cell r="D120">
            <v>112</v>
          </cell>
          <cell r="E120">
            <v>1</v>
          </cell>
          <cell r="F120">
            <v>0</v>
          </cell>
          <cell r="G120">
            <v>0</v>
          </cell>
          <cell r="H120">
            <v>100</v>
          </cell>
          <cell r="I120">
            <v>0</v>
          </cell>
          <cell r="J120">
            <v>6</v>
          </cell>
          <cell r="K120">
            <v>4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13</v>
          </cell>
          <cell r="AA120">
            <v>1</v>
          </cell>
          <cell r="AB120">
            <v>103</v>
          </cell>
          <cell r="AC120">
            <v>1</v>
          </cell>
          <cell r="AD120">
            <v>0</v>
          </cell>
          <cell r="AE120">
            <v>0</v>
          </cell>
          <cell r="AF120">
            <v>91</v>
          </cell>
          <cell r="AG120">
            <v>0</v>
          </cell>
          <cell r="AH120">
            <v>6</v>
          </cell>
          <cell r="AI120">
            <v>4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2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755.92416666666668</v>
          </cell>
        </row>
        <row r="122">
          <cell r="B122">
            <v>261</v>
          </cell>
          <cell r="C122">
            <v>3</v>
          </cell>
          <cell r="D122">
            <v>1236</v>
          </cell>
          <cell r="E122">
            <v>2</v>
          </cell>
          <cell r="F122">
            <v>0</v>
          </cell>
          <cell r="G122">
            <v>5</v>
          </cell>
          <cell r="H122">
            <v>1046</v>
          </cell>
          <cell r="I122">
            <v>0</v>
          </cell>
          <cell r="J122">
            <v>3</v>
          </cell>
          <cell r="K122">
            <v>145</v>
          </cell>
          <cell r="L122">
            <v>15</v>
          </cell>
          <cell r="M122">
            <v>4</v>
          </cell>
          <cell r="N122">
            <v>0</v>
          </cell>
          <cell r="O122">
            <v>0</v>
          </cell>
          <cell r="P122">
            <v>4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  <cell r="X122">
            <v>10</v>
          </cell>
          <cell r="Z122">
            <v>261</v>
          </cell>
          <cell r="AA122">
            <v>2</v>
          </cell>
          <cell r="AB122">
            <v>1002</v>
          </cell>
          <cell r="AC122">
            <v>3</v>
          </cell>
          <cell r="AD122">
            <v>0</v>
          </cell>
          <cell r="AE122">
            <v>4</v>
          </cell>
          <cell r="AF122">
            <v>869</v>
          </cell>
          <cell r="AG122">
            <v>0</v>
          </cell>
          <cell r="AH122">
            <v>6</v>
          </cell>
          <cell r="AI122">
            <v>98</v>
          </cell>
          <cell r="AJ122">
            <v>13</v>
          </cell>
          <cell r="AK122">
            <v>4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3</v>
          </cell>
          <cell r="AQ122">
            <v>0</v>
          </cell>
          <cell r="AR122">
            <v>0</v>
          </cell>
          <cell r="AS122">
            <v>3</v>
          </cell>
          <cell r="AT122">
            <v>2</v>
          </cell>
          <cell r="AU122">
            <v>0</v>
          </cell>
          <cell r="AV122">
            <v>0</v>
          </cell>
          <cell r="AX122">
            <v>1786.2576190476193</v>
          </cell>
        </row>
        <row r="123">
          <cell r="B123">
            <v>2</v>
          </cell>
          <cell r="C123">
            <v>0</v>
          </cell>
          <cell r="D123">
            <v>4</v>
          </cell>
          <cell r="E123">
            <v>0</v>
          </cell>
          <cell r="F123">
            <v>0</v>
          </cell>
          <cell r="G123">
            <v>0</v>
          </cell>
          <cell r="H123">
            <v>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1</v>
          </cell>
          <cell r="AA123">
            <v>0</v>
          </cell>
          <cell r="AB123">
            <v>2</v>
          </cell>
          <cell r="AC123">
            <v>0</v>
          </cell>
          <cell r="AD123">
            <v>0</v>
          </cell>
          <cell r="AE123">
            <v>0</v>
          </cell>
          <cell r="AF123">
            <v>2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X123">
            <v>4640</v>
          </cell>
        </row>
        <row r="124">
          <cell r="B124">
            <v>3</v>
          </cell>
          <cell r="C124">
            <v>0</v>
          </cell>
          <cell r="D124">
            <v>19</v>
          </cell>
          <cell r="E124">
            <v>0</v>
          </cell>
          <cell r="F124">
            <v>0</v>
          </cell>
          <cell r="G124">
            <v>0</v>
          </cell>
          <cell r="H124">
            <v>19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3</v>
          </cell>
          <cell r="AA124">
            <v>0</v>
          </cell>
          <cell r="AB124">
            <v>19</v>
          </cell>
          <cell r="AC124">
            <v>0</v>
          </cell>
          <cell r="AD124">
            <v>0</v>
          </cell>
          <cell r="AE124">
            <v>0</v>
          </cell>
          <cell r="AF124">
            <v>19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480</v>
          </cell>
        </row>
        <row r="125">
          <cell r="B125">
            <v>3</v>
          </cell>
          <cell r="C125">
            <v>2</v>
          </cell>
          <cell r="D125">
            <v>3</v>
          </cell>
          <cell r="E125">
            <v>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3</v>
          </cell>
          <cell r="AA125">
            <v>2</v>
          </cell>
          <cell r="AB125">
            <v>3</v>
          </cell>
          <cell r="AC125">
            <v>2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1</v>
          </cell>
          <cell r="AQ125">
            <v>1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3135</v>
          </cell>
        </row>
        <row r="126">
          <cell r="B126">
            <v>71</v>
          </cell>
          <cell r="C126">
            <v>1</v>
          </cell>
          <cell r="D126">
            <v>138</v>
          </cell>
          <cell r="E126">
            <v>7</v>
          </cell>
          <cell r="F126">
            <v>0</v>
          </cell>
          <cell r="G126">
            <v>0</v>
          </cell>
          <cell r="H126">
            <v>11</v>
          </cell>
          <cell r="I126">
            <v>0</v>
          </cell>
          <cell r="J126">
            <v>0</v>
          </cell>
          <cell r="K126">
            <v>1</v>
          </cell>
          <cell r="L126">
            <v>116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0</v>
          </cell>
          <cell r="T126">
            <v>0</v>
          </cell>
          <cell r="U126">
            <v>7</v>
          </cell>
          <cell r="V126">
            <v>0</v>
          </cell>
          <cell r="W126">
            <v>0</v>
          </cell>
          <cell r="X126">
            <v>0</v>
          </cell>
          <cell r="Z126">
            <v>49</v>
          </cell>
          <cell r="AA126">
            <v>1</v>
          </cell>
          <cell r="AB126">
            <v>87</v>
          </cell>
          <cell r="AC126">
            <v>7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</v>
          </cell>
          <cell r="AJ126">
            <v>78</v>
          </cell>
          <cell r="AK126">
            <v>1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7</v>
          </cell>
          <cell r="AT126">
            <v>0</v>
          </cell>
          <cell r="AU126">
            <v>0</v>
          </cell>
          <cell r="AV126">
            <v>0</v>
          </cell>
          <cell r="AX126">
            <v>2669.9977777777781</v>
          </cell>
        </row>
        <row r="127">
          <cell r="B127">
            <v>2</v>
          </cell>
          <cell r="C127">
            <v>1</v>
          </cell>
          <cell r="D127">
            <v>5</v>
          </cell>
          <cell r="E127">
            <v>1</v>
          </cell>
          <cell r="F127">
            <v>0</v>
          </cell>
          <cell r="G127">
            <v>0</v>
          </cell>
          <cell r="H127">
            <v>4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</v>
          </cell>
          <cell r="Z127">
            <v>2</v>
          </cell>
          <cell r="AA127">
            <v>1</v>
          </cell>
          <cell r="AB127">
            <v>5</v>
          </cell>
          <cell r="AC127">
            <v>1</v>
          </cell>
          <cell r="AD127">
            <v>0</v>
          </cell>
          <cell r="AE127">
            <v>0</v>
          </cell>
          <cell r="AF127">
            <v>4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1</v>
          </cell>
          <cell r="AX127">
            <v>5947.5749999999998</v>
          </cell>
        </row>
        <row r="128">
          <cell r="B128">
            <v>1</v>
          </cell>
          <cell r="C128">
            <v>0</v>
          </cell>
          <cell r="D128">
            <v>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0</v>
          </cell>
        </row>
        <row r="129">
          <cell r="B129">
            <v>2</v>
          </cell>
          <cell r="C129">
            <v>0</v>
          </cell>
          <cell r="D129">
            <v>12</v>
          </cell>
          <cell r="E129">
            <v>0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8</v>
          </cell>
          <cell r="L129">
            <v>3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6</v>
          </cell>
          <cell r="AA129">
            <v>0</v>
          </cell>
          <cell r="AB129">
            <v>11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7</v>
          </cell>
          <cell r="AJ129">
            <v>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3767.2</v>
          </cell>
        </row>
        <row r="130">
          <cell r="B130">
            <v>3</v>
          </cell>
          <cell r="C130">
            <v>0</v>
          </cell>
          <cell r="D130">
            <v>4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4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1</v>
          </cell>
          <cell r="AA130">
            <v>0</v>
          </cell>
          <cell r="AB130">
            <v>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1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2600</v>
          </cell>
        </row>
        <row r="131">
          <cell r="B131">
            <v>9</v>
          </cell>
          <cell r="C131">
            <v>0</v>
          </cell>
          <cell r="D131">
            <v>55</v>
          </cell>
          <cell r="E131">
            <v>0</v>
          </cell>
          <cell r="F131">
            <v>0</v>
          </cell>
          <cell r="G131">
            <v>0</v>
          </cell>
          <cell r="H131">
            <v>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8</v>
          </cell>
          <cell r="AA131">
            <v>0</v>
          </cell>
          <cell r="AB131">
            <v>47</v>
          </cell>
          <cell r="AC131">
            <v>0</v>
          </cell>
          <cell r="AD131">
            <v>0</v>
          </cell>
          <cell r="AE131">
            <v>0</v>
          </cell>
          <cell r="AF131">
            <v>47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X131">
            <v>1045.5040000000001</v>
          </cell>
        </row>
        <row r="132">
          <cell r="B132">
            <v>4</v>
          </cell>
          <cell r="C132">
            <v>0</v>
          </cell>
          <cell r="D132">
            <v>9</v>
          </cell>
          <cell r="E132">
            <v>0</v>
          </cell>
          <cell r="F132">
            <v>0</v>
          </cell>
          <cell r="G132">
            <v>0</v>
          </cell>
          <cell r="H132">
            <v>3</v>
          </cell>
          <cell r="I132">
            <v>0</v>
          </cell>
          <cell r="J132">
            <v>0</v>
          </cell>
          <cell r="K132">
            <v>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Z132">
            <v>4</v>
          </cell>
          <cell r="AA132">
            <v>0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3</v>
          </cell>
          <cell r="AG132">
            <v>0</v>
          </cell>
          <cell r="AH132">
            <v>0</v>
          </cell>
          <cell r="AI132">
            <v>6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913.3</v>
          </cell>
        </row>
        <row r="133">
          <cell r="B133">
            <v>13</v>
          </cell>
          <cell r="C133">
            <v>0</v>
          </cell>
          <cell r="D133">
            <v>56</v>
          </cell>
          <cell r="E133">
            <v>0</v>
          </cell>
          <cell r="F133">
            <v>0</v>
          </cell>
          <cell r="G133">
            <v>0</v>
          </cell>
          <cell r="H133">
            <v>54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12</v>
          </cell>
          <cell r="AA133">
            <v>0</v>
          </cell>
          <cell r="AB133">
            <v>51</v>
          </cell>
          <cell r="AC133">
            <v>0</v>
          </cell>
          <cell r="AD133">
            <v>0</v>
          </cell>
          <cell r="AE133">
            <v>0</v>
          </cell>
          <cell r="AF133">
            <v>49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2179.818181818182</v>
          </cell>
        </row>
        <row r="134">
          <cell r="B134">
            <v>1</v>
          </cell>
          <cell r="C134">
            <v>0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1</v>
          </cell>
          <cell r="AA134">
            <v>0</v>
          </cell>
          <cell r="AB134">
            <v>1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X134">
            <v>3040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X135">
            <v>0</v>
          </cell>
        </row>
        <row r="136">
          <cell r="B136">
            <v>1</v>
          </cell>
          <cell r="C136">
            <v>0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1</v>
          </cell>
          <cell r="AA136">
            <v>0</v>
          </cell>
          <cell r="AB136">
            <v>1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5000</v>
          </cell>
        </row>
        <row r="137">
          <cell r="B137">
            <v>35</v>
          </cell>
          <cell r="C137">
            <v>0</v>
          </cell>
          <cell r="D137">
            <v>436</v>
          </cell>
          <cell r="E137">
            <v>0</v>
          </cell>
          <cell r="F137">
            <v>0</v>
          </cell>
          <cell r="G137">
            <v>0</v>
          </cell>
          <cell r="H137">
            <v>427</v>
          </cell>
          <cell r="I137">
            <v>0</v>
          </cell>
          <cell r="J137">
            <v>0</v>
          </cell>
          <cell r="K137">
            <v>3</v>
          </cell>
          <cell r="L137">
            <v>5</v>
          </cell>
          <cell r="M137">
            <v>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30</v>
          </cell>
          <cell r="AA137">
            <v>0</v>
          </cell>
          <cell r="AB137">
            <v>428</v>
          </cell>
          <cell r="AC137">
            <v>0</v>
          </cell>
          <cell r="AD137">
            <v>0</v>
          </cell>
          <cell r="AE137">
            <v>0</v>
          </cell>
          <cell r="AF137">
            <v>425</v>
          </cell>
          <cell r="AG137">
            <v>0</v>
          </cell>
          <cell r="AH137">
            <v>0</v>
          </cell>
          <cell r="AI137">
            <v>0</v>
          </cell>
          <cell r="AJ137">
            <v>2</v>
          </cell>
          <cell r="AK137">
            <v>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X137">
            <v>567.03454545454542</v>
          </cell>
        </row>
        <row r="138">
          <cell r="B138">
            <v>1</v>
          </cell>
          <cell r="C138">
            <v>0</v>
          </cell>
          <cell r="D138">
            <v>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1</v>
          </cell>
          <cell r="AA138">
            <v>0</v>
          </cell>
          <cell r="AB138">
            <v>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3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800</v>
          </cell>
        </row>
        <row r="139">
          <cell r="B139">
            <v>6</v>
          </cell>
          <cell r="C139">
            <v>0</v>
          </cell>
          <cell r="D139">
            <v>21</v>
          </cell>
          <cell r="E139">
            <v>0</v>
          </cell>
          <cell r="F139">
            <v>0</v>
          </cell>
          <cell r="G139">
            <v>2</v>
          </cell>
          <cell r="H139">
            <v>18</v>
          </cell>
          <cell r="I139">
            <v>0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6</v>
          </cell>
          <cell r="AA139">
            <v>0</v>
          </cell>
          <cell r="AB139">
            <v>19</v>
          </cell>
          <cell r="AC139">
            <v>0</v>
          </cell>
          <cell r="AD139">
            <v>0</v>
          </cell>
          <cell r="AE139">
            <v>2</v>
          </cell>
          <cell r="AF139">
            <v>16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1423.3333333333333</v>
          </cell>
        </row>
        <row r="140">
          <cell r="B140">
            <v>13</v>
          </cell>
          <cell r="C140">
            <v>4</v>
          </cell>
          <cell r="D140">
            <v>40</v>
          </cell>
          <cell r="E140">
            <v>4</v>
          </cell>
          <cell r="F140">
            <v>0</v>
          </cell>
          <cell r="G140">
            <v>0</v>
          </cell>
          <cell r="H140">
            <v>9</v>
          </cell>
          <cell r="I140">
            <v>0</v>
          </cell>
          <cell r="J140">
            <v>25</v>
          </cell>
          <cell r="K140">
            <v>2</v>
          </cell>
          <cell r="L140">
            <v>4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11</v>
          </cell>
          <cell r="AA140">
            <v>2</v>
          </cell>
          <cell r="AB140">
            <v>33</v>
          </cell>
          <cell r="AC140">
            <v>7</v>
          </cell>
          <cell r="AD140">
            <v>0</v>
          </cell>
          <cell r="AE140">
            <v>0</v>
          </cell>
          <cell r="AF140">
            <v>9</v>
          </cell>
          <cell r="AG140">
            <v>0</v>
          </cell>
          <cell r="AH140">
            <v>15</v>
          </cell>
          <cell r="AI140">
            <v>2</v>
          </cell>
          <cell r="AJ140">
            <v>7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1229.3333333333333</v>
          </cell>
        </row>
        <row r="141">
          <cell r="B141">
            <v>1</v>
          </cell>
          <cell r="C141">
            <v>0</v>
          </cell>
          <cell r="D141">
            <v>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7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1</v>
          </cell>
          <cell r="AA141">
            <v>0</v>
          </cell>
          <cell r="AB141">
            <v>7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7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4528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0</v>
          </cell>
        </row>
        <row r="143">
          <cell r="B143">
            <v>2</v>
          </cell>
          <cell r="C143">
            <v>0</v>
          </cell>
          <cell r="D143">
            <v>3</v>
          </cell>
          <cell r="E143">
            <v>0</v>
          </cell>
          <cell r="F143">
            <v>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1</v>
          </cell>
          <cell r="AA143">
            <v>0</v>
          </cell>
          <cell r="AB143">
            <v>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1500</v>
          </cell>
        </row>
        <row r="144">
          <cell r="B144">
            <v>6</v>
          </cell>
          <cell r="C144">
            <v>0</v>
          </cell>
          <cell r="D144">
            <v>63</v>
          </cell>
          <cell r="E144">
            <v>0</v>
          </cell>
          <cell r="F144">
            <v>0</v>
          </cell>
          <cell r="G144">
            <v>0</v>
          </cell>
          <cell r="H144">
            <v>53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</v>
          </cell>
          <cell r="P144">
            <v>0</v>
          </cell>
          <cell r="Q144">
            <v>0</v>
          </cell>
          <cell r="R144">
            <v>6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Z144">
            <v>3</v>
          </cell>
          <cell r="AA144">
            <v>0</v>
          </cell>
          <cell r="AB144">
            <v>13</v>
          </cell>
          <cell r="AC144">
            <v>0</v>
          </cell>
          <cell r="AD144">
            <v>0</v>
          </cell>
          <cell r="AE144">
            <v>0</v>
          </cell>
          <cell r="AF144">
            <v>4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3</v>
          </cell>
          <cell r="AN144">
            <v>0</v>
          </cell>
          <cell r="AO144">
            <v>0</v>
          </cell>
          <cell r="AP144">
            <v>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3136.6666666666665</v>
          </cell>
        </row>
        <row r="145">
          <cell r="B145">
            <v>3</v>
          </cell>
          <cell r="C145">
            <v>0</v>
          </cell>
          <cell r="D145">
            <v>6</v>
          </cell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0</v>
          </cell>
          <cell r="L145">
            <v>4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1</v>
          </cell>
          <cell r="AA145">
            <v>0</v>
          </cell>
          <cell r="AB145">
            <v>2</v>
          </cell>
          <cell r="AC145">
            <v>0</v>
          </cell>
          <cell r="AD145">
            <v>0</v>
          </cell>
          <cell r="AE145">
            <v>0</v>
          </cell>
          <cell r="AF145">
            <v>2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643.84666666666669</v>
          </cell>
        </row>
        <row r="146">
          <cell r="B146">
            <v>1</v>
          </cell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0</v>
          </cell>
        </row>
        <row r="147">
          <cell r="B147">
            <v>11</v>
          </cell>
          <cell r="C147">
            <v>0</v>
          </cell>
          <cell r="D147">
            <v>56</v>
          </cell>
          <cell r="E147">
            <v>0</v>
          </cell>
          <cell r="F147">
            <v>0</v>
          </cell>
          <cell r="G147">
            <v>0</v>
          </cell>
          <cell r="H147">
            <v>4</v>
          </cell>
          <cell r="I147">
            <v>0</v>
          </cell>
          <cell r="J147">
            <v>0</v>
          </cell>
          <cell r="K147">
            <v>51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9</v>
          </cell>
          <cell r="AA147">
            <v>0</v>
          </cell>
          <cell r="AB147">
            <v>43</v>
          </cell>
          <cell r="AC147">
            <v>0</v>
          </cell>
          <cell r="AD147">
            <v>0</v>
          </cell>
          <cell r="AE147">
            <v>0</v>
          </cell>
          <cell r="AF147">
            <v>4</v>
          </cell>
          <cell r="AG147">
            <v>0</v>
          </cell>
          <cell r="AH147">
            <v>0</v>
          </cell>
          <cell r="AI147">
            <v>38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902.15571428571434</v>
          </cell>
        </row>
        <row r="148">
          <cell r="B148">
            <v>56</v>
          </cell>
          <cell r="C148">
            <v>1</v>
          </cell>
          <cell r="D148">
            <v>88</v>
          </cell>
          <cell r="E148">
            <v>1</v>
          </cell>
          <cell r="F148">
            <v>0</v>
          </cell>
          <cell r="G148">
            <v>0</v>
          </cell>
          <cell r="H148">
            <v>37</v>
          </cell>
          <cell r="I148">
            <v>0</v>
          </cell>
          <cell r="J148">
            <v>11</v>
          </cell>
          <cell r="K148">
            <v>35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  <cell r="P148">
            <v>1</v>
          </cell>
          <cell r="Q148">
            <v>1</v>
          </cell>
          <cell r="R148">
            <v>2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28</v>
          </cell>
          <cell r="AA148">
            <v>1</v>
          </cell>
          <cell r="AB148">
            <v>57</v>
          </cell>
          <cell r="AC148">
            <v>1</v>
          </cell>
          <cell r="AD148">
            <v>0</v>
          </cell>
          <cell r="AE148">
            <v>0</v>
          </cell>
          <cell r="AF148">
            <v>28</v>
          </cell>
          <cell r="AG148">
            <v>0</v>
          </cell>
          <cell r="AH148">
            <v>11</v>
          </cell>
          <cell r="AI148">
            <v>14</v>
          </cell>
          <cell r="AJ148">
            <v>0</v>
          </cell>
          <cell r="AK148">
            <v>0</v>
          </cell>
          <cell r="AL148">
            <v>0</v>
          </cell>
          <cell r="AM148">
            <v>1</v>
          </cell>
          <cell r="AN148">
            <v>1</v>
          </cell>
          <cell r="AO148">
            <v>1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2457.6666666666665</v>
          </cell>
        </row>
        <row r="149">
          <cell r="B149">
            <v>1</v>
          </cell>
          <cell r="C149">
            <v>0</v>
          </cell>
          <cell r="D149">
            <v>6</v>
          </cell>
          <cell r="E149">
            <v>0</v>
          </cell>
          <cell r="F149">
            <v>0</v>
          </cell>
          <cell r="G149">
            <v>0</v>
          </cell>
          <cell r="H149">
            <v>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1</v>
          </cell>
          <cell r="AA149">
            <v>0</v>
          </cell>
          <cell r="AB149">
            <v>6</v>
          </cell>
          <cell r="AC149">
            <v>0</v>
          </cell>
          <cell r="AD149">
            <v>0</v>
          </cell>
          <cell r="AE149">
            <v>0</v>
          </cell>
          <cell r="AF149">
            <v>6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677.47</v>
          </cell>
        </row>
        <row r="150">
          <cell r="B150">
            <v>4</v>
          </cell>
          <cell r="C150">
            <v>0</v>
          </cell>
          <cell r="D150">
            <v>23</v>
          </cell>
          <cell r="E150">
            <v>0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8</v>
          </cell>
          <cell r="O150">
            <v>0</v>
          </cell>
          <cell r="P150">
            <v>0</v>
          </cell>
          <cell r="Q150">
            <v>0</v>
          </cell>
          <cell r="R150">
            <v>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4</v>
          </cell>
          <cell r="AA150">
            <v>0</v>
          </cell>
          <cell r="AB150">
            <v>21</v>
          </cell>
          <cell r="AC150">
            <v>0</v>
          </cell>
          <cell r="AD150">
            <v>0</v>
          </cell>
          <cell r="AE150">
            <v>0</v>
          </cell>
          <cell r="AF150">
            <v>10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8</v>
          </cell>
          <cell r="AM150">
            <v>0</v>
          </cell>
          <cell r="AN150">
            <v>0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X150">
            <v>3436.6666666666665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X151">
            <v>0</v>
          </cell>
        </row>
        <row r="152">
          <cell r="B152">
            <v>2</v>
          </cell>
          <cell r="C152">
            <v>1</v>
          </cell>
          <cell r="D152">
            <v>3</v>
          </cell>
          <cell r="E152">
            <v>1</v>
          </cell>
          <cell r="F152">
            <v>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1</v>
          </cell>
          <cell r="W152">
            <v>0</v>
          </cell>
          <cell r="X152">
            <v>0</v>
          </cell>
          <cell r="Z152">
            <v>1</v>
          </cell>
          <cell r="AA152">
            <v>1</v>
          </cell>
          <cell r="AB152">
            <v>1</v>
          </cell>
          <cell r="AC152">
            <v>1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1</v>
          </cell>
          <cell r="AU152">
            <v>0</v>
          </cell>
          <cell r="AV152">
            <v>0</v>
          </cell>
          <cell r="AX152">
            <v>1200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X154">
            <v>0</v>
          </cell>
        </row>
        <row r="155">
          <cell r="B155">
            <v>1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Z155">
            <v>1</v>
          </cell>
          <cell r="AA155">
            <v>0</v>
          </cell>
          <cell r="AB155">
            <v>1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1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>
            <v>5800</v>
          </cell>
        </row>
        <row r="156">
          <cell r="B156">
            <v>8</v>
          </cell>
          <cell r="C156">
            <v>0</v>
          </cell>
          <cell r="D156">
            <v>14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12</v>
          </cell>
          <cell r="L156">
            <v>0</v>
          </cell>
          <cell r="M156">
            <v>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5</v>
          </cell>
          <cell r="AA156">
            <v>0</v>
          </cell>
          <cell r="AB156">
            <v>8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6</v>
          </cell>
          <cell r="AJ156">
            <v>0</v>
          </cell>
          <cell r="AK156">
            <v>2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1920</v>
          </cell>
        </row>
        <row r="157">
          <cell r="B157">
            <v>5</v>
          </cell>
          <cell r="C157">
            <v>2</v>
          </cell>
          <cell r="D157">
            <v>10</v>
          </cell>
          <cell r="E157">
            <v>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8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Z157">
            <v>5</v>
          </cell>
          <cell r="AA157">
            <v>2</v>
          </cell>
          <cell r="AB157">
            <v>10</v>
          </cell>
          <cell r="AC157">
            <v>2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8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X157">
            <v>2767.65</v>
          </cell>
        </row>
        <row r="158">
          <cell r="B158">
            <v>2</v>
          </cell>
          <cell r="C158">
            <v>0</v>
          </cell>
          <cell r="D158">
            <v>7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3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4</v>
          </cell>
          <cell r="Z158">
            <v>1</v>
          </cell>
          <cell r="AA158">
            <v>0</v>
          </cell>
          <cell r="AB158">
            <v>3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3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X158">
            <v>1024</v>
          </cell>
        </row>
        <row r="159">
          <cell r="B159">
            <v>1</v>
          </cell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1</v>
          </cell>
          <cell r="Z159">
            <v>1</v>
          </cell>
          <cell r="AA159">
            <v>0</v>
          </cell>
          <cell r="AB159">
            <v>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1</v>
          </cell>
          <cell r="AX159">
            <v>2500</v>
          </cell>
        </row>
        <row r="160">
          <cell r="B160">
            <v>4</v>
          </cell>
          <cell r="C160">
            <v>2</v>
          </cell>
          <cell r="D160">
            <v>5</v>
          </cell>
          <cell r="E160">
            <v>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2</v>
          </cell>
          <cell r="X160">
            <v>0</v>
          </cell>
          <cell r="Z160">
            <v>4</v>
          </cell>
          <cell r="AA160">
            <v>2</v>
          </cell>
          <cell r="AB160">
            <v>5</v>
          </cell>
          <cell r="AC160">
            <v>2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1</v>
          </cell>
          <cell r="AM160">
            <v>0</v>
          </cell>
          <cell r="AN160">
            <v>0</v>
          </cell>
          <cell r="AO160">
            <v>0</v>
          </cell>
          <cell r="AP160">
            <v>2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2</v>
          </cell>
          <cell r="AV160">
            <v>0</v>
          </cell>
          <cell r="AX160">
            <v>2700</v>
          </cell>
        </row>
        <row r="161">
          <cell r="B161">
            <v>3</v>
          </cell>
          <cell r="C161">
            <v>0</v>
          </cell>
          <cell r="D161">
            <v>7</v>
          </cell>
          <cell r="E161">
            <v>0</v>
          </cell>
          <cell r="F161">
            <v>0</v>
          </cell>
          <cell r="G161">
            <v>0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X161">
            <v>0</v>
          </cell>
        </row>
        <row r="162">
          <cell r="B162">
            <v>1</v>
          </cell>
          <cell r="C162">
            <v>0</v>
          </cell>
          <cell r="D162">
            <v>4</v>
          </cell>
          <cell r="E162">
            <v>0</v>
          </cell>
          <cell r="F162">
            <v>0</v>
          </cell>
          <cell r="G162">
            <v>0</v>
          </cell>
          <cell r="H162">
            <v>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1</v>
          </cell>
          <cell r="AA162">
            <v>0</v>
          </cell>
          <cell r="AB162">
            <v>4</v>
          </cell>
          <cell r="AC162">
            <v>0</v>
          </cell>
          <cell r="AD162">
            <v>0</v>
          </cell>
          <cell r="AE162">
            <v>0</v>
          </cell>
          <cell r="AF162">
            <v>4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X162">
            <v>3150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X163">
            <v>0</v>
          </cell>
        </row>
        <row r="164">
          <cell r="B164">
            <v>12</v>
          </cell>
          <cell r="C164">
            <v>0</v>
          </cell>
          <cell r="D164">
            <v>32</v>
          </cell>
          <cell r="E164">
            <v>0</v>
          </cell>
          <cell r="F164">
            <v>0</v>
          </cell>
          <cell r="G164">
            <v>0</v>
          </cell>
          <cell r="H164">
            <v>20</v>
          </cell>
          <cell r="I164">
            <v>0</v>
          </cell>
          <cell r="J164">
            <v>1</v>
          </cell>
          <cell r="K164">
            <v>0</v>
          </cell>
          <cell r="L164">
            <v>3</v>
          </cell>
          <cell r="M164">
            <v>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1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8</v>
          </cell>
          <cell r="AA164">
            <v>0</v>
          </cell>
          <cell r="AB164">
            <v>26</v>
          </cell>
          <cell r="AC164">
            <v>0</v>
          </cell>
          <cell r="AD164">
            <v>0</v>
          </cell>
          <cell r="AE164">
            <v>0</v>
          </cell>
          <cell r="AF164">
            <v>16</v>
          </cell>
          <cell r="AG164">
            <v>0</v>
          </cell>
          <cell r="AH164">
            <v>1</v>
          </cell>
          <cell r="AI164">
            <v>0</v>
          </cell>
          <cell r="AJ164">
            <v>3</v>
          </cell>
          <cell r="AK164">
            <v>5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1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1368.25</v>
          </cell>
        </row>
        <row r="165">
          <cell r="B165">
            <v>3</v>
          </cell>
          <cell r="C165">
            <v>0</v>
          </cell>
          <cell r="D165">
            <v>18</v>
          </cell>
          <cell r="E165">
            <v>0</v>
          </cell>
          <cell r="F165">
            <v>0</v>
          </cell>
          <cell r="G165">
            <v>0</v>
          </cell>
          <cell r="H165">
            <v>16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Z165">
            <v>2</v>
          </cell>
          <cell r="AA165">
            <v>0</v>
          </cell>
          <cell r="AB165">
            <v>17</v>
          </cell>
          <cell r="AC165">
            <v>0</v>
          </cell>
          <cell r="AD165">
            <v>0</v>
          </cell>
          <cell r="AE165">
            <v>0</v>
          </cell>
          <cell r="AF165">
            <v>16</v>
          </cell>
          <cell r="AG165">
            <v>0</v>
          </cell>
          <cell r="AH165">
            <v>0</v>
          </cell>
          <cell r="AI165">
            <v>0</v>
          </cell>
          <cell r="AJ165">
            <v>1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1275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X166">
            <v>0</v>
          </cell>
        </row>
        <row r="167">
          <cell r="B167">
            <v>1</v>
          </cell>
          <cell r="C167">
            <v>0</v>
          </cell>
          <cell r="D167">
            <v>6</v>
          </cell>
          <cell r="E167">
            <v>0</v>
          </cell>
          <cell r="F167">
            <v>0</v>
          </cell>
          <cell r="G167">
            <v>0</v>
          </cell>
          <cell r="H167">
            <v>6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Z167">
            <v>1</v>
          </cell>
          <cell r="AA167">
            <v>0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6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X167">
            <v>880</v>
          </cell>
        </row>
        <row r="168">
          <cell r="B168">
            <v>4</v>
          </cell>
          <cell r="C168">
            <v>0</v>
          </cell>
          <cell r="D168">
            <v>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Z168">
            <v>4</v>
          </cell>
          <cell r="AA168">
            <v>0</v>
          </cell>
          <cell r="AB168">
            <v>4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2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2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526.66666666666663</v>
          </cell>
        </row>
        <row r="169">
          <cell r="B169">
            <v>3</v>
          </cell>
          <cell r="C169">
            <v>0</v>
          </cell>
          <cell r="D169">
            <v>10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Z169">
            <v>3</v>
          </cell>
          <cell r="AA169">
            <v>0</v>
          </cell>
          <cell r="AB169">
            <v>9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9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2990</v>
          </cell>
        </row>
        <row r="170">
          <cell r="B170">
            <v>7</v>
          </cell>
          <cell r="C170">
            <v>0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33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Z170">
            <v>3</v>
          </cell>
          <cell r="AA170">
            <v>0</v>
          </cell>
          <cell r="AB170">
            <v>16</v>
          </cell>
          <cell r="AC170">
            <v>0</v>
          </cell>
          <cell r="AD170">
            <v>0</v>
          </cell>
          <cell r="AE170">
            <v>0</v>
          </cell>
          <cell r="AF170">
            <v>15</v>
          </cell>
          <cell r="AG170">
            <v>0</v>
          </cell>
          <cell r="AH170">
            <v>0</v>
          </cell>
          <cell r="AI170">
            <v>0</v>
          </cell>
          <cell r="AJ170">
            <v>1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X170">
            <v>1732.1333333333332</v>
          </cell>
        </row>
        <row r="171">
          <cell r="B171">
            <v>1</v>
          </cell>
          <cell r="C171">
            <v>0</v>
          </cell>
          <cell r="D171">
            <v>9</v>
          </cell>
          <cell r="E171">
            <v>0</v>
          </cell>
          <cell r="F171">
            <v>0</v>
          </cell>
          <cell r="G171">
            <v>0</v>
          </cell>
          <cell r="H171">
            <v>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Z171">
            <v>1</v>
          </cell>
          <cell r="AA171">
            <v>0</v>
          </cell>
          <cell r="AB171">
            <v>8</v>
          </cell>
          <cell r="AC171">
            <v>0</v>
          </cell>
          <cell r="AD171">
            <v>0</v>
          </cell>
          <cell r="AE171">
            <v>0</v>
          </cell>
          <cell r="AF171">
            <v>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X171">
            <v>1812</v>
          </cell>
        </row>
        <row r="172">
          <cell r="B172">
            <v>2</v>
          </cell>
          <cell r="C172">
            <v>0</v>
          </cell>
          <cell r="D172">
            <v>3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Z172">
            <v>2</v>
          </cell>
          <cell r="AA172">
            <v>0</v>
          </cell>
          <cell r="AB172">
            <v>3</v>
          </cell>
          <cell r="AC172">
            <v>0</v>
          </cell>
          <cell r="AD172">
            <v>0</v>
          </cell>
          <cell r="AE172">
            <v>0</v>
          </cell>
          <cell r="AF172">
            <v>3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X172">
            <v>952</v>
          </cell>
        </row>
        <row r="173">
          <cell r="B173">
            <v>4</v>
          </cell>
          <cell r="C173">
            <v>0</v>
          </cell>
          <cell r="D173">
            <v>32</v>
          </cell>
          <cell r="E173">
            <v>0</v>
          </cell>
          <cell r="F173">
            <v>0</v>
          </cell>
          <cell r="G173">
            <v>0</v>
          </cell>
          <cell r="H173">
            <v>32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Z173">
            <v>4</v>
          </cell>
          <cell r="AA173">
            <v>0</v>
          </cell>
          <cell r="AB173">
            <v>32</v>
          </cell>
          <cell r="AC173">
            <v>0</v>
          </cell>
          <cell r="AD173">
            <v>0</v>
          </cell>
          <cell r="AE173">
            <v>0</v>
          </cell>
          <cell r="AF173">
            <v>32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925.33333333333337</v>
          </cell>
        </row>
        <row r="174">
          <cell r="B174">
            <v>1</v>
          </cell>
          <cell r="C174">
            <v>0</v>
          </cell>
          <cell r="D174">
            <v>47</v>
          </cell>
          <cell r="E174">
            <v>0</v>
          </cell>
          <cell r="F174">
            <v>0</v>
          </cell>
          <cell r="G174">
            <v>0</v>
          </cell>
          <cell r="H174">
            <v>47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1</v>
          </cell>
          <cell r="AA174">
            <v>0</v>
          </cell>
          <cell r="AB174">
            <v>37</v>
          </cell>
          <cell r="AC174">
            <v>0</v>
          </cell>
          <cell r="AD174">
            <v>0</v>
          </cell>
          <cell r="AE174">
            <v>0</v>
          </cell>
          <cell r="AF174">
            <v>37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296</v>
          </cell>
        </row>
        <row r="175">
          <cell r="B175">
            <v>4</v>
          </cell>
          <cell r="C175">
            <v>0</v>
          </cell>
          <cell r="D175">
            <v>6</v>
          </cell>
          <cell r="E175">
            <v>0</v>
          </cell>
          <cell r="F175">
            <v>0</v>
          </cell>
          <cell r="G175">
            <v>0</v>
          </cell>
          <cell r="H175">
            <v>4</v>
          </cell>
          <cell r="I175">
            <v>0</v>
          </cell>
          <cell r="J175">
            <v>0</v>
          </cell>
          <cell r="K175">
            <v>0</v>
          </cell>
          <cell r="L175">
            <v>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Z175">
            <v>2</v>
          </cell>
          <cell r="AA175">
            <v>0</v>
          </cell>
          <cell r="AB175">
            <v>4</v>
          </cell>
          <cell r="AC175">
            <v>0</v>
          </cell>
          <cell r="AD175">
            <v>0</v>
          </cell>
          <cell r="AE175">
            <v>0</v>
          </cell>
          <cell r="AF175">
            <v>2</v>
          </cell>
          <cell r="AG175">
            <v>0</v>
          </cell>
          <cell r="AH175">
            <v>0</v>
          </cell>
          <cell r="AI175">
            <v>0</v>
          </cell>
          <cell r="AJ175">
            <v>2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6400</v>
          </cell>
        </row>
        <row r="176">
          <cell r="B176">
            <v>4</v>
          </cell>
          <cell r="C176">
            <v>0</v>
          </cell>
          <cell r="D176">
            <v>7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Z176">
            <v>4</v>
          </cell>
          <cell r="AA176">
            <v>0</v>
          </cell>
          <cell r="AB176">
            <v>7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1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X176">
            <v>3990</v>
          </cell>
        </row>
        <row r="177">
          <cell r="B177">
            <v>1</v>
          </cell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1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1</v>
          </cell>
          <cell r="AA177">
            <v>0</v>
          </cell>
          <cell r="AB177">
            <v>1</v>
          </cell>
          <cell r="AC177">
            <v>0</v>
          </cell>
          <cell r="AD177">
            <v>0</v>
          </cell>
          <cell r="AE177">
            <v>0</v>
          </cell>
          <cell r="AF177">
            <v>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3840</v>
          </cell>
        </row>
        <row r="178">
          <cell r="B178">
            <v>2</v>
          </cell>
          <cell r="C178">
            <v>0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Z178">
            <v>2</v>
          </cell>
          <cell r="AA178">
            <v>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2160</v>
          </cell>
        </row>
        <row r="179">
          <cell r="B179">
            <v>1</v>
          </cell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Z179">
            <v>1</v>
          </cell>
          <cell r="AA179">
            <v>0</v>
          </cell>
          <cell r="AB179">
            <v>1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1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2631.2</v>
          </cell>
        </row>
        <row r="180">
          <cell r="B180">
            <v>3</v>
          </cell>
          <cell r="C180">
            <v>0</v>
          </cell>
          <cell r="D180">
            <v>7</v>
          </cell>
          <cell r="E180">
            <v>0</v>
          </cell>
          <cell r="F180">
            <v>0</v>
          </cell>
          <cell r="G180">
            <v>0</v>
          </cell>
          <cell r="H180">
            <v>5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Z180">
            <v>1</v>
          </cell>
          <cell r="AA180">
            <v>0</v>
          </cell>
          <cell r="AB180">
            <v>1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X180">
            <v>1190</v>
          </cell>
        </row>
        <row r="181">
          <cell r="B181">
            <v>1</v>
          </cell>
          <cell r="C181">
            <v>0</v>
          </cell>
          <cell r="D181">
            <v>2</v>
          </cell>
          <cell r="E181">
            <v>0</v>
          </cell>
          <cell r="F181">
            <v>0</v>
          </cell>
          <cell r="G181">
            <v>0</v>
          </cell>
          <cell r="H181">
            <v>2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Z181">
            <v>1</v>
          </cell>
          <cell r="AA181">
            <v>0</v>
          </cell>
          <cell r="AB181">
            <v>2</v>
          </cell>
          <cell r="AC181">
            <v>0</v>
          </cell>
          <cell r="AD181">
            <v>0</v>
          </cell>
          <cell r="AE181">
            <v>0</v>
          </cell>
          <cell r="AF181">
            <v>2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X181">
            <v>1000</v>
          </cell>
        </row>
        <row r="182">
          <cell r="B182">
            <v>3</v>
          </cell>
          <cell r="C182">
            <v>0</v>
          </cell>
          <cell r="D182">
            <v>3</v>
          </cell>
          <cell r="E182">
            <v>0</v>
          </cell>
          <cell r="F182">
            <v>0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0</v>
          </cell>
          <cell r="L182">
            <v>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3</v>
          </cell>
          <cell r="AA182">
            <v>0</v>
          </cell>
          <cell r="AB182">
            <v>3</v>
          </cell>
          <cell r="AC182">
            <v>0</v>
          </cell>
          <cell r="AD182">
            <v>0</v>
          </cell>
          <cell r="AE182">
            <v>0</v>
          </cell>
          <cell r="AF182">
            <v>1</v>
          </cell>
          <cell r="AG182">
            <v>0</v>
          </cell>
          <cell r="AH182">
            <v>0</v>
          </cell>
          <cell r="AI182">
            <v>0</v>
          </cell>
          <cell r="AJ182">
            <v>2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3631.06</v>
          </cell>
        </row>
        <row r="183">
          <cell r="B183">
            <v>13</v>
          </cell>
          <cell r="C183">
            <v>1</v>
          </cell>
          <cell r="D183">
            <v>25</v>
          </cell>
          <cell r="E183">
            <v>2</v>
          </cell>
          <cell r="F183">
            <v>0</v>
          </cell>
          <cell r="G183">
            <v>0</v>
          </cell>
          <cell r="H183">
            <v>2</v>
          </cell>
          <cell r="I183">
            <v>0</v>
          </cell>
          <cell r="J183">
            <v>0</v>
          </cell>
          <cell r="K183">
            <v>3</v>
          </cell>
          <cell r="L183">
            <v>9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7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0</v>
          </cell>
          <cell r="W183">
            <v>0</v>
          </cell>
          <cell r="X183">
            <v>0</v>
          </cell>
          <cell r="Z183">
            <v>12</v>
          </cell>
          <cell r="AA183">
            <v>1</v>
          </cell>
          <cell r="AB183">
            <v>20</v>
          </cell>
          <cell r="AC183">
            <v>2</v>
          </cell>
          <cell r="AD183">
            <v>0</v>
          </cell>
          <cell r="AE183">
            <v>0</v>
          </cell>
          <cell r="AF183">
            <v>2</v>
          </cell>
          <cell r="AG183">
            <v>0</v>
          </cell>
          <cell r="AH183">
            <v>0</v>
          </cell>
          <cell r="AI183">
            <v>2</v>
          </cell>
          <cell r="AJ183">
            <v>6</v>
          </cell>
          <cell r="AK183">
            <v>0</v>
          </cell>
          <cell r="AL183">
            <v>0</v>
          </cell>
          <cell r="AM183">
            <v>0</v>
          </cell>
          <cell r="AN183">
            <v>1</v>
          </cell>
          <cell r="AO183">
            <v>7</v>
          </cell>
          <cell r="AP183">
            <v>0</v>
          </cell>
          <cell r="AQ183">
            <v>0</v>
          </cell>
          <cell r="AR183">
            <v>0</v>
          </cell>
          <cell r="AS183">
            <v>2</v>
          </cell>
          <cell r="AT183">
            <v>0</v>
          </cell>
          <cell r="AU183">
            <v>0</v>
          </cell>
          <cell r="AV183">
            <v>0</v>
          </cell>
          <cell r="AX183">
            <v>1901.7377777777776</v>
          </cell>
        </row>
        <row r="184">
          <cell r="B184">
            <v>1</v>
          </cell>
          <cell r="C184">
            <v>0</v>
          </cell>
          <cell r="D184">
            <v>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5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Z184">
            <v>1</v>
          </cell>
          <cell r="AA184">
            <v>0</v>
          </cell>
          <cell r="AB184">
            <v>4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4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X184">
            <v>2100</v>
          </cell>
        </row>
        <row r="185">
          <cell r="B185">
            <v>1</v>
          </cell>
          <cell r="C185">
            <v>0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1</v>
          </cell>
          <cell r="Z185">
            <v>1</v>
          </cell>
          <cell r="AA185">
            <v>0</v>
          </cell>
          <cell r="AB185">
            <v>1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1</v>
          </cell>
          <cell r="AX185">
            <v>8440</v>
          </cell>
        </row>
        <row r="186">
          <cell r="B186">
            <v>10</v>
          </cell>
          <cell r="C186">
            <v>0</v>
          </cell>
          <cell r="D186">
            <v>56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56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8</v>
          </cell>
          <cell r="AA186">
            <v>0</v>
          </cell>
          <cell r="AB186">
            <v>37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37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X186">
            <v>679.5</v>
          </cell>
        </row>
        <row r="187">
          <cell r="AX187">
            <v>5134.7299999999996</v>
          </cell>
        </row>
        <row r="188">
          <cell r="B188">
            <v>6</v>
          </cell>
          <cell r="C188">
            <v>0</v>
          </cell>
          <cell r="D188">
            <v>6</v>
          </cell>
          <cell r="E188">
            <v>0</v>
          </cell>
          <cell r="F188">
            <v>0</v>
          </cell>
          <cell r="G188">
            <v>0</v>
          </cell>
          <cell r="H188">
            <v>2</v>
          </cell>
          <cell r="I188">
            <v>0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1</v>
          </cell>
          <cell r="S188">
            <v>0</v>
          </cell>
          <cell r="T188">
            <v>0</v>
          </cell>
          <cell r="U188">
            <v>0</v>
          </cell>
          <cell r="V188">
            <v>2</v>
          </cell>
          <cell r="W188">
            <v>0</v>
          </cell>
          <cell r="X188">
            <v>0</v>
          </cell>
          <cell r="Z188">
            <v>5</v>
          </cell>
          <cell r="AA188">
            <v>0</v>
          </cell>
          <cell r="AB188">
            <v>5</v>
          </cell>
          <cell r="AC188">
            <v>0</v>
          </cell>
          <cell r="AD188">
            <v>0</v>
          </cell>
          <cell r="AE188">
            <v>0</v>
          </cell>
          <cell r="AF188">
            <v>2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2</v>
          </cell>
          <cell r="AU188">
            <v>0</v>
          </cell>
          <cell r="AV188">
            <v>0</v>
          </cell>
          <cell r="AX188">
            <v>5134.7333333333336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0</v>
          </cell>
        </row>
        <row r="190">
          <cell r="AX190">
            <v>2218.8818981481481</v>
          </cell>
        </row>
        <row r="192">
          <cell r="B192">
            <v>88</v>
          </cell>
          <cell r="C192">
            <v>58</v>
          </cell>
          <cell r="D192">
            <v>362</v>
          </cell>
          <cell r="E192">
            <v>256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41</v>
          </cell>
          <cell r="V192">
            <v>208</v>
          </cell>
          <cell r="W192">
            <v>0</v>
          </cell>
          <cell r="X192">
            <v>113</v>
          </cell>
          <cell r="Z192">
            <v>67</v>
          </cell>
          <cell r="AA192">
            <v>51</v>
          </cell>
          <cell r="AB192">
            <v>362</v>
          </cell>
          <cell r="AC192">
            <v>256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57</v>
          </cell>
          <cell r="AT192">
            <v>206</v>
          </cell>
          <cell r="AU192">
            <v>0</v>
          </cell>
          <cell r="AV192">
            <v>99</v>
          </cell>
          <cell r="AX192">
            <v>2465.461666666667</v>
          </cell>
        </row>
        <row r="193">
          <cell r="B193">
            <v>26</v>
          </cell>
          <cell r="C193">
            <v>15</v>
          </cell>
          <cell r="D193">
            <v>104</v>
          </cell>
          <cell r="E193">
            <v>52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38</v>
          </cell>
          <cell r="V193">
            <v>26</v>
          </cell>
          <cell r="W193">
            <v>10</v>
          </cell>
          <cell r="X193">
            <v>30</v>
          </cell>
          <cell r="Z193">
            <v>23</v>
          </cell>
          <cell r="AA193">
            <v>14</v>
          </cell>
          <cell r="AB193">
            <v>62</v>
          </cell>
          <cell r="AC193">
            <v>32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16</v>
          </cell>
          <cell r="AT193">
            <v>23</v>
          </cell>
          <cell r="AU193">
            <v>10</v>
          </cell>
          <cell r="AV193">
            <v>13</v>
          </cell>
          <cell r="AX193">
            <v>2436.1111111111113</v>
          </cell>
        </row>
        <row r="194">
          <cell r="B194">
            <v>6</v>
          </cell>
          <cell r="C194">
            <v>5</v>
          </cell>
          <cell r="D194">
            <v>24</v>
          </cell>
          <cell r="E194">
            <v>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5</v>
          </cell>
          <cell r="V194">
            <v>0</v>
          </cell>
          <cell r="W194">
            <v>0</v>
          </cell>
          <cell r="X194">
            <v>19</v>
          </cell>
          <cell r="Z194">
            <v>5</v>
          </cell>
          <cell r="AA194">
            <v>5</v>
          </cell>
          <cell r="AB194">
            <v>5</v>
          </cell>
          <cell r="AC194">
            <v>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5</v>
          </cell>
          <cell r="AT194">
            <v>0</v>
          </cell>
          <cell r="AU194">
            <v>0</v>
          </cell>
          <cell r="AV194">
            <v>0</v>
          </cell>
          <cell r="AX194">
            <v>612.79999999999995</v>
          </cell>
        </row>
        <row r="195">
          <cell r="B195">
            <v>2</v>
          </cell>
          <cell r="C195">
            <v>2</v>
          </cell>
          <cell r="D195">
            <v>22</v>
          </cell>
          <cell r="E195">
            <v>22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22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Z195">
            <v>2</v>
          </cell>
          <cell r="AA195">
            <v>2</v>
          </cell>
          <cell r="AB195">
            <v>20</v>
          </cell>
          <cell r="AC195">
            <v>20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20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X195">
            <v>642.4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X196">
            <v>0</v>
          </cell>
        </row>
        <row r="197">
          <cell r="B197">
            <v>3</v>
          </cell>
          <cell r="C197">
            <v>1</v>
          </cell>
          <cell r="D197">
            <v>20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</v>
          </cell>
          <cell r="W197">
            <v>10</v>
          </cell>
          <cell r="X197">
            <v>9</v>
          </cell>
          <cell r="Z197">
            <v>3</v>
          </cell>
          <cell r="AA197">
            <v>1</v>
          </cell>
          <cell r="AB197">
            <v>20</v>
          </cell>
          <cell r="AC197">
            <v>1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</v>
          </cell>
          <cell r="AU197">
            <v>10</v>
          </cell>
          <cell r="AV197">
            <v>9</v>
          </cell>
          <cell r="AX197">
            <v>2381.8666666666668</v>
          </cell>
        </row>
        <row r="198">
          <cell r="B198">
            <v>5</v>
          </cell>
          <cell r="C198">
            <v>3</v>
          </cell>
          <cell r="D198">
            <v>6</v>
          </cell>
          <cell r="E198">
            <v>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</v>
          </cell>
          <cell r="W198">
            <v>0</v>
          </cell>
          <cell r="X198">
            <v>2</v>
          </cell>
          <cell r="Z198">
            <v>3</v>
          </cell>
          <cell r="AA198">
            <v>2</v>
          </cell>
          <cell r="AB198">
            <v>4</v>
          </cell>
          <cell r="AC198">
            <v>3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1</v>
          </cell>
          <cell r="AT198">
            <v>2</v>
          </cell>
          <cell r="AU198">
            <v>0</v>
          </cell>
          <cell r="AV198">
            <v>1</v>
          </cell>
          <cell r="AX198">
            <v>2306.6666666666665</v>
          </cell>
        </row>
        <row r="199">
          <cell r="B199">
            <v>10</v>
          </cell>
          <cell r="C199">
            <v>6</v>
          </cell>
          <cell r="D199">
            <v>31</v>
          </cell>
          <cell r="E199">
            <v>8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</v>
          </cell>
          <cell r="V199">
            <v>0</v>
          </cell>
          <cell r="W199">
            <v>0</v>
          </cell>
          <cell r="X199">
            <v>22</v>
          </cell>
          <cell r="Z199">
            <v>9</v>
          </cell>
          <cell r="AA199">
            <v>6</v>
          </cell>
          <cell r="AB199">
            <v>11</v>
          </cell>
          <cell r="AC199">
            <v>8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9</v>
          </cell>
          <cell r="AT199">
            <v>0</v>
          </cell>
          <cell r="AU199">
            <v>0</v>
          </cell>
          <cell r="AV199">
            <v>2</v>
          </cell>
          <cell r="AX199">
            <v>3547.5</v>
          </cell>
        </row>
        <row r="200">
          <cell r="B200">
            <v>3</v>
          </cell>
          <cell r="C200">
            <v>3</v>
          </cell>
          <cell r="D200">
            <v>7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7</v>
          </cell>
          <cell r="V200">
            <v>0</v>
          </cell>
          <cell r="W200">
            <v>0</v>
          </cell>
          <cell r="X200">
            <v>0</v>
          </cell>
          <cell r="Z200">
            <v>3</v>
          </cell>
          <cell r="AA200">
            <v>3</v>
          </cell>
          <cell r="AB200">
            <v>7</v>
          </cell>
          <cell r="AC200">
            <v>7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7</v>
          </cell>
          <cell r="AT200">
            <v>0</v>
          </cell>
          <cell r="AU200">
            <v>0</v>
          </cell>
          <cell r="AV200">
            <v>0</v>
          </cell>
          <cell r="AX200">
            <v>2653.3333333333335</v>
          </cell>
        </row>
        <row r="201">
          <cell r="B201">
            <v>2</v>
          </cell>
          <cell r="C201">
            <v>2</v>
          </cell>
          <cell r="D201">
            <v>8</v>
          </cell>
          <cell r="E201">
            <v>8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8</v>
          </cell>
          <cell r="V201">
            <v>0</v>
          </cell>
          <cell r="W201">
            <v>0</v>
          </cell>
          <cell r="X201">
            <v>0</v>
          </cell>
          <cell r="Z201">
            <v>2</v>
          </cell>
          <cell r="AA201">
            <v>2</v>
          </cell>
          <cell r="AB201">
            <v>8</v>
          </cell>
          <cell r="AC201">
            <v>8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8</v>
          </cell>
          <cell r="AT201">
            <v>0</v>
          </cell>
          <cell r="AU201">
            <v>0</v>
          </cell>
          <cell r="AV201">
            <v>0</v>
          </cell>
          <cell r="AX201">
            <v>3120</v>
          </cell>
        </row>
        <row r="202">
          <cell r="B202">
            <v>3</v>
          </cell>
          <cell r="C202">
            <v>3</v>
          </cell>
          <cell r="D202">
            <v>31</v>
          </cell>
          <cell r="E202">
            <v>31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27</v>
          </cell>
          <cell r="V202">
            <v>4</v>
          </cell>
          <cell r="W202">
            <v>0</v>
          </cell>
          <cell r="X202">
            <v>0</v>
          </cell>
          <cell r="Z202">
            <v>3</v>
          </cell>
          <cell r="AA202">
            <v>3</v>
          </cell>
          <cell r="AB202">
            <v>31</v>
          </cell>
          <cell r="AC202">
            <v>31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27</v>
          </cell>
          <cell r="AT202">
            <v>4</v>
          </cell>
          <cell r="AU202">
            <v>0</v>
          </cell>
          <cell r="AV202">
            <v>0</v>
          </cell>
          <cell r="AX202">
            <v>551.11</v>
          </cell>
        </row>
        <row r="203">
          <cell r="B203">
            <v>4</v>
          </cell>
          <cell r="C203">
            <v>4</v>
          </cell>
          <cell r="D203">
            <v>8</v>
          </cell>
          <cell r="E203">
            <v>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1</v>
          </cell>
          <cell r="V203">
            <v>7</v>
          </cell>
          <cell r="W203">
            <v>0</v>
          </cell>
          <cell r="X203">
            <v>0</v>
          </cell>
          <cell r="Z203">
            <v>2</v>
          </cell>
          <cell r="AA203">
            <v>2</v>
          </cell>
          <cell r="AB203">
            <v>2</v>
          </cell>
          <cell r="AC203">
            <v>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1</v>
          </cell>
          <cell r="AT203">
            <v>1</v>
          </cell>
          <cell r="AU203">
            <v>0</v>
          </cell>
          <cell r="AV203">
            <v>0</v>
          </cell>
          <cell r="AX203">
            <v>4690</v>
          </cell>
        </row>
        <row r="204">
          <cell r="B204">
            <v>6</v>
          </cell>
          <cell r="C204">
            <v>8</v>
          </cell>
          <cell r="D204">
            <v>74</v>
          </cell>
          <cell r="E204">
            <v>74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7</v>
          </cell>
          <cell r="V204">
            <v>67</v>
          </cell>
          <cell r="W204">
            <v>0</v>
          </cell>
          <cell r="X204">
            <v>0</v>
          </cell>
          <cell r="Z204">
            <v>6</v>
          </cell>
          <cell r="AA204">
            <v>6</v>
          </cell>
          <cell r="AB204">
            <v>74</v>
          </cell>
          <cell r="AC204">
            <v>74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7</v>
          </cell>
          <cell r="AT204">
            <v>67</v>
          </cell>
          <cell r="AU204">
            <v>0</v>
          </cell>
          <cell r="AV204">
            <v>0</v>
          </cell>
          <cell r="AX204">
            <v>1219.3333333333333</v>
          </cell>
        </row>
        <row r="205">
          <cell r="AX205">
            <v>2759.4550462962961</v>
          </cell>
        </row>
        <row r="206">
          <cell r="B206">
            <v>17</v>
          </cell>
          <cell r="C206">
            <v>10</v>
          </cell>
          <cell r="D206">
            <v>202</v>
          </cell>
          <cell r="E206">
            <v>32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15</v>
          </cell>
          <cell r="V206">
            <v>185</v>
          </cell>
          <cell r="W206">
            <v>0</v>
          </cell>
          <cell r="X206">
            <v>2</v>
          </cell>
          <cell r="Z206">
            <v>13</v>
          </cell>
          <cell r="AA206">
            <v>10</v>
          </cell>
          <cell r="AB206">
            <v>202</v>
          </cell>
          <cell r="AC206">
            <v>32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24</v>
          </cell>
          <cell r="AT206">
            <v>176</v>
          </cell>
          <cell r="AU206">
            <v>0</v>
          </cell>
          <cell r="AV206">
            <v>2</v>
          </cell>
          <cell r="AX206">
            <v>2113.8608333333336</v>
          </cell>
        </row>
        <row r="207">
          <cell r="B207">
            <v>7</v>
          </cell>
          <cell r="C207">
            <v>7</v>
          </cell>
          <cell r="D207">
            <v>7</v>
          </cell>
          <cell r="E207">
            <v>7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1</v>
          </cell>
          <cell r="T207">
            <v>1</v>
          </cell>
          <cell r="U207">
            <v>3</v>
          </cell>
          <cell r="V207">
            <v>2</v>
          </cell>
          <cell r="W207">
            <v>0</v>
          </cell>
          <cell r="X207">
            <v>0</v>
          </cell>
          <cell r="Z207">
            <v>5</v>
          </cell>
          <cell r="AA207">
            <v>5</v>
          </cell>
          <cell r="AB207">
            <v>5</v>
          </cell>
          <cell r="AC207">
            <v>5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3</v>
          </cell>
          <cell r="AT207">
            <v>2</v>
          </cell>
          <cell r="AU207">
            <v>0</v>
          </cell>
          <cell r="AV207">
            <v>0</v>
          </cell>
          <cell r="AX207">
            <v>2106.6666666666665</v>
          </cell>
        </row>
        <row r="208">
          <cell r="B208">
            <v>1</v>
          </cell>
          <cell r="C208">
            <v>1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1</v>
          </cell>
          <cell r="V208">
            <v>0</v>
          </cell>
          <cell r="W208">
            <v>0</v>
          </cell>
          <cell r="X208">
            <v>0</v>
          </cell>
          <cell r="Z208">
            <v>1</v>
          </cell>
          <cell r="AA208">
            <v>1</v>
          </cell>
          <cell r="AB208">
            <v>1</v>
          </cell>
          <cell r="AC208">
            <v>1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1</v>
          </cell>
          <cell r="AT208">
            <v>0</v>
          </cell>
          <cell r="AU208">
            <v>0</v>
          </cell>
          <cell r="AV208">
            <v>0</v>
          </cell>
          <cell r="AX208">
            <v>4000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X209">
            <v>0</v>
          </cell>
        </row>
        <row r="210">
          <cell r="B210">
            <v>2</v>
          </cell>
          <cell r="C210">
            <v>2</v>
          </cell>
          <cell r="D210">
            <v>2</v>
          </cell>
          <cell r="E210">
            <v>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0</v>
          </cell>
          <cell r="W210">
            <v>0</v>
          </cell>
          <cell r="X210">
            <v>0</v>
          </cell>
          <cell r="Z210">
            <v>2</v>
          </cell>
          <cell r="AA210">
            <v>2</v>
          </cell>
          <cell r="AB210">
            <v>2</v>
          </cell>
          <cell r="AC210">
            <v>2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2</v>
          </cell>
          <cell r="AT210">
            <v>0</v>
          </cell>
          <cell r="AU210">
            <v>0</v>
          </cell>
          <cell r="AV210">
            <v>0</v>
          </cell>
          <cell r="AX210">
            <v>2723.5</v>
          </cell>
        </row>
        <row r="211">
          <cell r="B211">
            <v>1</v>
          </cell>
          <cell r="C211">
            <v>1</v>
          </cell>
          <cell r="D211">
            <v>1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</v>
          </cell>
          <cell r="V211">
            <v>0</v>
          </cell>
          <cell r="W211">
            <v>0</v>
          </cell>
          <cell r="X211">
            <v>0</v>
          </cell>
          <cell r="Z211">
            <v>1</v>
          </cell>
          <cell r="AA211">
            <v>1</v>
          </cell>
          <cell r="AB211">
            <v>1</v>
          </cell>
          <cell r="AC211">
            <v>1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0</v>
          </cell>
          <cell r="AX211">
            <v>2600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X212">
            <v>0</v>
          </cell>
        </row>
        <row r="213">
          <cell r="B213">
            <v>2</v>
          </cell>
          <cell r="C213">
            <v>1</v>
          </cell>
          <cell r="D213">
            <v>2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1</v>
          </cell>
          <cell r="V213">
            <v>0</v>
          </cell>
          <cell r="W213">
            <v>0</v>
          </cell>
          <cell r="X213">
            <v>1</v>
          </cell>
          <cell r="Z213">
            <v>2</v>
          </cell>
          <cell r="AA213">
            <v>1</v>
          </cell>
          <cell r="AB213">
            <v>2</v>
          </cell>
          <cell r="AC213">
            <v>1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1</v>
          </cell>
          <cell r="AT213">
            <v>0</v>
          </cell>
          <cell r="AU213">
            <v>0</v>
          </cell>
          <cell r="AV213">
            <v>1</v>
          </cell>
          <cell r="AX213">
            <v>2280</v>
          </cell>
        </row>
        <row r="214">
          <cell r="B214">
            <v>1</v>
          </cell>
          <cell r="C214">
            <v>1</v>
          </cell>
          <cell r="D214">
            <v>2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0</v>
          </cell>
          <cell r="W214">
            <v>0</v>
          </cell>
          <cell r="X214">
            <v>0</v>
          </cell>
          <cell r="Z214">
            <v>1</v>
          </cell>
          <cell r="AA214">
            <v>1</v>
          </cell>
          <cell r="AB214">
            <v>2</v>
          </cell>
          <cell r="AC214">
            <v>2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2</v>
          </cell>
          <cell r="AT214">
            <v>0</v>
          </cell>
          <cell r="AU214">
            <v>0</v>
          </cell>
          <cell r="AV214">
            <v>0</v>
          </cell>
          <cell r="AX214">
            <v>1320</v>
          </cell>
        </row>
        <row r="215">
          <cell r="B215">
            <v>5</v>
          </cell>
          <cell r="C215">
            <v>2</v>
          </cell>
          <cell r="D215">
            <v>7</v>
          </cell>
          <cell r="E215">
            <v>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1</v>
          </cell>
          <cell r="W215">
            <v>0</v>
          </cell>
          <cell r="X215">
            <v>5</v>
          </cell>
          <cell r="Z215">
            <v>3</v>
          </cell>
          <cell r="AA215">
            <v>1</v>
          </cell>
          <cell r="AB215">
            <v>3</v>
          </cell>
          <cell r="AC215">
            <v>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</v>
          </cell>
          <cell r="AT215">
            <v>0</v>
          </cell>
          <cell r="AU215">
            <v>0</v>
          </cell>
          <cell r="AV215">
            <v>2</v>
          </cell>
          <cell r="AX215">
            <v>1600</v>
          </cell>
        </row>
        <row r="216">
          <cell r="B216">
            <v>3</v>
          </cell>
          <cell r="C216">
            <v>3</v>
          </cell>
          <cell r="D216">
            <v>5</v>
          </cell>
          <cell r="E216">
            <v>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5</v>
          </cell>
          <cell r="V216">
            <v>0</v>
          </cell>
          <cell r="W216">
            <v>0</v>
          </cell>
          <cell r="X216">
            <v>0</v>
          </cell>
          <cell r="Z216">
            <v>3</v>
          </cell>
          <cell r="AA216">
            <v>3</v>
          </cell>
          <cell r="AB216">
            <v>5</v>
          </cell>
          <cell r="AC216">
            <v>5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5</v>
          </cell>
          <cell r="AT216">
            <v>0</v>
          </cell>
          <cell r="AU216">
            <v>0</v>
          </cell>
          <cell r="AV216">
            <v>0</v>
          </cell>
          <cell r="AX216">
            <v>5333.33</v>
          </cell>
        </row>
        <row r="217">
          <cell r="B217">
            <v>1</v>
          </cell>
          <cell r="C217">
            <v>1</v>
          </cell>
          <cell r="D217">
            <v>2</v>
          </cell>
          <cell r="E217">
            <v>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2</v>
          </cell>
          <cell r="W217">
            <v>0</v>
          </cell>
          <cell r="X217">
            <v>0</v>
          </cell>
          <cell r="Z217">
            <v>1</v>
          </cell>
          <cell r="AA217">
            <v>1</v>
          </cell>
          <cell r="AB217">
            <v>2</v>
          </cell>
          <cell r="AC217">
            <v>2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2</v>
          </cell>
          <cell r="AU217">
            <v>0</v>
          </cell>
          <cell r="AV217">
            <v>0</v>
          </cell>
          <cell r="AX217">
            <v>2880</v>
          </cell>
        </row>
        <row r="218">
          <cell r="B218">
            <v>7</v>
          </cell>
          <cell r="C218">
            <v>4</v>
          </cell>
          <cell r="D218">
            <v>11</v>
          </cell>
          <cell r="E218">
            <v>8</v>
          </cell>
          <cell r="F218">
            <v>0</v>
          </cell>
          <cell r="G218">
            <v>0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5</v>
          </cell>
          <cell r="V218">
            <v>1</v>
          </cell>
          <cell r="W218">
            <v>0</v>
          </cell>
          <cell r="X218">
            <v>2</v>
          </cell>
          <cell r="Z218">
            <v>3</v>
          </cell>
          <cell r="AA218">
            <v>3</v>
          </cell>
          <cell r="AB218">
            <v>7</v>
          </cell>
          <cell r="AC218">
            <v>7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3</v>
          </cell>
          <cell r="AU218">
            <v>0</v>
          </cell>
          <cell r="AV218">
            <v>4</v>
          </cell>
          <cell r="AX218">
            <v>1653.3333333333333</v>
          </cell>
        </row>
        <row r="219">
          <cell r="B219">
            <v>5</v>
          </cell>
          <cell r="C219">
            <v>5</v>
          </cell>
          <cell r="D219">
            <v>5</v>
          </cell>
          <cell r="E219">
            <v>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</v>
          </cell>
          <cell r="V219">
            <v>1</v>
          </cell>
          <cell r="W219">
            <v>0</v>
          </cell>
          <cell r="X219">
            <v>0</v>
          </cell>
          <cell r="Z219">
            <v>5</v>
          </cell>
          <cell r="AA219">
            <v>5</v>
          </cell>
          <cell r="AB219">
            <v>5</v>
          </cell>
          <cell r="AC219">
            <v>5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4</v>
          </cell>
          <cell r="AT219">
            <v>1</v>
          </cell>
          <cell r="AU219">
            <v>0</v>
          </cell>
          <cell r="AV219">
            <v>0</v>
          </cell>
          <cell r="AX219">
            <v>3120</v>
          </cell>
        </row>
        <row r="220">
          <cell r="B220">
            <v>2</v>
          </cell>
          <cell r="C220">
            <v>1</v>
          </cell>
          <cell r="D220">
            <v>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0</v>
          </cell>
          <cell r="W220">
            <v>0</v>
          </cell>
          <cell r="X220">
            <v>0</v>
          </cell>
          <cell r="Z220">
            <v>2</v>
          </cell>
          <cell r="AA220">
            <v>1</v>
          </cell>
          <cell r="AB220">
            <v>2</v>
          </cell>
          <cell r="AC220">
            <v>1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2</v>
          </cell>
          <cell r="AT220">
            <v>0</v>
          </cell>
          <cell r="AU220">
            <v>0</v>
          </cell>
          <cell r="AV220">
            <v>0</v>
          </cell>
          <cell r="AX220">
            <v>2599.5</v>
          </cell>
        </row>
        <row r="221">
          <cell r="B221">
            <v>1</v>
          </cell>
          <cell r="C221">
            <v>0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1</v>
          </cell>
          <cell r="V221">
            <v>0</v>
          </cell>
          <cell r="W221">
            <v>0</v>
          </cell>
          <cell r="X221">
            <v>0</v>
          </cell>
          <cell r="Z221">
            <v>1</v>
          </cell>
          <cell r="AA221">
            <v>0</v>
          </cell>
          <cell r="AB221">
            <v>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1</v>
          </cell>
          <cell r="AT221">
            <v>0</v>
          </cell>
          <cell r="AU221">
            <v>0</v>
          </cell>
          <cell r="AV221">
            <v>0</v>
          </cell>
          <cell r="AX221">
            <v>4536</v>
          </cell>
        </row>
        <row r="222">
          <cell r="B222">
            <v>1</v>
          </cell>
          <cell r="C222">
            <v>1</v>
          </cell>
          <cell r="D222">
            <v>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1</v>
          </cell>
          <cell r="V222">
            <v>0</v>
          </cell>
          <cell r="W222">
            <v>0</v>
          </cell>
          <cell r="X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X222">
            <v>0</v>
          </cell>
        </row>
        <row r="223">
          <cell r="B223">
            <v>2</v>
          </cell>
          <cell r="C223">
            <v>0</v>
          </cell>
          <cell r="D223">
            <v>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X223">
            <v>0</v>
          </cell>
        </row>
        <row r="224">
          <cell r="B224">
            <v>2</v>
          </cell>
          <cell r="C224">
            <v>2</v>
          </cell>
          <cell r="D224">
            <v>4</v>
          </cell>
          <cell r="E224">
            <v>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4</v>
          </cell>
          <cell r="W224">
            <v>0</v>
          </cell>
          <cell r="X224">
            <v>0</v>
          </cell>
          <cell r="Z224">
            <v>2</v>
          </cell>
          <cell r="AA224">
            <v>2</v>
          </cell>
          <cell r="AB224">
            <v>2</v>
          </cell>
          <cell r="AC224">
            <v>2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2</v>
          </cell>
          <cell r="AU224">
            <v>0</v>
          </cell>
          <cell r="AV224">
            <v>0</v>
          </cell>
          <cell r="AX224">
            <v>2400</v>
          </cell>
        </row>
        <row r="225">
          <cell r="B225">
            <v>1</v>
          </cell>
          <cell r="C225">
            <v>1</v>
          </cell>
          <cell r="D225">
            <v>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</v>
          </cell>
          <cell r="W225">
            <v>0</v>
          </cell>
          <cell r="X225">
            <v>0</v>
          </cell>
          <cell r="Z225">
            <v>1</v>
          </cell>
          <cell r="AA225">
            <v>1</v>
          </cell>
          <cell r="AB225">
            <v>1</v>
          </cell>
          <cell r="AC225">
            <v>1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X225">
            <v>3120</v>
          </cell>
        </row>
        <row r="226">
          <cell r="B226">
            <v>3</v>
          </cell>
          <cell r="C226">
            <v>3</v>
          </cell>
          <cell r="D226">
            <v>3</v>
          </cell>
          <cell r="E226">
            <v>3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3</v>
          </cell>
          <cell r="V226">
            <v>0</v>
          </cell>
          <cell r="W226">
            <v>0</v>
          </cell>
          <cell r="X226">
            <v>0</v>
          </cell>
          <cell r="Z226">
            <v>3</v>
          </cell>
          <cell r="AA226">
            <v>3</v>
          </cell>
          <cell r="AB226">
            <v>3</v>
          </cell>
          <cell r="AC226">
            <v>3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1</v>
          </cell>
          <cell r="AQ226">
            <v>0</v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0</v>
          </cell>
          <cell r="AX226">
            <v>2720</v>
          </cell>
        </row>
        <row r="227">
          <cell r="B227">
            <v>2</v>
          </cell>
          <cell r="C227">
            <v>2</v>
          </cell>
          <cell r="D227">
            <v>2</v>
          </cell>
          <cell r="E227">
            <v>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1</v>
          </cell>
          <cell r="V227">
            <v>1</v>
          </cell>
          <cell r="W227">
            <v>0</v>
          </cell>
          <cell r="X227">
            <v>0</v>
          </cell>
          <cell r="Z227">
            <v>2</v>
          </cell>
          <cell r="AA227">
            <v>2</v>
          </cell>
          <cell r="AB227">
            <v>2</v>
          </cell>
          <cell r="AC227">
            <v>2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1</v>
          </cell>
          <cell r="AT227">
            <v>1</v>
          </cell>
          <cell r="AU227">
            <v>0</v>
          </cell>
          <cell r="AV227">
            <v>0</v>
          </cell>
          <cell r="AX227">
            <v>2564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X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X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X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X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X232">
            <v>0</v>
          </cell>
        </row>
        <row r="233">
          <cell r="AX233">
            <v>2242.3728809523809</v>
          </cell>
        </row>
        <row r="234">
          <cell r="B234">
            <v>1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1</v>
          </cell>
          <cell r="AA234">
            <v>0</v>
          </cell>
          <cell r="AB234">
            <v>1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X234">
            <v>1200</v>
          </cell>
        </row>
        <row r="235">
          <cell r="B235">
            <v>11</v>
          </cell>
          <cell r="C235">
            <v>1</v>
          </cell>
          <cell r="D235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1</v>
          </cell>
          <cell r="L235">
            <v>1</v>
          </cell>
          <cell r="M235">
            <v>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</v>
          </cell>
          <cell r="U235">
            <v>0</v>
          </cell>
          <cell r="V235">
            <v>3</v>
          </cell>
          <cell r="W235">
            <v>0</v>
          </cell>
          <cell r="X235">
            <v>0</v>
          </cell>
          <cell r="Z235">
            <v>10</v>
          </cell>
          <cell r="AA235">
            <v>1</v>
          </cell>
          <cell r="AB235">
            <v>10</v>
          </cell>
          <cell r="AC235">
            <v>1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</v>
          </cell>
          <cell r="AJ235">
            <v>1</v>
          </cell>
          <cell r="AK235">
            <v>4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1</v>
          </cell>
          <cell r="AS235">
            <v>0</v>
          </cell>
          <cell r="AT235">
            <v>3</v>
          </cell>
          <cell r="AU235">
            <v>0</v>
          </cell>
          <cell r="AV235">
            <v>0</v>
          </cell>
          <cell r="AX235">
            <v>5222.75</v>
          </cell>
        </row>
        <row r="236">
          <cell r="B236">
            <v>86</v>
          </cell>
          <cell r="C236">
            <v>6</v>
          </cell>
          <cell r="D236">
            <v>96</v>
          </cell>
          <cell r="E236">
            <v>27</v>
          </cell>
          <cell r="F236">
            <v>0</v>
          </cell>
          <cell r="G236">
            <v>2</v>
          </cell>
          <cell r="H236">
            <v>9</v>
          </cell>
          <cell r="I236">
            <v>0</v>
          </cell>
          <cell r="J236">
            <v>2</v>
          </cell>
          <cell r="K236">
            <v>8</v>
          </cell>
          <cell r="L236">
            <v>32</v>
          </cell>
          <cell r="M236">
            <v>13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1</v>
          </cell>
          <cell r="S236">
            <v>5</v>
          </cell>
          <cell r="T236">
            <v>0</v>
          </cell>
          <cell r="U236">
            <v>2</v>
          </cell>
          <cell r="V236">
            <v>22</v>
          </cell>
          <cell r="W236">
            <v>0</v>
          </cell>
          <cell r="X236">
            <v>0</v>
          </cell>
          <cell r="Z236">
            <v>69</v>
          </cell>
          <cell r="AA236">
            <v>6</v>
          </cell>
          <cell r="AB236">
            <v>96</v>
          </cell>
          <cell r="AC236">
            <v>27</v>
          </cell>
          <cell r="AD236">
            <v>0</v>
          </cell>
          <cell r="AE236">
            <v>2</v>
          </cell>
          <cell r="AF236">
            <v>14</v>
          </cell>
          <cell r="AG236">
            <v>0</v>
          </cell>
          <cell r="AH236">
            <v>4</v>
          </cell>
          <cell r="AI236">
            <v>14</v>
          </cell>
          <cell r="AJ236">
            <v>26</v>
          </cell>
          <cell r="AK236">
            <v>7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>
            <v>5</v>
          </cell>
          <cell r="AR236">
            <v>0</v>
          </cell>
          <cell r="AS236">
            <v>1</v>
          </cell>
          <cell r="AT236">
            <v>22</v>
          </cell>
          <cell r="AU236">
            <v>0</v>
          </cell>
          <cell r="AV236">
            <v>0</v>
          </cell>
          <cell r="AX236">
            <v>3342.1934999999999</v>
          </cell>
        </row>
        <row r="237">
          <cell r="B237">
            <v>1</v>
          </cell>
          <cell r="C237">
            <v>0</v>
          </cell>
          <cell r="D237">
            <v>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>
            <v>1</v>
          </cell>
          <cell r="AA237">
            <v>0</v>
          </cell>
          <cell r="AB237">
            <v>2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2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400</v>
          </cell>
        </row>
        <row r="238">
          <cell r="B238">
            <v>3</v>
          </cell>
          <cell r="C238">
            <v>0</v>
          </cell>
          <cell r="D238">
            <v>16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11</v>
          </cell>
          <cell r="M238">
            <v>0</v>
          </cell>
          <cell r="N238">
            <v>3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0</v>
          </cell>
          <cell r="W238">
            <v>0</v>
          </cell>
          <cell r="X238">
            <v>0</v>
          </cell>
          <cell r="Z238">
            <v>2</v>
          </cell>
          <cell r="AA238">
            <v>0</v>
          </cell>
          <cell r="AB238">
            <v>5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3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0</v>
          </cell>
          <cell r="AX238">
            <v>2160</v>
          </cell>
        </row>
        <row r="239">
          <cell r="B239">
            <v>1</v>
          </cell>
          <cell r="C239">
            <v>0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4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Z239">
            <v>1</v>
          </cell>
          <cell r="AA239">
            <v>0</v>
          </cell>
          <cell r="AB239">
            <v>4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X239">
            <v>1955</v>
          </cell>
        </row>
        <row r="240">
          <cell r="B240">
            <v>3</v>
          </cell>
          <cell r="C240">
            <v>1</v>
          </cell>
          <cell r="D240">
            <v>7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2</v>
          </cell>
          <cell r="K240">
            <v>0</v>
          </cell>
          <cell r="L240">
            <v>0</v>
          </cell>
          <cell r="M240">
            <v>4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3</v>
          </cell>
          <cell r="AA240">
            <v>1</v>
          </cell>
          <cell r="AB240">
            <v>7</v>
          </cell>
          <cell r="AC240">
            <v>1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2</v>
          </cell>
          <cell r="AI240">
            <v>0</v>
          </cell>
          <cell r="AJ240">
            <v>0</v>
          </cell>
          <cell r="AK240">
            <v>4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1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X240">
            <v>1416.6666666666667</v>
          </cell>
        </row>
        <row r="241">
          <cell r="AX241">
            <v>1347.0162746224307</v>
          </cell>
        </row>
        <row r="243">
          <cell r="B243">
            <v>171</v>
          </cell>
          <cell r="C243">
            <v>18</v>
          </cell>
          <cell r="D243">
            <v>201</v>
          </cell>
          <cell r="E243">
            <v>18</v>
          </cell>
          <cell r="F243">
            <v>2</v>
          </cell>
          <cell r="G243">
            <v>0</v>
          </cell>
          <cell r="H243">
            <v>21</v>
          </cell>
          <cell r="I243">
            <v>2</v>
          </cell>
          <cell r="J243">
            <v>8</v>
          </cell>
          <cell r="K243">
            <v>4</v>
          </cell>
          <cell r="L243">
            <v>11</v>
          </cell>
          <cell r="M243">
            <v>5</v>
          </cell>
          <cell r="N243">
            <v>0</v>
          </cell>
          <cell r="O243">
            <v>5</v>
          </cell>
          <cell r="P243">
            <v>4</v>
          </cell>
          <cell r="Q243">
            <v>6</v>
          </cell>
          <cell r="R243">
            <v>119</v>
          </cell>
          <cell r="S243">
            <v>1</v>
          </cell>
          <cell r="T243">
            <v>5</v>
          </cell>
          <cell r="U243">
            <v>0</v>
          </cell>
          <cell r="V243">
            <v>6</v>
          </cell>
          <cell r="W243">
            <v>1</v>
          </cell>
          <cell r="X243">
            <v>1</v>
          </cell>
          <cell r="Z243">
            <v>110</v>
          </cell>
          <cell r="AA243">
            <v>11</v>
          </cell>
          <cell r="AB243">
            <v>162</v>
          </cell>
          <cell r="AC243">
            <v>14</v>
          </cell>
          <cell r="AD243">
            <v>2</v>
          </cell>
          <cell r="AE243">
            <v>0</v>
          </cell>
          <cell r="AF243">
            <v>30</v>
          </cell>
          <cell r="AG243">
            <v>2</v>
          </cell>
          <cell r="AH243">
            <v>3</v>
          </cell>
          <cell r="AI243">
            <v>4</v>
          </cell>
          <cell r="AJ243">
            <v>8</v>
          </cell>
          <cell r="AK243">
            <v>0</v>
          </cell>
          <cell r="AL243">
            <v>0</v>
          </cell>
          <cell r="AM243">
            <v>6</v>
          </cell>
          <cell r="AN243">
            <v>4</v>
          </cell>
          <cell r="AO243">
            <v>2</v>
          </cell>
          <cell r="AP243">
            <v>91</v>
          </cell>
          <cell r="AQ243">
            <v>0</v>
          </cell>
          <cell r="AR243">
            <v>7</v>
          </cell>
          <cell r="AS243">
            <v>0</v>
          </cell>
          <cell r="AT243">
            <v>1</v>
          </cell>
          <cell r="AU243">
            <v>1</v>
          </cell>
          <cell r="AV243">
            <v>1</v>
          </cell>
          <cell r="AX243">
            <v>1891.4040740740743</v>
          </cell>
        </row>
        <row r="244">
          <cell r="B244">
            <v>13</v>
          </cell>
          <cell r="C244">
            <v>13</v>
          </cell>
          <cell r="D244">
            <v>47</v>
          </cell>
          <cell r="E244">
            <v>47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32</v>
          </cell>
          <cell r="U244">
            <v>4</v>
          </cell>
          <cell r="V244">
            <v>10</v>
          </cell>
          <cell r="W244">
            <v>0</v>
          </cell>
          <cell r="X244">
            <v>0</v>
          </cell>
          <cell r="Z244">
            <v>13</v>
          </cell>
          <cell r="AA244">
            <v>13</v>
          </cell>
          <cell r="AB244">
            <v>39</v>
          </cell>
          <cell r="AC244">
            <v>39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1</v>
          </cell>
          <cell r="AQ244">
            <v>0</v>
          </cell>
          <cell r="AR244">
            <v>28</v>
          </cell>
          <cell r="AS244">
            <v>4</v>
          </cell>
          <cell r="AT244">
            <v>6</v>
          </cell>
          <cell r="AU244">
            <v>0</v>
          </cell>
          <cell r="AV244">
            <v>0</v>
          </cell>
          <cell r="AX244">
            <v>1124.5</v>
          </cell>
        </row>
        <row r="246">
          <cell r="B246">
            <v>61</v>
          </cell>
          <cell r="C246">
            <v>5</v>
          </cell>
          <cell r="D246">
            <v>77</v>
          </cell>
          <cell r="E246">
            <v>6</v>
          </cell>
          <cell r="F246">
            <v>0</v>
          </cell>
          <cell r="G246">
            <v>0</v>
          </cell>
          <cell r="H246">
            <v>9</v>
          </cell>
          <cell r="I246">
            <v>0</v>
          </cell>
          <cell r="J246">
            <v>0</v>
          </cell>
          <cell r="K246">
            <v>5</v>
          </cell>
          <cell r="L246">
            <v>8</v>
          </cell>
          <cell r="M246">
            <v>2</v>
          </cell>
          <cell r="N246">
            <v>2</v>
          </cell>
          <cell r="O246">
            <v>6</v>
          </cell>
          <cell r="P246">
            <v>1</v>
          </cell>
          <cell r="Q246">
            <v>0</v>
          </cell>
          <cell r="R246">
            <v>34</v>
          </cell>
          <cell r="S246">
            <v>2</v>
          </cell>
          <cell r="T246">
            <v>3</v>
          </cell>
          <cell r="U246">
            <v>1</v>
          </cell>
          <cell r="V246">
            <v>2</v>
          </cell>
          <cell r="W246">
            <v>1</v>
          </cell>
          <cell r="X246">
            <v>1</v>
          </cell>
          <cell r="Z246">
            <v>47</v>
          </cell>
          <cell r="AA246">
            <v>3</v>
          </cell>
          <cell r="AB246">
            <v>71</v>
          </cell>
          <cell r="AC246">
            <v>4</v>
          </cell>
          <cell r="AD246">
            <v>0</v>
          </cell>
          <cell r="AE246">
            <v>0</v>
          </cell>
          <cell r="AF246">
            <v>13</v>
          </cell>
          <cell r="AG246">
            <v>0</v>
          </cell>
          <cell r="AH246">
            <v>0</v>
          </cell>
          <cell r="AI246">
            <v>2</v>
          </cell>
          <cell r="AJ246">
            <v>11</v>
          </cell>
          <cell r="AK246">
            <v>2</v>
          </cell>
          <cell r="AL246">
            <v>1</v>
          </cell>
          <cell r="AM246">
            <v>6</v>
          </cell>
          <cell r="AN246">
            <v>1</v>
          </cell>
          <cell r="AO246">
            <v>0</v>
          </cell>
          <cell r="AP246">
            <v>30</v>
          </cell>
          <cell r="AQ246">
            <v>1</v>
          </cell>
          <cell r="AR246">
            <v>2</v>
          </cell>
          <cell r="AS246">
            <v>0</v>
          </cell>
          <cell r="AT246">
            <v>1</v>
          </cell>
          <cell r="AU246">
            <v>1</v>
          </cell>
          <cell r="AV246">
            <v>0</v>
          </cell>
          <cell r="AX246">
            <v>1747.6384615384613</v>
          </cell>
        </row>
        <row r="247">
          <cell r="B247">
            <v>40</v>
          </cell>
          <cell r="C247">
            <v>40</v>
          </cell>
          <cell r="D247">
            <v>85</v>
          </cell>
          <cell r="E247">
            <v>85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42</v>
          </cell>
          <cell r="U247">
            <v>2</v>
          </cell>
          <cell r="V247">
            <v>35</v>
          </cell>
          <cell r="W247">
            <v>4</v>
          </cell>
          <cell r="X247">
            <v>0</v>
          </cell>
          <cell r="Z247">
            <v>35</v>
          </cell>
          <cell r="AA247">
            <v>35</v>
          </cell>
          <cell r="AB247">
            <v>85</v>
          </cell>
          <cell r="AC247">
            <v>85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1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0</v>
          </cell>
          <cell r="AR247">
            <v>42</v>
          </cell>
          <cell r="AS247">
            <v>2</v>
          </cell>
          <cell r="AT247">
            <v>35</v>
          </cell>
          <cell r="AU247">
            <v>3</v>
          </cell>
          <cell r="AV247">
            <v>0</v>
          </cell>
          <cell r="AX247">
            <v>1010.08</v>
          </cell>
        </row>
        <row r="248">
          <cell r="B248">
            <v>13</v>
          </cell>
          <cell r="C248">
            <v>0</v>
          </cell>
          <cell r="D248">
            <v>17</v>
          </cell>
          <cell r="E248">
            <v>0</v>
          </cell>
          <cell r="F248">
            <v>0</v>
          </cell>
          <cell r="G248">
            <v>0</v>
          </cell>
          <cell r="H248">
            <v>6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7</v>
          </cell>
          <cell r="S248">
            <v>1</v>
          </cell>
          <cell r="T248">
            <v>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Z248">
            <v>10</v>
          </cell>
          <cell r="AA248">
            <v>0</v>
          </cell>
          <cell r="AB248">
            <v>13</v>
          </cell>
          <cell r="AC248">
            <v>0</v>
          </cell>
          <cell r="AD248">
            <v>0</v>
          </cell>
          <cell r="AE248">
            <v>0</v>
          </cell>
          <cell r="AF248">
            <v>4</v>
          </cell>
          <cell r="AG248">
            <v>0</v>
          </cell>
          <cell r="AH248">
            <v>1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1</v>
          </cell>
          <cell r="AN248">
            <v>0</v>
          </cell>
          <cell r="AO248">
            <v>0</v>
          </cell>
          <cell r="AP248">
            <v>7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X248">
            <v>2704.9555555555553</v>
          </cell>
        </row>
        <row r="249">
          <cell r="B249">
            <v>5</v>
          </cell>
          <cell r="C249">
            <v>0</v>
          </cell>
          <cell r="D249">
            <v>6</v>
          </cell>
          <cell r="E249">
            <v>0</v>
          </cell>
          <cell r="F249">
            <v>0</v>
          </cell>
          <cell r="G249">
            <v>0</v>
          </cell>
          <cell r="H249">
            <v>3</v>
          </cell>
          <cell r="I249">
            <v>0</v>
          </cell>
          <cell r="J249">
            <v>0</v>
          </cell>
          <cell r="K249">
            <v>0</v>
          </cell>
          <cell r="L249">
            <v>3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Z249">
            <v>4</v>
          </cell>
          <cell r="AA249">
            <v>0</v>
          </cell>
          <cell r="AB249">
            <v>5</v>
          </cell>
          <cell r="AC249">
            <v>0</v>
          </cell>
          <cell r="AD249">
            <v>0</v>
          </cell>
          <cell r="AE249">
            <v>0</v>
          </cell>
          <cell r="AF249">
            <v>2</v>
          </cell>
          <cell r="AG249">
            <v>0</v>
          </cell>
          <cell r="AH249">
            <v>0</v>
          </cell>
          <cell r="AI249">
            <v>0</v>
          </cell>
          <cell r="AJ249">
            <v>3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X249">
            <v>2061.3333333333335</v>
          </cell>
        </row>
        <row r="250">
          <cell r="B250">
            <v>1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1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1</v>
          </cell>
          <cell r="AA250">
            <v>0</v>
          </cell>
          <cell r="AB250">
            <v>1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1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2017</v>
          </cell>
        </row>
        <row r="251">
          <cell r="B251">
            <v>59</v>
          </cell>
          <cell r="C251">
            <v>6</v>
          </cell>
          <cell r="D251">
            <v>63</v>
          </cell>
          <cell r="E251">
            <v>9</v>
          </cell>
          <cell r="F251">
            <v>0</v>
          </cell>
          <cell r="G251">
            <v>0</v>
          </cell>
          <cell r="H251">
            <v>14</v>
          </cell>
          <cell r="I251">
            <v>1</v>
          </cell>
          <cell r="J251">
            <v>1</v>
          </cell>
          <cell r="K251">
            <v>5</v>
          </cell>
          <cell r="L251">
            <v>3</v>
          </cell>
          <cell r="M251">
            <v>2</v>
          </cell>
          <cell r="N251">
            <v>3</v>
          </cell>
          <cell r="O251">
            <v>0</v>
          </cell>
          <cell r="P251">
            <v>0</v>
          </cell>
          <cell r="Q251">
            <v>3</v>
          </cell>
          <cell r="R251">
            <v>4</v>
          </cell>
          <cell r="S251">
            <v>2</v>
          </cell>
          <cell r="T251">
            <v>0</v>
          </cell>
          <cell r="U251">
            <v>0</v>
          </cell>
          <cell r="V251">
            <v>16</v>
          </cell>
          <cell r="W251">
            <v>1</v>
          </cell>
          <cell r="X251">
            <v>8</v>
          </cell>
          <cell r="Z251">
            <v>35</v>
          </cell>
          <cell r="AA251">
            <v>6</v>
          </cell>
          <cell r="AB251">
            <v>56</v>
          </cell>
          <cell r="AC251">
            <v>9</v>
          </cell>
          <cell r="AD251">
            <v>0</v>
          </cell>
          <cell r="AE251">
            <v>0</v>
          </cell>
          <cell r="AF251">
            <v>3</v>
          </cell>
          <cell r="AG251">
            <v>1</v>
          </cell>
          <cell r="AH251">
            <v>2</v>
          </cell>
          <cell r="AI251">
            <v>4</v>
          </cell>
          <cell r="AJ251">
            <v>4</v>
          </cell>
          <cell r="AK251">
            <v>5</v>
          </cell>
          <cell r="AL251">
            <v>1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1</v>
          </cell>
          <cell r="AR251">
            <v>0</v>
          </cell>
          <cell r="AS251">
            <v>0</v>
          </cell>
          <cell r="AT251">
            <v>17</v>
          </cell>
          <cell r="AU251">
            <v>1</v>
          </cell>
          <cell r="AV251">
            <v>6</v>
          </cell>
          <cell r="AX251">
            <v>2167.2838709677421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X252">
            <v>0</v>
          </cell>
        </row>
        <row r="253">
          <cell r="B253">
            <v>3</v>
          </cell>
          <cell r="C253">
            <v>0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3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Z253">
            <v>1</v>
          </cell>
          <cell r="AA253">
            <v>0</v>
          </cell>
          <cell r="AB253">
            <v>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X253">
            <v>490</v>
          </cell>
        </row>
        <row r="254">
          <cell r="B254">
            <v>1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0</v>
          </cell>
        </row>
        <row r="255">
          <cell r="B255">
            <v>2</v>
          </cell>
          <cell r="C255">
            <v>1</v>
          </cell>
          <cell r="D255">
            <v>3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1</v>
          </cell>
          <cell r="W255">
            <v>0</v>
          </cell>
          <cell r="X255">
            <v>2</v>
          </cell>
          <cell r="Z255">
            <v>1</v>
          </cell>
          <cell r="AA255">
            <v>0</v>
          </cell>
          <cell r="AB255">
            <v>2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2</v>
          </cell>
          <cell r="AX255">
            <v>256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0</v>
          </cell>
        </row>
        <row r="257">
          <cell r="B257">
            <v>6</v>
          </cell>
          <cell r="C257">
            <v>0</v>
          </cell>
          <cell r="D257">
            <v>10</v>
          </cell>
          <cell r="E257">
            <v>0</v>
          </cell>
          <cell r="F257">
            <v>0</v>
          </cell>
          <cell r="G257">
            <v>0</v>
          </cell>
          <cell r="H257">
            <v>6</v>
          </cell>
          <cell r="I257">
            <v>4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Z257">
            <v>6</v>
          </cell>
          <cell r="AA257">
            <v>0</v>
          </cell>
          <cell r="AB257">
            <v>10</v>
          </cell>
          <cell r="AC257">
            <v>0</v>
          </cell>
          <cell r="AD257">
            <v>0</v>
          </cell>
          <cell r="AE257">
            <v>0</v>
          </cell>
          <cell r="AF257">
            <v>6</v>
          </cell>
          <cell r="AG257">
            <v>4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X257">
            <v>476</v>
          </cell>
        </row>
        <row r="258">
          <cell r="B258">
            <v>2</v>
          </cell>
          <cell r="C258">
            <v>2</v>
          </cell>
          <cell r="D258">
            <v>2</v>
          </cell>
          <cell r="E258">
            <v>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Z258">
            <v>2</v>
          </cell>
          <cell r="AA258">
            <v>2</v>
          </cell>
          <cell r="AB258">
            <v>2</v>
          </cell>
          <cell r="AC258">
            <v>2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1</v>
          </cell>
          <cell r="AS258">
            <v>0</v>
          </cell>
          <cell r="AT258">
            <v>1</v>
          </cell>
          <cell r="AU258">
            <v>0</v>
          </cell>
          <cell r="AV258">
            <v>0</v>
          </cell>
          <cell r="AX258">
            <v>218</v>
          </cell>
        </row>
        <row r="259">
          <cell r="B259">
            <v>3229</v>
          </cell>
          <cell r="C259">
            <v>602</v>
          </cell>
          <cell r="D259">
            <v>10864</v>
          </cell>
          <cell r="E259">
            <v>2252</v>
          </cell>
          <cell r="F259">
            <v>5</v>
          </cell>
          <cell r="G259">
            <v>16</v>
          </cell>
          <cell r="H259">
            <v>3584</v>
          </cell>
          <cell r="I259">
            <v>10</v>
          </cell>
          <cell r="J259">
            <v>208</v>
          </cell>
          <cell r="K259">
            <v>463</v>
          </cell>
          <cell r="L259">
            <v>743</v>
          </cell>
          <cell r="M259">
            <v>123</v>
          </cell>
          <cell r="N259">
            <v>588</v>
          </cell>
          <cell r="O259">
            <v>78</v>
          </cell>
          <cell r="P259">
            <v>27</v>
          </cell>
          <cell r="Q259">
            <v>23</v>
          </cell>
          <cell r="R259">
            <v>300</v>
          </cell>
          <cell r="S259">
            <v>58</v>
          </cell>
          <cell r="T259">
            <v>265</v>
          </cell>
          <cell r="U259">
            <v>323</v>
          </cell>
          <cell r="V259">
            <v>3039</v>
          </cell>
          <cell r="W259">
            <v>97</v>
          </cell>
          <cell r="X259">
            <v>914</v>
          </cell>
          <cell r="Y259">
            <v>10864</v>
          </cell>
          <cell r="Z259">
            <v>2632</v>
          </cell>
          <cell r="AA259">
            <v>467</v>
          </cell>
          <cell r="AB259">
            <v>8496</v>
          </cell>
          <cell r="AC259">
            <v>2038</v>
          </cell>
          <cell r="AD259">
            <v>2</v>
          </cell>
          <cell r="AE259">
            <v>15</v>
          </cell>
          <cell r="AF259">
            <v>2811</v>
          </cell>
          <cell r="AG259">
            <v>10</v>
          </cell>
          <cell r="AH259">
            <v>168</v>
          </cell>
          <cell r="AI259">
            <v>330</v>
          </cell>
          <cell r="AJ259">
            <v>440</v>
          </cell>
          <cell r="AK259">
            <v>79</v>
          </cell>
          <cell r="AL259">
            <v>404</v>
          </cell>
          <cell r="AM259">
            <v>70</v>
          </cell>
          <cell r="AN259">
            <v>15</v>
          </cell>
          <cell r="AO259">
            <v>17</v>
          </cell>
          <cell r="AP259">
            <v>214</v>
          </cell>
          <cell r="AQ259">
            <v>38</v>
          </cell>
          <cell r="AR259">
            <v>179</v>
          </cell>
          <cell r="AS259">
            <v>277</v>
          </cell>
          <cell r="AT259">
            <v>2846</v>
          </cell>
          <cell r="AU259">
            <v>63</v>
          </cell>
          <cell r="AV259">
            <v>518</v>
          </cell>
          <cell r="AW259">
            <v>8496</v>
          </cell>
          <cell r="AX259">
            <v>2621.19</v>
          </cell>
        </row>
      </sheetData>
      <sheetData sheetId="5"/>
      <sheetData sheetId="6">
        <row r="6">
          <cell r="AX6">
            <v>1311.4015476190475</v>
          </cell>
        </row>
        <row r="7">
          <cell r="B7">
            <v>59</v>
          </cell>
          <cell r="C7">
            <v>49</v>
          </cell>
          <cell r="D7">
            <v>566</v>
          </cell>
          <cell r="E7">
            <v>189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176</v>
          </cell>
          <cell r="R7">
            <v>0</v>
          </cell>
          <cell r="S7">
            <v>0</v>
          </cell>
          <cell r="T7">
            <v>4</v>
          </cell>
          <cell r="U7">
            <v>0</v>
          </cell>
          <cell r="V7">
            <v>362</v>
          </cell>
          <cell r="W7">
            <v>0</v>
          </cell>
          <cell r="X7">
            <v>24</v>
          </cell>
          <cell r="Z7">
            <v>43</v>
          </cell>
          <cell r="AA7">
            <v>23</v>
          </cell>
          <cell r="AB7">
            <v>153</v>
          </cell>
          <cell r="AC7">
            <v>91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16</v>
          </cell>
          <cell r="AP7">
            <v>0</v>
          </cell>
          <cell r="AQ7">
            <v>0</v>
          </cell>
          <cell r="AR7">
            <v>2</v>
          </cell>
          <cell r="AS7">
            <v>0</v>
          </cell>
          <cell r="AT7">
            <v>112</v>
          </cell>
          <cell r="AU7">
            <v>0</v>
          </cell>
          <cell r="AV7">
            <v>23</v>
          </cell>
          <cell r="AX7">
            <v>1017.6309090909093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1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X8">
            <v>224</v>
          </cell>
        </row>
        <row r="9">
          <cell r="B9">
            <v>10</v>
          </cell>
          <cell r="C9">
            <v>9</v>
          </cell>
          <cell r="D9">
            <v>13</v>
          </cell>
          <cell r="E9">
            <v>12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5</v>
          </cell>
          <cell r="U9">
            <v>0</v>
          </cell>
          <cell r="V9">
            <v>6</v>
          </cell>
          <cell r="W9">
            <v>0</v>
          </cell>
          <cell r="X9">
            <v>1</v>
          </cell>
          <cell r="Z9">
            <v>8</v>
          </cell>
          <cell r="AA9">
            <v>8</v>
          </cell>
          <cell r="AB9">
            <v>10</v>
          </cell>
          <cell r="AC9">
            <v>10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1</v>
          </cell>
          <cell r="AQ9">
            <v>0</v>
          </cell>
          <cell r="AR9">
            <v>5</v>
          </cell>
          <cell r="AS9">
            <v>0</v>
          </cell>
          <cell r="AT9">
            <v>4</v>
          </cell>
          <cell r="AU9">
            <v>0</v>
          </cell>
          <cell r="AV9">
            <v>0</v>
          </cell>
          <cell r="AX9">
            <v>1115.9849999999999</v>
          </cell>
        </row>
        <row r="10">
          <cell r="B10">
            <v>36</v>
          </cell>
          <cell r="C10">
            <v>19</v>
          </cell>
          <cell r="D10">
            <v>71</v>
          </cell>
          <cell r="E10">
            <v>52</v>
          </cell>
          <cell r="F10">
            <v>0</v>
          </cell>
          <cell r="G10">
            <v>0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19</v>
          </cell>
          <cell r="S10">
            <v>0</v>
          </cell>
          <cell r="T10">
            <v>6</v>
          </cell>
          <cell r="U10">
            <v>0</v>
          </cell>
          <cell r="V10">
            <v>35</v>
          </cell>
          <cell r="W10">
            <v>5</v>
          </cell>
          <cell r="X10">
            <v>0</v>
          </cell>
          <cell r="Z10">
            <v>25</v>
          </cell>
          <cell r="AA10">
            <v>16</v>
          </cell>
          <cell r="AB10">
            <v>28</v>
          </cell>
          <cell r="AC10">
            <v>22</v>
          </cell>
          <cell r="AD10">
            <v>0</v>
          </cell>
          <cell r="AE10">
            <v>0</v>
          </cell>
          <cell r="AF10">
            <v>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7</v>
          </cell>
          <cell r="AQ10">
            <v>0</v>
          </cell>
          <cell r="AR10">
            <v>4</v>
          </cell>
          <cell r="AS10">
            <v>0</v>
          </cell>
          <cell r="AT10">
            <v>7</v>
          </cell>
          <cell r="AU10">
            <v>5</v>
          </cell>
          <cell r="AV10">
            <v>0</v>
          </cell>
          <cell r="AX10">
            <v>661.09090909090912</v>
          </cell>
        </row>
        <row r="11">
          <cell r="B11">
            <v>2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2</v>
          </cell>
          <cell r="AA11">
            <v>0</v>
          </cell>
          <cell r="AB11">
            <v>2</v>
          </cell>
          <cell r="AC11">
            <v>0</v>
          </cell>
          <cell r="AD11">
            <v>0</v>
          </cell>
          <cell r="AE11">
            <v>0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2610</v>
          </cell>
        </row>
        <row r="12">
          <cell r="B12">
            <v>6</v>
          </cell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0</v>
          </cell>
          <cell r="Z12">
            <v>3</v>
          </cell>
          <cell r="AA12">
            <v>2</v>
          </cell>
          <cell r="AB12">
            <v>3</v>
          </cell>
          <cell r="AC12">
            <v>2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</v>
          </cell>
          <cell r="AU12">
            <v>1</v>
          </cell>
          <cell r="AV12">
            <v>0</v>
          </cell>
          <cell r="AX12">
            <v>2436.6666666666665</v>
          </cell>
        </row>
        <row r="14">
          <cell r="B14">
            <v>6</v>
          </cell>
          <cell r="C14">
            <v>2</v>
          </cell>
          <cell r="D14">
            <v>53</v>
          </cell>
          <cell r="E14">
            <v>53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52</v>
          </cell>
          <cell r="W14">
            <v>0</v>
          </cell>
          <cell r="X14">
            <v>0</v>
          </cell>
          <cell r="Z14">
            <v>1</v>
          </cell>
          <cell r="AA14">
            <v>1</v>
          </cell>
          <cell r="AB14">
            <v>52</v>
          </cell>
          <cell r="AC14">
            <v>52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52</v>
          </cell>
          <cell r="AU14">
            <v>0</v>
          </cell>
          <cell r="AV14">
            <v>0</v>
          </cell>
          <cell r="AX14">
            <v>400</v>
          </cell>
        </row>
        <row r="15">
          <cell r="B15">
            <v>2</v>
          </cell>
          <cell r="C15">
            <v>2</v>
          </cell>
          <cell r="D15">
            <v>37</v>
          </cell>
          <cell r="E15">
            <v>37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37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8</v>
          </cell>
          <cell r="AA15">
            <v>8</v>
          </cell>
          <cell r="AB15">
            <v>10</v>
          </cell>
          <cell r="AC15">
            <v>10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350</v>
          </cell>
        </row>
        <row r="16">
          <cell r="B16">
            <v>3</v>
          </cell>
          <cell r="C16">
            <v>0</v>
          </cell>
          <cell r="D16">
            <v>9</v>
          </cell>
          <cell r="E16">
            <v>0</v>
          </cell>
          <cell r="F16">
            <v>0</v>
          </cell>
          <cell r="G16">
            <v>0</v>
          </cell>
          <cell r="H16">
            <v>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2</v>
          </cell>
          <cell r="AA16">
            <v>0</v>
          </cell>
          <cell r="AB16">
            <v>8</v>
          </cell>
          <cell r="AC16">
            <v>0</v>
          </cell>
          <cell r="AD16">
            <v>0</v>
          </cell>
          <cell r="AE16">
            <v>0</v>
          </cell>
          <cell r="AF16">
            <v>8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X16">
            <v>320</v>
          </cell>
        </row>
        <row r="18">
          <cell r="B18">
            <v>56</v>
          </cell>
          <cell r="C18">
            <v>40</v>
          </cell>
          <cell r="D18">
            <v>120</v>
          </cell>
          <cell r="E18">
            <v>100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</v>
          </cell>
          <cell r="S18">
            <v>0</v>
          </cell>
          <cell r="T18">
            <v>77</v>
          </cell>
          <cell r="U18">
            <v>0</v>
          </cell>
          <cell r="V18">
            <v>41</v>
          </cell>
          <cell r="W18">
            <v>0</v>
          </cell>
          <cell r="X18">
            <v>0</v>
          </cell>
          <cell r="Z18">
            <v>42</v>
          </cell>
          <cell r="AA18">
            <v>29</v>
          </cell>
          <cell r="AB18">
            <v>89</v>
          </cell>
          <cell r="AC18">
            <v>63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5</v>
          </cell>
          <cell r="AQ18">
            <v>0</v>
          </cell>
          <cell r="AR18">
            <v>48</v>
          </cell>
          <cell r="AS18">
            <v>0</v>
          </cell>
          <cell r="AT18">
            <v>36</v>
          </cell>
          <cell r="AU18">
            <v>0</v>
          </cell>
          <cell r="AV18">
            <v>0</v>
          </cell>
          <cell r="AX18">
            <v>1511.2681818181818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0</v>
          </cell>
          <cell r="V19">
            <v>1</v>
          </cell>
          <cell r="W19">
            <v>0</v>
          </cell>
          <cell r="X19">
            <v>0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X19">
            <v>208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0</v>
          </cell>
        </row>
        <row r="21">
          <cell r="B21">
            <v>1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0</v>
          </cell>
          <cell r="Z21">
            <v>1</v>
          </cell>
          <cell r="AA21">
            <v>0</v>
          </cell>
          <cell r="AB21">
            <v>1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X21">
            <v>4000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X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</row>
        <row r="27">
          <cell r="B27">
            <v>6</v>
          </cell>
          <cell r="C27">
            <v>1</v>
          </cell>
          <cell r="D27">
            <v>54</v>
          </cell>
          <cell r="E27">
            <v>1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50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0</v>
          </cell>
          <cell r="Z27">
            <v>6</v>
          </cell>
          <cell r="AA27">
            <v>0</v>
          </cell>
          <cell r="AB27">
            <v>3</v>
          </cell>
          <cell r="AC27">
            <v>0</v>
          </cell>
          <cell r="AD27">
            <v>0</v>
          </cell>
          <cell r="AE27">
            <v>0</v>
          </cell>
          <cell r="AF27">
            <v>3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>
            <v>1560.98</v>
          </cell>
        </row>
        <row r="28">
          <cell r="B28">
            <v>8</v>
          </cell>
          <cell r="C28">
            <v>0</v>
          </cell>
          <cell r="D28">
            <v>17</v>
          </cell>
          <cell r="E28">
            <v>0</v>
          </cell>
          <cell r="F28">
            <v>0</v>
          </cell>
          <cell r="G28">
            <v>0</v>
          </cell>
          <cell r="H28">
            <v>16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3</v>
          </cell>
          <cell r="AA28">
            <v>0</v>
          </cell>
          <cell r="AB28">
            <v>12</v>
          </cell>
          <cell r="AC28">
            <v>0</v>
          </cell>
          <cell r="AD28">
            <v>0</v>
          </cell>
          <cell r="AE28">
            <v>0</v>
          </cell>
          <cell r="AF28">
            <v>11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1944</v>
          </cell>
        </row>
        <row r="29">
          <cell r="AX29">
            <v>2596.6479049405875</v>
          </cell>
        </row>
        <row r="30">
          <cell r="B30">
            <v>65</v>
          </cell>
          <cell r="C30">
            <v>19</v>
          </cell>
          <cell r="D30">
            <v>504</v>
          </cell>
          <cell r="E30">
            <v>306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501</v>
          </cell>
          <cell r="W30">
            <v>0</v>
          </cell>
          <cell r="X30">
            <v>3</v>
          </cell>
          <cell r="Z30">
            <v>46</v>
          </cell>
          <cell r="AA30">
            <v>46</v>
          </cell>
          <cell r="AB30">
            <v>385</v>
          </cell>
          <cell r="AC30">
            <v>385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385</v>
          </cell>
          <cell r="AU30">
            <v>0</v>
          </cell>
          <cell r="AV30">
            <v>0</v>
          </cell>
          <cell r="AX30">
            <v>679.29</v>
          </cell>
        </row>
        <row r="31">
          <cell r="B31">
            <v>3</v>
          </cell>
          <cell r="C31">
            <v>3</v>
          </cell>
          <cell r="D31">
            <v>49</v>
          </cell>
          <cell r="E31">
            <v>49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49</v>
          </cell>
          <cell r="W31">
            <v>0</v>
          </cell>
          <cell r="X31">
            <v>0</v>
          </cell>
          <cell r="Z31">
            <v>5</v>
          </cell>
          <cell r="AA31">
            <v>5</v>
          </cell>
          <cell r="AB31">
            <v>63</v>
          </cell>
          <cell r="AC31">
            <v>63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63</v>
          </cell>
          <cell r="AU31">
            <v>0</v>
          </cell>
          <cell r="AV31">
            <v>0</v>
          </cell>
          <cell r="AX31">
            <v>826</v>
          </cell>
        </row>
        <row r="32">
          <cell r="B32">
            <v>1</v>
          </cell>
          <cell r="C32">
            <v>1</v>
          </cell>
          <cell r="D32">
            <v>27</v>
          </cell>
          <cell r="E32">
            <v>27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27</v>
          </cell>
          <cell r="W32">
            <v>0</v>
          </cell>
          <cell r="X32">
            <v>0</v>
          </cell>
          <cell r="Z32">
            <v>1</v>
          </cell>
          <cell r="AA32">
            <v>1</v>
          </cell>
          <cell r="AB32">
            <v>27</v>
          </cell>
          <cell r="AC32">
            <v>27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27</v>
          </cell>
          <cell r="AU32">
            <v>0</v>
          </cell>
          <cell r="AV32">
            <v>0</v>
          </cell>
          <cell r="AX32">
            <v>3776.8</v>
          </cell>
        </row>
        <row r="33">
          <cell r="B33">
            <v>425</v>
          </cell>
          <cell r="C33">
            <v>55</v>
          </cell>
          <cell r="D33">
            <v>472</v>
          </cell>
          <cell r="E33">
            <v>228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424</v>
          </cell>
          <cell r="W33">
            <v>0</v>
          </cell>
          <cell r="X33">
            <v>45</v>
          </cell>
          <cell r="Z33">
            <v>287</v>
          </cell>
          <cell r="AA33">
            <v>43</v>
          </cell>
          <cell r="AB33">
            <v>573</v>
          </cell>
          <cell r="AC33">
            <v>173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15</v>
          </cell>
          <cell r="AT33">
            <v>529</v>
          </cell>
          <cell r="AU33">
            <v>0</v>
          </cell>
          <cell r="AV33">
            <v>26</v>
          </cell>
          <cell r="AX33">
            <v>3630.9660975609745</v>
          </cell>
        </row>
        <row r="34">
          <cell r="B34">
            <v>1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</row>
        <row r="35">
          <cell r="B35">
            <v>5</v>
          </cell>
          <cell r="C35">
            <v>2</v>
          </cell>
          <cell r="D35">
            <v>88</v>
          </cell>
          <cell r="E35">
            <v>13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88</v>
          </cell>
          <cell r="W35">
            <v>0</v>
          </cell>
          <cell r="X35">
            <v>0</v>
          </cell>
          <cell r="Z35">
            <v>5</v>
          </cell>
          <cell r="AA35">
            <v>2</v>
          </cell>
          <cell r="AB35">
            <v>88</v>
          </cell>
          <cell r="AC35">
            <v>13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88</v>
          </cell>
          <cell r="AU35">
            <v>0</v>
          </cell>
          <cell r="AV35">
            <v>0</v>
          </cell>
          <cell r="AX35">
            <v>714</v>
          </cell>
        </row>
        <row r="37">
          <cell r="B37">
            <v>5</v>
          </cell>
          <cell r="C37">
            <v>2</v>
          </cell>
          <cell r="D37">
            <v>35</v>
          </cell>
          <cell r="E37">
            <v>17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22</v>
          </cell>
          <cell r="W37">
            <v>0</v>
          </cell>
          <cell r="X37">
            <v>13</v>
          </cell>
          <cell r="Z37">
            <v>4</v>
          </cell>
          <cell r="AA37">
            <v>2</v>
          </cell>
          <cell r="AB37">
            <v>27</v>
          </cell>
          <cell r="AC37">
            <v>17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14</v>
          </cell>
          <cell r="AU37">
            <v>0</v>
          </cell>
          <cell r="AV37">
            <v>13</v>
          </cell>
          <cell r="AX37">
            <v>1706.43</v>
          </cell>
        </row>
        <row r="38">
          <cell r="B38">
            <v>4</v>
          </cell>
          <cell r="C38">
            <v>0</v>
          </cell>
          <cell r="D38">
            <v>40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38</v>
          </cell>
          <cell r="W38">
            <v>0</v>
          </cell>
          <cell r="X38">
            <v>0</v>
          </cell>
          <cell r="Z38">
            <v>3</v>
          </cell>
          <cell r="AA38">
            <v>0</v>
          </cell>
          <cell r="AB38">
            <v>30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28</v>
          </cell>
          <cell r="AU38">
            <v>0</v>
          </cell>
          <cell r="AV38">
            <v>0</v>
          </cell>
          <cell r="AX38">
            <v>1986.1333333333332</v>
          </cell>
        </row>
        <row r="40">
          <cell r="B40">
            <v>65</v>
          </cell>
          <cell r="C40">
            <v>29</v>
          </cell>
          <cell r="D40">
            <v>262</v>
          </cell>
          <cell r="E40">
            <v>215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261</v>
          </cell>
          <cell r="W40">
            <v>0</v>
          </cell>
          <cell r="X40">
            <v>1</v>
          </cell>
          <cell r="Z40">
            <v>44</v>
          </cell>
          <cell r="AA40">
            <v>21</v>
          </cell>
          <cell r="AB40">
            <v>236</v>
          </cell>
          <cell r="AC40">
            <v>207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236</v>
          </cell>
          <cell r="AU40">
            <v>0</v>
          </cell>
          <cell r="AV40">
            <v>0</v>
          </cell>
          <cell r="AX40">
            <v>1728.2033333333334</v>
          </cell>
        </row>
        <row r="41">
          <cell r="B41">
            <v>24</v>
          </cell>
          <cell r="C41">
            <v>0</v>
          </cell>
          <cell r="D41">
            <v>69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68</v>
          </cell>
          <cell r="W41">
            <v>0</v>
          </cell>
          <cell r="X41">
            <v>0</v>
          </cell>
          <cell r="Z41">
            <v>38</v>
          </cell>
          <cell r="AA41">
            <v>0</v>
          </cell>
          <cell r="AB41">
            <v>51</v>
          </cell>
          <cell r="AC41">
            <v>0</v>
          </cell>
          <cell r="AD41">
            <v>0</v>
          </cell>
          <cell r="AE41">
            <v>0</v>
          </cell>
          <cell r="AF41">
            <v>1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50</v>
          </cell>
          <cell r="AU41">
            <v>0</v>
          </cell>
          <cell r="AV41">
            <v>0</v>
          </cell>
          <cell r="AX41">
            <v>4788.12</v>
          </cell>
        </row>
        <row r="42">
          <cell r="B42">
            <v>4</v>
          </cell>
          <cell r="C42">
            <v>2</v>
          </cell>
          <cell r="D42">
            <v>75</v>
          </cell>
          <cell r="E42">
            <v>19</v>
          </cell>
          <cell r="F42">
            <v>0</v>
          </cell>
          <cell r="G42">
            <v>0</v>
          </cell>
          <cell r="H42">
            <v>22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53</v>
          </cell>
          <cell r="W42">
            <v>0</v>
          </cell>
          <cell r="X42">
            <v>0</v>
          </cell>
          <cell r="Z42">
            <v>3</v>
          </cell>
          <cell r="AA42">
            <v>2</v>
          </cell>
          <cell r="AB42">
            <v>53</v>
          </cell>
          <cell r="AC42">
            <v>19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53</v>
          </cell>
          <cell r="AU42">
            <v>0</v>
          </cell>
          <cell r="AV42">
            <v>0</v>
          </cell>
          <cell r="AX42">
            <v>82.55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</row>
        <row r="44">
          <cell r="B44">
            <v>1</v>
          </cell>
          <cell r="C44">
            <v>0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</v>
          </cell>
          <cell r="Z44">
            <v>6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</v>
          </cell>
          <cell r="AX44">
            <v>6300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</row>
        <row r="46">
          <cell r="B46">
            <v>1</v>
          </cell>
          <cell r="C46">
            <v>0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1</v>
          </cell>
          <cell r="AA46">
            <v>0</v>
          </cell>
          <cell r="AB46">
            <v>1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2862.93</v>
          </cell>
        </row>
        <row r="47">
          <cell r="B47">
            <v>25</v>
          </cell>
          <cell r="C47">
            <v>0</v>
          </cell>
          <cell r="D47">
            <v>16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16</v>
          </cell>
          <cell r="W47">
            <v>0</v>
          </cell>
          <cell r="X47">
            <v>0</v>
          </cell>
          <cell r="Z47">
            <v>11</v>
          </cell>
          <cell r="AA47">
            <v>0</v>
          </cell>
          <cell r="AB47">
            <v>11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11</v>
          </cell>
          <cell r="AU47">
            <v>0</v>
          </cell>
          <cell r="AV47">
            <v>0</v>
          </cell>
          <cell r="AX47">
            <v>4675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</row>
        <row r="49">
          <cell r="AX49">
            <v>1997.2996507936507</v>
          </cell>
        </row>
        <row r="50">
          <cell r="B50">
            <v>4</v>
          </cell>
          <cell r="C50">
            <v>0</v>
          </cell>
          <cell r="D50">
            <v>9</v>
          </cell>
          <cell r="E50">
            <v>0</v>
          </cell>
          <cell r="F50">
            <v>0</v>
          </cell>
          <cell r="G50">
            <v>0</v>
          </cell>
          <cell r="H50">
            <v>7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2</v>
          </cell>
          <cell r="AA50">
            <v>0</v>
          </cell>
          <cell r="AB50">
            <v>6</v>
          </cell>
          <cell r="AC50">
            <v>0</v>
          </cell>
          <cell r="AD50">
            <v>0</v>
          </cell>
          <cell r="AE50">
            <v>0</v>
          </cell>
          <cell r="AF50">
            <v>4</v>
          </cell>
          <cell r="AG50">
            <v>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2908</v>
          </cell>
        </row>
        <row r="51">
          <cell r="B51">
            <v>41</v>
          </cell>
          <cell r="C51">
            <v>0</v>
          </cell>
          <cell r="D51">
            <v>97</v>
          </cell>
          <cell r="E51">
            <v>0</v>
          </cell>
          <cell r="F51">
            <v>0</v>
          </cell>
          <cell r="G51">
            <v>0</v>
          </cell>
          <cell r="H51">
            <v>75</v>
          </cell>
          <cell r="I51">
            <v>0</v>
          </cell>
          <cell r="J51">
            <v>12</v>
          </cell>
          <cell r="K51">
            <v>0</v>
          </cell>
          <cell r="L51">
            <v>2</v>
          </cell>
          <cell r="M51">
            <v>0</v>
          </cell>
          <cell r="N51">
            <v>0</v>
          </cell>
          <cell r="O51">
            <v>7</v>
          </cell>
          <cell r="P51">
            <v>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18</v>
          </cell>
          <cell r="AA51">
            <v>0</v>
          </cell>
          <cell r="AB51">
            <v>42</v>
          </cell>
          <cell r="AC51">
            <v>0</v>
          </cell>
          <cell r="AD51">
            <v>0</v>
          </cell>
          <cell r="AE51">
            <v>0</v>
          </cell>
          <cell r="AF51">
            <v>29</v>
          </cell>
          <cell r="AG51">
            <v>0</v>
          </cell>
          <cell r="AH51">
            <v>11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5038.8085714285717</v>
          </cell>
        </row>
        <row r="52">
          <cell r="B52">
            <v>7</v>
          </cell>
          <cell r="C52">
            <v>0</v>
          </cell>
          <cell r="D52">
            <v>37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0</v>
          </cell>
          <cell r="J52">
            <v>12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4</v>
          </cell>
          <cell r="AA52">
            <v>0</v>
          </cell>
          <cell r="AB52">
            <v>22</v>
          </cell>
          <cell r="AC52">
            <v>0</v>
          </cell>
          <cell r="AD52">
            <v>0</v>
          </cell>
          <cell r="AE52">
            <v>0</v>
          </cell>
          <cell r="AF52">
            <v>10</v>
          </cell>
          <cell r="AG52">
            <v>0</v>
          </cell>
          <cell r="AH52">
            <v>12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952.21333333333348</v>
          </cell>
        </row>
        <row r="53">
          <cell r="B53">
            <v>86</v>
          </cell>
          <cell r="C53">
            <v>0</v>
          </cell>
          <cell r="D53">
            <v>238</v>
          </cell>
          <cell r="E53">
            <v>0</v>
          </cell>
          <cell r="F53">
            <v>0</v>
          </cell>
          <cell r="G53">
            <v>0</v>
          </cell>
          <cell r="H53">
            <v>65</v>
          </cell>
          <cell r="I53">
            <v>0</v>
          </cell>
          <cell r="J53">
            <v>2</v>
          </cell>
          <cell r="K53">
            <v>7</v>
          </cell>
          <cell r="L53">
            <v>39</v>
          </cell>
          <cell r="M53">
            <v>0</v>
          </cell>
          <cell r="N53">
            <v>50</v>
          </cell>
          <cell r="O53">
            <v>24</v>
          </cell>
          <cell r="P53">
            <v>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44</v>
          </cell>
          <cell r="Z53">
            <v>36</v>
          </cell>
          <cell r="AA53">
            <v>0</v>
          </cell>
          <cell r="AB53">
            <v>111</v>
          </cell>
          <cell r="AC53">
            <v>0</v>
          </cell>
          <cell r="AD53">
            <v>0</v>
          </cell>
          <cell r="AE53">
            <v>0</v>
          </cell>
          <cell r="AF53">
            <v>37</v>
          </cell>
          <cell r="AG53">
            <v>0</v>
          </cell>
          <cell r="AH53">
            <v>2</v>
          </cell>
          <cell r="AI53">
            <v>6</v>
          </cell>
          <cell r="AJ53">
            <v>14</v>
          </cell>
          <cell r="AK53">
            <v>0</v>
          </cell>
          <cell r="AL53">
            <v>23</v>
          </cell>
          <cell r="AM53">
            <v>18</v>
          </cell>
          <cell r="AN53">
            <v>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4</v>
          </cell>
          <cell r="AX53">
            <v>1606.8760000000002</v>
          </cell>
        </row>
        <row r="54">
          <cell r="B54">
            <v>4</v>
          </cell>
          <cell r="C54">
            <v>4</v>
          </cell>
          <cell r="D54">
            <v>51</v>
          </cell>
          <cell r="E54">
            <v>51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51</v>
          </cell>
          <cell r="W54">
            <v>0</v>
          </cell>
          <cell r="X54">
            <v>0</v>
          </cell>
          <cell r="Z54">
            <v>2</v>
          </cell>
          <cell r="AA54">
            <v>2</v>
          </cell>
          <cell r="AB54">
            <v>2</v>
          </cell>
          <cell r="AC54">
            <v>2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2</v>
          </cell>
          <cell r="AU54">
            <v>0</v>
          </cell>
          <cell r="AV54">
            <v>0</v>
          </cell>
          <cell r="AX54">
            <v>779.5</v>
          </cell>
        </row>
        <row r="55">
          <cell r="B55">
            <v>6</v>
          </cell>
          <cell r="C55">
            <v>1</v>
          </cell>
          <cell r="D55">
            <v>29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AA55">
            <v>1</v>
          </cell>
          <cell r="AB55">
            <v>19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18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X55">
            <v>698.4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</row>
        <row r="57">
          <cell r="B57">
            <v>2</v>
          </cell>
          <cell r="C57">
            <v>0</v>
          </cell>
          <cell r="D57">
            <v>61</v>
          </cell>
          <cell r="E57">
            <v>0</v>
          </cell>
          <cell r="F57">
            <v>0</v>
          </cell>
          <cell r="G57">
            <v>0</v>
          </cell>
          <cell r="H57">
            <v>61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X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</row>
        <row r="61">
          <cell r="B61">
            <v>4</v>
          </cell>
          <cell r="C61">
            <v>0</v>
          </cell>
          <cell r="D61">
            <v>27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27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X61">
            <v>0</v>
          </cell>
        </row>
        <row r="62">
          <cell r="B62">
            <v>2</v>
          </cell>
          <cell r="C62">
            <v>0</v>
          </cell>
          <cell r="D62">
            <v>15</v>
          </cell>
          <cell r="E62">
            <v>0</v>
          </cell>
          <cell r="F62">
            <v>0</v>
          </cell>
          <cell r="G62">
            <v>0</v>
          </cell>
          <cell r="H62">
            <v>15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</row>
        <row r="63">
          <cell r="B63">
            <v>3</v>
          </cell>
          <cell r="C63">
            <v>0</v>
          </cell>
          <cell r="D63">
            <v>3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</row>
        <row r="64">
          <cell r="B64">
            <v>1</v>
          </cell>
          <cell r="C64">
            <v>0</v>
          </cell>
          <cell r="D64">
            <v>12</v>
          </cell>
          <cell r="E64">
            <v>0</v>
          </cell>
          <cell r="F64">
            <v>0</v>
          </cell>
          <cell r="G64">
            <v>0</v>
          </cell>
          <cell r="H64">
            <v>12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X66">
            <v>0</v>
          </cell>
        </row>
        <row r="67">
          <cell r="B67">
            <v>1</v>
          </cell>
          <cell r="C67">
            <v>0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</row>
        <row r="68">
          <cell r="AX68">
            <v>2792.4283333333337</v>
          </cell>
        </row>
        <row r="69">
          <cell r="B69">
            <v>24</v>
          </cell>
          <cell r="C69">
            <v>1</v>
          </cell>
          <cell r="D69">
            <v>20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0</v>
          </cell>
          <cell r="N69">
            <v>11</v>
          </cell>
          <cell r="O69">
            <v>0</v>
          </cell>
          <cell r="P69">
            <v>3</v>
          </cell>
          <cell r="Q69">
            <v>0</v>
          </cell>
          <cell r="R69">
            <v>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</v>
          </cell>
          <cell r="X69">
            <v>0</v>
          </cell>
          <cell r="Z69">
            <v>9</v>
          </cell>
          <cell r="AA69">
            <v>1</v>
          </cell>
          <cell r="AB69">
            <v>14</v>
          </cell>
          <cell r="AC69">
            <v>1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2</v>
          </cell>
          <cell r="AK69">
            <v>0</v>
          </cell>
          <cell r="AL69">
            <v>6</v>
          </cell>
          <cell r="AM69">
            <v>0</v>
          </cell>
          <cell r="AN69">
            <v>3</v>
          </cell>
          <cell r="AO69">
            <v>0</v>
          </cell>
          <cell r="AP69">
            <v>2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</v>
          </cell>
          <cell r="AV69">
            <v>0</v>
          </cell>
          <cell r="AX69">
            <v>2609.8333333333335</v>
          </cell>
        </row>
        <row r="71">
          <cell r="B71">
            <v>56</v>
          </cell>
          <cell r="C71">
            <v>0</v>
          </cell>
          <cell r="D71">
            <v>95</v>
          </cell>
          <cell r="E71">
            <v>0</v>
          </cell>
          <cell r="F71">
            <v>0</v>
          </cell>
          <cell r="G71">
            <v>0</v>
          </cell>
          <cell r="H71">
            <v>44</v>
          </cell>
          <cell r="I71">
            <v>0</v>
          </cell>
          <cell r="J71">
            <v>0</v>
          </cell>
          <cell r="K71">
            <v>6</v>
          </cell>
          <cell r="L71">
            <v>40</v>
          </cell>
          <cell r="M71">
            <v>0</v>
          </cell>
          <cell r="N71">
            <v>1</v>
          </cell>
          <cell r="O71">
            <v>1</v>
          </cell>
          <cell r="P71">
            <v>1</v>
          </cell>
          <cell r="Q71">
            <v>0</v>
          </cell>
          <cell r="R71">
            <v>2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19</v>
          </cell>
          <cell r="AA71">
            <v>0</v>
          </cell>
          <cell r="AB71">
            <v>63</v>
          </cell>
          <cell r="AC71">
            <v>0</v>
          </cell>
          <cell r="AD71">
            <v>0</v>
          </cell>
          <cell r="AE71">
            <v>0</v>
          </cell>
          <cell r="AF71">
            <v>30</v>
          </cell>
          <cell r="AG71">
            <v>0</v>
          </cell>
          <cell r="AH71">
            <v>0</v>
          </cell>
          <cell r="AI71">
            <v>6</v>
          </cell>
          <cell r="AJ71">
            <v>22</v>
          </cell>
          <cell r="AK71">
            <v>0</v>
          </cell>
          <cell r="AL71">
            <v>1</v>
          </cell>
          <cell r="AM71">
            <v>1</v>
          </cell>
          <cell r="AN71">
            <v>1</v>
          </cell>
          <cell r="AO71">
            <v>0</v>
          </cell>
          <cell r="AP71">
            <v>2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4677.75</v>
          </cell>
        </row>
        <row r="72">
          <cell r="B72">
            <v>15</v>
          </cell>
          <cell r="C72">
            <v>4</v>
          </cell>
          <cell r="D72">
            <v>33</v>
          </cell>
          <cell r="E72">
            <v>21</v>
          </cell>
          <cell r="F72">
            <v>0</v>
          </cell>
          <cell r="G72">
            <v>0</v>
          </cell>
          <cell r="H72">
            <v>9</v>
          </cell>
          <cell r="I72">
            <v>7</v>
          </cell>
          <cell r="J72">
            <v>0</v>
          </cell>
          <cell r="K72">
            <v>6</v>
          </cell>
          <cell r="L72">
            <v>7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1</v>
          </cell>
          <cell r="V72">
            <v>2</v>
          </cell>
          <cell r="W72">
            <v>0</v>
          </cell>
          <cell r="X72">
            <v>0</v>
          </cell>
          <cell r="Z72">
            <v>9</v>
          </cell>
          <cell r="AA72">
            <v>2</v>
          </cell>
          <cell r="AB72">
            <v>15</v>
          </cell>
          <cell r="AC72">
            <v>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6</v>
          </cell>
          <cell r="AJ72">
            <v>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1</v>
          </cell>
          <cell r="AS72">
            <v>1</v>
          </cell>
          <cell r="AT72">
            <v>0</v>
          </cell>
          <cell r="AU72">
            <v>0</v>
          </cell>
          <cell r="AV72">
            <v>0</v>
          </cell>
          <cell r="AX72">
            <v>2523.8000000000002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</row>
        <row r="74">
          <cell r="B74">
            <v>1</v>
          </cell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</row>
        <row r="75">
          <cell r="B75">
            <v>2</v>
          </cell>
          <cell r="C75">
            <v>0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0</v>
          </cell>
        </row>
        <row r="76">
          <cell r="B76">
            <v>10</v>
          </cell>
          <cell r="C76">
            <v>0</v>
          </cell>
          <cell r="D76">
            <v>47</v>
          </cell>
          <cell r="E76">
            <v>0</v>
          </cell>
          <cell r="F76">
            <v>0</v>
          </cell>
          <cell r="G76">
            <v>0</v>
          </cell>
          <cell r="H76">
            <v>45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7</v>
          </cell>
          <cell r="AA76">
            <v>0</v>
          </cell>
          <cell r="AB76">
            <v>40</v>
          </cell>
          <cell r="AC76">
            <v>0</v>
          </cell>
          <cell r="AD76">
            <v>0</v>
          </cell>
          <cell r="AE76">
            <v>0</v>
          </cell>
          <cell r="AF76">
            <v>39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1358.33</v>
          </cell>
        </row>
        <row r="77">
          <cell r="B77">
            <v>2</v>
          </cell>
          <cell r="C77">
            <v>0</v>
          </cell>
          <cell r="D77">
            <v>8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7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X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X78">
            <v>0</v>
          </cell>
        </row>
        <row r="79">
          <cell r="AX79">
            <v>3428.3642511902131</v>
          </cell>
        </row>
        <row r="80">
          <cell r="B80">
            <v>96</v>
          </cell>
          <cell r="C80">
            <v>19</v>
          </cell>
          <cell r="D80">
            <v>174</v>
          </cell>
          <cell r="E80">
            <v>26</v>
          </cell>
          <cell r="F80">
            <v>0</v>
          </cell>
          <cell r="G80">
            <v>0</v>
          </cell>
          <cell r="H80">
            <v>55</v>
          </cell>
          <cell r="I80">
            <v>0</v>
          </cell>
          <cell r="J80">
            <v>3</v>
          </cell>
          <cell r="K80">
            <v>10</v>
          </cell>
          <cell r="L80">
            <v>16</v>
          </cell>
          <cell r="M80">
            <v>0</v>
          </cell>
          <cell r="N80">
            <v>42</v>
          </cell>
          <cell r="O80">
            <v>1</v>
          </cell>
          <cell r="P80">
            <v>2</v>
          </cell>
          <cell r="Q80">
            <v>3</v>
          </cell>
          <cell r="R80">
            <v>14</v>
          </cell>
          <cell r="S80">
            <v>5</v>
          </cell>
          <cell r="T80">
            <v>6</v>
          </cell>
          <cell r="U80">
            <v>0</v>
          </cell>
          <cell r="V80">
            <v>17</v>
          </cell>
          <cell r="W80">
            <v>0</v>
          </cell>
          <cell r="X80">
            <v>0</v>
          </cell>
          <cell r="Z80">
            <v>58</v>
          </cell>
          <cell r="AA80">
            <v>15</v>
          </cell>
          <cell r="AB80">
            <v>118</v>
          </cell>
          <cell r="AC80">
            <v>22</v>
          </cell>
          <cell r="AD80">
            <v>0</v>
          </cell>
          <cell r="AE80">
            <v>0</v>
          </cell>
          <cell r="AF80">
            <v>21</v>
          </cell>
          <cell r="AG80">
            <v>0</v>
          </cell>
          <cell r="AH80">
            <v>3</v>
          </cell>
          <cell r="AI80">
            <v>9</v>
          </cell>
          <cell r="AJ80">
            <v>3</v>
          </cell>
          <cell r="AK80">
            <v>0</v>
          </cell>
          <cell r="AL80">
            <v>42</v>
          </cell>
          <cell r="AM80">
            <v>0</v>
          </cell>
          <cell r="AN80">
            <v>1</v>
          </cell>
          <cell r="AO80">
            <v>3</v>
          </cell>
          <cell r="AP80">
            <v>12</v>
          </cell>
          <cell r="AQ80">
            <v>5</v>
          </cell>
          <cell r="AR80">
            <v>6</v>
          </cell>
          <cell r="AS80">
            <v>0</v>
          </cell>
          <cell r="AT80">
            <v>13</v>
          </cell>
          <cell r="AU80">
            <v>0</v>
          </cell>
          <cell r="AV80">
            <v>0</v>
          </cell>
          <cell r="AX80">
            <v>2765.8894736842108</v>
          </cell>
        </row>
        <row r="81">
          <cell r="B81">
            <v>7</v>
          </cell>
          <cell r="C81">
            <v>0</v>
          </cell>
          <cell r="D81">
            <v>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2</v>
          </cell>
          <cell r="AA81">
            <v>0</v>
          </cell>
          <cell r="AB81">
            <v>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3</v>
          </cell>
          <cell r="AM81">
            <v>0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2920</v>
          </cell>
        </row>
        <row r="82">
          <cell r="B82">
            <v>38</v>
          </cell>
          <cell r="C82">
            <v>3</v>
          </cell>
          <cell r="D82">
            <v>36</v>
          </cell>
          <cell r="E82">
            <v>3</v>
          </cell>
          <cell r="F82">
            <v>0</v>
          </cell>
          <cell r="G82">
            <v>0</v>
          </cell>
          <cell r="H82">
            <v>13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0</v>
          </cell>
          <cell r="N82">
            <v>0</v>
          </cell>
          <cell r="O82">
            <v>16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Z82">
            <v>18</v>
          </cell>
          <cell r="AA82">
            <v>3</v>
          </cell>
          <cell r="AB82">
            <v>15</v>
          </cell>
          <cell r="AC82">
            <v>3</v>
          </cell>
          <cell r="AD82">
            <v>0</v>
          </cell>
          <cell r="AE82">
            <v>0</v>
          </cell>
          <cell r="AF82">
            <v>1</v>
          </cell>
          <cell r="AG82">
            <v>2</v>
          </cell>
          <cell r="AH82">
            <v>0</v>
          </cell>
          <cell r="AI82">
            <v>0</v>
          </cell>
          <cell r="AJ82">
            <v>1</v>
          </cell>
          <cell r="AK82">
            <v>0</v>
          </cell>
          <cell r="AL82">
            <v>0</v>
          </cell>
          <cell r="AM82">
            <v>8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2</v>
          </cell>
          <cell r="AS82">
            <v>0</v>
          </cell>
          <cell r="AT82">
            <v>1</v>
          </cell>
          <cell r="AU82">
            <v>0</v>
          </cell>
          <cell r="AV82">
            <v>0</v>
          </cell>
          <cell r="AX82">
            <v>3201.8714285714291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</row>
        <row r="84">
          <cell r="B84">
            <v>16</v>
          </cell>
          <cell r="C84">
            <v>0</v>
          </cell>
          <cell r="D84">
            <v>47</v>
          </cell>
          <cell r="E84">
            <v>0</v>
          </cell>
          <cell r="F84">
            <v>0</v>
          </cell>
          <cell r="G84">
            <v>0</v>
          </cell>
          <cell r="H84">
            <v>33</v>
          </cell>
          <cell r="I84">
            <v>3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5</v>
          </cell>
          <cell r="AA84">
            <v>0</v>
          </cell>
          <cell r="AB84">
            <v>16</v>
          </cell>
          <cell r="AC84">
            <v>0</v>
          </cell>
          <cell r="AD84">
            <v>0</v>
          </cell>
          <cell r="AE84">
            <v>0</v>
          </cell>
          <cell r="AF84">
            <v>13</v>
          </cell>
          <cell r="AG84">
            <v>3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1732.88</v>
          </cell>
        </row>
        <row r="85">
          <cell r="B85">
            <v>6</v>
          </cell>
          <cell r="C85">
            <v>2</v>
          </cell>
          <cell r="D85">
            <v>25</v>
          </cell>
          <cell r="E85">
            <v>20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0</v>
          </cell>
          <cell r="N85">
            <v>0</v>
          </cell>
          <cell r="O85">
            <v>3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20</v>
          </cell>
          <cell r="V85">
            <v>0</v>
          </cell>
          <cell r="W85">
            <v>0</v>
          </cell>
          <cell r="X85">
            <v>0</v>
          </cell>
          <cell r="Z85">
            <v>4</v>
          </cell>
          <cell r="AA85">
            <v>1</v>
          </cell>
          <cell r="AB85">
            <v>12</v>
          </cell>
          <cell r="AC85">
            <v>9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2</v>
          </cell>
          <cell r="AK85">
            <v>0</v>
          </cell>
          <cell r="AL85">
            <v>0</v>
          </cell>
          <cell r="AM85">
            <v>1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9</v>
          </cell>
          <cell r="AT85">
            <v>0</v>
          </cell>
          <cell r="AU85">
            <v>0</v>
          </cell>
          <cell r="AV85">
            <v>0</v>
          </cell>
          <cell r="AX85">
            <v>6128</v>
          </cell>
        </row>
        <row r="87">
          <cell r="B87">
            <v>33</v>
          </cell>
          <cell r="C87">
            <v>16</v>
          </cell>
          <cell r="D87">
            <v>175</v>
          </cell>
          <cell r="E87">
            <v>105</v>
          </cell>
          <cell r="F87">
            <v>0</v>
          </cell>
          <cell r="G87">
            <v>0</v>
          </cell>
          <cell r="H87">
            <v>17</v>
          </cell>
          <cell r="I87">
            <v>0</v>
          </cell>
          <cell r="J87">
            <v>2</v>
          </cell>
          <cell r="K87">
            <v>0</v>
          </cell>
          <cell r="L87">
            <v>26</v>
          </cell>
          <cell r="M87">
            <v>2</v>
          </cell>
          <cell r="N87">
            <v>0</v>
          </cell>
          <cell r="O87">
            <v>2</v>
          </cell>
          <cell r="P87">
            <v>0</v>
          </cell>
          <cell r="Q87">
            <v>0</v>
          </cell>
          <cell r="R87">
            <v>17</v>
          </cell>
          <cell r="S87">
            <v>0</v>
          </cell>
          <cell r="T87">
            <v>71</v>
          </cell>
          <cell r="U87">
            <v>0</v>
          </cell>
          <cell r="V87">
            <v>31</v>
          </cell>
          <cell r="W87">
            <v>2</v>
          </cell>
          <cell r="X87">
            <v>5</v>
          </cell>
          <cell r="Z87">
            <v>37</v>
          </cell>
          <cell r="AA87">
            <v>25</v>
          </cell>
          <cell r="AB87">
            <v>127</v>
          </cell>
          <cell r="AC87">
            <v>90</v>
          </cell>
          <cell r="AD87">
            <v>0</v>
          </cell>
          <cell r="AE87">
            <v>0</v>
          </cell>
          <cell r="AF87">
            <v>4</v>
          </cell>
          <cell r="AG87">
            <v>0</v>
          </cell>
          <cell r="AH87">
            <v>2</v>
          </cell>
          <cell r="AI87">
            <v>0</v>
          </cell>
          <cell r="AJ87">
            <v>18</v>
          </cell>
          <cell r="AK87">
            <v>2</v>
          </cell>
          <cell r="AL87">
            <v>0</v>
          </cell>
          <cell r="AM87">
            <v>2</v>
          </cell>
          <cell r="AN87">
            <v>0</v>
          </cell>
          <cell r="AO87">
            <v>0</v>
          </cell>
          <cell r="AP87">
            <v>7</v>
          </cell>
          <cell r="AQ87">
            <v>0</v>
          </cell>
          <cell r="AR87">
            <v>71</v>
          </cell>
          <cell r="AS87">
            <v>0</v>
          </cell>
          <cell r="AT87">
            <v>16</v>
          </cell>
          <cell r="AU87">
            <v>2</v>
          </cell>
          <cell r="AV87">
            <v>3</v>
          </cell>
          <cell r="AX87">
            <v>2036.8529411764705</v>
          </cell>
        </row>
        <row r="88">
          <cell r="B88">
            <v>14</v>
          </cell>
          <cell r="C88">
            <v>1</v>
          </cell>
          <cell r="D88">
            <v>52</v>
          </cell>
          <cell r="E88">
            <v>4</v>
          </cell>
          <cell r="F88">
            <v>0</v>
          </cell>
          <cell r="G88">
            <v>0</v>
          </cell>
          <cell r="H88">
            <v>11</v>
          </cell>
          <cell r="I88">
            <v>0</v>
          </cell>
          <cell r="J88">
            <v>0</v>
          </cell>
          <cell r="K88">
            <v>1</v>
          </cell>
          <cell r="L88">
            <v>0</v>
          </cell>
          <cell r="M88">
            <v>0</v>
          </cell>
          <cell r="N88">
            <v>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23</v>
          </cell>
          <cell r="V88">
            <v>15</v>
          </cell>
          <cell r="W88">
            <v>0</v>
          </cell>
          <cell r="X88">
            <v>0</v>
          </cell>
          <cell r="Z88">
            <v>15</v>
          </cell>
          <cell r="AA88">
            <v>1</v>
          </cell>
          <cell r="AB88">
            <v>34</v>
          </cell>
          <cell r="AC88">
            <v>4</v>
          </cell>
          <cell r="AD88">
            <v>0</v>
          </cell>
          <cell r="AE88">
            <v>0</v>
          </cell>
          <cell r="AF88">
            <v>6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11</v>
          </cell>
          <cell r="AT88">
            <v>15</v>
          </cell>
          <cell r="AU88">
            <v>0</v>
          </cell>
          <cell r="AV88">
            <v>0</v>
          </cell>
          <cell r="AX88">
            <v>3375.5555555555557</v>
          </cell>
        </row>
        <row r="89">
          <cell r="B89">
            <v>6</v>
          </cell>
          <cell r="C89">
            <v>0</v>
          </cell>
          <cell r="D89">
            <v>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4</v>
          </cell>
          <cell r="M89">
            <v>0</v>
          </cell>
          <cell r="N89">
            <v>0</v>
          </cell>
          <cell r="O89">
            <v>4</v>
          </cell>
          <cell r="P89">
            <v>0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3</v>
          </cell>
          <cell r="AA89">
            <v>0</v>
          </cell>
          <cell r="AB89">
            <v>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4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4893.22</v>
          </cell>
        </row>
        <row r="90">
          <cell r="B90">
            <v>5</v>
          </cell>
          <cell r="C90">
            <v>2</v>
          </cell>
          <cell r="D90">
            <v>14</v>
          </cell>
          <cell r="E90">
            <v>4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5</v>
          </cell>
          <cell r="T90">
            <v>0</v>
          </cell>
          <cell r="U90">
            <v>0</v>
          </cell>
          <cell r="V90">
            <v>2</v>
          </cell>
          <cell r="W90">
            <v>2</v>
          </cell>
          <cell r="X90">
            <v>0</v>
          </cell>
          <cell r="Z90">
            <v>5</v>
          </cell>
          <cell r="AA90">
            <v>2</v>
          </cell>
          <cell r="AB90">
            <v>14</v>
          </cell>
          <cell r="AC90">
            <v>4</v>
          </cell>
          <cell r="AD90">
            <v>0</v>
          </cell>
          <cell r="AE90">
            <v>0</v>
          </cell>
          <cell r="AF90">
            <v>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5</v>
          </cell>
          <cell r="AR90">
            <v>0</v>
          </cell>
          <cell r="AS90">
            <v>0</v>
          </cell>
          <cell r="AT90">
            <v>2</v>
          </cell>
          <cell r="AU90">
            <v>2</v>
          </cell>
          <cell r="AV90">
            <v>0</v>
          </cell>
          <cell r="AX90">
            <v>1355.2</v>
          </cell>
        </row>
        <row r="91">
          <cell r="B91">
            <v>1</v>
          </cell>
          <cell r="C91">
            <v>0</v>
          </cell>
          <cell r="D91">
            <v>6</v>
          </cell>
          <cell r="E91">
            <v>0</v>
          </cell>
          <cell r="F91">
            <v>0</v>
          </cell>
          <cell r="G91">
            <v>0</v>
          </cell>
          <cell r="H91">
            <v>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1</v>
          </cell>
          <cell r="AA91">
            <v>0</v>
          </cell>
          <cell r="AB91">
            <v>6</v>
          </cell>
          <cell r="AC91">
            <v>0</v>
          </cell>
          <cell r="AD91">
            <v>0</v>
          </cell>
          <cell r="AE91">
            <v>0</v>
          </cell>
          <cell r="AF91">
            <v>6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3332</v>
          </cell>
        </row>
        <row r="92">
          <cell r="B92">
            <v>18</v>
          </cell>
          <cell r="C92">
            <v>8</v>
          </cell>
          <cell r="D92">
            <v>35</v>
          </cell>
          <cell r="E92">
            <v>13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3</v>
          </cell>
          <cell r="M92">
            <v>0</v>
          </cell>
          <cell r="N92">
            <v>0</v>
          </cell>
          <cell r="O92">
            <v>1</v>
          </cell>
          <cell r="P92">
            <v>0</v>
          </cell>
          <cell r="Q92">
            <v>2</v>
          </cell>
          <cell r="R92">
            <v>5</v>
          </cell>
          <cell r="S92">
            <v>0</v>
          </cell>
          <cell r="T92">
            <v>10</v>
          </cell>
          <cell r="U92">
            <v>10</v>
          </cell>
          <cell r="V92">
            <v>3</v>
          </cell>
          <cell r="W92">
            <v>0</v>
          </cell>
          <cell r="X92">
            <v>0</v>
          </cell>
          <cell r="Z92">
            <v>36</v>
          </cell>
          <cell r="AA92">
            <v>7</v>
          </cell>
          <cell r="AB92">
            <v>24</v>
          </cell>
          <cell r="AC92">
            <v>10</v>
          </cell>
          <cell r="AD92">
            <v>0</v>
          </cell>
          <cell r="AE92">
            <v>0</v>
          </cell>
          <cell r="AF92">
            <v>1</v>
          </cell>
          <cell r="AG92">
            <v>0</v>
          </cell>
          <cell r="AH92">
            <v>0</v>
          </cell>
          <cell r="AI92">
            <v>0</v>
          </cell>
          <cell r="AJ92">
            <v>3</v>
          </cell>
          <cell r="AK92">
            <v>0</v>
          </cell>
          <cell r="AL92">
            <v>0</v>
          </cell>
          <cell r="AM92">
            <v>1</v>
          </cell>
          <cell r="AN92">
            <v>0</v>
          </cell>
          <cell r="AO92">
            <v>2</v>
          </cell>
          <cell r="AP92">
            <v>5</v>
          </cell>
          <cell r="AQ92">
            <v>0</v>
          </cell>
          <cell r="AR92">
            <v>7</v>
          </cell>
          <cell r="AS92">
            <v>2</v>
          </cell>
          <cell r="AT92">
            <v>3</v>
          </cell>
          <cell r="AU92">
            <v>0</v>
          </cell>
          <cell r="AV92">
            <v>0</v>
          </cell>
          <cell r="AX92">
            <v>3300.7692307692309</v>
          </cell>
        </row>
        <row r="93">
          <cell r="B93">
            <v>2</v>
          </cell>
          <cell r="C93">
            <v>0</v>
          </cell>
          <cell r="D93">
            <v>3</v>
          </cell>
          <cell r="E93">
            <v>0</v>
          </cell>
          <cell r="F93">
            <v>0</v>
          </cell>
          <cell r="G93">
            <v>0</v>
          </cell>
          <cell r="H93">
            <v>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2</v>
          </cell>
          <cell r="AA93">
            <v>0</v>
          </cell>
          <cell r="AB93">
            <v>3</v>
          </cell>
          <cell r="AC93">
            <v>0</v>
          </cell>
          <cell r="AD93">
            <v>0</v>
          </cell>
          <cell r="AE93">
            <v>0</v>
          </cell>
          <cell r="AF93">
            <v>3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4000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</row>
        <row r="95">
          <cell r="B95">
            <v>9</v>
          </cell>
          <cell r="C95">
            <v>0</v>
          </cell>
          <cell r="D95">
            <v>17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8</v>
          </cell>
          <cell r="AA95">
            <v>0</v>
          </cell>
          <cell r="AB95">
            <v>12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12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X95">
            <v>5587.5</v>
          </cell>
        </row>
        <row r="96">
          <cell r="B96">
            <v>16</v>
          </cell>
          <cell r="C96">
            <v>0</v>
          </cell>
          <cell r="D96">
            <v>21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</v>
          </cell>
          <cell r="Z96">
            <v>25</v>
          </cell>
          <cell r="AA96">
            <v>0</v>
          </cell>
          <cell r="AB96">
            <v>14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</v>
          </cell>
          <cell r="AX96">
            <v>6164.9071428571424</v>
          </cell>
        </row>
        <row r="97">
          <cell r="B97">
            <v>5</v>
          </cell>
          <cell r="C97">
            <v>0</v>
          </cell>
          <cell r="D97">
            <v>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</v>
          </cell>
          <cell r="M97">
            <v>0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Z97">
            <v>5</v>
          </cell>
          <cell r="AA97">
            <v>0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5</v>
          </cell>
          <cell r="AK97">
            <v>0</v>
          </cell>
          <cell r="AL97">
            <v>2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X97">
            <v>9500</v>
          </cell>
        </row>
        <row r="98">
          <cell r="B98">
            <v>4</v>
          </cell>
          <cell r="C98">
            <v>0</v>
          </cell>
          <cell r="D98">
            <v>19</v>
          </cell>
          <cell r="E98">
            <v>0</v>
          </cell>
          <cell r="F98">
            <v>0</v>
          </cell>
          <cell r="G98">
            <v>0</v>
          </cell>
          <cell r="H98">
            <v>19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4</v>
          </cell>
          <cell r="AA98">
            <v>0</v>
          </cell>
          <cell r="AB98">
            <v>19</v>
          </cell>
          <cell r="AC98">
            <v>0</v>
          </cell>
          <cell r="AD98">
            <v>0</v>
          </cell>
          <cell r="AE98">
            <v>0</v>
          </cell>
          <cell r="AF98">
            <v>19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X98">
            <v>2206.65</v>
          </cell>
        </row>
        <row r="99">
          <cell r="B99">
            <v>4</v>
          </cell>
          <cell r="C99">
            <v>2</v>
          </cell>
          <cell r="D99">
            <v>77</v>
          </cell>
          <cell r="E99">
            <v>58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10</v>
          </cell>
          <cell r="M99">
            <v>0</v>
          </cell>
          <cell r="N99">
            <v>0</v>
          </cell>
          <cell r="O99">
            <v>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58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4</v>
          </cell>
          <cell r="AA99">
            <v>2</v>
          </cell>
          <cell r="AB99">
            <v>75</v>
          </cell>
          <cell r="AC99">
            <v>58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9</v>
          </cell>
          <cell r="AK99">
            <v>0</v>
          </cell>
          <cell r="AL99">
            <v>0</v>
          </cell>
          <cell r="AM99">
            <v>8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58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1218.2249999999999</v>
          </cell>
        </row>
        <row r="100">
          <cell r="B100">
            <v>2</v>
          </cell>
          <cell r="C100">
            <v>2</v>
          </cell>
          <cell r="D100">
            <v>2</v>
          </cell>
          <cell r="E100">
            <v>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2</v>
          </cell>
          <cell r="V100">
            <v>0</v>
          </cell>
          <cell r="W100">
            <v>0</v>
          </cell>
          <cell r="X100">
            <v>0</v>
          </cell>
          <cell r="Z100">
            <v>2</v>
          </cell>
          <cell r="AA100">
            <v>2</v>
          </cell>
          <cell r="AB100">
            <v>2</v>
          </cell>
          <cell r="AC100">
            <v>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2</v>
          </cell>
          <cell r="AT100">
            <v>0</v>
          </cell>
          <cell r="AU100">
            <v>0</v>
          </cell>
          <cell r="AV100">
            <v>0</v>
          </cell>
          <cell r="AX100">
            <v>1419.4</v>
          </cell>
        </row>
        <row r="101">
          <cell r="AX101">
            <v>2590.6003886652525</v>
          </cell>
        </row>
        <row r="102">
          <cell r="C102">
            <v>5</v>
          </cell>
          <cell r="D102">
            <v>377</v>
          </cell>
          <cell r="E102">
            <v>19</v>
          </cell>
          <cell r="F102">
            <v>0</v>
          </cell>
          <cell r="G102">
            <v>0</v>
          </cell>
          <cell r="H102">
            <v>14</v>
          </cell>
          <cell r="I102">
            <v>0</v>
          </cell>
          <cell r="J102">
            <v>0</v>
          </cell>
          <cell r="K102">
            <v>12</v>
          </cell>
          <cell r="L102">
            <v>10</v>
          </cell>
          <cell r="M102">
            <v>39</v>
          </cell>
          <cell r="N102">
            <v>223</v>
          </cell>
          <cell r="O102">
            <v>0</v>
          </cell>
          <cell r="P102">
            <v>0</v>
          </cell>
          <cell r="Q102">
            <v>0</v>
          </cell>
          <cell r="R102">
            <v>3</v>
          </cell>
          <cell r="S102">
            <v>34</v>
          </cell>
          <cell r="T102">
            <v>0</v>
          </cell>
          <cell r="U102">
            <v>19</v>
          </cell>
          <cell r="V102">
            <v>0</v>
          </cell>
          <cell r="W102">
            <v>0</v>
          </cell>
          <cell r="X102">
            <v>23</v>
          </cell>
          <cell r="Z102">
            <v>65</v>
          </cell>
          <cell r="AA102">
            <v>2</v>
          </cell>
          <cell r="AB102">
            <v>186</v>
          </cell>
          <cell r="AC102">
            <v>16</v>
          </cell>
          <cell r="AD102">
            <v>0</v>
          </cell>
          <cell r="AE102">
            <v>0</v>
          </cell>
          <cell r="AF102">
            <v>5</v>
          </cell>
          <cell r="AG102">
            <v>0</v>
          </cell>
          <cell r="AH102">
            <v>0</v>
          </cell>
          <cell r="AI102">
            <v>4</v>
          </cell>
          <cell r="AJ102">
            <v>10</v>
          </cell>
          <cell r="AK102">
            <v>17</v>
          </cell>
          <cell r="AL102">
            <v>95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29</v>
          </cell>
          <cell r="AR102">
            <v>0</v>
          </cell>
          <cell r="AS102">
            <v>16</v>
          </cell>
          <cell r="AT102">
            <v>0</v>
          </cell>
          <cell r="AU102">
            <v>0</v>
          </cell>
          <cell r="AV102">
            <v>10</v>
          </cell>
          <cell r="AX102">
            <v>2577.5875000000001</v>
          </cell>
        </row>
        <row r="103">
          <cell r="B103">
            <v>33</v>
          </cell>
          <cell r="C103">
            <v>5</v>
          </cell>
          <cell r="D103">
            <v>113</v>
          </cell>
          <cell r="E103">
            <v>10</v>
          </cell>
          <cell r="F103">
            <v>0</v>
          </cell>
          <cell r="G103">
            <v>0</v>
          </cell>
          <cell r="H103">
            <v>7</v>
          </cell>
          <cell r="I103">
            <v>0</v>
          </cell>
          <cell r="J103">
            <v>0</v>
          </cell>
          <cell r="K103">
            <v>0</v>
          </cell>
          <cell r="L103">
            <v>11</v>
          </cell>
          <cell r="M103">
            <v>0</v>
          </cell>
          <cell r="N103">
            <v>80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14</v>
          </cell>
          <cell r="W103">
            <v>0</v>
          </cell>
          <cell r="X103">
            <v>0</v>
          </cell>
          <cell r="Z103">
            <v>39</v>
          </cell>
          <cell r="AA103">
            <v>2</v>
          </cell>
          <cell r="AB103">
            <v>83</v>
          </cell>
          <cell r="AC103">
            <v>2</v>
          </cell>
          <cell r="AD103">
            <v>0</v>
          </cell>
          <cell r="AE103">
            <v>0</v>
          </cell>
          <cell r="AF103">
            <v>6</v>
          </cell>
          <cell r="AG103">
            <v>0</v>
          </cell>
          <cell r="AH103">
            <v>0</v>
          </cell>
          <cell r="AI103">
            <v>0</v>
          </cell>
          <cell r="AJ103">
            <v>11</v>
          </cell>
          <cell r="AK103">
            <v>0</v>
          </cell>
          <cell r="AL103">
            <v>59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</v>
          </cell>
          <cell r="AT103">
            <v>6</v>
          </cell>
          <cell r="AU103">
            <v>0</v>
          </cell>
          <cell r="AV103">
            <v>0</v>
          </cell>
          <cell r="AX103">
            <v>3360.913333333333</v>
          </cell>
        </row>
        <row r="104">
          <cell r="B104">
            <v>5</v>
          </cell>
          <cell r="C104">
            <v>0</v>
          </cell>
          <cell r="D104">
            <v>18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3</v>
          </cell>
          <cell r="L104">
            <v>0</v>
          </cell>
          <cell r="M104">
            <v>0</v>
          </cell>
          <cell r="N104">
            <v>10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5</v>
          </cell>
          <cell r="Z104">
            <v>2</v>
          </cell>
          <cell r="AA104">
            <v>0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5</v>
          </cell>
          <cell r="AX104">
            <v>1440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0</v>
          </cell>
        </row>
        <row r="107">
          <cell r="B107">
            <v>11</v>
          </cell>
          <cell r="C107">
            <v>0</v>
          </cell>
          <cell r="D107">
            <v>45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38</v>
          </cell>
          <cell r="L107">
            <v>6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15</v>
          </cell>
          <cell r="AA107">
            <v>0</v>
          </cell>
          <cell r="AB107">
            <v>27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2</v>
          </cell>
          <cell r="AI107">
            <v>25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3569.5699999999997</v>
          </cell>
        </row>
        <row r="108">
          <cell r="B108">
            <v>4</v>
          </cell>
          <cell r="C108">
            <v>1</v>
          </cell>
          <cell r="D108">
            <v>4</v>
          </cell>
          <cell r="E108">
            <v>1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0</v>
          </cell>
          <cell r="X108">
            <v>1</v>
          </cell>
          <cell r="Z108">
            <v>2</v>
          </cell>
          <cell r="AA108">
            <v>1</v>
          </cell>
          <cell r="AB108">
            <v>2</v>
          </cell>
          <cell r="AC108">
            <v>1</v>
          </cell>
          <cell r="AD108">
            <v>0</v>
          </cell>
          <cell r="AE108">
            <v>0</v>
          </cell>
          <cell r="AF108">
            <v>1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1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3944</v>
          </cell>
        </row>
        <row r="109">
          <cell r="B109">
            <v>8</v>
          </cell>
          <cell r="C109">
            <v>0</v>
          </cell>
          <cell r="D109">
            <v>23</v>
          </cell>
          <cell r="E109">
            <v>0</v>
          </cell>
          <cell r="F109">
            <v>0</v>
          </cell>
          <cell r="G109">
            <v>0</v>
          </cell>
          <cell r="H109">
            <v>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8</v>
          </cell>
          <cell r="R109">
            <v>10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5</v>
          </cell>
          <cell r="AA109">
            <v>0</v>
          </cell>
          <cell r="AB109">
            <v>14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8</v>
          </cell>
          <cell r="AP109">
            <v>6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3437.16</v>
          </cell>
        </row>
        <row r="110">
          <cell r="B110">
            <v>4</v>
          </cell>
          <cell r="C110">
            <v>0</v>
          </cell>
          <cell r="D110">
            <v>19</v>
          </cell>
          <cell r="E110">
            <v>0</v>
          </cell>
          <cell r="F110">
            <v>0</v>
          </cell>
          <cell r="G110">
            <v>0</v>
          </cell>
          <cell r="H110">
            <v>17</v>
          </cell>
          <cell r="I110">
            <v>0</v>
          </cell>
          <cell r="J110">
            <v>0</v>
          </cell>
          <cell r="K110">
            <v>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2</v>
          </cell>
          <cell r="AA110">
            <v>0</v>
          </cell>
          <cell r="AB110">
            <v>3</v>
          </cell>
          <cell r="AC110">
            <v>0</v>
          </cell>
          <cell r="AD110">
            <v>0</v>
          </cell>
          <cell r="AE110">
            <v>0</v>
          </cell>
          <cell r="AF110">
            <v>2</v>
          </cell>
          <cell r="AG110">
            <v>0</v>
          </cell>
          <cell r="AH110">
            <v>0</v>
          </cell>
          <cell r="AI110">
            <v>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1141</v>
          </cell>
        </row>
        <row r="111">
          <cell r="B111">
            <v>1</v>
          </cell>
          <cell r="C111">
            <v>0</v>
          </cell>
          <cell r="D111">
            <v>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4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1</v>
          </cell>
          <cell r="AA111">
            <v>0</v>
          </cell>
          <cell r="AB111">
            <v>4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4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650</v>
          </cell>
        </row>
        <row r="112">
          <cell r="B112">
            <v>65</v>
          </cell>
          <cell r="C112">
            <v>2</v>
          </cell>
          <cell r="D112">
            <v>65</v>
          </cell>
          <cell r="E112">
            <v>3</v>
          </cell>
          <cell r="F112">
            <v>0</v>
          </cell>
          <cell r="G112">
            <v>1</v>
          </cell>
          <cell r="H112">
            <v>10</v>
          </cell>
          <cell r="I112">
            <v>0</v>
          </cell>
          <cell r="J112">
            <v>4</v>
          </cell>
          <cell r="K112">
            <v>35</v>
          </cell>
          <cell r="L112">
            <v>5</v>
          </cell>
          <cell r="M112">
            <v>1</v>
          </cell>
          <cell r="N112">
            <v>0</v>
          </cell>
          <cell r="O112">
            <v>0</v>
          </cell>
          <cell r="P112">
            <v>1</v>
          </cell>
          <cell r="Q112">
            <v>0</v>
          </cell>
          <cell r="R112">
            <v>0</v>
          </cell>
          <cell r="S112">
            <v>7</v>
          </cell>
          <cell r="T112">
            <v>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38</v>
          </cell>
          <cell r="AA112">
            <v>2</v>
          </cell>
          <cell r="AB112">
            <v>50</v>
          </cell>
          <cell r="AC112">
            <v>3</v>
          </cell>
          <cell r="AD112">
            <v>0</v>
          </cell>
          <cell r="AE112">
            <v>1</v>
          </cell>
          <cell r="AF112">
            <v>10</v>
          </cell>
          <cell r="AG112">
            <v>0</v>
          </cell>
          <cell r="AH112">
            <v>4</v>
          </cell>
          <cell r="AI112">
            <v>26</v>
          </cell>
          <cell r="AJ112">
            <v>0</v>
          </cell>
          <cell r="AK112">
            <v>1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6</v>
          </cell>
          <cell r="AR112">
            <v>1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2420.1111111111113</v>
          </cell>
        </row>
        <row r="113">
          <cell r="B113">
            <v>5</v>
          </cell>
          <cell r="C113">
            <v>0</v>
          </cell>
          <cell r="D113">
            <v>66</v>
          </cell>
          <cell r="E113">
            <v>0</v>
          </cell>
          <cell r="F113">
            <v>0</v>
          </cell>
          <cell r="G113">
            <v>0</v>
          </cell>
          <cell r="H113">
            <v>64</v>
          </cell>
          <cell r="I113">
            <v>0</v>
          </cell>
          <cell r="J113">
            <v>2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5</v>
          </cell>
          <cell r="AA113">
            <v>0</v>
          </cell>
          <cell r="AB113">
            <v>65</v>
          </cell>
          <cell r="AC113">
            <v>0</v>
          </cell>
          <cell r="AD113">
            <v>0</v>
          </cell>
          <cell r="AE113">
            <v>0</v>
          </cell>
          <cell r="AF113">
            <v>63</v>
          </cell>
          <cell r="AG113">
            <v>0</v>
          </cell>
          <cell r="AH113">
            <v>2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1087.1099999999999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</row>
        <row r="115">
          <cell r="B115">
            <v>212</v>
          </cell>
          <cell r="C115">
            <v>0</v>
          </cell>
          <cell r="D115">
            <v>292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</v>
          </cell>
          <cell r="L115">
            <v>5</v>
          </cell>
          <cell r="M115">
            <v>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2</v>
          </cell>
          <cell r="W115">
            <v>2</v>
          </cell>
          <cell r="X115">
            <v>270</v>
          </cell>
          <cell r="Z115">
            <v>119</v>
          </cell>
          <cell r="AA115">
            <v>0</v>
          </cell>
          <cell r="AB115">
            <v>168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3</v>
          </cell>
          <cell r="AJ115">
            <v>3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1</v>
          </cell>
          <cell r="AT115">
            <v>12</v>
          </cell>
          <cell r="AU115">
            <v>0</v>
          </cell>
          <cell r="AV115">
            <v>149</v>
          </cell>
          <cell r="AX115">
            <v>5012.7080000000005</v>
          </cell>
        </row>
        <row r="116">
          <cell r="B116">
            <v>47</v>
          </cell>
          <cell r="C116">
            <v>1</v>
          </cell>
          <cell r="D116">
            <v>454</v>
          </cell>
          <cell r="E116">
            <v>4</v>
          </cell>
          <cell r="F116">
            <v>0</v>
          </cell>
          <cell r="G116">
            <v>0</v>
          </cell>
          <cell r="H116">
            <v>376</v>
          </cell>
          <cell r="I116">
            <v>0</v>
          </cell>
          <cell r="J116">
            <v>1</v>
          </cell>
          <cell r="K116">
            <v>9</v>
          </cell>
          <cell r="L116">
            <v>13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4</v>
          </cell>
          <cell r="R116">
            <v>0</v>
          </cell>
          <cell r="S116">
            <v>50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32</v>
          </cell>
          <cell r="AA116">
            <v>1</v>
          </cell>
          <cell r="AB116">
            <v>252</v>
          </cell>
          <cell r="AC116">
            <v>4</v>
          </cell>
          <cell r="AD116">
            <v>0</v>
          </cell>
          <cell r="AE116">
            <v>0</v>
          </cell>
          <cell r="AF116">
            <v>232</v>
          </cell>
          <cell r="AG116">
            <v>0</v>
          </cell>
          <cell r="AH116">
            <v>1</v>
          </cell>
          <cell r="AI116">
            <v>7</v>
          </cell>
          <cell r="AJ116">
            <v>7</v>
          </cell>
          <cell r="AK116">
            <v>0</v>
          </cell>
          <cell r="AL116">
            <v>0</v>
          </cell>
          <cell r="AM116">
            <v>1</v>
          </cell>
          <cell r="AN116">
            <v>0</v>
          </cell>
          <cell r="AO116">
            <v>4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645.39347826086953</v>
          </cell>
        </row>
        <row r="117">
          <cell r="B117">
            <v>179</v>
          </cell>
          <cell r="C117">
            <v>1</v>
          </cell>
          <cell r="D117">
            <v>385</v>
          </cell>
          <cell r="E117">
            <v>4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4</v>
          </cell>
          <cell r="L117">
            <v>3</v>
          </cell>
          <cell r="M117">
            <v>1</v>
          </cell>
          <cell r="N117">
            <v>0</v>
          </cell>
          <cell r="O117">
            <v>1</v>
          </cell>
          <cell r="P117">
            <v>0</v>
          </cell>
          <cell r="Q117">
            <v>1</v>
          </cell>
          <cell r="R117">
            <v>0</v>
          </cell>
          <cell r="S117">
            <v>0</v>
          </cell>
          <cell r="T117">
            <v>0</v>
          </cell>
          <cell r="U117">
            <v>7</v>
          </cell>
          <cell r="V117">
            <v>0</v>
          </cell>
          <cell r="W117">
            <v>0</v>
          </cell>
          <cell r="X117">
            <v>367</v>
          </cell>
          <cell r="Z117">
            <v>115</v>
          </cell>
          <cell r="AA117">
            <v>1</v>
          </cell>
          <cell r="AB117">
            <v>229</v>
          </cell>
          <cell r="AC117">
            <v>4</v>
          </cell>
          <cell r="AD117">
            <v>0</v>
          </cell>
          <cell r="AE117">
            <v>0</v>
          </cell>
          <cell r="AF117">
            <v>1</v>
          </cell>
          <cell r="AG117">
            <v>0</v>
          </cell>
          <cell r="AH117">
            <v>0</v>
          </cell>
          <cell r="AI117">
            <v>4</v>
          </cell>
          <cell r="AJ117">
            <v>0</v>
          </cell>
          <cell r="AK117">
            <v>0</v>
          </cell>
          <cell r="AL117">
            <v>0</v>
          </cell>
          <cell r="AM117">
            <v>1</v>
          </cell>
          <cell r="AN117">
            <v>0</v>
          </cell>
          <cell r="AO117">
            <v>1</v>
          </cell>
          <cell r="AP117">
            <v>0</v>
          </cell>
          <cell r="AQ117">
            <v>0</v>
          </cell>
          <cell r="AR117">
            <v>0</v>
          </cell>
          <cell r="AS117">
            <v>4</v>
          </cell>
          <cell r="AT117">
            <v>0</v>
          </cell>
          <cell r="AU117">
            <v>0</v>
          </cell>
          <cell r="AV117">
            <v>218</v>
          </cell>
          <cell r="AX117">
            <v>4354.3548275862067</v>
          </cell>
        </row>
        <row r="118">
          <cell r="B118">
            <v>8</v>
          </cell>
          <cell r="C118">
            <v>0</v>
          </cell>
          <cell r="D118">
            <v>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2</v>
          </cell>
          <cell r="AA118">
            <v>0</v>
          </cell>
          <cell r="AB118">
            <v>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5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2410</v>
          </cell>
        </row>
        <row r="119">
          <cell r="B119">
            <v>1</v>
          </cell>
          <cell r="C119">
            <v>0</v>
          </cell>
          <cell r="D119">
            <v>4</v>
          </cell>
          <cell r="E119">
            <v>0</v>
          </cell>
          <cell r="F119">
            <v>0</v>
          </cell>
          <cell r="G119">
            <v>0</v>
          </cell>
          <cell r="H119">
            <v>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1</v>
          </cell>
          <cell r="AA119">
            <v>0</v>
          </cell>
          <cell r="AB119">
            <v>4</v>
          </cell>
          <cell r="AC119">
            <v>0</v>
          </cell>
          <cell r="AD119">
            <v>0</v>
          </cell>
          <cell r="AE119">
            <v>0</v>
          </cell>
          <cell r="AF119">
            <v>4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X119">
            <v>3600</v>
          </cell>
        </row>
        <row r="120">
          <cell r="B120">
            <v>12</v>
          </cell>
          <cell r="C120">
            <v>0</v>
          </cell>
          <cell r="D120">
            <v>88</v>
          </cell>
          <cell r="E120">
            <v>0</v>
          </cell>
          <cell r="F120">
            <v>0</v>
          </cell>
          <cell r="G120">
            <v>3</v>
          </cell>
          <cell r="H120">
            <v>73</v>
          </cell>
          <cell r="I120">
            <v>0</v>
          </cell>
          <cell r="J120">
            <v>3</v>
          </cell>
          <cell r="K120">
            <v>6</v>
          </cell>
          <cell r="L120">
            <v>2</v>
          </cell>
          <cell r="M120">
            <v>1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19</v>
          </cell>
          <cell r="AA120">
            <v>0</v>
          </cell>
          <cell r="AB120">
            <v>60</v>
          </cell>
          <cell r="AC120">
            <v>0</v>
          </cell>
          <cell r="AD120">
            <v>0</v>
          </cell>
          <cell r="AE120">
            <v>1</v>
          </cell>
          <cell r="AF120">
            <v>55</v>
          </cell>
          <cell r="AG120">
            <v>0</v>
          </cell>
          <cell r="AH120">
            <v>2</v>
          </cell>
          <cell r="AI120">
            <v>2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787.29714285714283</v>
          </cell>
        </row>
        <row r="122">
          <cell r="B122">
            <v>263</v>
          </cell>
          <cell r="C122">
            <v>0</v>
          </cell>
          <cell r="D122">
            <v>1452</v>
          </cell>
          <cell r="E122">
            <v>0</v>
          </cell>
          <cell r="F122">
            <v>16</v>
          </cell>
          <cell r="G122">
            <v>0</v>
          </cell>
          <cell r="H122">
            <v>1263</v>
          </cell>
          <cell r="I122">
            <v>18</v>
          </cell>
          <cell r="J122">
            <v>3</v>
          </cell>
          <cell r="K122">
            <v>112</v>
          </cell>
          <cell r="L122">
            <v>23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9</v>
          </cell>
          <cell r="S122">
            <v>0</v>
          </cell>
          <cell r="T122">
            <v>0</v>
          </cell>
          <cell r="U122">
            <v>6</v>
          </cell>
          <cell r="V122">
            <v>0</v>
          </cell>
          <cell r="W122">
            <v>0</v>
          </cell>
          <cell r="X122">
            <v>0</v>
          </cell>
          <cell r="Z122">
            <v>256</v>
          </cell>
          <cell r="AA122">
            <v>0</v>
          </cell>
          <cell r="AB122">
            <v>1084</v>
          </cell>
          <cell r="AC122">
            <v>0</v>
          </cell>
          <cell r="AD122">
            <v>16</v>
          </cell>
          <cell r="AE122">
            <v>0</v>
          </cell>
          <cell r="AF122">
            <v>930</v>
          </cell>
          <cell r="AG122">
            <v>15</v>
          </cell>
          <cell r="AH122">
            <v>3</v>
          </cell>
          <cell r="AI122">
            <v>106</v>
          </cell>
          <cell r="AJ122">
            <v>1</v>
          </cell>
          <cell r="AK122">
            <v>1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6</v>
          </cell>
          <cell r="AQ122">
            <v>0</v>
          </cell>
          <cell r="AR122">
            <v>0</v>
          </cell>
          <cell r="AS122">
            <v>6</v>
          </cell>
          <cell r="AT122">
            <v>0</v>
          </cell>
          <cell r="AU122">
            <v>0</v>
          </cell>
          <cell r="AV122">
            <v>0</v>
          </cell>
          <cell r="AX122">
            <v>1884.1436956521736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X123">
            <v>0</v>
          </cell>
        </row>
        <row r="124">
          <cell r="B124">
            <v>29</v>
          </cell>
          <cell r="C124">
            <v>0</v>
          </cell>
          <cell r="D124">
            <v>127</v>
          </cell>
          <cell r="E124">
            <v>0</v>
          </cell>
          <cell r="F124">
            <v>0</v>
          </cell>
          <cell r="G124">
            <v>0</v>
          </cell>
          <cell r="H124">
            <v>119</v>
          </cell>
          <cell r="I124">
            <v>0</v>
          </cell>
          <cell r="J124">
            <v>8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13</v>
          </cell>
          <cell r="AA124">
            <v>0</v>
          </cell>
          <cell r="AB124">
            <v>80</v>
          </cell>
          <cell r="AC124">
            <v>0</v>
          </cell>
          <cell r="AD124">
            <v>0</v>
          </cell>
          <cell r="AE124">
            <v>0</v>
          </cell>
          <cell r="AF124">
            <v>74</v>
          </cell>
          <cell r="AG124">
            <v>0</v>
          </cell>
          <cell r="AH124">
            <v>6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X124">
            <v>1808.6666666666667</v>
          </cell>
        </row>
        <row r="125">
          <cell r="B125">
            <v>2</v>
          </cell>
          <cell r="C125">
            <v>1</v>
          </cell>
          <cell r="D125">
            <v>2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2</v>
          </cell>
          <cell r="AA125">
            <v>1</v>
          </cell>
          <cell r="AB125">
            <v>2</v>
          </cell>
          <cell r="AC125">
            <v>1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1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2700</v>
          </cell>
        </row>
        <row r="126">
          <cell r="B126">
            <v>56</v>
          </cell>
          <cell r="C126">
            <v>1</v>
          </cell>
          <cell r="D126">
            <v>160</v>
          </cell>
          <cell r="E126">
            <v>4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</v>
          </cell>
          <cell r="K126">
            <v>7</v>
          </cell>
          <cell r="L126">
            <v>133</v>
          </cell>
          <cell r="M126">
            <v>6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</v>
          </cell>
          <cell r="S126">
            <v>0</v>
          </cell>
          <cell r="T126">
            <v>0</v>
          </cell>
          <cell r="U126">
            <v>9</v>
          </cell>
          <cell r="V126">
            <v>0</v>
          </cell>
          <cell r="W126">
            <v>0</v>
          </cell>
          <cell r="X126">
            <v>0</v>
          </cell>
          <cell r="Z126">
            <v>45</v>
          </cell>
          <cell r="AA126">
            <v>1</v>
          </cell>
          <cell r="AB126">
            <v>124</v>
          </cell>
          <cell r="AC126">
            <v>4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5</v>
          </cell>
          <cell r="AI126">
            <v>6</v>
          </cell>
          <cell r="AJ126">
            <v>95</v>
          </cell>
          <cell r="AK126">
            <v>8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2</v>
          </cell>
          <cell r="AQ126">
            <v>0</v>
          </cell>
          <cell r="AR126">
            <v>4</v>
          </cell>
          <cell r="AS126">
            <v>4</v>
          </cell>
          <cell r="AT126">
            <v>0</v>
          </cell>
          <cell r="AU126">
            <v>0</v>
          </cell>
          <cell r="AV126">
            <v>0</v>
          </cell>
          <cell r="AX126">
            <v>4270.6715000000004</v>
          </cell>
        </row>
        <row r="127">
          <cell r="B127">
            <v>3</v>
          </cell>
          <cell r="C127">
            <v>0</v>
          </cell>
          <cell r="D127">
            <v>3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X127">
            <v>0</v>
          </cell>
        </row>
        <row r="128">
          <cell r="B128">
            <v>10</v>
          </cell>
          <cell r="C128">
            <v>0</v>
          </cell>
          <cell r="D128">
            <v>62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62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Z128">
            <v>9</v>
          </cell>
          <cell r="AA128">
            <v>0</v>
          </cell>
          <cell r="AB128">
            <v>49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49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66.22</v>
          </cell>
        </row>
        <row r="129">
          <cell r="B129">
            <v>14</v>
          </cell>
          <cell r="C129">
            <v>1</v>
          </cell>
          <cell r="D129">
            <v>73</v>
          </cell>
          <cell r="E129">
            <v>1</v>
          </cell>
          <cell r="F129">
            <v>0</v>
          </cell>
          <cell r="G129">
            <v>0</v>
          </cell>
          <cell r="H129">
            <v>70</v>
          </cell>
          <cell r="I129">
            <v>0</v>
          </cell>
          <cell r="J129">
            <v>0</v>
          </cell>
          <cell r="K129">
            <v>2</v>
          </cell>
          <cell r="L129">
            <v>0</v>
          </cell>
          <cell r="M129">
            <v>0</v>
          </cell>
          <cell r="N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9</v>
          </cell>
          <cell r="AA129">
            <v>0</v>
          </cell>
          <cell r="AB129">
            <v>57</v>
          </cell>
          <cell r="AC129">
            <v>0</v>
          </cell>
          <cell r="AD129">
            <v>15</v>
          </cell>
          <cell r="AE129">
            <v>0</v>
          </cell>
          <cell r="AF129">
            <v>41</v>
          </cell>
          <cell r="AG129">
            <v>0</v>
          </cell>
          <cell r="AH129">
            <v>0</v>
          </cell>
          <cell r="AI129">
            <v>1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1618.6666666666667</v>
          </cell>
        </row>
        <row r="130">
          <cell r="B130">
            <v>2</v>
          </cell>
          <cell r="C130">
            <v>0</v>
          </cell>
          <cell r="D130">
            <v>3</v>
          </cell>
          <cell r="E130">
            <v>0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2</v>
          </cell>
          <cell r="AA130">
            <v>0</v>
          </cell>
          <cell r="AB130">
            <v>3</v>
          </cell>
          <cell r="AC130">
            <v>0</v>
          </cell>
          <cell r="AD130">
            <v>0</v>
          </cell>
          <cell r="AE130">
            <v>0</v>
          </cell>
          <cell r="AF130">
            <v>1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2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4076</v>
          </cell>
        </row>
        <row r="131">
          <cell r="B131">
            <v>1</v>
          </cell>
          <cell r="C131">
            <v>0</v>
          </cell>
          <cell r="D131">
            <v>3</v>
          </cell>
          <cell r="E131">
            <v>0</v>
          </cell>
          <cell r="F131">
            <v>0</v>
          </cell>
          <cell r="G131">
            <v>0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X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</row>
        <row r="133">
          <cell r="B133">
            <v>3</v>
          </cell>
          <cell r="C133">
            <v>0</v>
          </cell>
          <cell r="D133">
            <v>36</v>
          </cell>
          <cell r="E133">
            <v>0</v>
          </cell>
          <cell r="F133">
            <v>0</v>
          </cell>
          <cell r="G133">
            <v>0</v>
          </cell>
          <cell r="H133">
            <v>36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3</v>
          </cell>
          <cell r="AA133">
            <v>0</v>
          </cell>
          <cell r="AB133">
            <v>8</v>
          </cell>
          <cell r="AC133">
            <v>0</v>
          </cell>
          <cell r="AD133">
            <v>0</v>
          </cell>
          <cell r="AE133">
            <v>0</v>
          </cell>
          <cell r="AF133">
            <v>8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2090</v>
          </cell>
        </row>
        <row r="134">
          <cell r="B134">
            <v>3</v>
          </cell>
          <cell r="C134">
            <v>0</v>
          </cell>
          <cell r="D134">
            <v>27</v>
          </cell>
          <cell r="E134">
            <v>0</v>
          </cell>
          <cell r="F134">
            <v>0</v>
          </cell>
          <cell r="G134">
            <v>0</v>
          </cell>
          <cell r="H134">
            <v>27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3</v>
          </cell>
          <cell r="AA134">
            <v>0</v>
          </cell>
          <cell r="AB134">
            <v>26</v>
          </cell>
          <cell r="AC134">
            <v>0</v>
          </cell>
          <cell r="AD134">
            <v>0</v>
          </cell>
          <cell r="AE134">
            <v>0</v>
          </cell>
          <cell r="AF134">
            <v>26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X134">
            <v>1212.2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X135">
            <v>0</v>
          </cell>
        </row>
        <row r="136">
          <cell r="B136">
            <v>5</v>
          </cell>
          <cell r="C136">
            <v>0</v>
          </cell>
          <cell r="D136">
            <v>34</v>
          </cell>
          <cell r="E136">
            <v>0</v>
          </cell>
          <cell r="F136">
            <v>0</v>
          </cell>
          <cell r="G136">
            <v>0</v>
          </cell>
          <cell r="H136">
            <v>34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1</v>
          </cell>
          <cell r="AA136">
            <v>0</v>
          </cell>
          <cell r="AB136">
            <v>13</v>
          </cell>
          <cell r="AC136">
            <v>0</v>
          </cell>
          <cell r="AD136">
            <v>0</v>
          </cell>
          <cell r="AE136">
            <v>0</v>
          </cell>
          <cell r="AF136">
            <v>13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804.8</v>
          </cell>
        </row>
        <row r="137">
          <cell r="B137">
            <v>13</v>
          </cell>
          <cell r="C137">
            <v>0</v>
          </cell>
          <cell r="D137">
            <v>214</v>
          </cell>
          <cell r="E137">
            <v>0</v>
          </cell>
          <cell r="F137">
            <v>0</v>
          </cell>
          <cell r="G137">
            <v>0</v>
          </cell>
          <cell r="H137">
            <v>212</v>
          </cell>
          <cell r="I137">
            <v>0</v>
          </cell>
          <cell r="J137">
            <v>0</v>
          </cell>
          <cell r="K137">
            <v>0</v>
          </cell>
          <cell r="L137">
            <v>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10</v>
          </cell>
          <cell r="AA137">
            <v>0</v>
          </cell>
          <cell r="AB137">
            <v>176</v>
          </cell>
          <cell r="AC137">
            <v>0</v>
          </cell>
          <cell r="AD137">
            <v>0</v>
          </cell>
          <cell r="AE137">
            <v>0</v>
          </cell>
          <cell r="AF137">
            <v>175</v>
          </cell>
          <cell r="AG137">
            <v>0</v>
          </cell>
          <cell r="AH137">
            <v>0</v>
          </cell>
          <cell r="AI137">
            <v>0</v>
          </cell>
          <cell r="AJ137">
            <v>1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X137">
            <v>519.91374999999994</v>
          </cell>
        </row>
        <row r="138">
          <cell r="B138">
            <v>2</v>
          </cell>
          <cell r="C138">
            <v>0</v>
          </cell>
          <cell r="D138">
            <v>17</v>
          </cell>
          <cell r="E138">
            <v>0</v>
          </cell>
          <cell r="F138">
            <v>0</v>
          </cell>
          <cell r="G138">
            <v>0</v>
          </cell>
          <cell r="H138">
            <v>15</v>
          </cell>
          <cell r="I138">
            <v>0</v>
          </cell>
          <cell r="J138">
            <v>2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2</v>
          </cell>
          <cell r="AA138">
            <v>0</v>
          </cell>
          <cell r="AB138">
            <v>16</v>
          </cell>
          <cell r="AC138">
            <v>0</v>
          </cell>
          <cell r="AD138">
            <v>0</v>
          </cell>
          <cell r="AE138">
            <v>0</v>
          </cell>
          <cell r="AF138">
            <v>14</v>
          </cell>
          <cell r="AG138">
            <v>0</v>
          </cell>
          <cell r="AH138">
            <v>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520</v>
          </cell>
        </row>
        <row r="139">
          <cell r="B139">
            <v>3</v>
          </cell>
          <cell r="C139">
            <v>0</v>
          </cell>
          <cell r="D139">
            <v>11</v>
          </cell>
          <cell r="E139">
            <v>0</v>
          </cell>
          <cell r="F139">
            <v>0</v>
          </cell>
          <cell r="G139">
            <v>0</v>
          </cell>
          <cell r="H139">
            <v>9</v>
          </cell>
          <cell r="I139">
            <v>0</v>
          </cell>
          <cell r="J139">
            <v>0</v>
          </cell>
          <cell r="K139">
            <v>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3</v>
          </cell>
          <cell r="AA139">
            <v>0</v>
          </cell>
          <cell r="AB139">
            <v>11</v>
          </cell>
          <cell r="AC139">
            <v>0</v>
          </cell>
          <cell r="AD139">
            <v>0</v>
          </cell>
          <cell r="AE139">
            <v>0</v>
          </cell>
          <cell r="AF139">
            <v>9</v>
          </cell>
          <cell r="AG139">
            <v>0</v>
          </cell>
          <cell r="AH139">
            <v>0</v>
          </cell>
          <cell r="AI139">
            <v>2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1560</v>
          </cell>
        </row>
        <row r="140">
          <cell r="B140">
            <v>16</v>
          </cell>
          <cell r="C140">
            <v>1</v>
          </cell>
          <cell r="D140">
            <v>70</v>
          </cell>
          <cell r="E140">
            <v>2</v>
          </cell>
          <cell r="F140">
            <v>10</v>
          </cell>
          <cell r="G140">
            <v>1</v>
          </cell>
          <cell r="H140">
            <v>34</v>
          </cell>
          <cell r="I140">
            <v>15</v>
          </cell>
          <cell r="J140">
            <v>0</v>
          </cell>
          <cell r="K140">
            <v>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24</v>
          </cell>
          <cell r="AA140">
            <v>1</v>
          </cell>
          <cell r="AB140">
            <v>66</v>
          </cell>
          <cell r="AC140">
            <v>2</v>
          </cell>
          <cell r="AD140">
            <v>16</v>
          </cell>
          <cell r="AE140">
            <v>5</v>
          </cell>
          <cell r="AF140">
            <v>19</v>
          </cell>
          <cell r="AG140">
            <v>16</v>
          </cell>
          <cell r="AH140">
            <v>0</v>
          </cell>
          <cell r="AI140">
            <v>8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1046.0999999999999</v>
          </cell>
        </row>
        <row r="141">
          <cell r="B141">
            <v>5</v>
          </cell>
          <cell r="C141">
            <v>0</v>
          </cell>
          <cell r="D141">
            <v>14</v>
          </cell>
          <cell r="E141">
            <v>0</v>
          </cell>
          <cell r="F141">
            <v>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6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5</v>
          </cell>
          <cell r="AA141">
            <v>0</v>
          </cell>
          <cell r="AB141">
            <v>14</v>
          </cell>
          <cell r="AC141">
            <v>0</v>
          </cell>
          <cell r="AD141">
            <v>5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0</v>
          </cell>
          <cell r="AL141">
            <v>6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1956.75</v>
          </cell>
        </row>
        <row r="142">
          <cell r="B142">
            <v>6</v>
          </cell>
          <cell r="C142">
            <v>0</v>
          </cell>
          <cell r="D142">
            <v>63</v>
          </cell>
          <cell r="E142">
            <v>0</v>
          </cell>
          <cell r="F142">
            <v>0</v>
          </cell>
          <cell r="G142">
            <v>0</v>
          </cell>
          <cell r="H142">
            <v>42</v>
          </cell>
          <cell r="I142">
            <v>0</v>
          </cell>
          <cell r="J142">
            <v>0</v>
          </cell>
          <cell r="K142">
            <v>0</v>
          </cell>
          <cell r="L142">
            <v>13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8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5</v>
          </cell>
          <cell r="AA142">
            <v>0</v>
          </cell>
          <cell r="AB142">
            <v>39</v>
          </cell>
          <cell r="AC142">
            <v>0</v>
          </cell>
          <cell r="AD142">
            <v>0</v>
          </cell>
          <cell r="AE142">
            <v>0</v>
          </cell>
          <cell r="AF142">
            <v>28</v>
          </cell>
          <cell r="AG142">
            <v>0</v>
          </cell>
          <cell r="AH142">
            <v>0</v>
          </cell>
          <cell r="AI142">
            <v>0</v>
          </cell>
          <cell r="AJ142">
            <v>5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1026.5999999999999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X143">
            <v>0</v>
          </cell>
        </row>
        <row r="144">
          <cell r="B144">
            <v>1</v>
          </cell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Z144">
            <v>1</v>
          </cell>
          <cell r="AA144">
            <v>0</v>
          </cell>
          <cell r="AB144">
            <v>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X144">
            <v>3890</v>
          </cell>
        </row>
        <row r="145">
          <cell r="B145">
            <v>1</v>
          </cell>
          <cell r="C145">
            <v>0</v>
          </cell>
          <cell r="D145">
            <v>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1</v>
          </cell>
          <cell r="AA145">
            <v>0</v>
          </cell>
          <cell r="AB145">
            <v>2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2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2400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0</v>
          </cell>
        </row>
        <row r="147">
          <cell r="B147">
            <v>11</v>
          </cell>
          <cell r="C147">
            <v>0</v>
          </cell>
          <cell r="D147">
            <v>69</v>
          </cell>
          <cell r="E147">
            <v>0</v>
          </cell>
          <cell r="F147">
            <v>0</v>
          </cell>
          <cell r="G147">
            <v>0</v>
          </cell>
          <cell r="H147">
            <v>56</v>
          </cell>
          <cell r="I147">
            <v>0</v>
          </cell>
          <cell r="J147">
            <v>0</v>
          </cell>
          <cell r="K147">
            <v>10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3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9</v>
          </cell>
          <cell r="AA147">
            <v>0</v>
          </cell>
          <cell r="AB147">
            <v>51</v>
          </cell>
          <cell r="AC147">
            <v>0</v>
          </cell>
          <cell r="AD147">
            <v>0</v>
          </cell>
          <cell r="AE147">
            <v>0</v>
          </cell>
          <cell r="AF147">
            <v>41</v>
          </cell>
          <cell r="AG147">
            <v>0</v>
          </cell>
          <cell r="AH147">
            <v>0</v>
          </cell>
          <cell r="AI147">
            <v>7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3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600.63499999999999</v>
          </cell>
        </row>
        <row r="148">
          <cell r="B148">
            <v>71</v>
          </cell>
          <cell r="C148">
            <v>0</v>
          </cell>
          <cell r="D148">
            <v>306</v>
          </cell>
          <cell r="E148">
            <v>0</v>
          </cell>
          <cell r="F148">
            <v>0</v>
          </cell>
          <cell r="G148">
            <v>0</v>
          </cell>
          <cell r="H148">
            <v>218</v>
          </cell>
          <cell r="I148">
            <v>0</v>
          </cell>
          <cell r="J148">
            <v>24</v>
          </cell>
          <cell r="K148">
            <v>20</v>
          </cell>
          <cell r="L148">
            <v>10</v>
          </cell>
          <cell r="M148">
            <v>0</v>
          </cell>
          <cell r="N148">
            <v>0</v>
          </cell>
          <cell r="O148">
            <v>1</v>
          </cell>
          <cell r="P148">
            <v>0</v>
          </cell>
          <cell r="Q148">
            <v>6</v>
          </cell>
          <cell r="R148">
            <v>10</v>
          </cell>
          <cell r="S148">
            <v>15</v>
          </cell>
          <cell r="T148">
            <v>2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57</v>
          </cell>
          <cell r="AA148">
            <v>0</v>
          </cell>
          <cell r="AB148">
            <v>272</v>
          </cell>
          <cell r="AC148">
            <v>0</v>
          </cell>
          <cell r="AD148">
            <v>0</v>
          </cell>
          <cell r="AE148">
            <v>0</v>
          </cell>
          <cell r="AF148">
            <v>196</v>
          </cell>
          <cell r="AG148">
            <v>0</v>
          </cell>
          <cell r="AH148">
            <v>31</v>
          </cell>
          <cell r="AI148">
            <v>14</v>
          </cell>
          <cell r="AJ148">
            <v>9</v>
          </cell>
          <cell r="AK148">
            <v>0</v>
          </cell>
          <cell r="AL148">
            <v>0</v>
          </cell>
          <cell r="AM148">
            <v>1</v>
          </cell>
          <cell r="AN148">
            <v>0</v>
          </cell>
          <cell r="AO148">
            <v>6</v>
          </cell>
          <cell r="AP148">
            <v>5</v>
          </cell>
          <cell r="AQ148">
            <v>10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2110.442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X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X151">
            <v>0</v>
          </cell>
        </row>
        <row r="152">
          <cell r="B152">
            <v>2</v>
          </cell>
          <cell r="C152">
            <v>0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14</v>
          </cell>
          <cell r="Z152">
            <v>1</v>
          </cell>
          <cell r="AA152">
            <v>0</v>
          </cell>
          <cell r="AB152">
            <v>2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2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800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X154">
            <v>0</v>
          </cell>
        </row>
        <row r="155">
          <cell r="B155">
            <v>1</v>
          </cell>
          <cell r="C155">
            <v>1</v>
          </cell>
          <cell r="D155">
            <v>3</v>
          </cell>
          <cell r="E155">
            <v>3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</v>
          </cell>
          <cell r="V155">
            <v>0</v>
          </cell>
          <cell r="W155">
            <v>0</v>
          </cell>
          <cell r="X155">
            <v>0</v>
          </cell>
          <cell r="Z155">
            <v>1</v>
          </cell>
          <cell r="AA155">
            <v>1</v>
          </cell>
          <cell r="AB155">
            <v>3</v>
          </cell>
          <cell r="AC155">
            <v>3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</v>
          </cell>
          <cell r="AT155">
            <v>0</v>
          </cell>
          <cell r="AU155">
            <v>0</v>
          </cell>
          <cell r="AV155">
            <v>0</v>
          </cell>
          <cell r="AX155">
            <v>3200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X156">
            <v>0</v>
          </cell>
        </row>
        <row r="157">
          <cell r="B157">
            <v>4</v>
          </cell>
          <cell r="C157">
            <v>0</v>
          </cell>
          <cell r="D157">
            <v>8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</v>
          </cell>
          <cell r="Z157">
            <v>4</v>
          </cell>
          <cell r="AA157">
            <v>0</v>
          </cell>
          <cell r="AB157">
            <v>8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3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5</v>
          </cell>
          <cell r="AX157">
            <v>3480.73</v>
          </cell>
        </row>
        <row r="158">
          <cell r="B158">
            <v>3</v>
          </cell>
          <cell r="C158">
            <v>0</v>
          </cell>
          <cell r="D158">
            <v>3</v>
          </cell>
          <cell r="E158">
            <v>0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X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X159">
            <v>0</v>
          </cell>
        </row>
        <row r="160">
          <cell r="B160">
            <v>3</v>
          </cell>
          <cell r="C160">
            <v>0</v>
          </cell>
          <cell r="D160">
            <v>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2</v>
          </cell>
          <cell r="X160">
            <v>0</v>
          </cell>
          <cell r="Z160">
            <v>3</v>
          </cell>
          <cell r="AA160">
            <v>0</v>
          </cell>
          <cell r="AB160">
            <v>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1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2</v>
          </cell>
          <cell r="AV160">
            <v>0</v>
          </cell>
          <cell r="AX160">
            <v>2820</v>
          </cell>
        </row>
        <row r="161">
          <cell r="B161">
            <v>1</v>
          </cell>
          <cell r="C161">
            <v>0</v>
          </cell>
          <cell r="D161">
            <v>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5</v>
          </cell>
          <cell r="V161">
            <v>0</v>
          </cell>
          <cell r="W161">
            <v>0</v>
          </cell>
          <cell r="X161">
            <v>0</v>
          </cell>
          <cell r="Z161">
            <v>1</v>
          </cell>
          <cell r="AA161">
            <v>0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10</v>
          </cell>
          <cell r="AT161">
            <v>0</v>
          </cell>
          <cell r="AU161">
            <v>0</v>
          </cell>
          <cell r="AV161">
            <v>0</v>
          </cell>
          <cell r="AX161">
            <v>4400</v>
          </cell>
        </row>
        <row r="162">
          <cell r="B162">
            <v>2</v>
          </cell>
          <cell r="C162">
            <v>0</v>
          </cell>
          <cell r="D162">
            <v>6</v>
          </cell>
          <cell r="E162">
            <v>0</v>
          </cell>
          <cell r="F162">
            <v>0</v>
          </cell>
          <cell r="G162">
            <v>0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1</v>
          </cell>
          <cell r="AA162">
            <v>0</v>
          </cell>
          <cell r="AB162">
            <v>3</v>
          </cell>
          <cell r="AC162">
            <v>0</v>
          </cell>
          <cell r="AD162">
            <v>0</v>
          </cell>
          <cell r="AE162">
            <v>0</v>
          </cell>
          <cell r="AF162">
            <v>3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X162">
            <v>999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X163">
            <v>0</v>
          </cell>
        </row>
        <row r="164">
          <cell r="B164">
            <v>2</v>
          </cell>
          <cell r="C164">
            <v>0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1</v>
          </cell>
          <cell r="AA164">
            <v>0</v>
          </cell>
          <cell r="AB164">
            <v>1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1900</v>
          </cell>
        </row>
        <row r="165">
          <cell r="B165">
            <v>4</v>
          </cell>
          <cell r="C165">
            <v>0</v>
          </cell>
          <cell r="D165">
            <v>4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0</v>
          </cell>
          <cell r="W165">
            <v>0</v>
          </cell>
          <cell r="X165">
            <v>0</v>
          </cell>
          <cell r="Z165">
            <v>2</v>
          </cell>
          <cell r="AA165">
            <v>0</v>
          </cell>
          <cell r="AB165">
            <v>2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975</v>
          </cell>
        </row>
        <row r="166">
          <cell r="B166">
            <v>2</v>
          </cell>
          <cell r="C166">
            <v>0</v>
          </cell>
          <cell r="D166">
            <v>12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Z166">
            <v>8</v>
          </cell>
          <cell r="AA166">
            <v>0</v>
          </cell>
          <cell r="AB166">
            <v>25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25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X166">
            <v>1080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X167">
            <v>0</v>
          </cell>
        </row>
        <row r="168">
          <cell r="B168">
            <v>5</v>
          </cell>
          <cell r="C168">
            <v>0</v>
          </cell>
          <cell r="D168">
            <v>6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Z168">
            <v>3</v>
          </cell>
          <cell r="AA168">
            <v>0</v>
          </cell>
          <cell r="AB168">
            <v>4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1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3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954</v>
          </cell>
        </row>
        <row r="169">
          <cell r="B169">
            <v>7</v>
          </cell>
          <cell r="C169">
            <v>0</v>
          </cell>
          <cell r="D169">
            <v>12</v>
          </cell>
          <cell r="E169">
            <v>0</v>
          </cell>
          <cell r="F169">
            <v>0</v>
          </cell>
          <cell r="G169">
            <v>0</v>
          </cell>
          <cell r="H169">
            <v>4</v>
          </cell>
          <cell r="I169">
            <v>0</v>
          </cell>
          <cell r="J169">
            <v>0</v>
          </cell>
          <cell r="K169">
            <v>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4</v>
          </cell>
          <cell r="S169">
            <v>0</v>
          </cell>
          <cell r="T169">
            <v>2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Z169">
            <v>6</v>
          </cell>
          <cell r="AA169">
            <v>0</v>
          </cell>
          <cell r="AB169">
            <v>8</v>
          </cell>
          <cell r="AC169">
            <v>0</v>
          </cell>
          <cell r="AD169">
            <v>0</v>
          </cell>
          <cell r="AE169">
            <v>0</v>
          </cell>
          <cell r="AF169">
            <v>2</v>
          </cell>
          <cell r="AG169">
            <v>0</v>
          </cell>
          <cell r="AH169">
            <v>0</v>
          </cell>
          <cell r="AI169">
            <v>2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4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3592.8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X170">
            <v>0</v>
          </cell>
        </row>
        <row r="171">
          <cell r="B171">
            <v>1</v>
          </cell>
          <cell r="C171">
            <v>0</v>
          </cell>
          <cell r="D171">
            <v>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Z171">
            <v>1</v>
          </cell>
          <cell r="AA171">
            <v>0</v>
          </cell>
          <cell r="AB171">
            <v>3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3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X171">
            <v>3870.27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X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0</v>
          </cell>
        </row>
        <row r="175">
          <cell r="B175">
            <v>8</v>
          </cell>
          <cell r="C175">
            <v>0</v>
          </cell>
          <cell r="D175">
            <v>36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34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Z175">
            <v>6</v>
          </cell>
          <cell r="AA175">
            <v>0</v>
          </cell>
          <cell r="AB175">
            <v>65</v>
          </cell>
          <cell r="AC175">
            <v>0</v>
          </cell>
          <cell r="AD175">
            <v>0</v>
          </cell>
          <cell r="AE175">
            <v>0</v>
          </cell>
          <cell r="AF175">
            <v>31</v>
          </cell>
          <cell r="AG175">
            <v>0</v>
          </cell>
          <cell r="AH175">
            <v>33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1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X175">
            <v>7806.4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X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0</v>
          </cell>
        </row>
        <row r="178">
          <cell r="B178">
            <v>5</v>
          </cell>
          <cell r="C178">
            <v>0</v>
          </cell>
          <cell r="D178">
            <v>10</v>
          </cell>
          <cell r="E178">
            <v>0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0</v>
          </cell>
          <cell r="K178">
            <v>0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Z178">
            <v>5</v>
          </cell>
          <cell r="AA178">
            <v>0</v>
          </cell>
          <cell r="AB178">
            <v>9</v>
          </cell>
          <cell r="AC178">
            <v>0</v>
          </cell>
          <cell r="AD178">
            <v>0</v>
          </cell>
          <cell r="AE178">
            <v>0</v>
          </cell>
          <cell r="AF178">
            <v>8</v>
          </cell>
          <cell r="AG178">
            <v>0</v>
          </cell>
          <cell r="AH178">
            <v>0</v>
          </cell>
          <cell r="AI178">
            <v>0</v>
          </cell>
          <cell r="AJ178">
            <v>1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2070</v>
          </cell>
        </row>
        <row r="179">
          <cell r="B179">
            <v>2</v>
          </cell>
          <cell r="C179">
            <v>2</v>
          </cell>
          <cell r="D179">
            <v>2</v>
          </cell>
          <cell r="E179">
            <v>2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Z179">
            <v>2</v>
          </cell>
          <cell r="AA179">
            <v>2</v>
          </cell>
          <cell r="AB179">
            <v>2</v>
          </cell>
          <cell r="AC179">
            <v>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2240</v>
          </cell>
        </row>
        <row r="180">
          <cell r="B180">
            <v>1</v>
          </cell>
          <cell r="C180">
            <v>0</v>
          </cell>
          <cell r="D180">
            <v>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X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X181">
            <v>0</v>
          </cell>
        </row>
        <row r="182">
          <cell r="B182">
            <v>5</v>
          </cell>
          <cell r="C182">
            <v>0</v>
          </cell>
          <cell r="D182">
            <v>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4</v>
          </cell>
          <cell r="AA182">
            <v>0</v>
          </cell>
          <cell r="AB182">
            <v>9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9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X182">
            <v>7981</v>
          </cell>
        </row>
        <row r="183">
          <cell r="B183">
            <v>72</v>
          </cell>
          <cell r="C183">
            <v>0</v>
          </cell>
          <cell r="D183">
            <v>185</v>
          </cell>
          <cell r="E183">
            <v>0</v>
          </cell>
          <cell r="F183">
            <v>0</v>
          </cell>
          <cell r="G183">
            <v>0</v>
          </cell>
          <cell r="H183">
            <v>16</v>
          </cell>
          <cell r="I183">
            <v>0</v>
          </cell>
          <cell r="J183">
            <v>0</v>
          </cell>
          <cell r="K183">
            <v>96</v>
          </cell>
          <cell r="L183">
            <v>15</v>
          </cell>
          <cell r="M183">
            <v>2</v>
          </cell>
          <cell r="N183">
            <v>3</v>
          </cell>
          <cell r="O183">
            <v>2</v>
          </cell>
          <cell r="P183">
            <v>3</v>
          </cell>
          <cell r="Q183">
            <v>42</v>
          </cell>
          <cell r="R183">
            <v>3</v>
          </cell>
          <cell r="S183">
            <v>0</v>
          </cell>
          <cell r="T183">
            <v>2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Z183">
            <v>73</v>
          </cell>
          <cell r="AA183">
            <v>0</v>
          </cell>
          <cell r="AB183">
            <v>145</v>
          </cell>
          <cell r="AC183">
            <v>0</v>
          </cell>
          <cell r="AD183">
            <v>0</v>
          </cell>
          <cell r="AE183">
            <v>0</v>
          </cell>
          <cell r="AF183">
            <v>18</v>
          </cell>
          <cell r="AG183">
            <v>0</v>
          </cell>
          <cell r="AH183">
            <v>6</v>
          </cell>
          <cell r="AI183">
            <v>75</v>
          </cell>
          <cell r="AJ183">
            <v>5</v>
          </cell>
          <cell r="AK183">
            <v>0</v>
          </cell>
          <cell r="AL183">
            <v>1</v>
          </cell>
          <cell r="AM183">
            <v>1</v>
          </cell>
          <cell r="AN183">
            <v>2</v>
          </cell>
          <cell r="AO183">
            <v>36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1</v>
          </cell>
          <cell r="AU183">
            <v>0</v>
          </cell>
          <cell r="AV183">
            <v>0</v>
          </cell>
          <cell r="AX183">
            <v>3724.2063157894736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X184">
            <v>0</v>
          </cell>
        </row>
        <row r="185"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</v>
          </cell>
          <cell r="W185">
            <v>0</v>
          </cell>
          <cell r="X185">
            <v>0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1</v>
          </cell>
          <cell r="AU185">
            <v>0</v>
          </cell>
          <cell r="AV185">
            <v>0</v>
          </cell>
          <cell r="AX185">
            <v>11400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X186">
            <v>0</v>
          </cell>
        </row>
        <row r="187">
          <cell r="AX187">
            <v>3843.33</v>
          </cell>
        </row>
        <row r="188">
          <cell r="B188">
            <v>8</v>
          </cell>
          <cell r="C188">
            <v>1</v>
          </cell>
          <cell r="D188">
            <v>17</v>
          </cell>
          <cell r="E188">
            <v>1</v>
          </cell>
          <cell r="F188">
            <v>0</v>
          </cell>
          <cell r="G188">
            <v>0</v>
          </cell>
          <cell r="H188">
            <v>8</v>
          </cell>
          <cell r="I188">
            <v>0</v>
          </cell>
          <cell r="J188">
            <v>0</v>
          </cell>
          <cell r="K188">
            <v>3</v>
          </cell>
          <cell r="L188">
            <v>0</v>
          </cell>
          <cell r="M188">
            <v>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</v>
          </cell>
          <cell r="U188">
            <v>2</v>
          </cell>
          <cell r="V188">
            <v>0</v>
          </cell>
          <cell r="W188">
            <v>2</v>
          </cell>
          <cell r="X188">
            <v>0</v>
          </cell>
          <cell r="Z188">
            <v>5</v>
          </cell>
          <cell r="AA188">
            <v>0</v>
          </cell>
          <cell r="AB188">
            <v>8</v>
          </cell>
          <cell r="AC188">
            <v>0</v>
          </cell>
          <cell r="AD188">
            <v>0</v>
          </cell>
          <cell r="AE188">
            <v>0</v>
          </cell>
          <cell r="AF188">
            <v>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2</v>
          </cell>
          <cell r="AT188">
            <v>0</v>
          </cell>
          <cell r="AU188">
            <v>0</v>
          </cell>
          <cell r="AV188">
            <v>0</v>
          </cell>
          <cell r="AX188">
            <v>3843.3333333333335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X189">
            <v>0</v>
          </cell>
        </row>
        <row r="190">
          <cell r="AX190">
            <v>3138.2676344605479</v>
          </cell>
        </row>
        <row r="192">
          <cell r="B192">
            <v>125</v>
          </cell>
          <cell r="C192">
            <v>72</v>
          </cell>
          <cell r="D192">
            <v>533</v>
          </cell>
          <cell r="E192">
            <v>396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</v>
          </cell>
          <cell r="S192">
            <v>0</v>
          </cell>
          <cell r="T192">
            <v>3</v>
          </cell>
          <cell r="U192">
            <v>196</v>
          </cell>
          <cell r="V192">
            <v>229</v>
          </cell>
          <cell r="W192">
            <v>0</v>
          </cell>
          <cell r="X192">
            <v>87</v>
          </cell>
          <cell r="Z192">
            <v>85</v>
          </cell>
          <cell r="AA192">
            <v>54</v>
          </cell>
          <cell r="AB192">
            <v>482</v>
          </cell>
          <cell r="AC192">
            <v>364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28</v>
          </cell>
          <cell r="AQ192">
            <v>0</v>
          </cell>
          <cell r="AR192">
            <v>0</v>
          </cell>
          <cell r="AS192">
            <v>198</v>
          </cell>
          <cell r="AT192">
            <v>240</v>
          </cell>
          <cell r="AU192">
            <v>0</v>
          </cell>
          <cell r="AV192">
            <v>16</v>
          </cell>
          <cell r="AX192">
            <v>2735.0130434782609</v>
          </cell>
        </row>
        <row r="193">
          <cell r="B193">
            <v>45</v>
          </cell>
          <cell r="C193">
            <v>16</v>
          </cell>
          <cell r="D193">
            <v>126</v>
          </cell>
          <cell r="E193">
            <v>58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6</v>
          </cell>
          <cell r="S193">
            <v>0</v>
          </cell>
          <cell r="T193">
            <v>0</v>
          </cell>
          <cell r="U193">
            <v>69</v>
          </cell>
          <cell r="V193">
            <v>36</v>
          </cell>
          <cell r="W193">
            <v>0</v>
          </cell>
          <cell r="X193">
            <v>15</v>
          </cell>
          <cell r="Z193">
            <v>36</v>
          </cell>
          <cell r="AA193">
            <v>13</v>
          </cell>
          <cell r="AB193">
            <v>77</v>
          </cell>
          <cell r="AC193">
            <v>44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</v>
          </cell>
          <cell r="AQ193">
            <v>0</v>
          </cell>
          <cell r="AR193">
            <v>0</v>
          </cell>
          <cell r="AS193">
            <v>50</v>
          </cell>
          <cell r="AT193">
            <v>17</v>
          </cell>
          <cell r="AU193">
            <v>0</v>
          </cell>
          <cell r="AV193">
            <v>8</v>
          </cell>
          <cell r="AX193">
            <v>2912.5239999999999</v>
          </cell>
        </row>
        <row r="194">
          <cell r="B194">
            <v>17</v>
          </cell>
          <cell r="C194">
            <v>14</v>
          </cell>
          <cell r="D194">
            <v>23</v>
          </cell>
          <cell r="E194">
            <v>19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20</v>
          </cell>
          <cell r="V194">
            <v>1</v>
          </cell>
          <cell r="W194">
            <v>0</v>
          </cell>
          <cell r="X194">
            <v>2</v>
          </cell>
          <cell r="Z194">
            <v>10</v>
          </cell>
          <cell r="AA194">
            <v>8</v>
          </cell>
          <cell r="AB194">
            <v>14</v>
          </cell>
          <cell r="AC194">
            <v>11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13</v>
          </cell>
          <cell r="AT194">
            <v>0</v>
          </cell>
          <cell r="AU194">
            <v>0</v>
          </cell>
          <cell r="AV194">
            <v>1</v>
          </cell>
          <cell r="AX194">
            <v>2270.4</v>
          </cell>
        </row>
        <row r="195">
          <cell r="B195">
            <v>4</v>
          </cell>
          <cell r="C195">
            <v>3</v>
          </cell>
          <cell r="D195">
            <v>11</v>
          </cell>
          <cell r="E195">
            <v>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</v>
          </cell>
          <cell r="V195">
            <v>4</v>
          </cell>
          <cell r="W195">
            <v>0</v>
          </cell>
          <cell r="X195">
            <v>4</v>
          </cell>
          <cell r="Z195">
            <v>4</v>
          </cell>
          <cell r="AA195">
            <v>3</v>
          </cell>
          <cell r="AB195">
            <v>11</v>
          </cell>
          <cell r="AC195">
            <v>7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3</v>
          </cell>
          <cell r="AT195">
            <v>4</v>
          </cell>
          <cell r="AU195">
            <v>0</v>
          </cell>
          <cell r="AV195">
            <v>4</v>
          </cell>
          <cell r="AX195">
            <v>4471.8999999999996</v>
          </cell>
        </row>
        <row r="196">
          <cell r="B196">
            <v>2</v>
          </cell>
          <cell r="C196">
            <v>2</v>
          </cell>
          <cell r="D196">
            <v>2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2</v>
          </cell>
          <cell r="W196">
            <v>0</v>
          </cell>
          <cell r="X196">
            <v>0</v>
          </cell>
          <cell r="Z196">
            <v>1</v>
          </cell>
          <cell r="AA196">
            <v>1</v>
          </cell>
          <cell r="AB196">
            <v>1</v>
          </cell>
          <cell r="AC196">
            <v>1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1</v>
          </cell>
          <cell r="AU196">
            <v>0</v>
          </cell>
          <cell r="AV196">
            <v>0</v>
          </cell>
          <cell r="AX196">
            <v>896</v>
          </cell>
        </row>
        <row r="197">
          <cell r="B197">
            <v>2</v>
          </cell>
          <cell r="C197">
            <v>0</v>
          </cell>
          <cell r="D197">
            <v>11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10</v>
          </cell>
          <cell r="W197">
            <v>0</v>
          </cell>
          <cell r="X197">
            <v>1</v>
          </cell>
          <cell r="Z197">
            <v>1</v>
          </cell>
          <cell r="AA197">
            <v>0</v>
          </cell>
          <cell r="AB197">
            <v>1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X197">
            <v>2232</v>
          </cell>
        </row>
        <row r="198">
          <cell r="B198">
            <v>9</v>
          </cell>
          <cell r="C198">
            <v>6</v>
          </cell>
          <cell r="D198">
            <v>18</v>
          </cell>
          <cell r="E198">
            <v>11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11</v>
          </cell>
          <cell r="V198">
            <v>4</v>
          </cell>
          <cell r="W198">
            <v>0</v>
          </cell>
          <cell r="X198">
            <v>3</v>
          </cell>
          <cell r="Z198">
            <v>5</v>
          </cell>
          <cell r="AA198">
            <v>3</v>
          </cell>
          <cell r="AB198">
            <v>10</v>
          </cell>
          <cell r="AC198">
            <v>7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4</v>
          </cell>
          <cell r="AT198">
            <v>4</v>
          </cell>
          <cell r="AU198">
            <v>0</v>
          </cell>
          <cell r="AV198">
            <v>2</v>
          </cell>
          <cell r="AX198">
            <v>3570</v>
          </cell>
        </row>
        <row r="199">
          <cell r="B199">
            <v>10</v>
          </cell>
          <cell r="C199">
            <v>6</v>
          </cell>
          <cell r="D199">
            <v>29</v>
          </cell>
          <cell r="E199">
            <v>10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0</v>
          </cell>
          <cell r="U199">
            <v>12</v>
          </cell>
          <cell r="V199">
            <v>15</v>
          </cell>
          <cell r="W199">
            <v>0</v>
          </cell>
          <cell r="X199">
            <v>1</v>
          </cell>
          <cell r="Z199">
            <v>7</v>
          </cell>
          <cell r="AA199">
            <v>5</v>
          </cell>
          <cell r="AB199">
            <v>22</v>
          </cell>
          <cell r="AC199">
            <v>7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6</v>
          </cell>
          <cell r="AT199">
            <v>15</v>
          </cell>
          <cell r="AU199">
            <v>0</v>
          </cell>
          <cell r="AV199">
            <v>1</v>
          </cell>
          <cell r="AX199">
            <v>2569.9050000000002</v>
          </cell>
        </row>
        <row r="200">
          <cell r="B200">
            <v>2</v>
          </cell>
          <cell r="C200">
            <v>2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0</v>
          </cell>
          <cell r="W200">
            <v>0</v>
          </cell>
          <cell r="X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X200">
            <v>0</v>
          </cell>
        </row>
        <row r="201">
          <cell r="B201">
            <v>4</v>
          </cell>
          <cell r="C201">
            <v>4</v>
          </cell>
          <cell r="D201">
            <v>4</v>
          </cell>
          <cell r="E201">
            <v>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</v>
          </cell>
          <cell r="V201">
            <v>1</v>
          </cell>
          <cell r="W201">
            <v>0</v>
          </cell>
          <cell r="X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X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X202">
            <v>0</v>
          </cell>
        </row>
        <row r="203">
          <cell r="B203">
            <v>6</v>
          </cell>
          <cell r="C203">
            <v>4</v>
          </cell>
          <cell r="D203">
            <v>13</v>
          </cell>
          <cell r="E203">
            <v>11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9</v>
          </cell>
          <cell r="W203">
            <v>0</v>
          </cell>
          <cell r="X203">
            <v>2</v>
          </cell>
          <cell r="Z203">
            <v>5</v>
          </cell>
          <cell r="AA203">
            <v>3</v>
          </cell>
          <cell r="AB203">
            <v>18</v>
          </cell>
          <cell r="AC203">
            <v>10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</v>
          </cell>
          <cell r="AT203">
            <v>13</v>
          </cell>
          <cell r="AU203">
            <v>0</v>
          </cell>
          <cell r="AV203">
            <v>2</v>
          </cell>
          <cell r="AX203">
            <v>6586.666666666667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X204">
            <v>0</v>
          </cell>
        </row>
        <row r="205">
          <cell r="AX205">
            <v>2325.5000416666671</v>
          </cell>
        </row>
        <row r="206">
          <cell r="B206">
            <v>10</v>
          </cell>
          <cell r="C206">
            <v>3</v>
          </cell>
          <cell r="D206">
            <v>24</v>
          </cell>
          <cell r="E206">
            <v>13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3</v>
          </cell>
          <cell r="S206">
            <v>0</v>
          </cell>
          <cell r="T206">
            <v>0</v>
          </cell>
          <cell r="U206">
            <v>14</v>
          </cell>
          <cell r="V206">
            <v>4</v>
          </cell>
          <cell r="W206">
            <v>0</v>
          </cell>
          <cell r="X206">
            <v>3</v>
          </cell>
          <cell r="Z206">
            <v>6</v>
          </cell>
          <cell r="AA206">
            <v>3</v>
          </cell>
          <cell r="AB206">
            <v>38</v>
          </cell>
          <cell r="AC206">
            <v>13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7</v>
          </cell>
          <cell r="AQ206">
            <v>0</v>
          </cell>
          <cell r="AR206">
            <v>0</v>
          </cell>
          <cell r="AS206">
            <v>24</v>
          </cell>
          <cell r="AT206">
            <v>4</v>
          </cell>
          <cell r="AU206">
            <v>0</v>
          </cell>
          <cell r="AV206">
            <v>3</v>
          </cell>
          <cell r="AX206">
            <v>995.34400000000005</v>
          </cell>
        </row>
        <row r="207">
          <cell r="B207">
            <v>3</v>
          </cell>
          <cell r="C207">
            <v>2</v>
          </cell>
          <cell r="D207">
            <v>3</v>
          </cell>
          <cell r="E207">
            <v>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1</v>
          </cell>
          <cell r="S207">
            <v>0</v>
          </cell>
          <cell r="T207">
            <v>0</v>
          </cell>
          <cell r="U207">
            <v>1</v>
          </cell>
          <cell r="V207">
            <v>0</v>
          </cell>
          <cell r="W207">
            <v>0</v>
          </cell>
          <cell r="X207">
            <v>1</v>
          </cell>
          <cell r="Z207">
            <v>1</v>
          </cell>
          <cell r="AA207">
            <v>1</v>
          </cell>
          <cell r="AB207">
            <v>1</v>
          </cell>
          <cell r="AC207">
            <v>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</v>
          </cell>
          <cell r="AT207">
            <v>0</v>
          </cell>
          <cell r="AU207">
            <v>0</v>
          </cell>
          <cell r="AV207">
            <v>0</v>
          </cell>
          <cell r="AX207">
            <v>1920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X208">
            <v>0</v>
          </cell>
        </row>
        <row r="209">
          <cell r="B209">
            <v>2</v>
          </cell>
          <cell r="C209">
            <v>2</v>
          </cell>
          <cell r="D209">
            <v>54</v>
          </cell>
          <cell r="E209">
            <v>54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54</v>
          </cell>
          <cell r="V209">
            <v>0</v>
          </cell>
          <cell r="W209">
            <v>0</v>
          </cell>
          <cell r="X209">
            <v>0</v>
          </cell>
          <cell r="Z209">
            <v>2</v>
          </cell>
          <cell r="AA209">
            <v>2</v>
          </cell>
          <cell r="AB209">
            <v>54</v>
          </cell>
          <cell r="AC209">
            <v>54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54</v>
          </cell>
          <cell r="AT209">
            <v>0</v>
          </cell>
          <cell r="AU209">
            <v>0</v>
          </cell>
          <cell r="AV209">
            <v>0</v>
          </cell>
          <cell r="AX209">
            <v>68</v>
          </cell>
        </row>
        <row r="210">
          <cell r="B210">
            <v>1</v>
          </cell>
          <cell r="C210">
            <v>1</v>
          </cell>
          <cell r="D210">
            <v>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Z210">
            <v>1</v>
          </cell>
          <cell r="AA210">
            <v>1</v>
          </cell>
          <cell r="AB210">
            <v>1</v>
          </cell>
          <cell r="AC210">
            <v>1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1</v>
          </cell>
          <cell r="AT210">
            <v>0</v>
          </cell>
          <cell r="AU210">
            <v>0</v>
          </cell>
          <cell r="AV210">
            <v>0</v>
          </cell>
          <cell r="AX210">
            <v>2800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X211">
            <v>0</v>
          </cell>
        </row>
        <row r="212">
          <cell r="B212">
            <v>2</v>
          </cell>
          <cell r="C212">
            <v>2</v>
          </cell>
          <cell r="D212">
            <v>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0</v>
          </cell>
          <cell r="W212">
            <v>0</v>
          </cell>
          <cell r="X212">
            <v>0</v>
          </cell>
          <cell r="Z212">
            <v>2</v>
          </cell>
          <cell r="AA212">
            <v>2</v>
          </cell>
          <cell r="AB212">
            <v>2</v>
          </cell>
          <cell r="AC212">
            <v>2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0</v>
          </cell>
          <cell r="AX212">
            <v>2676</v>
          </cell>
        </row>
        <row r="213">
          <cell r="B213">
            <v>2</v>
          </cell>
          <cell r="C213">
            <v>2</v>
          </cell>
          <cell r="D213">
            <v>2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X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X214">
            <v>0</v>
          </cell>
        </row>
        <row r="215">
          <cell r="B215">
            <v>5</v>
          </cell>
          <cell r="C215">
            <v>2</v>
          </cell>
          <cell r="D215">
            <v>5</v>
          </cell>
          <cell r="E215">
            <v>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</v>
          </cell>
          <cell r="V215">
            <v>2</v>
          </cell>
          <cell r="W215">
            <v>0</v>
          </cell>
          <cell r="X215">
            <v>1</v>
          </cell>
          <cell r="Z215">
            <v>4</v>
          </cell>
          <cell r="AA215">
            <v>2</v>
          </cell>
          <cell r="AB215">
            <v>4</v>
          </cell>
          <cell r="AC215">
            <v>2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</v>
          </cell>
          <cell r="AT215">
            <v>2</v>
          </cell>
          <cell r="AU215">
            <v>0</v>
          </cell>
          <cell r="AV215">
            <v>1</v>
          </cell>
          <cell r="AX215">
            <v>1890.6666666666667</v>
          </cell>
        </row>
        <row r="216">
          <cell r="B216">
            <v>2</v>
          </cell>
          <cell r="C216">
            <v>0</v>
          </cell>
          <cell r="D216">
            <v>18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18</v>
          </cell>
          <cell r="V216">
            <v>0</v>
          </cell>
          <cell r="W216">
            <v>0</v>
          </cell>
          <cell r="X216">
            <v>0</v>
          </cell>
          <cell r="Z216">
            <v>1</v>
          </cell>
          <cell r="AA216">
            <v>0</v>
          </cell>
          <cell r="AB216">
            <v>9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9</v>
          </cell>
          <cell r="AT216">
            <v>0</v>
          </cell>
          <cell r="AU216">
            <v>0</v>
          </cell>
          <cell r="AV216">
            <v>0</v>
          </cell>
          <cell r="AX216">
            <v>3600</v>
          </cell>
        </row>
        <row r="217">
          <cell r="B217">
            <v>1</v>
          </cell>
          <cell r="C217">
            <v>1</v>
          </cell>
          <cell r="D217">
            <v>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</v>
          </cell>
          <cell r="V217">
            <v>0</v>
          </cell>
          <cell r="W217">
            <v>0</v>
          </cell>
          <cell r="X217">
            <v>0</v>
          </cell>
          <cell r="Z217">
            <v>1</v>
          </cell>
          <cell r="AA217">
            <v>1</v>
          </cell>
          <cell r="AB217">
            <v>1</v>
          </cell>
          <cell r="AC217">
            <v>1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1</v>
          </cell>
          <cell r="AT217">
            <v>0</v>
          </cell>
          <cell r="AU217">
            <v>0</v>
          </cell>
          <cell r="AV217">
            <v>0</v>
          </cell>
          <cell r="AX217">
            <v>2560</v>
          </cell>
        </row>
        <row r="218">
          <cell r="B218">
            <v>3</v>
          </cell>
          <cell r="C218">
            <v>2</v>
          </cell>
          <cell r="D218">
            <v>158</v>
          </cell>
          <cell r="E218">
            <v>146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6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138</v>
          </cell>
          <cell r="V218">
            <v>14</v>
          </cell>
          <cell r="W218">
            <v>0</v>
          </cell>
          <cell r="X218">
            <v>0</v>
          </cell>
          <cell r="Z218">
            <v>3</v>
          </cell>
          <cell r="AA218">
            <v>2</v>
          </cell>
          <cell r="AB218">
            <v>156</v>
          </cell>
          <cell r="AC218">
            <v>156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2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154</v>
          </cell>
          <cell r="AU218">
            <v>0</v>
          </cell>
          <cell r="AV218">
            <v>0</v>
          </cell>
          <cell r="AX218">
            <v>362</v>
          </cell>
        </row>
        <row r="219">
          <cell r="B219">
            <v>1</v>
          </cell>
          <cell r="C219">
            <v>1</v>
          </cell>
          <cell r="D219">
            <v>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1</v>
          </cell>
          <cell r="W219">
            <v>0</v>
          </cell>
          <cell r="X219">
            <v>0</v>
          </cell>
          <cell r="Z219">
            <v>1</v>
          </cell>
          <cell r="AA219">
            <v>1</v>
          </cell>
          <cell r="AB219">
            <v>1</v>
          </cell>
          <cell r="AC219">
            <v>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1</v>
          </cell>
          <cell r="AU219">
            <v>0</v>
          </cell>
          <cell r="AV219">
            <v>0</v>
          </cell>
          <cell r="AX219">
            <v>2560</v>
          </cell>
        </row>
        <row r="220">
          <cell r="B220">
            <v>1</v>
          </cell>
          <cell r="C220">
            <v>1</v>
          </cell>
          <cell r="D220">
            <v>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</v>
          </cell>
          <cell r="V220">
            <v>0</v>
          </cell>
          <cell r="W220">
            <v>0</v>
          </cell>
          <cell r="X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X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X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X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X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X224">
            <v>0</v>
          </cell>
        </row>
        <row r="225">
          <cell r="B225">
            <v>1</v>
          </cell>
          <cell r="C225">
            <v>1</v>
          </cell>
          <cell r="D225">
            <v>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</v>
          </cell>
          <cell r="V225">
            <v>0</v>
          </cell>
          <cell r="W225">
            <v>0</v>
          </cell>
          <cell r="X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X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X226">
            <v>0</v>
          </cell>
        </row>
        <row r="227">
          <cell r="B227">
            <v>2</v>
          </cell>
          <cell r="C227">
            <v>2</v>
          </cell>
          <cell r="D227">
            <v>2</v>
          </cell>
          <cell r="E227">
            <v>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0</v>
          </cell>
          <cell r="W227">
            <v>0</v>
          </cell>
          <cell r="X227">
            <v>0</v>
          </cell>
          <cell r="Z227">
            <v>2</v>
          </cell>
          <cell r="AA227">
            <v>2</v>
          </cell>
          <cell r="AB227">
            <v>2</v>
          </cell>
          <cell r="AC227">
            <v>2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2</v>
          </cell>
          <cell r="AT227">
            <v>0</v>
          </cell>
          <cell r="AU227">
            <v>0</v>
          </cell>
          <cell r="AV227">
            <v>0</v>
          </cell>
          <cell r="AX227">
            <v>2685.33</v>
          </cell>
        </row>
        <row r="228">
          <cell r="B228">
            <v>4</v>
          </cell>
          <cell r="C228">
            <v>0</v>
          </cell>
          <cell r="D228">
            <v>9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7</v>
          </cell>
          <cell r="Z228">
            <v>1</v>
          </cell>
          <cell r="AA228">
            <v>0</v>
          </cell>
          <cell r="AB228">
            <v>2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2</v>
          </cell>
          <cell r="AX228">
            <v>4000</v>
          </cell>
        </row>
        <row r="229">
          <cell r="B229">
            <v>1</v>
          </cell>
          <cell r="C229">
            <v>1</v>
          </cell>
          <cell r="D229">
            <v>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</v>
          </cell>
          <cell r="V229">
            <v>0</v>
          </cell>
          <cell r="W229">
            <v>0</v>
          </cell>
          <cell r="X229">
            <v>0</v>
          </cell>
          <cell r="Z229">
            <v>1</v>
          </cell>
          <cell r="AA229">
            <v>1</v>
          </cell>
          <cell r="AB229">
            <v>1</v>
          </cell>
          <cell r="AC229">
            <v>1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</v>
          </cell>
          <cell r="AT229">
            <v>0</v>
          </cell>
          <cell r="AU229">
            <v>0</v>
          </cell>
          <cell r="AV229">
            <v>0</v>
          </cell>
          <cell r="AX229">
            <v>2498.66</v>
          </cell>
        </row>
        <row r="230">
          <cell r="B230">
            <v>1</v>
          </cell>
          <cell r="C230">
            <v>1</v>
          </cell>
          <cell r="D230">
            <v>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1</v>
          </cell>
          <cell r="V230">
            <v>0</v>
          </cell>
          <cell r="W230">
            <v>0</v>
          </cell>
          <cell r="X230">
            <v>0</v>
          </cell>
          <cell r="Z230">
            <v>1</v>
          </cell>
          <cell r="AA230">
            <v>1</v>
          </cell>
          <cell r="AB230">
            <v>1</v>
          </cell>
          <cell r="AC230">
            <v>1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</v>
          </cell>
          <cell r="AT230">
            <v>0</v>
          </cell>
          <cell r="AU230">
            <v>0</v>
          </cell>
          <cell r="AV230">
            <v>0</v>
          </cell>
          <cell r="AX230">
            <v>5440</v>
          </cell>
        </row>
        <row r="231">
          <cell r="B231">
            <v>2</v>
          </cell>
          <cell r="C231">
            <v>2</v>
          </cell>
          <cell r="D231">
            <v>2</v>
          </cell>
          <cell r="E231">
            <v>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0</v>
          </cell>
          <cell r="W231">
            <v>0</v>
          </cell>
          <cell r="X231">
            <v>0</v>
          </cell>
          <cell r="Z231">
            <v>2</v>
          </cell>
          <cell r="AA231">
            <v>2</v>
          </cell>
          <cell r="AB231">
            <v>2</v>
          </cell>
          <cell r="AC231">
            <v>2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2</v>
          </cell>
          <cell r="AT231">
            <v>0</v>
          </cell>
          <cell r="AU231">
            <v>0</v>
          </cell>
          <cell r="AV231">
            <v>0</v>
          </cell>
          <cell r="AX231">
            <v>2640</v>
          </cell>
        </row>
        <row r="232">
          <cell r="B232">
            <v>1</v>
          </cell>
          <cell r="C232">
            <v>1</v>
          </cell>
          <cell r="D232">
            <v>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Z232">
            <v>1</v>
          </cell>
          <cell r="AA232">
            <v>1</v>
          </cell>
          <cell r="AB232">
            <v>1</v>
          </cell>
          <cell r="AC232">
            <v>1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1</v>
          </cell>
          <cell r="AT232">
            <v>0</v>
          </cell>
          <cell r="AU232">
            <v>0</v>
          </cell>
          <cell r="AV232">
            <v>0</v>
          </cell>
          <cell r="AX232">
            <v>512</v>
          </cell>
        </row>
        <row r="233">
          <cell r="AX233">
            <v>2842.4235119047617</v>
          </cell>
        </row>
        <row r="234">
          <cell r="B234">
            <v>8</v>
          </cell>
          <cell r="C234">
            <v>0</v>
          </cell>
          <cell r="D234">
            <v>15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</v>
          </cell>
          <cell r="U234">
            <v>2</v>
          </cell>
          <cell r="V234">
            <v>0</v>
          </cell>
          <cell r="W234">
            <v>0</v>
          </cell>
          <cell r="X234">
            <v>0</v>
          </cell>
          <cell r="Z234">
            <v>8</v>
          </cell>
          <cell r="AA234">
            <v>0</v>
          </cell>
          <cell r="AB234">
            <v>13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9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2</v>
          </cell>
          <cell r="AS234">
            <v>2</v>
          </cell>
          <cell r="AT234">
            <v>0</v>
          </cell>
          <cell r="AU234">
            <v>0</v>
          </cell>
          <cell r="AV234">
            <v>0</v>
          </cell>
          <cell r="AX234">
            <v>1892.3333333333333</v>
          </cell>
        </row>
        <row r="235">
          <cell r="B235">
            <v>3</v>
          </cell>
          <cell r="C235">
            <v>0</v>
          </cell>
          <cell r="D235">
            <v>3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Z235">
            <v>2</v>
          </cell>
          <cell r="AA235">
            <v>0</v>
          </cell>
          <cell r="AB235">
            <v>2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1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1</v>
          </cell>
          <cell r="AU235">
            <v>0</v>
          </cell>
          <cell r="AV235">
            <v>0</v>
          </cell>
          <cell r="AX235">
            <v>4840</v>
          </cell>
        </row>
        <row r="236">
          <cell r="B236">
            <v>82</v>
          </cell>
          <cell r="C236">
            <v>1</v>
          </cell>
          <cell r="D236">
            <v>142</v>
          </cell>
          <cell r="E236">
            <v>1</v>
          </cell>
          <cell r="F236">
            <v>0</v>
          </cell>
          <cell r="G236">
            <v>0</v>
          </cell>
          <cell r="H236">
            <v>28</v>
          </cell>
          <cell r="I236">
            <v>1</v>
          </cell>
          <cell r="J236">
            <v>15</v>
          </cell>
          <cell r="K236">
            <v>24</v>
          </cell>
          <cell r="L236">
            <v>43</v>
          </cell>
          <cell r="M236">
            <v>18</v>
          </cell>
          <cell r="N236">
            <v>0</v>
          </cell>
          <cell r="O236">
            <v>0</v>
          </cell>
          <cell r="P236">
            <v>2</v>
          </cell>
          <cell r="Q236">
            <v>0</v>
          </cell>
          <cell r="R236">
            <v>4</v>
          </cell>
          <cell r="S236">
            <v>4</v>
          </cell>
          <cell r="T236">
            <v>1</v>
          </cell>
          <cell r="U236">
            <v>2</v>
          </cell>
          <cell r="V236">
            <v>0</v>
          </cell>
          <cell r="W236">
            <v>0</v>
          </cell>
          <cell r="X236">
            <v>0</v>
          </cell>
          <cell r="Z236">
            <v>80</v>
          </cell>
          <cell r="AA236">
            <v>1</v>
          </cell>
          <cell r="AB236">
            <v>101</v>
          </cell>
          <cell r="AC236">
            <v>6</v>
          </cell>
          <cell r="AD236">
            <v>0</v>
          </cell>
          <cell r="AE236">
            <v>0</v>
          </cell>
          <cell r="AF236">
            <v>25</v>
          </cell>
          <cell r="AG236">
            <v>4</v>
          </cell>
          <cell r="AH236">
            <v>14</v>
          </cell>
          <cell r="AI236">
            <v>16</v>
          </cell>
          <cell r="AJ236">
            <v>27</v>
          </cell>
          <cell r="AK236">
            <v>6</v>
          </cell>
          <cell r="AL236">
            <v>0</v>
          </cell>
          <cell r="AM236">
            <v>0</v>
          </cell>
          <cell r="AN236">
            <v>1</v>
          </cell>
          <cell r="AO236">
            <v>0</v>
          </cell>
          <cell r="AP236">
            <v>2</v>
          </cell>
          <cell r="AQ236">
            <v>4</v>
          </cell>
          <cell r="AR236">
            <v>1</v>
          </cell>
          <cell r="AS236">
            <v>1</v>
          </cell>
          <cell r="AT236">
            <v>0</v>
          </cell>
          <cell r="AU236">
            <v>0</v>
          </cell>
          <cell r="AV236">
            <v>0</v>
          </cell>
          <cell r="AX236">
            <v>4477.3607142857145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X237">
            <v>0</v>
          </cell>
        </row>
        <row r="238">
          <cell r="B238">
            <v>5</v>
          </cell>
          <cell r="C238">
            <v>0</v>
          </cell>
          <cell r="D238">
            <v>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15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X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X239">
            <v>0</v>
          </cell>
        </row>
        <row r="240">
          <cell r="B240">
            <v>1</v>
          </cell>
          <cell r="C240">
            <v>1</v>
          </cell>
          <cell r="D240">
            <v>6</v>
          </cell>
          <cell r="E240">
            <v>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6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1</v>
          </cell>
          <cell r="AA240">
            <v>1</v>
          </cell>
          <cell r="AB240">
            <v>6</v>
          </cell>
          <cell r="AC240">
            <v>6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X240">
            <v>160</v>
          </cell>
        </row>
        <row r="241">
          <cell r="AX241">
            <v>1887.2814225193667</v>
          </cell>
        </row>
        <row r="243">
          <cell r="B243">
            <v>161</v>
          </cell>
          <cell r="C243">
            <v>5</v>
          </cell>
          <cell r="D243">
            <v>232</v>
          </cell>
          <cell r="E243">
            <v>15</v>
          </cell>
          <cell r="F243">
            <v>0</v>
          </cell>
          <cell r="G243">
            <v>0</v>
          </cell>
          <cell r="H243">
            <v>45</v>
          </cell>
          <cell r="I243">
            <v>0</v>
          </cell>
          <cell r="J243">
            <v>6</v>
          </cell>
          <cell r="K243">
            <v>4</v>
          </cell>
          <cell r="L243">
            <v>27</v>
          </cell>
          <cell r="M243">
            <v>1</v>
          </cell>
          <cell r="N243">
            <v>5</v>
          </cell>
          <cell r="O243">
            <v>1</v>
          </cell>
          <cell r="P243">
            <v>0</v>
          </cell>
          <cell r="Q243">
            <v>2</v>
          </cell>
          <cell r="R243">
            <v>136</v>
          </cell>
          <cell r="S243">
            <v>0</v>
          </cell>
          <cell r="T243">
            <v>2</v>
          </cell>
          <cell r="U243">
            <v>0</v>
          </cell>
          <cell r="V243">
            <v>2</v>
          </cell>
          <cell r="W243">
            <v>0</v>
          </cell>
          <cell r="X243">
            <v>1</v>
          </cell>
          <cell r="Z243">
            <v>92</v>
          </cell>
          <cell r="AA243">
            <v>3</v>
          </cell>
          <cell r="AB243">
            <v>163</v>
          </cell>
          <cell r="AC243">
            <v>4</v>
          </cell>
          <cell r="AD243">
            <v>0</v>
          </cell>
          <cell r="AE243">
            <v>0</v>
          </cell>
          <cell r="AF243">
            <v>29</v>
          </cell>
          <cell r="AG243">
            <v>0</v>
          </cell>
          <cell r="AH243">
            <v>6</v>
          </cell>
          <cell r="AI243">
            <v>10</v>
          </cell>
          <cell r="AJ243">
            <v>19</v>
          </cell>
          <cell r="AK243">
            <v>5</v>
          </cell>
          <cell r="AL243">
            <v>6</v>
          </cell>
          <cell r="AM243">
            <v>4</v>
          </cell>
          <cell r="AN243">
            <v>0</v>
          </cell>
          <cell r="AO243">
            <v>2</v>
          </cell>
          <cell r="AP243">
            <v>77</v>
          </cell>
          <cell r="AQ243">
            <v>0</v>
          </cell>
          <cell r="AR243">
            <v>0</v>
          </cell>
          <cell r="AS243">
            <v>0</v>
          </cell>
          <cell r="AT243">
            <v>5</v>
          </cell>
          <cell r="AU243">
            <v>0</v>
          </cell>
          <cell r="AV243">
            <v>0</v>
          </cell>
          <cell r="AX243">
            <v>2273.6044736842105</v>
          </cell>
        </row>
        <row r="244">
          <cell r="B244">
            <v>23</v>
          </cell>
          <cell r="C244">
            <v>22</v>
          </cell>
          <cell r="D244">
            <v>69</v>
          </cell>
          <cell r="E244">
            <v>67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4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2</v>
          </cell>
          <cell r="S244">
            <v>0</v>
          </cell>
          <cell r="T244">
            <v>28</v>
          </cell>
          <cell r="U244">
            <v>4</v>
          </cell>
          <cell r="V244">
            <v>28</v>
          </cell>
          <cell r="W244">
            <v>3</v>
          </cell>
          <cell r="X244">
            <v>0</v>
          </cell>
          <cell r="Z244">
            <v>19</v>
          </cell>
          <cell r="AA244">
            <v>18</v>
          </cell>
          <cell r="AB244">
            <v>62</v>
          </cell>
          <cell r="AC244">
            <v>61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2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25</v>
          </cell>
          <cell r="AS244">
            <v>2</v>
          </cell>
          <cell r="AT244">
            <v>28</v>
          </cell>
          <cell r="AU244">
            <v>2</v>
          </cell>
          <cell r="AV244">
            <v>0</v>
          </cell>
          <cell r="AX244">
            <v>1579.9185714285716</v>
          </cell>
        </row>
        <row r="246">
          <cell r="B246">
            <v>45</v>
          </cell>
          <cell r="C246">
            <v>5</v>
          </cell>
          <cell r="D246">
            <v>105</v>
          </cell>
          <cell r="E246">
            <v>56</v>
          </cell>
          <cell r="F246">
            <v>0</v>
          </cell>
          <cell r="G246">
            <v>0</v>
          </cell>
          <cell r="H246">
            <v>9</v>
          </cell>
          <cell r="I246">
            <v>0</v>
          </cell>
          <cell r="J246">
            <v>0</v>
          </cell>
          <cell r="K246">
            <v>8</v>
          </cell>
          <cell r="L246">
            <v>11</v>
          </cell>
          <cell r="M246">
            <v>6</v>
          </cell>
          <cell r="N246">
            <v>0</v>
          </cell>
          <cell r="O246">
            <v>0</v>
          </cell>
          <cell r="P246">
            <v>0</v>
          </cell>
          <cell r="Q246">
            <v>19</v>
          </cell>
          <cell r="R246">
            <v>41</v>
          </cell>
          <cell r="S246">
            <v>1</v>
          </cell>
          <cell r="T246">
            <v>3</v>
          </cell>
          <cell r="U246">
            <v>3</v>
          </cell>
          <cell r="V246">
            <v>2</v>
          </cell>
          <cell r="W246">
            <v>2</v>
          </cell>
          <cell r="X246">
            <v>0</v>
          </cell>
          <cell r="Z246">
            <v>27</v>
          </cell>
          <cell r="AA246">
            <v>2</v>
          </cell>
          <cell r="AB246">
            <v>76</v>
          </cell>
          <cell r="AC246">
            <v>2</v>
          </cell>
          <cell r="AD246">
            <v>0</v>
          </cell>
          <cell r="AE246">
            <v>0</v>
          </cell>
          <cell r="AF246">
            <v>6</v>
          </cell>
          <cell r="AG246">
            <v>0</v>
          </cell>
          <cell r="AH246">
            <v>0</v>
          </cell>
          <cell r="AI246">
            <v>3</v>
          </cell>
          <cell r="AJ246">
            <v>12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19</v>
          </cell>
          <cell r="AP246">
            <v>26</v>
          </cell>
          <cell r="AQ246">
            <v>0</v>
          </cell>
          <cell r="AR246">
            <v>3</v>
          </cell>
          <cell r="AS246">
            <v>0</v>
          </cell>
          <cell r="AT246">
            <v>0</v>
          </cell>
          <cell r="AU246">
            <v>3</v>
          </cell>
          <cell r="AV246">
            <v>0</v>
          </cell>
          <cell r="AX246">
            <v>2175.0504761904763</v>
          </cell>
        </row>
        <row r="247">
          <cell r="B247">
            <v>73</v>
          </cell>
          <cell r="C247">
            <v>70</v>
          </cell>
          <cell r="D247">
            <v>159</v>
          </cell>
          <cell r="E247">
            <v>156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16</v>
          </cell>
          <cell r="S247">
            <v>0</v>
          </cell>
          <cell r="T247">
            <v>110</v>
          </cell>
          <cell r="U247">
            <v>0</v>
          </cell>
          <cell r="V247">
            <v>28</v>
          </cell>
          <cell r="W247">
            <v>2</v>
          </cell>
          <cell r="X247">
            <v>0</v>
          </cell>
          <cell r="Z247">
            <v>65</v>
          </cell>
          <cell r="AA247">
            <v>65</v>
          </cell>
          <cell r="AB247">
            <v>149</v>
          </cell>
          <cell r="AC247">
            <v>149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16</v>
          </cell>
          <cell r="AQ247">
            <v>0</v>
          </cell>
          <cell r="AR247">
            <v>106</v>
          </cell>
          <cell r="AS247">
            <v>0</v>
          </cell>
          <cell r="AT247">
            <v>25</v>
          </cell>
          <cell r="AU247">
            <v>2</v>
          </cell>
          <cell r="AV247">
            <v>0</v>
          </cell>
          <cell r="AX247">
            <v>1009.7525000000001</v>
          </cell>
        </row>
        <row r="248">
          <cell r="B248">
            <v>34</v>
          </cell>
          <cell r="C248">
            <v>3</v>
          </cell>
          <cell r="D248">
            <v>45</v>
          </cell>
          <cell r="E248">
            <v>6</v>
          </cell>
          <cell r="F248">
            <v>0</v>
          </cell>
          <cell r="G248">
            <v>0</v>
          </cell>
          <cell r="H248">
            <v>13</v>
          </cell>
          <cell r="I248">
            <v>0</v>
          </cell>
          <cell r="J248">
            <v>7</v>
          </cell>
          <cell r="K248">
            <v>3</v>
          </cell>
          <cell r="L248">
            <v>3</v>
          </cell>
          <cell r="M248">
            <v>2</v>
          </cell>
          <cell r="N248">
            <v>0</v>
          </cell>
          <cell r="O248">
            <v>1</v>
          </cell>
          <cell r="P248">
            <v>0</v>
          </cell>
          <cell r="Q248">
            <v>1</v>
          </cell>
          <cell r="R248">
            <v>13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2</v>
          </cell>
          <cell r="Z248">
            <v>25</v>
          </cell>
          <cell r="AA248">
            <v>2</v>
          </cell>
          <cell r="AB248">
            <v>29</v>
          </cell>
          <cell r="AC248">
            <v>4</v>
          </cell>
          <cell r="AD248">
            <v>0</v>
          </cell>
          <cell r="AE248">
            <v>0</v>
          </cell>
          <cell r="AF248">
            <v>6</v>
          </cell>
          <cell r="AG248">
            <v>0</v>
          </cell>
          <cell r="AH248">
            <v>5</v>
          </cell>
          <cell r="AI248">
            <v>2</v>
          </cell>
          <cell r="AJ248">
            <v>2</v>
          </cell>
          <cell r="AK248">
            <v>2</v>
          </cell>
          <cell r="AL248">
            <v>0</v>
          </cell>
          <cell r="AM248">
            <v>1</v>
          </cell>
          <cell r="AN248">
            <v>0</v>
          </cell>
          <cell r="AO248">
            <v>0</v>
          </cell>
          <cell r="AP248">
            <v>9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2</v>
          </cell>
          <cell r="AX248">
            <v>3063.2727272727275</v>
          </cell>
        </row>
        <row r="249">
          <cell r="B249">
            <v>3</v>
          </cell>
          <cell r="C249">
            <v>1</v>
          </cell>
          <cell r="D249">
            <v>5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4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Z249">
            <v>3</v>
          </cell>
          <cell r="AA249">
            <v>1</v>
          </cell>
          <cell r="AB249">
            <v>5</v>
          </cell>
          <cell r="AC249">
            <v>1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4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X249">
            <v>2001</v>
          </cell>
        </row>
        <row r="250">
          <cell r="B250">
            <v>1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X250">
            <v>0</v>
          </cell>
        </row>
        <row r="251">
          <cell r="B251">
            <v>82</v>
          </cell>
          <cell r="C251">
            <v>23</v>
          </cell>
          <cell r="D251">
            <v>123</v>
          </cell>
          <cell r="E251">
            <v>32</v>
          </cell>
          <cell r="F251">
            <v>0</v>
          </cell>
          <cell r="G251">
            <v>0</v>
          </cell>
          <cell r="H251">
            <v>14</v>
          </cell>
          <cell r="I251">
            <v>0</v>
          </cell>
          <cell r="J251">
            <v>6</v>
          </cell>
          <cell r="K251">
            <v>3</v>
          </cell>
          <cell r="L251">
            <v>5</v>
          </cell>
          <cell r="M251">
            <v>2</v>
          </cell>
          <cell r="N251">
            <v>4</v>
          </cell>
          <cell r="O251">
            <v>2</v>
          </cell>
          <cell r="P251">
            <v>0</v>
          </cell>
          <cell r="Q251">
            <v>6</v>
          </cell>
          <cell r="R251">
            <v>54</v>
          </cell>
          <cell r="S251">
            <v>0</v>
          </cell>
          <cell r="T251">
            <v>11</v>
          </cell>
          <cell r="U251">
            <v>2</v>
          </cell>
          <cell r="V251">
            <v>12</v>
          </cell>
          <cell r="W251">
            <v>2</v>
          </cell>
          <cell r="X251">
            <v>0</v>
          </cell>
          <cell r="Z251">
            <v>52</v>
          </cell>
          <cell r="AA251">
            <v>16</v>
          </cell>
          <cell r="AB251">
            <v>78</v>
          </cell>
          <cell r="AC251">
            <v>27</v>
          </cell>
          <cell r="AD251">
            <v>0</v>
          </cell>
          <cell r="AE251">
            <v>0</v>
          </cell>
          <cell r="AF251">
            <v>7</v>
          </cell>
          <cell r="AG251">
            <v>0</v>
          </cell>
          <cell r="AH251">
            <v>6</v>
          </cell>
          <cell r="AI251">
            <v>5</v>
          </cell>
          <cell r="AJ251">
            <v>4</v>
          </cell>
          <cell r="AK251">
            <v>1</v>
          </cell>
          <cell r="AL251">
            <v>0</v>
          </cell>
          <cell r="AM251">
            <v>1</v>
          </cell>
          <cell r="AN251">
            <v>0</v>
          </cell>
          <cell r="AO251">
            <v>2</v>
          </cell>
          <cell r="AP251">
            <v>33</v>
          </cell>
          <cell r="AQ251">
            <v>0</v>
          </cell>
          <cell r="AR251">
            <v>8</v>
          </cell>
          <cell r="AS251">
            <v>0</v>
          </cell>
          <cell r="AT251">
            <v>9</v>
          </cell>
          <cell r="AU251">
            <v>2</v>
          </cell>
          <cell r="AV251">
            <v>0</v>
          </cell>
          <cell r="AX251">
            <v>2635.6526315789474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X252">
            <v>0</v>
          </cell>
        </row>
        <row r="253">
          <cell r="B253">
            <v>1</v>
          </cell>
          <cell r="C253">
            <v>0</v>
          </cell>
          <cell r="D253">
            <v>1</v>
          </cell>
          <cell r="E253">
            <v>0</v>
          </cell>
          <cell r="F253">
            <v>0</v>
          </cell>
          <cell r="G253">
            <v>0</v>
          </cell>
          <cell r="H253">
            <v>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X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X254">
            <v>0</v>
          </cell>
        </row>
        <row r="255">
          <cell r="B255">
            <v>2</v>
          </cell>
          <cell r="C255">
            <v>2</v>
          </cell>
          <cell r="D255">
            <v>3</v>
          </cell>
          <cell r="E255">
            <v>3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Z255">
            <v>1</v>
          </cell>
          <cell r="AA255">
            <v>1</v>
          </cell>
          <cell r="AB255">
            <v>1</v>
          </cell>
          <cell r="AC255">
            <v>1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1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X255">
            <v>360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X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X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X258">
            <v>0</v>
          </cell>
        </row>
        <row r="259">
          <cell r="B259">
            <v>3552</v>
          </cell>
          <cell r="C259">
            <v>619</v>
          </cell>
          <cell r="D259">
            <v>11146</v>
          </cell>
          <cell r="E259">
            <v>2787</v>
          </cell>
          <cell r="F259">
            <v>31</v>
          </cell>
          <cell r="G259">
            <v>5</v>
          </cell>
          <cell r="H259">
            <v>3441</v>
          </cell>
          <cell r="I259">
            <v>51</v>
          </cell>
          <cell r="J259">
            <v>208</v>
          </cell>
          <cell r="K259">
            <v>535</v>
          </cell>
          <cell r="L259">
            <v>580</v>
          </cell>
          <cell r="M259">
            <v>109</v>
          </cell>
          <cell r="N259">
            <v>452</v>
          </cell>
          <cell r="O259">
            <v>101</v>
          </cell>
          <cell r="P259">
            <v>48</v>
          </cell>
          <cell r="Q259">
            <v>279</v>
          </cell>
          <cell r="R259">
            <v>444</v>
          </cell>
          <cell r="S259">
            <v>134</v>
          </cell>
          <cell r="T259">
            <v>449</v>
          </cell>
          <cell r="U259">
            <v>682</v>
          </cell>
          <cell r="V259">
            <v>2595</v>
          </cell>
          <cell r="W259">
            <v>27</v>
          </cell>
          <cell r="X259">
            <v>975</v>
          </cell>
          <cell r="Y259">
            <v>11146</v>
          </cell>
          <cell r="Z259">
            <v>2557</v>
          </cell>
          <cell r="AA259">
            <v>513</v>
          </cell>
          <cell r="AB259">
            <v>7917</v>
          </cell>
          <cell r="AC259">
            <v>2347</v>
          </cell>
          <cell r="AD259">
            <v>52</v>
          </cell>
          <cell r="AE259">
            <v>7</v>
          </cell>
          <cell r="AF259">
            <v>2349</v>
          </cell>
          <cell r="AG259">
            <v>45</v>
          </cell>
          <cell r="AH259">
            <v>163</v>
          </cell>
          <cell r="AI259">
            <v>376</v>
          </cell>
          <cell r="AJ259">
            <v>335</v>
          </cell>
          <cell r="AK259">
            <v>78</v>
          </cell>
          <cell r="AL259">
            <v>249</v>
          </cell>
          <cell r="AM259">
            <v>71</v>
          </cell>
          <cell r="AN259">
            <v>84</v>
          </cell>
          <cell r="AO259">
            <v>107</v>
          </cell>
          <cell r="AP259">
            <v>277</v>
          </cell>
          <cell r="AQ259">
            <v>70</v>
          </cell>
          <cell r="AR259">
            <v>367</v>
          </cell>
          <cell r="AS259">
            <v>470</v>
          </cell>
          <cell r="AT259">
            <v>2293</v>
          </cell>
          <cell r="AU259">
            <v>23</v>
          </cell>
          <cell r="AV259">
            <v>501</v>
          </cell>
          <cell r="AW259">
            <v>7917</v>
          </cell>
          <cell r="AX259">
            <v>2546.0259764436455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K270"/>
  <sheetViews>
    <sheetView tabSelected="1" workbookViewId="0">
      <pane ySplit="5" topLeftCell="A6" activePane="bottomLeft" state="frozen"/>
      <selection activeCell="A5" sqref="A5"/>
      <selection pane="bottomLeft" activeCell="K10" sqref="K10"/>
    </sheetView>
  </sheetViews>
  <sheetFormatPr defaultRowHeight="15" x14ac:dyDescent="0.25"/>
  <cols>
    <col min="1" max="1" width="74.42578125" style="142" bestFit="1" customWidth="1"/>
    <col min="2" max="2" width="8.28515625" style="112" customWidth="1"/>
    <col min="3" max="3" width="11" style="112" customWidth="1"/>
    <col min="4" max="4" width="8.140625" style="112" customWidth="1"/>
    <col min="5" max="5" width="9.140625" style="112" customWidth="1"/>
    <col min="6" max="25" width="5.7109375" style="112" customWidth="1"/>
    <col min="26" max="26" width="7.85546875" style="112" customWidth="1"/>
    <col min="27" max="27" width="12.7109375" style="112" customWidth="1"/>
    <col min="28" max="28" width="11.85546875" style="112" customWidth="1"/>
    <col min="29" max="29" width="9.28515625" style="112" customWidth="1"/>
    <col min="30" max="31" width="4.7109375" style="112" customWidth="1"/>
    <col min="32" max="32" width="5.42578125" style="112" customWidth="1"/>
    <col min="33" max="45" width="4.7109375" style="112" customWidth="1"/>
    <col min="46" max="46" width="6" style="112" customWidth="1"/>
    <col min="47" max="48" width="4.7109375" style="112" customWidth="1"/>
    <col min="49" max="49" width="5.42578125" style="112" customWidth="1"/>
    <col min="50" max="50" width="29.85546875" style="112" customWidth="1"/>
    <col min="51" max="51" width="14.5703125" style="179" customWidth="1"/>
    <col min="52" max="52" width="12.7109375" style="142" customWidth="1"/>
    <col min="53" max="53" width="14.85546875" style="179" customWidth="1"/>
    <col min="54" max="16384" width="9.140625" style="142"/>
  </cols>
  <sheetData>
    <row r="3" spans="1:53" ht="60" x14ac:dyDescent="0.25">
      <c r="A3" s="145">
        <v>2018</v>
      </c>
      <c r="B3" s="199" t="s">
        <v>0</v>
      </c>
      <c r="C3" s="174"/>
      <c r="D3" s="199" t="s">
        <v>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99" t="s">
        <v>2</v>
      </c>
      <c r="AA3" s="174"/>
      <c r="AB3" s="199" t="s">
        <v>3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</row>
    <row r="4" spans="1:53" ht="14.45" customHeight="1" x14ac:dyDescent="0.25">
      <c r="A4" s="145"/>
      <c r="B4" s="174"/>
      <c r="C4" s="174"/>
      <c r="D4" s="174"/>
      <c r="E4" s="174"/>
      <c r="F4" s="174" t="s">
        <v>4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 t="s">
        <v>4</v>
      </c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</row>
    <row r="5" spans="1:53" s="236" customFormat="1" ht="60" x14ac:dyDescent="0.25">
      <c r="A5" s="234"/>
      <c r="B5" s="235" t="s">
        <v>5</v>
      </c>
      <c r="C5" s="235" t="s">
        <v>6</v>
      </c>
      <c r="D5" s="235" t="s">
        <v>7</v>
      </c>
      <c r="E5" s="235" t="s">
        <v>6</v>
      </c>
      <c r="F5" s="174" t="s">
        <v>8</v>
      </c>
      <c r="G5" s="174" t="s">
        <v>9</v>
      </c>
      <c r="H5" s="174" t="s">
        <v>10</v>
      </c>
      <c r="I5" s="174" t="s">
        <v>11</v>
      </c>
      <c r="J5" s="174" t="s">
        <v>12</v>
      </c>
      <c r="K5" s="174" t="s">
        <v>13</v>
      </c>
      <c r="L5" s="174" t="s">
        <v>14</v>
      </c>
      <c r="M5" s="174" t="s">
        <v>15</v>
      </c>
      <c r="N5" s="174" t="s">
        <v>16</v>
      </c>
      <c r="O5" s="174" t="s">
        <v>17</v>
      </c>
      <c r="P5" s="174" t="s">
        <v>18</v>
      </c>
      <c r="Q5" s="174" t="s">
        <v>19</v>
      </c>
      <c r="R5" s="174" t="s">
        <v>20</v>
      </c>
      <c r="S5" s="174" t="s">
        <v>21</v>
      </c>
      <c r="T5" s="174" t="s">
        <v>22</v>
      </c>
      <c r="U5" s="174" t="s">
        <v>23</v>
      </c>
      <c r="V5" s="174" t="s">
        <v>24</v>
      </c>
      <c r="W5" s="174" t="s">
        <v>25</v>
      </c>
      <c r="X5" s="174" t="s">
        <v>26</v>
      </c>
      <c r="Y5" s="235"/>
      <c r="Z5" s="235" t="s">
        <v>5</v>
      </c>
      <c r="AA5" s="235" t="s">
        <v>27</v>
      </c>
      <c r="AB5" s="235" t="s">
        <v>7</v>
      </c>
      <c r="AC5" s="235" t="s">
        <v>6</v>
      </c>
      <c r="AD5" s="174" t="s">
        <v>8</v>
      </c>
      <c r="AE5" s="174" t="s">
        <v>9</v>
      </c>
      <c r="AF5" s="174" t="s">
        <v>10</v>
      </c>
      <c r="AG5" s="174" t="s">
        <v>11</v>
      </c>
      <c r="AH5" s="174" t="s">
        <v>12</v>
      </c>
      <c r="AI5" s="174" t="s">
        <v>13</v>
      </c>
      <c r="AJ5" s="174" t="s">
        <v>14</v>
      </c>
      <c r="AK5" s="174" t="s">
        <v>15</v>
      </c>
      <c r="AL5" s="174" t="s">
        <v>16</v>
      </c>
      <c r="AM5" s="174" t="s">
        <v>17</v>
      </c>
      <c r="AN5" s="174" t="s">
        <v>18</v>
      </c>
      <c r="AO5" s="174" t="s">
        <v>19</v>
      </c>
      <c r="AP5" s="174" t="s">
        <v>20</v>
      </c>
      <c r="AQ5" s="174" t="s">
        <v>21</v>
      </c>
      <c r="AR5" s="174" t="s">
        <v>22</v>
      </c>
      <c r="AS5" s="174" t="s">
        <v>23</v>
      </c>
      <c r="AT5" s="174" t="s">
        <v>24</v>
      </c>
      <c r="AU5" s="174" t="s">
        <v>25</v>
      </c>
      <c r="AV5" s="174" t="s">
        <v>26</v>
      </c>
      <c r="AW5" s="235"/>
      <c r="AX5" s="235" t="s">
        <v>28</v>
      </c>
      <c r="AY5" s="213" t="s">
        <v>277</v>
      </c>
      <c r="AZ5" s="222" t="s">
        <v>278</v>
      </c>
      <c r="BA5" s="213" t="s">
        <v>279</v>
      </c>
    </row>
    <row r="6" spans="1:53" x14ac:dyDescent="0.25">
      <c r="A6" s="173" t="s">
        <v>29</v>
      </c>
      <c r="B6" s="174">
        <f>B7+B8+B9+B10+B11+B12+B13+B14+B15+B16+B17+B18+B19+B20+B21+B22+B23+B24+B25</f>
        <v>41</v>
      </c>
      <c r="C6" s="174">
        <f t="shared" ref="C6:X6" si="0">C7+C8+C9+C10+C11+C12+C13+C14+C15+C16+C17+C18+C19+C20+C21+C22+C23+C24+C25</f>
        <v>19</v>
      </c>
      <c r="D6" s="174">
        <f t="shared" si="0"/>
        <v>227</v>
      </c>
      <c r="E6" s="174">
        <f t="shared" si="0"/>
        <v>95</v>
      </c>
      <c r="F6" s="174">
        <f t="shared" si="0"/>
        <v>0</v>
      </c>
      <c r="G6" s="174">
        <f t="shared" si="0"/>
        <v>0</v>
      </c>
      <c r="H6" s="174">
        <f t="shared" si="0"/>
        <v>45</v>
      </c>
      <c r="I6" s="174">
        <f t="shared" si="0"/>
        <v>0</v>
      </c>
      <c r="J6" s="174">
        <f t="shared" si="0"/>
        <v>32</v>
      </c>
      <c r="K6" s="174">
        <f t="shared" si="0"/>
        <v>10</v>
      </c>
      <c r="L6" s="174">
        <f t="shared" si="0"/>
        <v>8</v>
      </c>
      <c r="M6" s="174">
        <f t="shared" si="0"/>
        <v>0</v>
      </c>
      <c r="N6" s="174">
        <f t="shared" si="0"/>
        <v>0</v>
      </c>
      <c r="O6" s="174">
        <f t="shared" si="0"/>
        <v>2</v>
      </c>
      <c r="P6" s="174">
        <f t="shared" si="0"/>
        <v>0</v>
      </c>
      <c r="Q6" s="174">
        <f t="shared" si="0"/>
        <v>0</v>
      </c>
      <c r="R6" s="174">
        <f t="shared" si="0"/>
        <v>21</v>
      </c>
      <c r="S6" s="174">
        <f t="shared" si="0"/>
        <v>2</v>
      </c>
      <c r="T6" s="174">
        <f t="shared" si="0"/>
        <v>6</v>
      </c>
      <c r="U6" s="174">
        <f t="shared" si="0"/>
        <v>0</v>
      </c>
      <c r="V6" s="174">
        <f t="shared" si="0"/>
        <v>101</v>
      </c>
      <c r="W6" s="174">
        <f t="shared" si="0"/>
        <v>0</v>
      </c>
      <c r="X6" s="174">
        <f t="shared" si="0"/>
        <v>0</v>
      </c>
      <c r="Y6" s="174">
        <f>SUM(F6:X6)</f>
        <v>227</v>
      </c>
      <c r="Z6" s="174">
        <f t="shared" ref="Z6:AV6" si="1">SUM(Z7:Z25)</f>
        <v>27</v>
      </c>
      <c r="AA6" s="174">
        <f t="shared" si="1"/>
        <v>13</v>
      </c>
      <c r="AB6" s="174">
        <f t="shared" si="1"/>
        <v>91</v>
      </c>
      <c r="AC6" s="174">
        <f t="shared" si="1"/>
        <v>70</v>
      </c>
      <c r="AD6" s="174">
        <f t="shared" si="1"/>
        <v>0</v>
      </c>
      <c r="AE6" s="174">
        <f t="shared" si="1"/>
        <v>0</v>
      </c>
      <c r="AF6" s="174">
        <f t="shared" si="1"/>
        <v>8</v>
      </c>
      <c r="AG6" s="174">
        <f t="shared" si="1"/>
        <v>0</v>
      </c>
      <c r="AH6" s="174">
        <f t="shared" si="1"/>
        <v>30</v>
      </c>
      <c r="AI6" s="174">
        <f t="shared" si="1"/>
        <v>1</v>
      </c>
      <c r="AJ6" s="174">
        <f t="shared" si="1"/>
        <v>6</v>
      </c>
      <c r="AK6" s="174">
        <f t="shared" si="1"/>
        <v>0</v>
      </c>
      <c r="AL6" s="174">
        <f t="shared" si="1"/>
        <v>0</v>
      </c>
      <c r="AM6" s="174">
        <f t="shared" si="1"/>
        <v>0</v>
      </c>
      <c r="AN6" s="174">
        <f t="shared" si="1"/>
        <v>0</v>
      </c>
      <c r="AO6" s="174">
        <f t="shared" si="1"/>
        <v>0</v>
      </c>
      <c r="AP6" s="174">
        <f t="shared" si="1"/>
        <v>4</v>
      </c>
      <c r="AQ6" s="174">
        <f t="shared" si="1"/>
        <v>1</v>
      </c>
      <c r="AR6" s="174">
        <f t="shared" si="1"/>
        <v>5</v>
      </c>
      <c r="AS6" s="174">
        <f t="shared" si="1"/>
        <v>0</v>
      </c>
      <c r="AT6" s="174">
        <f t="shared" si="1"/>
        <v>36</v>
      </c>
      <c r="AU6" s="174">
        <f t="shared" si="1"/>
        <v>0</v>
      </c>
      <c r="AV6" s="174">
        <f t="shared" si="1"/>
        <v>0</v>
      </c>
      <c r="AW6" s="174">
        <f t="shared" ref="AW6:AW11" si="2">SUM(AD6:AV6)</f>
        <v>91</v>
      </c>
      <c r="AX6" s="174"/>
      <c r="AY6" s="184">
        <f>Z6*100/B6</f>
        <v>65.853658536585371</v>
      </c>
      <c r="AZ6" s="174">
        <f>B6-Z6</f>
        <v>14</v>
      </c>
      <c r="BA6" s="184">
        <f>AZ6*100/B6</f>
        <v>34.146341463414636</v>
      </c>
    </row>
    <row r="7" spans="1:53" x14ac:dyDescent="0.25">
      <c r="A7" s="175" t="s">
        <v>151</v>
      </c>
      <c r="B7" s="174">
        <v>4</v>
      </c>
      <c r="C7" s="174">
        <v>3</v>
      </c>
      <c r="D7" s="174">
        <v>15</v>
      </c>
      <c r="E7" s="174">
        <v>15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>
        <v>15</v>
      </c>
      <c r="W7" s="174"/>
      <c r="X7" s="174"/>
      <c r="Y7" s="174">
        <f t="shared" ref="Y7:Y64" si="3">SUM(F7:X7)</f>
        <v>15</v>
      </c>
      <c r="Z7" s="174">
        <v>3</v>
      </c>
      <c r="AA7" s="174">
        <v>3</v>
      </c>
      <c r="AB7" s="174">
        <v>3</v>
      </c>
      <c r="AC7" s="174">
        <v>3</v>
      </c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>
        <v>3</v>
      </c>
      <c r="AU7" s="174"/>
      <c r="AV7" s="174"/>
      <c r="AW7" s="174">
        <f t="shared" si="2"/>
        <v>3</v>
      </c>
      <c r="AX7" s="174">
        <v>1277.77</v>
      </c>
      <c r="AY7" s="142"/>
      <c r="BA7" s="142"/>
    </row>
    <row r="8" spans="1:53" x14ac:dyDescent="0.25">
      <c r="A8" s="175" t="s">
        <v>152</v>
      </c>
      <c r="B8" s="174">
        <v>1</v>
      </c>
      <c r="C8" s="174"/>
      <c r="D8" s="174">
        <v>1</v>
      </c>
      <c r="E8" s="174"/>
      <c r="F8" s="174"/>
      <c r="G8" s="174"/>
      <c r="H8" s="174"/>
      <c r="I8" s="174"/>
      <c r="J8" s="174"/>
      <c r="K8" s="174"/>
      <c r="L8" s="174">
        <v>1</v>
      </c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>
        <f t="shared" si="3"/>
        <v>1</v>
      </c>
      <c r="Z8" s="174">
        <v>1</v>
      </c>
      <c r="AA8" s="174"/>
      <c r="AB8" s="174">
        <v>1</v>
      </c>
      <c r="AC8" s="174">
        <v>0</v>
      </c>
      <c r="AD8" s="174"/>
      <c r="AE8" s="174"/>
      <c r="AF8" s="174"/>
      <c r="AG8" s="174"/>
      <c r="AH8" s="174"/>
      <c r="AI8" s="174"/>
      <c r="AJ8" s="174">
        <v>1</v>
      </c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>
        <f t="shared" si="2"/>
        <v>1</v>
      </c>
      <c r="AX8" s="174">
        <v>952</v>
      </c>
      <c r="AY8" s="142"/>
      <c r="BA8" s="142"/>
    </row>
    <row r="9" spans="1:53" x14ac:dyDescent="0.25">
      <c r="A9" s="175" t="s">
        <v>153</v>
      </c>
      <c r="B9" s="174">
        <v>2</v>
      </c>
      <c r="C9" s="174">
        <v>1</v>
      </c>
      <c r="D9" s="174">
        <v>7</v>
      </c>
      <c r="E9" s="174">
        <v>7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>
        <v>2</v>
      </c>
      <c r="U9" s="174"/>
      <c r="V9" s="174">
        <v>5</v>
      </c>
      <c r="W9" s="174"/>
      <c r="X9" s="174"/>
      <c r="Y9" s="174">
        <f t="shared" si="3"/>
        <v>7</v>
      </c>
      <c r="Z9" s="174">
        <v>3</v>
      </c>
      <c r="AA9" s="174">
        <v>3</v>
      </c>
      <c r="AB9" s="174">
        <v>4</v>
      </c>
      <c r="AC9" s="174">
        <v>4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>
        <v>2</v>
      </c>
      <c r="AS9" s="174"/>
      <c r="AT9" s="174">
        <v>2</v>
      </c>
      <c r="AU9" s="174"/>
      <c r="AV9" s="174"/>
      <c r="AW9" s="174">
        <f t="shared" si="2"/>
        <v>4</v>
      </c>
      <c r="AX9" s="174">
        <v>715.75</v>
      </c>
      <c r="AY9" s="142"/>
      <c r="BA9" s="142"/>
    </row>
    <row r="10" spans="1:53" x14ac:dyDescent="0.25">
      <c r="A10" s="175" t="s">
        <v>154</v>
      </c>
      <c r="B10" s="174">
        <v>7</v>
      </c>
      <c r="C10" s="174">
        <v>4</v>
      </c>
      <c r="D10" s="174">
        <v>26</v>
      </c>
      <c r="E10" s="174">
        <v>6</v>
      </c>
      <c r="F10" s="174"/>
      <c r="G10" s="174"/>
      <c r="H10" s="174">
        <v>1</v>
      </c>
      <c r="I10" s="174"/>
      <c r="J10" s="174"/>
      <c r="K10" s="174">
        <v>8</v>
      </c>
      <c r="L10" s="174">
        <v>3</v>
      </c>
      <c r="M10" s="174"/>
      <c r="N10" s="174"/>
      <c r="O10" s="174">
        <v>2</v>
      </c>
      <c r="P10" s="174"/>
      <c r="Q10" s="174"/>
      <c r="R10" s="174">
        <v>9</v>
      </c>
      <c r="S10" s="174"/>
      <c r="T10" s="174"/>
      <c r="U10" s="174"/>
      <c r="V10" s="174">
        <v>3</v>
      </c>
      <c r="W10" s="174"/>
      <c r="X10" s="174"/>
      <c r="Y10" s="174">
        <f t="shared" si="3"/>
        <v>26</v>
      </c>
      <c r="Z10" s="174">
        <v>2</v>
      </c>
      <c r="AA10" s="174"/>
      <c r="AB10" s="174">
        <v>4</v>
      </c>
      <c r="AC10" s="174">
        <v>0</v>
      </c>
      <c r="AD10" s="174"/>
      <c r="AE10" s="174"/>
      <c r="AF10" s="174"/>
      <c r="AG10" s="174"/>
      <c r="AH10" s="174"/>
      <c r="AI10" s="174"/>
      <c r="AJ10" s="174">
        <v>2</v>
      </c>
      <c r="AK10" s="174"/>
      <c r="AL10" s="174"/>
      <c r="AM10" s="174"/>
      <c r="AN10" s="174"/>
      <c r="AO10" s="174"/>
      <c r="AP10" s="174">
        <v>2</v>
      </c>
      <c r="AQ10" s="174"/>
      <c r="AR10" s="174"/>
      <c r="AS10" s="174"/>
      <c r="AT10" s="174"/>
      <c r="AU10" s="174"/>
      <c r="AV10" s="174"/>
      <c r="AW10" s="174">
        <f t="shared" si="2"/>
        <v>4</v>
      </c>
      <c r="AX10" s="174">
        <v>901.45</v>
      </c>
      <c r="AY10" s="142"/>
      <c r="BA10" s="142"/>
    </row>
    <row r="11" spans="1:53" x14ac:dyDescent="0.25">
      <c r="A11" s="175" t="s">
        <v>155</v>
      </c>
      <c r="B11" s="174">
        <v>3</v>
      </c>
      <c r="C11" s="174">
        <v>1</v>
      </c>
      <c r="D11" s="174">
        <v>48</v>
      </c>
      <c r="E11" s="174">
        <v>25</v>
      </c>
      <c r="F11" s="174"/>
      <c r="G11" s="174"/>
      <c r="H11" s="174">
        <v>20</v>
      </c>
      <c r="I11" s="174"/>
      <c r="J11" s="174"/>
      <c r="K11" s="174">
        <v>1</v>
      </c>
      <c r="L11" s="174"/>
      <c r="M11" s="174"/>
      <c r="N11" s="174"/>
      <c r="O11" s="174"/>
      <c r="P11" s="174"/>
      <c r="Q11" s="174"/>
      <c r="R11" s="174"/>
      <c r="S11" s="174">
        <v>2</v>
      </c>
      <c r="T11" s="174"/>
      <c r="U11" s="174"/>
      <c r="V11" s="174">
        <v>25</v>
      </c>
      <c r="W11" s="174"/>
      <c r="X11" s="174"/>
      <c r="Y11" s="174">
        <f t="shared" si="3"/>
        <v>48</v>
      </c>
      <c r="Z11" s="174">
        <v>2</v>
      </c>
      <c r="AA11" s="174">
        <v>1</v>
      </c>
      <c r="AB11" s="174">
        <v>26</v>
      </c>
      <c r="AC11" s="174">
        <v>25</v>
      </c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>
        <v>1</v>
      </c>
      <c r="AR11" s="174"/>
      <c r="AS11" s="174"/>
      <c r="AT11" s="174">
        <v>25</v>
      </c>
      <c r="AU11" s="174"/>
      <c r="AV11" s="174"/>
      <c r="AW11" s="174">
        <f t="shared" si="2"/>
        <v>26</v>
      </c>
      <c r="AX11" s="174">
        <v>160</v>
      </c>
      <c r="AY11" s="142"/>
      <c r="BA11" s="142"/>
    </row>
    <row r="12" spans="1:53" x14ac:dyDescent="0.25">
      <c r="A12" s="175" t="s">
        <v>156</v>
      </c>
      <c r="B12" s="174">
        <v>1</v>
      </c>
      <c r="C12" s="174">
        <v>1</v>
      </c>
      <c r="D12" s="174">
        <v>1</v>
      </c>
      <c r="E12" s="174">
        <v>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>
        <v>1</v>
      </c>
      <c r="U12" s="174"/>
      <c r="V12" s="174"/>
      <c r="W12" s="174"/>
      <c r="X12" s="174"/>
      <c r="Y12" s="174">
        <f t="shared" si="3"/>
        <v>1</v>
      </c>
      <c r="Z12" s="174"/>
      <c r="AA12" s="174"/>
      <c r="AB12" s="174"/>
      <c r="AC12" s="174">
        <v>0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42"/>
      <c r="BA12" s="142"/>
    </row>
    <row r="13" spans="1:53" x14ac:dyDescent="0.25">
      <c r="A13" s="175" t="s">
        <v>157</v>
      </c>
      <c r="B13" s="174">
        <v>4</v>
      </c>
      <c r="C13" s="174">
        <v>2</v>
      </c>
      <c r="D13" s="174">
        <v>12</v>
      </c>
      <c r="E13" s="174">
        <v>3</v>
      </c>
      <c r="F13" s="174"/>
      <c r="G13" s="174"/>
      <c r="H13" s="174">
        <v>5</v>
      </c>
      <c r="I13" s="174"/>
      <c r="J13" s="174">
        <v>2</v>
      </c>
      <c r="K13" s="174"/>
      <c r="L13" s="174">
        <v>2</v>
      </c>
      <c r="M13" s="174"/>
      <c r="N13" s="174"/>
      <c r="O13" s="174"/>
      <c r="P13" s="174"/>
      <c r="Q13" s="174"/>
      <c r="R13" s="174">
        <v>2</v>
      </c>
      <c r="S13" s="174"/>
      <c r="T13" s="174">
        <v>1</v>
      </c>
      <c r="U13" s="174"/>
      <c r="V13" s="174"/>
      <c r="W13" s="174"/>
      <c r="X13" s="174"/>
      <c r="Y13" s="174">
        <f t="shared" si="3"/>
        <v>12</v>
      </c>
      <c r="Z13" s="174">
        <v>2</v>
      </c>
      <c r="AA13" s="174">
        <v>1</v>
      </c>
      <c r="AB13" s="174">
        <v>6</v>
      </c>
      <c r="AC13" s="174">
        <v>1</v>
      </c>
      <c r="AD13" s="174"/>
      <c r="AE13" s="174"/>
      <c r="AF13" s="174">
        <v>4</v>
      </c>
      <c r="AG13" s="174"/>
      <c r="AH13" s="174"/>
      <c r="AI13" s="174"/>
      <c r="AJ13" s="174">
        <v>1</v>
      </c>
      <c r="AK13" s="174"/>
      <c r="AL13" s="174"/>
      <c r="AM13" s="174"/>
      <c r="AN13" s="174"/>
      <c r="AO13" s="174"/>
      <c r="AP13" s="174"/>
      <c r="AQ13" s="174"/>
      <c r="AR13" s="174">
        <v>1</v>
      </c>
      <c r="AS13" s="174"/>
      <c r="AT13" s="174"/>
      <c r="AU13" s="174"/>
      <c r="AV13" s="174"/>
      <c r="AW13" s="174">
        <f>SUM(AD13:AV13)</f>
        <v>6</v>
      </c>
      <c r="AX13" s="174">
        <v>2016.67</v>
      </c>
      <c r="AY13" s="142"/>
      <c r="BA13" s="142"/>
    </row>
    <row r="14" spans="1:53" x14ac:dyDescent="0.25">
      <c r="A14" s="175" t="s">
        <v>158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>
        <v>0</v>
      </c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42"/>
      <c r="BA14" s="142"/>
    </row>
    <row r="15" spans="1:53" x14ac:dyDescent="0.25">
      <c r="A15" s="175" t="s">
        <v>77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42"/>
      <c r="BA15" s="142"/>
    </row>
    <row r="16" spans="1:53" x14ac:dyDescent="0.25">
      <c r="A16" s="175" t="s">
        <v>78</v>
      </c>
      <c r="B16" s="174">
        <v>3</v>
      </c>
      <c r="C16" s="174">
        <v>3</v>
      </c>
      <c r="D16" s="174">
        <v>4</v>
      </c>
      <c r="E16" s="174">
        <v>4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>
        <v>4</v>
      </c>
      <c r="W16" s="174"/>
      <c r="X16" s="174"/>
      <c r="Y16" s="174">
        <f t="shared" si="3"/>
        <v>4</v>
      </c>
      <c r="Z16" s="174">
        <v>2</v>
      </c>
      <c r="AA16" s="174">
        <v>1</v>
      </c>
      <c r="AB16" s="174">
        <v>4</v>
      </c>
      <c r="AC16" s="174">
        <v>4</v>
      </c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>
        <v>4</v>
      </c>
      <c r="AU16" s="174"/>
      <c r="AV16" s="174"/>
      <c r="AW16" s="174">
        <f>SUM(AD16:AV16)</f>
        <v>4</v>
      </c>
      <c r="AX16" s="174">
        <v>492.18</v>
      </c>
      <c r="AY16" s="142"/>
      <c r="BA16" s="142"/>
    </row>
    <row r="17" spans="1:53" x14ac:dyDescent="0.25">
      <c r="A17" s="175" t="s">
        <v>79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>
        <v>0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42"/>
      <c r="BA17" s="142"/>
    </row>
    <row r="18" spans="1:53" x14ac:dyDescent="0.25">
      <c r="A18" s="175" t="s">
        <v>80</v>
      </c>
      <c r="B18" s="174">
        <v>2</v>
      </c>
      <c r="C18" s="174"/>
      <c r="D18" s="174">
        <v>3</v>
      </c>
      <c r="E18" s="174"/>
      <c r="F18" s="174"/>
      <c r="G18" s="174"/>
      <c r="H18" s="174">
        <v>2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>
        <v>1</v>
      </c>
      <c r="W18" s="174"/>
      <c r="X18" s="174"/>
      <c r="Y18" s="174">
        <f t="shared" si="3"/>
        <v>3</v>
      </c>
      <c r="Z18" s="174">
        <v>1</v>
      </c>
      <c r="AA18" s="174"/>
      <c r="AB18" s="174">
        <v>1</v>
      </c>
      <c r="AC18" s="174">
        <v>0</v>
      </c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>
        <v>1</v>
      </c>
      <c r="AU18" s="174"/>
      <c r="AV18" s="174"/>
      <c r="AW18" s="174">
        <f>SUM(AD18:AV18)</f>
        <v>1</v>
      </c>
      <c r="AX18" s="174">
        <v>712</v>
      </c>
      <c r="AY18" s="142"/>
      <c r="BA18" s="142"/>
    </row>
    <row r="19" spans="1:53" x14ac:dyDescent="0.25">
      <c r="A19" s="175" t="s">
        <v>81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42"/>
      <c r="BA19" s="142"/>
    </row>
    <row r="20" spans="1:53" x14ac:dyDescent="0.25">
      <c r="A20" s="175" t="s">
        <v>82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>
        <v>0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42"/>
      <c r="BA20" s="142"/>
    </row>
    <row r="21" spans="1:53" x14ac:dyDescent="0.25">
      <c r="A21" s="175" t="s">
        <v>83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>
        <v>0</v>
      </c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42"/>
      <c r="BA21" s="142"/>
    </row>
    <row r="22" spans="1:53" x14ac:dyDescent="0.25">
      <c r="A22" s="175" t="s">
        <v>84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>
        <v>0</v>
      </c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42"/>
      <c r="BA22" s="142"/>
    </row>
    <row r="23" spans="1:53" x14ac:dyDescent="0.25">
      <c r="A23" s="175" t="s">
        <v>85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>
        <v>0</v>
      </c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42"/>
      <c r="BA23" s="142"/>
    </row>
    <row r="24" spans="1:53" x14ac:dyDescent="0.25">
      <c r="A24" s="175" t="s">
        <v>86</v>
      </c>
      <c r="B24" s="174">
        <v>9</v>
      </c>
      <c r="C24" s="174">
        <v>4</v>
      </c>
      <c r="D24" s="174">
        <v>93</v>
      </c>
      <c r="E24" s="174">
        <v>34</v>
      </c>
      <c r="F24" s="174"/>
      <c r="G24" s="174"/>
      <c r="H24" s="174">
        <v>2</v>
      </c>
      <c r="I24" s="174"/>
      <c r="J24" s="174">
        <v>30</v>
      </c>
      <c r="K24" s="174">
        <v>1</v>
      </c>
      <c r="L24" s="174">
        <v>1</v>
      </c>
      <c r="M24" s="174"/>
      <c r="N24" s="174"/>
      <c r="O24" s="174"/>
      <c r="P24" s="174"/>
      <c r="Q24" s="174"/>
      <c r="R24" s="174">
        <v>9</v>
      </c>
      <c r="S24" s="174"/>
      <c r="T24" s="174">
        <v>2</v>
      </c>
      <c r="U24" s="174"/>
      <c r="V24" s="174">
        <v>48</v>
      </c>
      <c r="W24" s="174"/>
      <c r="X24" s="174"/>
      <c r="Y24" s="174">
        <f t="shared" si="3"/>
        <v>93</v>
      </c>
      <c r="Z24" s="174">
        <v>8</v>
      </c>
      <c r="AA24" s="174">
        <v>4</v>
      </c>
      <c r="AB24" s="174">
        <v>37</v>
      </c>
      <c r="AC24" s="174">
        <v>33</v>
      </c>
      <c r="AD24" s="174"/>
      <c r="AE24" s="174"/>
      <c r="AF24" s="174"/>
      <c r="AG24" s="174"/>
      <c r="AH24" s="174">
        <v>30</v>
      </c>
      <c r="AI24" s="174">
        <v>1</v>
      </c>
      <c r="AJ24" s="174">
        <v>1</v>
      </c>
      <c r="AK24" s="174"/>
      <c r="AL24" s="174"/>
      <c r="AM24" s="174"/>
      <c r="AN24" s="174"/>
      <c r="AO24" s="174"/>
      <c r="AP24" s="174">
        <v>2</v>
      </c>
      <c r="AQ24" s="174"/>
      <c r="AR24" s="174">
        <v>2</v>
      </c>
      <c r="AS24" s="174"/>
      <c r="AT24" s="174">
        <v>1</v>
      </c>
      <c r="AU24" s="174"/>
      <c r="AV24" s="174"/>
      <c r="AW24" s="174">
        <f>SUM(AD24:AV24)</f>
        <v>37</v>
      </c>
      <c r="AX24" s="174">
        <v>377.12</v>
      </c>
      <c r="AY24" s="142"/>
      <c r="BA24" s="142"/>
    </row>
    <row r="25" spans="1:53" x14ac:dyDescent="0.25">
      <c r="A25" s="175" t="s">
        <v>87</v>
      </c>
      <c r="B25" s="174">
        <v>5</v>
      </c>
      <c r="C25" s="174"/>
      <c r="D25" s="174">
        <v>17</v>
      </c>
      <c r="E25" s="174"/>
      <c r="F25" s="174"/>
      <c r="G25" s="174"/>
      <c r="H25" s="174">
        <v>15</v>
      </c>
      <c r="I25" s="174"/>
      <c r="J25" s="174"/>
      <c r="K25" s="174"/>
      <c r="L25" s="174">
        <v>1</v>
      </c>
      <c r="M25" s="174"/>
      <c r="N25" s="174"/>
      <c r="O25" s="174"/>
      <c r="P25" s="174"/>
      <c r="Q25" s="174"/>
      <c r="R25" s="174">
        <v>1</v>
      </c>
      <c r="S25" s="174"/>
      <c r="T25" s="174"/>
      <c r="U25" s="174"/>
      <c r="V25" s="174"/>
      <c r="W25" s="174"/>
      <c r="X25" s="174"/>
      <c r="Y25" s="174">
        <f t="shared" si="3"/>
        <v>17</v>
      </c>
      <c r="Z25" s="174">
        <v>3</v>
      </c>
      <c r="AA25" s="174"/>
      <c r="AB25" s="174">
        <v>5</v>
      </c>
      <c r="AC25" s="174">
        <v>0</v>
      </c>
      <c r="AD25" s="174"/>
      <c r="AE25" s="174"/>
      <c r="AF25" s="174">
        <v>4</v>
      </c>
      <c r="AG25" s="174"/>
      <c r="AH25" s="174"/>
      <c r="AI25" s="174"/>
      <c r="AJ25" s="174">
        <v>1</v>
      </c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>
        <f>SUM(AD25:AV25)</f>
        <v>5</v>
      </c>
      <c r="AX25" s="174">
        <v>1337.6</v>
      </c>
      <c r="AY25" s="142"/>
      <c r="BA25" s="142"/>
    </row>
    <row r="26" spans="1:53" x14ac:dyDescent="0.25">
      <c r="A26" s="173" t="s">
        <v>30</v>
      </c>
      <c r="B26" s="174">
        <f>B27+B28+B29+B30+B31+B32+B33+B34+B35+B36+B37+B38+B39+B40+B41+B42+B43</f>
        <v>213</v>
      </c>
      <c r="C26" s="174">
        <f t="shared" ref="C26:X26" si="4">C27+C28+C29+C30+C31+C32+C33+C34+C35+C36+C37+C38+C39+C40+C41+C42+C43</f>
        <v>92</v>
      </c>
      <c r="D26" s="174">
        <f t="shared" si="4"/>
        <v>1787</v>
      </c>
      <c r="E26" s="174">
        <f t="shared" si="4"/>
        <v>1104</v>
      </c>
      <c r="F26" s="174">
        <f t="shared" si="4"/>
        <v>0</v>
      </c>
      <c r="G26" s="174">
        <f t="shared" si="4"/>
        <v>0</v>
      </c>
      <c r="H26" s="174">
        <f t="shared" si="4"/>
        <v>3</v>
      </c>
      <c r="I26" s="174">
        <f t="shared" si="4"/>
        <v>0</v>
      </c>
      <c r="J26" s="174">
        <f t="shared" si="4"/>
        <v>0</v>
      </c>
      <c r="K26" s="174">
        <f t="shared" si="4"/>
        <v>0</v>
      </c>
      <c r="L26" s="174">
        <f t="shared" si="4"/>
        <v>4</v>
      </c>
      <c r="M26" s="174">
        <f t="shared" si="4"/>
        <v>0</v>
      </c>
      <c r="N26" s="174">
        <f t="shared" si="4"/>
        <v>4</v>
      </c>
      <c r="O26" s="174">
        <f t="shared" si="4"/>
        <v>0</v>
      </c>
      <c r="P26" s="174">
        <f t="shared" si="4"/>
        <v>0</v>
      </c>
      <c r="Q26" s="174">
        <f t="shared" si="4"/>
        <v>0</v>
      </c>
      <c r="R26" s="174">
        <f t="shared" si="4"/>
        <v>3</v>
      </c>
      <c r="S26" s="174">
        <f t="shared" si="4"/>
        <v>0</v>
      </c>
      <c r="T26" s="174">
        <f t="shared" si="4"/>
        <v>0</v>
      </c>
      <c r="U26" s="174">
        <f t="shared" si="4"/>
        <v>9</v>
      </c>
      <c r="V26" s="174">
        <f t="shared" si="4"/>
        <v>1720</v>
      </c>
      <c r="W26" s="174">
        <f t="shared" si="4"/>
        <v>4</v>
      </c>
      <c r="X26" s="174">
        <f t="shared" si="4"/>
        <v>40</v>
      </c>
      <c r="Y26" s="174">
        <f t="shared" si="3"/>
        <v>1787</v>
      </c>
      <c r="Z26" s="174">
        <f t="shared" ref="Z26:AV26" si="5">SUM(Z27:Z43)</f>
        <v>168</v>
      </c>
      <c r="AA26" s="174">
        <f t="shared" si="5"/>
        <v>70</v>
      </c>
      <c r="AB26" s="174">
        <f t="shared" si="5"/>
        <v>895</v>
      </c>
      <c r="AC26" s="174">
        <f t="shared" si="5"/>
        <v>550</v>
      </c>
      <c r="AD26" s="174">
        <f t="shared" si="5"/>
        <v>0</v>
      </c>
      <c r="AE26" s="174">
        <f t="shared" si="5"/>
        <v>0</v>
      </c>
      <c r="AF26" s="174">
        <f t="shared" si="5"/>
        <v>2</v>
      </c>
      <c r="AG26" s="174">
        <f t="shared" si="5"/>
        <v>0</v>
      </c>
      <c r="AH26" s="174">
        <f t="shared" si="5"/>
        <v>0</v>
      </c>
      <c r="AI26" s="174">
        <f t="shared" si="5"/>
        <v>0</v>
      </c>
      <c r="AJ26" s="174">
        <f t="shared" si="5"/>
        <v>4</v>
      </c>
      <c r="AK26" s="174">
        <f t="shared" si="5"/>
        <v>0</v>
      </c>
      <c r="AL26" s="174">
        <f t="shared" si="5"/>
        <v>2</v>
      </c>
      <c r="AM26" s="174">
        <f t="shared" si="5"/>
        <v>0</v>
      </c>
      <c r="AN26" s="174">
        <f t="shared" si="5"/>
        <v>0</v>
      </c>
      <c r="AO26" s="174">
        <f t="shared" si="5"/>
        <v>0</v>
      </c>
      <c r="AP26" s="174">
        <f t="shared" si="5"/>
        <v>0</v>
      </c>
      <c r="AQ26" s="174">
        <f t="shared" si="5"/>
        <v>0</v>
      </c>
      <c r="AR26" s="174">
        <f t="shared" si="5"/>
        <v>0</v>
      </c>
      <c r="AS26" s="174">
        <f t="shared" si="5"/>
        <v>5</v>
      </c>
      <c r="AT26" s="174">
        <f t="shared" si="5"/>
        <v>866</v>
      </c>
      <c r="AU26" s="174">
        <f t="shared" si="5"/>
        <v>0</v>
      </c>
      <c r="AV26" s="174">
        <f t="shared" si="5"/>
        <v>16</v>
      </c>
      <c r="AW26" s="174">
        <f>SUM(AD26:AV26)</f>
        <v>895</v>
      </c>
      <c r="AX26" s="174"/>
      <c r="AY26" s="184">
        <f>Z26*100/B26</f>
        <v>78.873239436619713</v>
      </c>
      <c r="AZ26" s="174">
        <f>B26-Z26</f>
        <v>45</v>
      </c>
      <c r="BA26" s="184">
        <f>AZ26*100/B26</f>
        <v>21.12676056338028</v>
      </c>
    </row>
    <row r="27" spans="1:53" x14ac:dyDescent="0.25">
      <c r="A27" s="175" t="s">
        <v>150</v>
      </c>
      <c r="B27" s="174">
        <v>14</v>
      </c>
      <c r="C27" s="174">
        <v>9</v>
      </c>
      <c r="D27" s="174">
        <v>608</v>
      </c>
      <c r="E27" s="174">
        <v>504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>
        <v>608</v>
      </c>
      <c r="W27" s="174"/>
      <c r="X27" s="174"/>
      <c r="Y27" s="174">
        <f t="shared" si="3"/>
        <v>608</v>
      </c>
      <c r="Z27" s="174">
        <v>9</v>
      </c>
      <c r="AA27" s="174">
        <v>5</v>
      </c>
      <c r="AB27" s="174">
        <v>362</v>
      </c>
      <c r="AC27" s="174">
        <v>259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>
        <v>362</v>
      </c>
      <c r="AU27" s="174"/>
      <c r="AV27" s="174"/>
      <c r="AW27" s="174">
        <f>SUM(AD27:AV27)</f>
        <v>362</v>
      </c>
      <c r="AX27" s="174">
        <v>787.65</v>
      </c>
      <c r="AY27" s="142"/>
      <c r="BA27" s="142"/>
    </row>
    <row r="28" spans="1:53" x14ac:dyDescent="0.25">
      <c r="A28" s="175" t="s">
        <v>149</v>
      </c>
      <c r="B28" s="174">
        <v>7</v>
      </c>
      <c r="C28" s="174">
        <v>7</v>
      </c>
      <c r="D28" s="174">
        <v>175</v>
      </c>
      <c r="E28" s="174">
        <v>149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>
        <v>175</v>
      </c>
      <c r="W28" s="174"/>
      <c r="X28" s="174"/>
      <c r="Y28" s="174">
        <f t="shared" si="3"/>
        <v>175</v>
      </c>
      <c r="Z28" s="174">
        <v>5</v>
      </c>
      <c r="AA28" s="174">
        <v>4</v>
      </c>
      <c r="AB28" s="174">
        <v>131</v>
      </c>
      <c r="AC28" s="174">
        <v>105</v>
      </c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>
        <v>131</v>
      </c>
      <c r="AU28" s="174"/>
      <c r="AV28" s="174"/>
      <c r="AW28" s="174">
        <f>SUM(AD28:AV28)</f>
        <v>131</v>
      </c>
      <c r="AX28" s="174">
        <v>637.98</v>
      </c>
      <c r="AY28" s="142"/>
      <c r="BA28" s="142"/>
    </row>
    <row r="29" spans="1:53" x14ac:dyDescent="0.25">
      <c r="A29" s="175" t="s">
        <v>148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42"/>
      <c r="BA29" s="142"/>
    </row>
    <row r="30" spans="1:53" x14ac:dyDescent="0.25">
      <c r="A30" s="175" t="s">
        <v>147</v>
      </c>
      <c r="B30" s="174">
        <v>152</v>
      </c>
      <c r="C30" s="174">
        <v>70</v>
      </c>
      <c r="D30" s="174">
        <v>540</v>
      </c>
      <c r="E30" s="174">
        <v>158</v>
      </c>
      <c r="F30" s="174"/>
      <c r="G30" s="174"/>
      <c r="H30" s="174">
        <v>2</v>
      </c>
      <c r="I30" s="174"/>
      <c r="J30" s="174"/>
      <c r="K30" s="174"/>
      <c r="L30" s="174">
        <v>4</v>
      </c>
      <c r="M30" s="174"/>
      <c r="N30" s="174">
        <v>4</v>
      </c>
      <c r="O30" s="174"/>
      <c r="P30" s="174"/>
      <c r="Q30" s="174"/>
      <c r="R30" s="174">
        <v>1</v>
      </c>
      <c r="S30" s="174"/>
      <c r="T30" s="174"/>
      <c r="U30" s="174">
        <v>9</v>
      </c>
      <c r="V30" s="174">
        <v>477</v>
      </c>
      <c r="W30" s="174">
        <v>4</v>
      </c>
      <c r="X30" s="174">
        <v>39</v>
      </c>
      <c r="Y30" s="174">
        <f t="shared" si="3"/>
        <v>540</v>
      </c>
      <c r="Z30" s="174">
        <v>132</v>
      </c>
      <c r="AA30" s="174">
        <v>49</v>
      </c>
      <c r="AB30" s="174">
        <v>312</v>
      </c>
      <c r="AC30" s="174">
        <v>123</v>
      </c>
      <c r="AD30" s="174"/>
      <c r="AE30" s="174"/>
      <c r="AF30" s="174">
        <v>2</v>
      </c>
      <c r="AG30" s="174"/>
      <c r="AH30" s="174"/>
      <c r="AI30" s="174"/>
      <c r="AJ30" s="174">
        <v>4</v>
      </c>
      <c r="AK30" s="174"/>
      <c r="AL30" s="174">
        <v>2</v>
      </c>
      <c r="AM30" s="174"/>
      <c r="AN30" s="174"/>
      <c r="AO30" s="174"/>
      <c r="AP30" s="174"/>
      <c r="AQ30" s="174"/>
      <c r="AR30" s="174"/>
      <c r="AS30" s="174">
        <v>5</v>
      </c>
      <c r="AT30" s="174">
        <v>284</v>
      </c>
      <c r="AU30" s="174"/>
      <c r="AV30" s="174">
        <v>15</v>
      </c>
      <c r="AW30" s="174">
        <f>SUM(AD30:AV30)</f>
        <v>312</v>
      </c>
      <c r="AX30" s="174">
        <v>2191.17</v>
      </c>
      <c r="AY30" s="142"/>
      <c r="BA30" s="142"/>
    </row>
    <row r="31" spans="1:53" x14ac:dyDescent="0.25">
      <c r="A31" s="175" t="s">
        <v>146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>
        <v>0</v>
      </c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42"/>
      <c r="BA31" s="142"/>
    </row>
    <row r="32" spans="1:53" x14ac:dyDescent="0.25">
      <c r="A32" s="175" t="s">
        <v>58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84"/>
      <c r="AU32" s="142"/>
      <c r="AV32" s="142"/>
      <c r="AW32" s="174"/>
      <c r="AY32" s="142"/>
      <c r="BA32" s="142"/>
    </row>
    <row r="33" spans="1:53" x14ac:dyDescent="0.25">
      <c r="A33" s="175" t="s">
        <v>88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>
        <v>0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42"/>
      <c r="BA33" s="142"/>
    </row>
    <row r="34" spans="1:53" x14ac:dyDescent="0.25">
      <c r="A34" s="175" t="s">
        <v>89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>
        <v>0</v>
      </c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42"/>
      <c r="BA34" s="142"/>
    </row>
    <row r="35" spans="1:53" x14ac:dyDescent="0.25">
      <c r="A35" s="175" t="s">
        <v>90</v>
      </c>
      <c r="B35" s="174">
        <v>13</v>
      </c>
      <c r="C35" s="174"/>
      <c r="D35" s="174">
        <v>19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>
        <v>2</v>
      </c>
      <c r="S35" s="174"/>
      <c r="T35" s="174"/>
      <c r="U35" s="174"/>
      <c r="V35" s="174">
        <v>17</v>
      </c>
      <c r="W35" s="174"/>
      <c r="X35" s="174"/>
      <c r="Y35" s="174">
        <f t="shared" si="3"/>
        <v>19</v>
      </c>
      <c r="Z35" s="174">
        <v>7</v>
      </c>
      <c r="AA35" s="174"/>
      <c r="AB35" s="174">
        <v>9</v>
      </c>
      <c r="AC35" s="174">
        <v>0</v>
      </c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>
        <v>9</v>
      </c>
      <c r="AU35" s="174"/>
      <c r="AV35" s="174"/>
      <c r="AW35" s="174">
        <f>SUM(AD35:AV35)</f>
        <v>9</v>
      </c>
      <c r="AX35" s="174">
        <v>3566.67</v>
      </c>
      <c r="AY35" s="142"/>
      <c r="BA35" s="142"/>
    </row>
    <row r="36" spans="1:53" x14ac:dyDescent="0.25">
      <c r="A36" s="175" t="s">
        <v>91</v>
      </c>
      <c r="B36" s="174">
        <v>11</v>
      </c>
      <c r="C36" s="174"/>
      <c r="D36" s="174">
        <v>25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>
        <v>25</v>
      </c>
      <c r="W36" s="174"/>
      <c r="X36" s="174"/>
      <c r="Y36" s="174">
        <f t="shared" si="3"/>
        <v>25</v>
      </c>
      <c r="Z36" s="174">
        <v>5</v>
      </c>
      <c r="AA36" s="174"/>
      <c r="AB36" s="174">
        <v>5</v>
      </c>
      <c r="AC36" s="174">
        <v>0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>
        <v>5</v>
      </c>
      <c r="AU36" s="174"/>
      <c r="AV36" s="174"/>
      <c r="AW36" s="174">
        <f>SUM(AD36:AV36)</f>
        <v>5</v>
      </c>
      <c r="AX36" s="174">
        <v>7937.68</v>
      </c>
      <c r="AY36" s="142"/>
      <c r="BA36" s="142"/>
    </row>
    <row r="37" spans="1:53" x14ac:dyDescent="0.25">
      <c r="A37" s="175" t="s">
        <v>145</v>
      </c>
      <c r="B37" s="174">
        <v>1</v>
      </c>
      <c r="C37" s="174"/>
      <c r="D37" s="174">
        <v>1</v>
      </c>
      <c r="E37" s="174"/>
      <c r="F37" s="174"/>
      <c r="G37" s="174"/>
      <c r="H37" s="174">
        <v>1</v>
      </c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>
        <f t="shared" si="3"/>
        <v>1</v>
      </c>
      <c r="Z37" s="174"/>
      <c r="AA37" s="174"/>
      <c r="AB37" s="174"/>
      <c r="AC37" s="174">
        <v>0</v>
      </c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42"/>
      <c r="BA37" s="142"/>
    </row>
    <row r="38" spans="1:53" x14ac:dyDescent="0.25">
      <c r="A38" s="175" t="s">
        <v>144</v>
      </c>
      <c r="B38" s="174">
        <v>4</v>
      </c>
      <c r="C38" s="174"/>
      <c r="D38" s="174">
        <v>4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>
        <v>4</v>
      </c>
      <c r="W38" s="174"/>
      <c r="X38" s="174"/>
      <c r="Y38" s="174">
        <f t="shared" si="3"/>
        <v>4</v>
      </c>
      <c r="Z38" s="174"/>
      <c r="AA38" s="174"/>
      <c r="AB38" s="174"/>
      <c r="AC38" s="174">
        <v>0</v>
      </c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42"/>
      <c r="BA38" s="142"/>
    </row>
    <row r="39" spans="1:53" x14ac:dyDescent="0.25">
      <c r="A39" s="175" t="s">
        <v>143</v>
      </c>
      <c r="B39" s="174">
        <v>2</v>
      </c>
      <c r="C39" s="174"/>
      <c r="D39" s="174">
        <v>2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>
        <v>1</v>
      </c>
      <c r="W39" s="174"/>
      <c r="X39" s="174">
        <v>1</v>
      </c>
      <c r="Y39" s="174">
        <f t="shared" si="3"/>
        <v>2</v>
      </c>
      <c r="Z39" s="174">
        <v>1</v>
      </c>
      <c r="AA39" s="174"/>
      <c r="AB39" s="174">
        <v>1</v>
      </c>
      <c r="AC39" s="174">
        <v>0</v>
      </c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>
        <v>1</v>
      </c>
      <c r="AW39" s="174">
        <f>SUM(AD39:AV39)</f>
        <v>1</v>
      </c>
      <c r="AX39" s="174">
        <v>288</v>
      </c>
      <c r="AY39" s="142"/>
      <c r="BA39" s="142"/>
    </row>
    <row r="40" spans="1:53" x14ac:dyDescent="0.25">
      <c r="A40" s="175" t="s">
        <v>92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42"/>
      <c r="BA40" s="142"/>
    </row>
    <row r="41" spans="1:53" x14ac:dyDescent="0.25">
      <c r="A41" s="175" t="s">
        <v>93</v>
      </c>
      <c r="B41" s="174">
        <v>9</v>
      </c>
      <c r="C41" s="174">
        <v>6</v>
      </c>
      <c r="D41" s="174">
        <v>413</v>
      </c>
      <c r="E41" s="174">
        <v>293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>
        <v>413</v>
      </c>
      <c r="W41" s="174"/>
      <c r="X41" s="174"/>
      <c r="Y41" s="174">
        <f t="shared" si="3"/>
        <v>413</v>
      </c>
      <c r="Z41" s="174">
        <v>9</v>
      </c>
      <c r="AA41" s="174">
        <v>12</v>
      </c>
      <c r="AB41" s="174">
        <v>75</v>
      </c>
      <c r="AC41" s="174">
        <v>63</v>
      </c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>
        <v>75</v>
      </c>
      <c r="AU41" s="174"/>
      <c r="AV41" s="174"/>
      <c r="AW41" s="174">
        <f>SUM(AD41:AV41)</f>
        <v>75</v>
      </c>
      <c r="AX41" s="174">
        <v>2093.0500000000002</v>
      </c>
      <c r="AY41" s="142"/>
      <c r="BA41" s="142"/>
    </row>
    <row r="42" spans="1:53" x14ac:dyDescent="0.25">
      <c r="A42" s="175" t="s">
        <v>94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42"/>
      <c r="BA42" s="142"/>
    </row>
    <row r="43" spans="1:53" x14ac:dyDescent="0.25">
      <c r="A43" s="175" t="s">
        <v>95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42"/>
      <c r="BA43" s="142"/>
    </row>
    <row r="44" spans="1:53" x14ac:dyDescent="0.25">
      <c r="A44" s="173" t="s">
        <v>31</v>
      </c>
      <c r="B44" s="174">
        <f>SUM(B45:B62)</f>
        <v>40</v>
      </c>
      <c r="C44" s="174">
        <f t="shared" ref="C44:X44" si="6">SUM(C45:C58)</f>
        <v>2</v>
      </c>
      <c r="D44" s="174">
        <f t="shared" si="6"/>
        <v>396</v>
      </c>
      <c r="E44" s="174">
        <f t="shared" si="6"/>
        <v>11</v>
      </c>
      <c r="F44" s="174">
        <f t="shared" si="6"/>
        <v>0</v>
      </c>
      <c r="G44" s="174">
        <f t="shared" si="6"/>
        <v>0</v>
      </c>
      <c r="H44" s="174">
        <f t="shared" si="6"/>
        <v>157</v>
      </c>
      <c r="I44" s="174">
        <f t="shared" si="6"/>
        <v>0</v>
      </c>
      <c r="J44" s="174">
        <f t="shared" si="6"/>
        <v>0</v>
      </c>
      <c r="K44" s="174">
        <f t="shared" si="6"/>
        <v>13</v>
      </c>
      <c r="L44" s="174">
        <f t="shared" si="6"/>
        <v>153</v>
      </c>
      <c r="M44" s="174">
        <f t="shared" si="6"/>
        <v>4</v>
      </c>
      <c r="N44" s="174">
        <f t="shared" si="6"/>
        <v>8</v>
      </c>
      <c r="O44" s="174">
        <f t="shared" si="6"/>
        <v>19</v>
      </c>
      <c r="P44" s="174">
        <f t="shared" si="6"/>
        <v>23</v>
      </c>
      <c r="Q44" s="174">
        <f t="shared" si="6"/>
        <v>0</v>
      </c>
      <c r="R44" s="174">
        <f t="shared" si="6"/>
        <v>8</v>
      </c>
      <c r="S44" s="174">
        <f t="shared" si="6"/>
        <v>3</v>
      </c>
      <c r="T44" s="174">
        <f t="shared" si="6"/>
        <v>0</v>
      </c>
      <c r="U44" s="174">
        <f t="shared" si="6"/>
        <v>6</v>
      </c>
      <c r="V44" s="174">
        <f t="shared" si="6"/>
        <v>0</v>
      </c>
      <c r="W44" s="174">
        <f t="shared" si="6"/>
        <v>0</v>
      </c>
      <c r="X44" s="174">
        <f t="shared" si="6"/>
        <v>2</v>
      </c>
      <c r="Y44" s="174">
        <f t="shared" si="3"/>
        <v>396</v>
      </c>
      <c r="Z44" s="174">
        <f t="shared" ref="Z44:AV44" si="7">SUM(Z45:Z62)</f>
        <v>16</v>
      </c>
      <c r="AA44" s="174">
        <f t="shared" si="7"/>
        <v>2</v>
      </c>
      <c r="AB44" s="174">
        <f t="shared" si="7"/>
        <v>217</v>
      </c>
      <c r="AC44" s="174">
        <f t="shared" si="7"/>
        <v>7</v>
      </c>
      <c r="AD44" s="174">
        <f t="shared" si="7"/>
        <v>0</v>
      </c>
      <c r="AE44" s="174">
        <f t="shared" si="7"/>
        <v>0</v>
      </c>
      <c r="AF44" s="174">
        <f t="shared" si="7"/>
        <v>119</v>
      </c>
      <c r="AG44" s="174">
        <f t="shared" si="7"/>
        <v>0</v>
      </c>
      <c r="AH44" s="174">
        <f t="shared" si="7"/>
        <v>0</v>
      </c>
      <c r="AI44" s="174">
        <f t="shared" si="7"/>
        <v>0</v>
      </c>
      <c r="AJ44" s="174">
        <f t="shared" si="7"/>
        <v>75</v>
      </c>
      <c r="AK44" s="174">
        <f t="shared" si="7"/>
        <v>4</v>
      </c>
      <c r="AL44" s="174">
        <f t="shared" si="7"/>
        <v>0</v>
      </c>
      <c r="AM44" s="174">
        <f t="shared" si="7"/>
        <v>6</v>
      </c>
      <c r="AN44" s="174">
        <f t="shared" si="7"/>
        <v>5</v>
      </c>
      <c r="AO44" s="174">
        <f t="shared" si="7"/>
        <v>0</v>
      </c>
      <c r="AP44" s="174">
        <f t="shared" si="7"/>
        <v>3</v>
      </c>
      <c r="AQ44" s="174">
        <f t="shared" si="7"/>
        <v>0</v>
      </c>
      <c r="AR44" s="174">
        <f t="shared" si="7"/>
        <v>0</v>
      </c>
      <c r="AS44" s="174">
        <f t="shared" si="7"/>
        <v>5</v>
      </c>
      <c r="AT44" s="174">
        <f t="shared" si="7"/>
        <v>0</v>
      </c>
      <c r="AU44" s="174">
        <f t="shared" si="7"/>
        <v>0</v>
      </c>
      <c r="AV44" s="174">
        <f t="shared" si="7"/>
        <v>0</v>
      </c>
      <c r="AW44" s="174">
        <f>SUM(AD44:AV44)</f>
        <v>217</v>
      </c>
      <c r="AX44" s="174"/>
      <c r="AY44" s="184">
        <f>Z44*100/B44</f>
        <v>40</v>
      </c>
      <c r="AZ44" s="174">
        <f>B44-Z44</f>
        <v>24</v>
      </c>
      <c r="BA44" s="184">
        <f>AZ44*100/B44</f>
        <v>60</v>
      </c>
    </row>
    <row r="45" spans="1:53" x14ac:dyDescent="0.25">
      <c r="A45" s="175" t="s">
        <v>142</v>
      </c>
      <c r="B45" s="174">
        <v>1</v>
      </c>
      <c r="C45" s="174"/>
      <c r="D45" s="174">
        <v>1</v>
      </c>
      <c r="E45" s="174"/>
      <c r="F45" s="174"/>
      <c r="G45" s="174"/>
      <c r="H45" s="174">
        <v>1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>
        <f t="shared" si="3"/>
        <v>1</v>
      </c>
      <c r="Z45" s="174"/>
      <c r="AA45" s="174"/>
      <c r="AB45" s="174"/>
      <c r="AC45" s="174">
        <v>0</v>
      </c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42"/>
      <c r="BA45" s="142"/>
    </row>
    <row r="46" spans="1:53" x14ac:dyDescent="0.25">
      <c r="A46" s="175" t="s">
        <v>141</v>
      </c>
      <c r="B46" s="174"/>
      <c r="C46" s="174"/>
      <c r="D46" s="174"/>
      <c r="E46" s="174"/>
      <c r="F46" s="174"/>
      <c r="G46" s="174"/>
      <c r="H46" s="174">
        <v>0</v>
      </c>
      <c r="I46" s="174"/>
      <c r="J46" s="174"/>
      <c r="K46" s="174"/>
      <c r="L46" s="174"/>
      <c r="M46" s="174">
        <v>0</v>
      </c>
      <c r="N46" s="174"/>
      <c r="O46" s="174"/>
      <c r="P46" s="174"/>
      <c r="Q46" s="174"/>
      <c r="R46" s="174"/>
      <c r="S46" s="174">
        <v>0</v>
      </c>
      <c r="T46" s="174"/>
      <c r="U46" s="174"/>
      <c r="V46" s="174"/>
      <c r="W46" s="174"/>
      <c r="X46" s="174"/>
      <c r="Y46" s="174"/>
      <c r="Z46" s="174"/>
      <c r="AA46" s="174"/>
      <c r="AB46" s="174"/>
      <c r="AC46" s="174">
        <v>0</v>
      </c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42"/>
      <c r="BA46" s="142"/>
    </row>
    <row r="47" spans="1:53" x14ac:dyDescent="0.25">
      <c r="A47" s="175" t="s">
        <v>140</v>
      </c>
      <c r="B47" s="174">
        <v>1</v>
      </c>
      <c r="C47" s="174"/>
      <c r="D47" s="174">
        <v>2</v>
      </c>
      <c r="E47" s="174"/>
      <c r="F47" s="174"/>
      <c r="G47" s="174"/>
      <c r="H47" s="174"/>
      <c r="I47" s="174"/>
      <c r="J47" s="174"/>
      <c r="K47" s="174">
        <v>2</v>
      </c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>
        <f t="shared" si="3"/>
        <v>2</v>
      </c>
      <c r="Z47" s="174"/>
      <c r="AA47" s="174"/>
      <c r="AB47" s="174"/>
      <c r="AC47" s="174">
        <v>0</v>
      </c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42"/>
      <c r="BA47" s="142"/>
    </row>
    <row r="48" spans="1:53" x14ac:dyDescent="0.25">
      <c r="A48" s="175" t="s">
        <v>139</v>
      </c>
      <c r="B48" s="174">
        <v>35</v>
      </c>
      <c r="C48" s="174">
        <v>2</v>
      </c>
      <c r="D48" s="174">
        <v>376</v>
      </c>
      <c r="E48" s="174">
        <v>11</v>
      </c>
      <c r="F48" s="174"/>
      <c r="G48" s="174"/>
      <c r="H48" s="174">
        <v>141</v>
      </c>
      <c r="I48" s="174"/>
      <c r="J48" s="174"/>
      <c r="K48" s="174">
        <v>11</v>
      </c>
      <c r="L48" s="174">
        <v>153</v>
      </c>
      <c r="M48" s="174">
        <v>4</v>
      </c>
      <c r="N48" s="174">
        <v>8</v>
      </c>
      <c r="O48" s="174">
        <v>18</v>
      </c>
      <c r="P48" s="174">
        <v>23</v>
      </c>
      <c r="Q48" s="174"/>
      <c r="R48" s="174">
        <v>8</v>
      </c>
      <c r="S48" s="174">
        <v>3</v>
      </c>
      <c r="T48" s="174"/>
      <c r="U48" s="174">
        <v>5</v>
      </c>
      <c r="V48" s="174"/>
      <c r="W48" s="174"/>
      <c r="X48" s="174">
        <v>2</v>
      </c>
      <c r="Y48" s="174">
        <f t="shared" si="3"/>
        <v>376</v>
      </c>
      <c r="Z48" s="174">
        <v>15</v>
      </c>
      <c r="AA48" s="174">
        <v>2</v>
      </c>
      <c r="AB48" s="174">
        <v>202</v>
      </c>
      <c r="AC48" s="174">
        <v>7</v>
      </c>
      <c r="AD48" s="174"/>
      <c r="AE48" s="174"/>
      <c r="AF48" s="174">
        <v>104</v>
      </c>
      <c r="AG48" s="174"/>
      <c r="AH48" s="174"/>
      <c r="AI48" s="174"/>
      <c r="AJ48" s="174">
        <v>75</v>
      </c>
      <c r="AK48" s="174">
        <v>4</v>
      </c>
      <c r="AL48" s="174"/>
      <c r="AM48" s="174">
        <v>6</v>
      </c>
      <c r="AN48" s="174">
        <v>5</v>
      </c>
      <c r="AO48" s="174"/>
      <c r="AP48" s="174">
        <v>3</v>
      </c>
      <c r="AQ48" s="174"/>
      <c r="AR48" s="174"/>
      <c r="AS48" s="174">
        <v>5</v>
      </c>
      <c r="AT48" s="174"/>
      <c r="AU48" s="174"/>
      <c r="AV48" s="174"/>
      <c r="AW48" s="174">
        <f>SUM(AD48:AV48)</f>
        <v>202</v>
      </c>
      <c r="AX48" s="174">
        <v>1278.26</v>
      </c>
      <c r="AY48" s="142"/>
      <c r="BA48" s="142"/>
    </row>
    <row r="49" spans="1:53" x14ac:dyDescent="0.25">
      <c r="A49" s="175" t="s">
        <v>138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>
        <v>0</v>
      </c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42"/>
      <c r="BA49" s="142"/>
    </row>
    <row r="50" spans="1:53" x14ac:dyDescent="0.25">
      <c r="A50" s="175" t="s">
        <v>137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>
        <v>0</v>
      </c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42"/>
      <c r="BA50" s="142"/>
    </row>
    <row r="51" spans="1:53" x14ac:dyDescent="0.25">
      <c r="A51" s="175" t="s">
        <v>136</v>
      </c>
      <c r="B51" s="174">
        <v>1</v>
      </c>
      <c r="C51" s="174"/>
      <c r="D51" s="174">
        <v>1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>
        <v>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>
        <f t="shared" si="3"/>
        <v>1</v>
      </c>
      <c r="Z51" s="174"/>
      <c r="AA51" s="174"/>
      <c r="AB51" s="174"/>
      <c r="AC51" s="174">
        <v>0</v>
      </c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42"/>
      <c r="BA51" s="142"/>
    </row>
    <row r="52" spans="1:53" x14ac:dyDescent="0.25">
      <c r="A52" s="175" t="s">
        <v>135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>
        <v>0</v>
      </c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42"/>
      <c r="BA52" s="142"/>
    </row>
    <row r="53" spans="1:53" x14ac:dyDescent="0.25">
      <c r="A53" s="175" t="s">
        <v>134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>
        <v>0</v>
      </c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42"/>
      <c r="BA53" s="142"/>
    </row>
    <row r="54" spans="1:53" x14ac:dyDescent="0.25">
      <c r="A54" s="175" t="s">
        <v>32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>
        <v>0</v>
      </c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42"/>
      <c r="BA54" s="142"/>
    </row>
    <row r="55" spans="1:53" x14ac:dyDescent="0.25">
      <c r="A55" s="175" t="s">
        <v>33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>
        <v>0</v>
      </c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42"/>
      <c r="BA55" s="142"/>
    </row>
    <row r="56" spans="1:53" x14ac:dyDescent="0.25">
      <c r="A56" s="175" t="s">
        <v>34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>
        <v>0</v>
      </c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42"/>
      <c r="BA56" s="142"/>
    </row>
    <row r="57" spans="1:53" x14ac:dyDescent="0.25">
      <c r="A57" s="175" t="s">
        <v>35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>
        <v>0</v>
      </c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42"/>
      <c r="BA57" s="142"/>
    </row>
    <row r="58" spans="1:53" x14ac:dyDescent="0.25">
      <c r="A58" s="175" t="s">
        <v>36</v>
      </c>
      <c r="B58" s="174">
        <v>2</v>
      </c>
      <c r="C58" s="174"/>
      <c r="D58" s="174">
        <v>16</v>
      </c>
      <c r="E58" s="174"/>
      <c r="F58" s="174"/>
      <c r="G58" s="174"/>
      <c r="H58" s="174">
        <v>15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>
        <v>1</v>
      </c>
      <c r="V58" s="174"/>
      <c r="W58" s="174"/>
      <c r="X58" s="174"/>
      <c r="Y58" s="174">
        <f t="shared" si="3"/>
        <v>16</v>
      </c>
      <c r="Z58" s="174">
        <v>1</v>
      </c>
      <c r="AA58" s="174"/>
      <c r="AB58" s="174">
        <v>15</v>
      </c>
      <c r="AC58" s="174">
        <v>0</v>
      </c>
      <c r="AD58" s="174"/>
      <c r="AE58" s="174"/>
      <c r="AF58" s="174">
        <v>15</v>
      </c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>
        <f>SUM(AD58:AV58)</f>
        <v>15</v>
      </c>
      <c r="AX58" s="174">
        <v>358.4</v>
      </c>
      <c r="AY58" s="142"/>
      <c r="BA58" s="142"/>
    </row>
    <row r="59" spans="1:53" x14ac:dyDescent="0.25">
      <c r="A59" s="175" t="s">
        <v>37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42"/>
      <c r="BA59" s="142"/>
    </row>
    <row r="60" spans="1:53" x14ac:dyDescent="0.25">
      <c r="A60" s="175" t="s">
        <v>38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42"/>
      <c r="BA60" s="142"/>
    </row>
    <row r="61" spans="1:53" x14ac:dyDescent="0.25">
      <c r="A61" s="175" t="s">
        <v>39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42"/>
      <c r="BA61" s="142"/>
    </row>
    <row r="62" spans="1:53" x14ac:dyDescent="0.25">
      <c r="A62" s="175" t="s">
        <v>40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42"/>
      <c r="BA62" s="142"/>
    </row>
    <row r="63" spans="1:53" x14ac:dyDescent="0.25">
      <c r="A63" s="173" t="s">
        <v>41</v>
      </c>
      <c r="B63" s="174">
        <f>B64+B65+B66+B67+B68+B69+B70+B71+B72</f>
        <v>29</v>
      </c>
      <c r="C63" s="174">
        <f t="shared" ref="C63:X63" si="8">C64+C65+C66+C67+C68+C69+C70+C71+C72</f>
        <v>9</v>
      </c>
      <c r="D63" s="174">
        <f t="shared" si="8"/>
        <v>307</v>
      </c>
      <c r="E63" s="174">
        <f t="shared" si="8"/>
        <v>64</v>
      </c>
      <c r="F63" s="174">
        <f t="shared" si="8"/>
        <v>0</v>
      </c>
      <c r="G63" s="174">
        <f t="shared" si="8"/>
        <v>0</v>
      </c>
      <c r="H63" s="174">
        <f t="shared" si="8"/>
        <v>157</v>
      </c>
      <c r="I63" s="174">
        <f t="shared" si="8"/>
        <v>0</v>
      </c>
      <c r="J63" s="174">
        <f t="shared" si="8"/>
        <v>31</v>
      </c>
      <c r="K63" s="174">
        <f t="shared" si="8"/>
        <v>59</v>
      </c>
      <c r="L63" s="174">
        <f t="shared" si="8"/>
        <v>15</v>
      </c>
      <c r="M63" s="174">
        <f t="shared" si="8"/>
        <v>1</v>
      </c>
      <c r="N63" s="174">
        <f t="shared" si="8"/>
        <v>4</v>
      </c>
      <c r="O63" s="174">
        <f t="shared" si="8"/>
        <v>2</v>
      </c>
      <c r="P63" s="174">
        <f t="shared" si="8"/>
        <v>0</v>
      </c>
      <c r="Q63" s="174">
        <f t="shared" si="8"/>
        <v>0</v>
      </c>
      <c r="R63" s="174">
        <f t="shared" si="8"/>
        <v>1</v>
      </c>
      <c r="S63" s="174">
        <f t="shared" si="8"/>
        <v>0</v>
      </c>
      <c r="T63" s="174">
        <f t="shared" si="8"/>
        <v>1</v>
      </c>
      <c r="U63" s="174">
        <f t="shared" si="8"/>
        <v>2</v>
      </c>
      <c r="V63" s="174">
        <f t="shared" si="8"/>
        <v>30</v>
      </c>
      <c r="W63" s="174">
        <f t="shared" si="8"/>
        <v>0</v>
      </c>
      <c r="X63" s="174">
        <f t="shared" si="8"/>
        <v>4</v>
      </c>
      <c r="Y63" s="174">
        <f t="shared" si="3"/>
        <v>307</v>
      </c>
      <c r="Z63" s="174">
        <f t="shared" ref="Z63:AV63" si="9">SUM(Z64:Z72)</f>
        <v>20</v>
      </c>
      <c r="AA63" s="174">
        <f t="shared" si="9"/>
        <v>5</v>
      </c>
      <c r="AB63" s="174">
        <f t="shared" si="9"/>
        <v>112</v>
      </c>
      <c r="AC63" s="174">
        <f t="shared" si="9"/>
        <v>26</v>
      </c>
      <c r="AD63" s="174">
        <f t="shared" si="9"/>
        <v>0</v>
      </c>
      <c r="AE63" s="174">
        <f t="shared" si="9"/>
        <v>0</v>
      </c>
      <c r="AF63" s="174">
        <f t="shared" si="9"/>
        <v>39</v>
      </c>
      <c r="AG63" s="174">
        <f t="shared" si="9"/>
        <v>0</v>
      </c>
      <c r="AH63" s="174">
        <f t="shared" si="9"/>
        <v>30</v>
      </c>
      <c r="AI63" s="174">
        <f t="shared" si="9"/>
        <v>14</v>
      </c>
      <c r="AJ63" s="174">
        <f t="shared" si="9"/>
        <v>6</v>
      </c>
      <c r="AK63" s="174">
        <f t="shared" si="9"/>
        <v>0</v>
      </c>
      <c r="AL63" s="174">
        <f t="shared" si="9"/>
        <v>2</v>
      </c>
      <c r="AM63" s="174">
        <f t="shared" si="9"/>
        <v>2</v>
      </c>
      <c r="AN63" s="174">
        <f t="shared" si="9"/>
        <v>0</v>
      </c>
      <c r="AO63" s="174">
        <f t="shared" si="9"/>
        <v>0</v>
      </c>
      <c r="AP63" s="174">
        <f t="shared" si="9"/>
        <v>2</v>
      </c>
      <c r="AQ63" s="174">
        <f t="shared" si="9"/>
        <v>1</v>
      </c>
      <c r="AR63" s="174">
        <f t="shared" si="9"/>
        <v>1</v>
      </c>
      <c r="AS63" s="174">
        <f t="shared" si="9"/>
        <v>3</v>
      </c>
      <c r="AT63" s="174">
        <f t="shared" si="9"/>
        <v>10</v>
      </c>
      <c r="AU63" s="174">
        <f t="shared" si="9"/>
        <v>1</v>
      </c>
      <c r="AV63" s="174">
        <f t="shared" si="9"/>
        <v>1</v>
      </c>
      <c r="AW63" s="174">
        <f>SUM(AD63:AV63)</f>
        <v>112</v>
      </c>
      <c r="AX63" s="174"/>
      <c r="AY63" s="184">
        <f>Z63*100/B63</f>
        <v>68.965517241379317</v>
      </c>
      <c r="AZ63" s="174">
        <f>B63-Z63</f>
        <v>9</v>
      </c>
      <c r="BA63" s="184">
        <f>AZ63*100/B63</f>
        <v>31.03448275862069</v>
      </c>
    </row>
    <row r="64" spans="1:53" x14ac:dyDescent="0.25">
      <c r="A64" s="175" t="s">
        <v>133</v>
      </c>
      <c r="B64" s="174">
        <v>9</v>
      </c>
      <c r="C64" s="174"/>
      <c r="D64" s="174">
        <v>26</v>
      </c>
      <c r="E64" s="174"/>
      <c r="F64" s="174"/>
      <c r="G64" s="174"/>
      <c r="H64" s="174">
        <v>2</v>
      </c>
      <c r="I64" s="174"/>
      <c r="J64" s="174"/>
      <c r="K64" s="174">
        <v>2</v>
      </c>
      <c r="L64" s="174">
        <v>15</v>
      </c>
      <c r="M64" s="174"/>
      <c r="N64" s="174">
        <v>2</v>
      </c>
      <c r="O64" s="174">
        <v>2</v>
      </c>
      <c r="P64" s="174"/>
      <c r="Q64" s="174"/>
      <c r="R64" s="174">
        <v>1</v>
      </c>
      <c r="S64" s="174"/>
      <c r="T64" s="174">
        <v>1</v>
      </c>
      <c r="U64" s="174">
        <v>1</v>
      </c>
      <c r="V64" s="174"/>
      <c r="W64" s="174"/>
      <c r="X64" s="174"/>
      <c r="Y64" s="174">
        <f t="shared" si="3"/>
        <v>26</v>
      </c>
      <c r="Z64" s="174">
        <v>7</v>
      </c>
      <c r="AA64" s="174"/>
      <c r="AB64" s="174">
        <v>21</v>
      </c>
      <c r="AC64" s="174">
        <v>0</v>
      </c>
      <c r="AD64" s="174"/>
      <c r="AE64" s="174"/>
      <c r="AF64" s="174">
        <v>8</v>
      </c>
      <c r="AG64" s="174"/>
      <c r="AH64" s="174"/>
      <c r="AI64" s="174">
        <v>2</v>
      </c>
      <c r="AJ64" s="174">
        <v>6</v>
      </c>
      <c r="AK64" s="174"/>
      <c r="AL64" s="174"/>
      <c r="AM64" s="174">
        <v>2</v>
      </c>
      <c r="AN64" s="174"/>
      <c r="AO64" s="174"/>
      <c r="AP64" s="174">
        <v>1</v>
      </c>
      <c r="AQ64" s="174"/>
      <c r="AR64" s="174">
        <v>1</v>
      </c>
      <c r="AS64" s="174">
        <v>1</v>
      </c>
      <c r="AT64" s="174"/>
      <c r="AU64" s="174"/>
      <c r="AV64" s="174"/>
      <c r="AW64" s="174">
        <f>SUM(AD64:AV64)</f>
        <v>21</v>
      </c>
      <c r="AX64" s="174">
        <v>2549.4299999999998</v>
      </c>
      <c r="AY64" s="142"/>
      <c r="BA64" s="142"/>
    </row>
    <row r="65" spans="1:53" x14ac:dyDescent="0.25">
      <c r="A65" s="175" t="s">
        <v>96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>
        <v>15</v>
      </c>
      <c r="AC65" s="174">
        <v>0</v>
      </c>
      <c r="AD65" s="174"/>
      <c r="AE65" s="174"/>
      <c r="AF65" s="174">
        <v>1</v>
      </c>
      <c r="AG65" s="174"/>
      <c r="AH65" s="174"/>
      <c r="AI65" s="174"/>
      <c r="AJ65" s="174"/>
      <c r="AK65" s="174"/>
      <c r="AL65" s="174"/>
      <c r="AM65" s="174"/>
      <c r="AN65" s="174"/>
      <c r="AO65" s="174"/>
      <c r="AP65" s="174">
        <v>1</v>
      </c>
      <c r="AQ65" s="174">
        <v>1</v>
      </c>
      <c r="AR65" s="174"/>
      <c r="AS65" s="174">
        <v>1</v>
      </c>
      <c r="AT65" s="174">
        <v>10</v>
      </c>
      <c r="AU65" s="174">
        <v>1</v>
      </c>
      <c r="AV65" s="174"/>
      <c r="AW65" s="174">
        <f t="shared" ref="AW65:AW125" si="10">SUM(AD65:AV65)</f>
        <v>15</v>
      </c>
      <c r="AX65" s="174">
        <v>1592</v>
      </c>
      <c r="AY65" s="142"/>
      <c r="BA65" s="142"/>
    </row>
    <row r="66" spans="1:53" x14ac:dyDescent="0.25">
      <c r="A66" s="175" t="s">
        <v>97</v>
      </c>
      <c r="B66" s="174">
        <v>8</v>
      </c>
      <c r="C66" s="174">
        <v>2</v>
      </c>
      <c r="D66" s="174">
        <v>60</v>
      </c>
      <c r="E66" s="174">
        <v>11</v>
      </c>
      <c r="F66" s="174"/>
      <c r="G66" s="174"/>
      <c r="H66" s="174">
        <v>17</v>
      </c>
      <c r="I66" s="174"/>
      <c r="J66" s="174"/>
      <c r="K66" s="174">
        <v>38</v>
      </c>
      <c r="L66" s="174"/>
      <c r="M66" s="174"/>
      <c r="N66" s="174"/>
      <c r="O66" s="174"/>
      <c r="P66" s="174"/>
      <c r="Q66" s="174"/>
      <c r="R66" s="174"/>
      <c r="S66" s="174"/>
      <c r="T66" s="174"/>
      <c r="U66" s="174">
        <v>1</v>
      </c>
      <c r="V66" s="174"/>
      <c r="W66" s="174"/>
      <c r="X66" s="174">
        <v>4</v>
      </c>
      <c r="Y66" s="174">
        <f t="shared" ref="Y66:Y125" si="11">SUM(F66:X66)</f>
        <v>60</v>
      </c>
      <c r="Z66" s="174">
        <v>5</v>
      </c>
      <c r="AA66" s="174">
        <v>2</v>
      </c>
      <c r="AB66" s="174">
        <v>18</v>
      </c>
      <c r="AC66" s="174">
        <v>11</v>
      </c>
      <c r="AD66" s="174"/>
      <c r="AE66" s="174"/>
      <c r="AF66" s="174">
        <v>8</v>
      </c>
      <c r="AG66" s="174"/>
      <c r="AH66" s="174"/>
      <c r="AI66" s="174">
        <v>8</v>
      </c>
      <c r="AJ66" s="174"/>
      <c r="AK66" s="174"/>
      <c r="AL66" s="174"/>
      <c r="AM66" s="174"/>
      <c r="AN66" s="174"/>
      <c r="AO66" s="174"/>
      <c r="AP66" s="174"/>
      <c r="AQ66" s="174"/>
      <c r="AR66" s="174"/>
      <c r="AS66" s="174">
        <v>1</v>
      </c>
      <c r="AT66" s="174"/>
      <c r="AU66" s="174"/>
      <c r="AV66" s="174">
        <v>1</v>
      </c>
      <c r="AW66" s="174">
        <f t="shared" si="10"/>
        <v>18</v>
      </c>
      <c r="AX66" s="174">
        <v>2319.92</v>
      </c>
      <c r="AY66" s="142"/>
      <c r="BA66" s="142"/>
    </row>
    <row r="67" spans="1:53" x14ac:dyDescent="0.25">
      <c r="A67" s="175" t="s">
        <v>98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>
        <v>0</v>
      </c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42"/>
      <c r="BA67" s="142"/>
    </row>
    <row r="68" spans="1:53" x14ac:dyDescent="0.25">
      <c r="A68" s="175" t="s">
        <v>99</v>
      </c>
      <c r="B68" s="174">
        <v>1</v>
      </c>
      <c r="C68" s="174"/>
      <c r="D68" s="174">
        <v>5</v>
      </c>
      <c r="E68" s="174"/>
      <c r="F68" s="174"/>
      <c r="G68" s="174"/>
      <c r="H68" s="174">
        <v>5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f t="shared" si="11"/>
        <v>5</v>
      </c>
      <c r="Z68" s="174">
        <v>1</v>
      </c>
      <c r="AA68" s="174"/>
      <c r="AB68" s="174">
        <v>4</v>
      </c>
      <c r="AC68" s="174">
        <v>0</v>
      </c>
      <c r="AD68" s="174"/>
      <c r="AE68" s="174"/>
      <c r="AF68" s="174">
        <v>4</v>
      </c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>
        <f t="shared" si="10"/>
        <v>4</v>
      </c>
      <c r="AX68" s="174">
        <v>5280</v>
      </c>
      <c r="AY68" s="142"/>
      <c r="BA68" s="142"/>
    </row>
    <row r="69" spans="1:53" x14ac:dyDescent="0.25">
      <c r="A69" s="175" t="s">
        <v>100</v>
      </c>
      <c r="B69" s="174">
        <v>1</v>
      </c>
      <c r="C69" s="174"/>
      <c r="D69" s="174">
        <v>2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>
        <v>2</v>
      </c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>
        <f t="shared" si="11"/>
        <v>2</v>
      </c>
      <c r="Z69" s="174">
        <v>1</v>
      </c>
      <c r="AA69" s="174"/>
      <c r="AB69" s="174">
        <v>2</v>
      </c>
      <c r="AC69" s="174">
        <v>0</v>
      </c>
      <c r="AD69" s="174"/>
      <c r="AE69" s="174"/>
      <c r="AF69" s="174"/>
      <c r="AG69" s="174"/>
      <c r="AH69" s="174"/>
      <c r="AI69" s="174"/>
      <c r="AJ69" s="174"/>
      <c r="AK69" s="174"/>
      <c r="AL69" s="174">
        <v>2</v>
      </c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>
        <f t="shared" si="10"/>
        <v>2</v>
      </c>
      <c r="AX69" s="174">
        <v>2000</v>
      </c>
      <c r="AY69" s="142"/>
      <c r="BA69" s="142"/>
    </row>
    <row r="70" spans="1:53" x14ac:dyDescent="0.25">
      <c r="A70" s="175" t="s">
        <v>132</v>
      </c>
      <c r="B70" s="174">
        <v>8</v>
      </c>
      <c r="C70" s="174">
        <v>6</v>
      </c>
      <c r="D70" s="174">
        <v>212</v>
      </c>
      <c r="E70" s="174">
        <v>52</v>
      </c>
      <c r="F70" s="174"/>
      <c r="G70" s="174"/>
      <c r="H70" s="174">
        <v>132</v>
      </c>
      <c r="I70" s="174"/>
      <c r="J70" s="174">
        <v>31</v>
      </c>
      <c r="K70" s="174">
        <v>19</v>
      </c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>
        <v>30</v>
      </c>
      <c r="W70" s="174"/>
      <c r="X70" s="174"/>
      <c r="Y70" s="174">
        <f t="shared" si="11"/>
        <v>212</v>
      </c>
      <c r="Z70" s="174">
        <v>6</v>
      </c>
      <c r="AA70" s="174">
        <v>3</v>
      </c>
      <c r="AB70" s="174">
        <v>52</v>
      </c>
      <c r="AC70" s="174">
        <v>15</v>
      </c>
      <c r="AD70" s="174"/>
      <c r="AE70" s="174"/>
      <c r="AF70" s="174">
        <v>18</v>
      </c>
      <c r="AG70" s="174"/>
      <c r="AH70" s="174">
        <v>30</v>
      </c>
      <c r="AI70" s="174">
        <v>4</v>
      </c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>
        <f t="shared" si="10"/>
        <v>52</v>
      </c>
      <c r="AX70" s="174">
        <v>1031.3699999999999</v>
      </c>
      <c r="AY70" s="142"/>
      <c r="BA70" s="142"/>
    </row>
    <row r="71" spans="1:53" x14ac:dyDescent="0.25">
      <c r="A71" s="175" t="s">
        <v>131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>
        <v>0</v>
      </c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42"/>
      <c r="BA71" s="142"/>
    </row>
    <row r="72" spans="1:53" x14ac:dyDescent="0.25">
      <c r="A72" s="175" t="s">
        <v>130</v>
      </c>
      <c r="B72" s="174">
        <v>2</v>
      </c>
      <c r="C72" s="174">
        <v>1</v>
      </c>
      <c r="D72" s="174">
        <v>2</v>
      </c>
      <c r="E72" s="174">
        <v>1</v>
      </c>
      <c r="F72" s="174"/>
      <c r="G72" s="174"/>
      <c r="H72" s="174">
        <v>1</v>
      </c>
      <c r="I72" s="174"/>
      <c r="J72" s="174"/>
      <c r="K72" s="174"/>
      <c r="L72" s="174"/>
      <c r="M72" s="174">
        <v>1</v>
      </c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>
        <f t="shared" si="11"/>
        <v>2</v>
      </c>
      <c r="Z72" s="174"/>
      <c r="AA72" s="174"/>
      <c r="AB72" s="174"/>
      <c r="AC72" s="174">
        <v>0</v>
      </c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42"/>
      <c r="BA72" s="142"/>
    </row>
    <row r="73" spans="1:53" x14ac:dyDescent="0.25">
      <c r="A73" s="173" t="s">
        <v>42</v>
      </c>
      <c r="B73" s="174">
        <f>SUM(B74:B93)</f>
        <v>62</v>
      </c>
      <c r="C73" s="174">
        <f t="shared" ref="C73:X73" si="12">SUM(C74:C93)</f>
        <v>11</v>
      </c>
      <c r="D73" s="174">
        <f t="shared" si="12"/>
        <v>376</v>
      </c>
      <c r="E73" s="174">
        <f t="shared" si="12"/>
        <v>34</v>
      </c>
      <c r="F73" s="174">
        <f t="shared" si="12"/>
        <v>0</v>
      </c>
      <c r="G73" s="174">
        <f t="shared" si="12"/>
        <v>0</v>
      </c>
      <c r="H73" s="174">
        <f t="shared" si="12"/>
        <v>149</v>
      </c>
      <c r="I73" s="174">
        <f t="shared" si="12"/>
        <v>0</v>
      </c>
      <c r="J73" s="174">
        <f t="shared" si="12"/>
        <v>7</v>
      </c>
      <c r="K73" s="174">
        <f t="shared" si="12"/>
        <v>12</v>
      </c>
      <c r="L73" s="174">
        <f t="shared" si="12"/>
        <v>65</v>
      </c>
      <c r="M73" s="174">
        <f t="shared" si="12"/>
        <v>10</v>
      </c>
      <c r="N73" s="174">
        <f t="shared" si="12"/>
        <v>4</v>
      </c>
      <c r="O73" s="174">
        <f t="shared" si="12"/>
        <v>10</v>
      </c>
      <c r="P73" s="174">
        <f t="shared" si="12"/>
        <v>1</v>
      </c>
      <c r="Q73" s="174">
        <f t="shared" si="12"/>
        <v>0</v>
      </c>
      <c r="R73" s="174">
        <f t="shared" si="12"/>
        <v>6</v>
      </c>
      <c r="S73" s="174">
        <f t="shared" si="12"/>
        <v>4</v>
      </c>
      <c r="T73" s="174">
        <f t="shared" si="12"/>
        <v>9</v>
      </c>
      <c r="U73" s="174">
        <f t="shared" si="12"/>
        <v>2</v>
      </c>
      <c r="V73" s="174">
        <f t="shared" si="12"/>
        <v>97</v>
      </c>
      <c r="W73" s="174">
        <f t="shared" si="12"/>
        <v>0</v>
      </c>
      <c r="X73" s="174">
        <f t="shared" si="12"/>
        <v>0</v>
      </c>
      <c r="Y73" s="174">
        <f t="shared" si="11"/>
        <v>376</v>
      </c>
      <c r="Z73" s="174">
        <f t="shared" ref="Z73:AV73" si="13">SUM(Z74:Z93)</f>
        <v>49</v>
      </c>
      <c r="AA73" s="174">
        <f t="shared" si="13"/>
        <v>6</v>
      </c>
      <c r="AB73" s="174">
        <f t="shared" si="13"/>
        <v>169</v>
      </c>
      <c r="AC73" s="174">
        <f t="shared" si="13"/>
        <v>16</v>
      </c>
      <c r="AD73" s="174">
        <f t="shared" si="13"/>
        <v>0</v>
      </c>
      <c r="AE73" s="174">
        <f t="shared" si="13"/>
        <v>0</v>
      </c>
      <c r="AF73" s="174">
        <f t="shared" si="13"/>
        <v>54</v>
      </c>
      <c r="AG73" s="174">
        <f t="shared" si="13"/>
        <v>0</v>
      </c>
      <c r="AH73" s="174">
        <f t="shared" si="13"/>
        <v>0</v>
      </c>
      <c r="AI73" s="174">
        <f t="shared" si="13"/>
        <v>4</v>
      </c>
      <c r="AJ73" s="174">
        <f t="shared" si="13"/>
        <v>43</v>
      </c>
      <c r="AK73" s="174">
        <f t="shared" si="13"/>
        <v>0</v>
      </c>
      <c r="AL73" s="174">
        <f t="shared" si="13"/>
        <v>1</v>
      </c>
      <c r="AM73" s="174">
        <f t="shared" si="13"/>
        <v>0</v>
      </c>
      <c r="AN73" s="174">
        <f t="shared" si="13"/>
        <v>0</v>
      </c>
      <c r="AO73" s="174">
        <f t="shared" si="13"/>
        <v>0</v>
      </c>
      <c r="AP73" s="174">
        <f t="shared" si="13"/>
        <v>2</v>
      </c>
      <c r="AQ73" s="174">
        <f t="shared" si="13"/>
        <v>2</v>
      </c>
      <c r="AR73" s="174">
        <f t="shared" si="13"/>
        <v>5</v>
      </c>
      <c r="AS73" s="174">
        <f t="shared" si="13"/>
        <v>2</v>
      </c>
      <c r="AT73" s="174">
        <f t="shared" si="13"/>
        <v>56</v>
      </c>
      <c r="AU73" s="174">
        <f t="shared" si="13"/>
        <v>0</v>
      </c>
      <c r="AV73" s="174">
        <f t="shared" si="13"/>
        <v>0</v>
      </c>
      <c r="AW73" s="174">
        <f t="shared" si="10"/>
        <v>169</v>
      </c>
      <c r="AX73" s="174"/>
      <c r="AY73" s="184">
        <f>Z73*100/B73</f>
        <v>79.032258064516128</v>
      </c>
      <c r="AZ73" s="174">
        <f>B73-Z73</f>
        <v>13</v>
      </c>
      <c r="BA73" s="184">
        <f>AZ73*100/B73</f>
        <v>20.967741935483872</v>
      </c>
    </row>
    <row r="74" spans="1:53" x14ac:dyDescent="0.25">
      <c r="A74" s="175" t="s">
        <v>171</v>
      </c>
      <c r="B74" s="174">
        <v>7</v>
      </c>
      <c r="C74" s="174"/>
      <c r="D74" s="174">
        <v>23</v>
      </c>
      <c r="E74" s="174"/>
      <c r="F74" s="174"/>
      <c r="G74" s="174"/>
      <c r="H74" s="174">
        <v>15</v>
      </c>
      <c r="I74" s="174"/>
      <c r="J74" s="174"/>
      <c r="K74" s="174"/>
      <c r="L74" s="174">
        <v>7</v>
      </c>
      <c r="M74" s="174"/>
      <c r="N74" s="174"/>
      <c r="O74" s="174"/>
      <c r="P74" s="174"/>
      <c r="Q74" s="174"/>
      <c r="R74" s="174">
        <v>1</v>
      </c>
      <c r="S74" s="174"/>
      <c r="T74" s="174"/>
      <c r="U74" s="174"/>
      <c r="V74" s="174"/>
      <c r="W74" s="174"/>
      <c r="X74" s="174"/>
      <c r="Y74" s="174">
        <f t="shared" si="11"/>
        <v>23</v>
      </c>
      <c r="Z74" s="174">
        <v>3</v>
      </c>
      <c r="AA74" s="174"/>
      <c r="AB74" s="174">
        <v>13</v>
      </c>
      <c r="AC74" s="174">
        <v>0</v>
      </c>
      <c r="AD74" s="174"/>
      <c r="AE74" s="174"/>
      <c r="AF74" s="174">
        <v>7</v>
      </c>
      <c r="AG74" s="174"/>
      <c r="AH74" s="174"/>
      <c r="AI74" s="174"/>
      <c r="AJ74" s="174">
        <v>6</v>
      </c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>
        <f t="shared" si="10"/>
        <v>13</v>
      </c>
      <c r="AX74" s="174">
        <v>3331.69</v>
      </c>
      <c r="AY74" s="142"/>
      <c r="BA74" s="142"/>
    </row>
    <row r="75" spans="1:53" x14ac:dyDescent="0.25">
      <c r="A75" s="175" t="s">
        <v>172</v>
      </c>
      <c r="B75" s="174">
        <v>1</v>
      </c>
      <c r="C75" s="174"/>
      <c r="D75" s="174">
        <v>2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>
        <v>2</v>
      </c>
      <c r="S75" s="174"/>
      <c r="T75" s="174"/>
      <c r="U75" s="174"/>
      <c r="V75" s="174"/>
      <c r="W75" s="174"/>
      <c r="X75" s="174"/>
      <c r="Y75" s="174">
        <f t="shared" si="11"/>
        <v>2</v>
      </c>
      <c r="Z75" s="174"/>
      <c r="AA75" s="174"/>
      <c r="AB75" s="174"/>
      <c r="AC75" s="174">
        <v>0</v>
      </c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42"/>
      <c r="BA75" s="142"/>
    </row>
    <row r="76" spans="1:53" x14ac:dyDescent="0.25">
      <c r="A76" s="175" t="s">
        <v>173</v>
      </c>
      <c r="B76" s="174">
        <v>1</v>
      </c>
      <c r="C76" s="174">
        <v>1</v>
      </c>
      <c r="D76" s="174">
        <v>1</v>
      </c>
      <c r="E76" s="174">
        <v>1</v>
      </c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>
        <v>1</v>
      </c>
      <c r="U76" s="174"/>
      <c r="V76" s="174"/>
      <c r="W76" s="174"/>
      <c r="X76" s="174"/>
      <c r="Y76" s="174">
        <f t="shared" si="11"/>
        <v>1</v>
      </c>
      <c r="Z76" s="174">
        <v>1</v>
      </c>
      <c r="AA76" s="174">
        <v>1</v>
      </c>
      <c r="AB76" s="174">
        <v>1</v>
      </c>
      <c r="AC76" s="174">
        <v>1</v>
      </c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>
        <v>1</v>
      </c>
      <c r="AS76" s="174"/>
      <c r="AT76" s="174"/>
      <c r="AU76" s="174"/>
      <c r="AV76" s="174"/>
      <c r="AW76" s="174">
        <f t="shared" si="10"/>
        <v>1</v>
      </c>
      <c r="AX76" s="174">
        <v>2360</v>
      </c>
      <c r="AY76" s="142"/>
      <c r="BA76" s="142"/>
    </row>
    <row r="77" spans="1:53" x14ac:dyDescent="0.25">
      <c r="A77" s="175" t="s">
        <v>174</v>
      </c>
      <c r="B77" s="174">
        <v>4</v>
      </c>
      <c r="C77" s="174">
        <v>1</v>
      </c>
      <c r="D77" s="174">
        <v>95</v>
      </c>
      <c r="E77" s="174">
        <v>10</v>
      </c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>
        <v>95</v>
      </c>
      <c r="W77" s="174"/>
      <c r="X77" s="174"/>
      <c r="Y77" s="174">
        <f t="shared" si="11"/>
        <v>95</v>
      </c>
      <c r="Z77" s="174">
        <v>4</v>
      </c>
      <c r="AA77" s="174">
        <v>1</v>
      </c>
      <c r="AB77" s="174">
        <v>56</v>
      </c>
      <c r="AC77" s="174">
        <v>10</v>
      </c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>
        <v>56</v>
      </c>
      <c r="AU77" s="174"/>
      <c r="AV77" s="174"/>
      <c r="AW77" s="174">
        <f t="shared" si="10"/>
        <v>56</v>
      </c>
      <c r="AX77" s="174">
        <v>1956.78</v>
      </c>
      <c r="AY77" s="142"/>
      <c r="BA77" s="142"/>
    </row>
    <row r="78" spans="1:53" x14ac:dyDescent="0.25">
      <c r="A78" s="175" t="s">
        <v>175</v>
      </c>
      <c r="B78" s="174">
        <v>9</v>
      </c>
      <c r="C78" s="174"/>
      <c r="D78" s="174">
        <v>47</v>
      </c>
      <c r="E78" s="174"/>
      <c r="F78" s="174"/>
      <c r="G78" s="174"/>
      <c r="H78" s="174">
        <v>46</v>
      </c>
      <c r="I78" s="174"/>
      <c r="J78" s="174"/>
      <c r="K78" s="174"/>
      <c r="L78" s="174">
        <v>1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>
        <f t="shared" si="11"/>
        <v>47</v>
      </c>
      <c r="Z78" s="174">
        <v>9</v>
      </c>
      <c r="AA78" s="174"/>
      <c r="AB78" s="174">
        <v>21</v>
      </c>
      <c r="AC78" s="174">
        <v>0</v>
      </c>
      <c r="AD78" s="174"/>
      <c r="AE78" s="174"/>
      <c r="AF78" s="174">
        <v>21</v>
      </c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>
        <f t="shared" si="10"/>
        <v>21</v>
      </c>
      <c r="AX78" s="174">
        <v>1438.18</v>
      </c>
      <c r="AY78" s="142"/>
      <c r="BA78" s="142"/>
    </row>
    <row r="79" spans="1:53" x14ac:dyDescent="0.25">
      <c r="A79" s="175" t="s">
        <v>176</v>
      </c>
      <c r="B79" s="174">
        <v>3</v>
      </c>
      <c r="C79" s="174">
        <v>1</v>
      </c>
      <c r="D79" s="174">
        <v>3</v>
      </c>
      <c r="E79" s="174">
        <v>1</v>
      </c>
      <c r="F79" s="174"/>
      <c r="G79" s="174"/>
      <c r="H79" s="174"/>
      <c r="I79" s="174"/>
      <c r="J79" s="174"/>
      <c r="K79" s="174"/>
      <c r="L79" s="174">
        <v>2</v>
      </c>
      <c r="M79" s="174"/>
      <c r="N79" s="174"/>
      <c r="O79" s="174"/>
      <c r="P79" s="174"/>
      <c r="Q79" s="174"/>
      <c r="R79" s="174"/>
      <c r="S79" s="174"/>
      <c r="T79" s="174"/>
      <c r="U79" s="174">
        <v>1</v>
      </c>
      <c r="V79" s="174"/>
      <c r="W79" s="174"/>
      <c r="X79" s="174"/>
      <c r="Y79" s="174">
        <f t="shared" si="11"/>
        <v>3</v>
      </c>
      <c r="Z79" s="174">
        <v>1</v>
      </c>
      <c r="AA79" s="174">
        <v>1</v>
      </c>
      <c r="AB79" s="174">
        <v>1</v>
      </c>
      <c r="AC79" s="174">
        <v>1</v>
      </c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>
        <v>1</v>
      </c>
      <c r="AT79" s="174"/>
      <c r="AU79" s="174"/>
      <c r="AV79" s="174"/>
      <c r="AW79" s="174">
        <f t="shared" si="10"/>
        <v>1</v>
      </c>
      <c r="AX79" s="174">
        <v>4938.3999999999996</v>
      </c>
      <c r="AY79" s="142"/>
      <c r="BA79" s="142"/>
    </row>
    <row r="80" spans="1:53" x14ac:dyDescent="0.25">
      <c r="A80" s="175" t="s">
        <v>178</v>
      </c>
      <c r="B80" s="174">
        <v>7</v>
      </c>
      <c r="C80" s="174"/>
      <c r="D80" s="174">
        <v>59</v>
      </c>
      <c r="E80" s="174"/>
      <c r="F80" s="174"/>
      <c r="G80" s="174"/>
      <c r="H80" s="174">
        <v>50</v>
      </c>
      <c r="I80" s="174"/>
      <c r="J80" s="174"/>
      <c r="K80" s="174">
        <v>8</v>
      </c>
      <c r="L80" s="174"/>
      <c r="M80" s="174"/>
      <c r="N80" s="174">
        <v>1</v>
      </c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>
        <f t="shared" si="11"/>
        <v>59</v>
      </c>
      <c r="Z80" s="174">
        <v>2</v>
      </c>
      <c r="AA80" s="174"/>
      <c r="AB80" s="174">
        <v>12</v>
      </c>
      <c r="AC80" s="174">
        <v>0</v>
      </c>
      <c r="AD80" s="174"/>
      <c r="AE80" s="174"/>
      <c r="AF80" s="174">
        <v>11</v>
      </c>
      <c r="AG80" s="174"/>
      <c r="AH80" s="174"/>
      <c r="AI80" s="174"/>
      <c r="AJ80" s="174"/>
      <c r="AK80" s="174"/>
      <c r="AL80" s="174">
        <v>1</v>
      </c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>
        <f t="shared" si="10"/>
        <v>12</v>
      </c>
      <c r="AX80" s="174">
        <v>335.83</v>
      </c>
      <c r="AY80" s="142"/>
      <c r="BA80" s="142"/>
    </row>
    <row r="81" spans="1:53" x14ac:dyDescent="0.25">
      <c r="A81" s="175" t="s">
        <v>177</v>
      </c>
      <c r="B81" s="174">
        <v>7</v>
      </c>
      <c r="C81" s="174"/>
      <c r="D81" s="174">
        <v>20</v>
      </c>
      <c r="E81" s="174"/>
      <c r="F81" s="174"/>
      <c r="G81" s="174"/>
      <c r="H81" s="174">
        <v>10</v>
      </c>
      <c r="I81" s="174"/>
      <c r="J81" s="174"/>
      <c r="K81" s="174">
        <v>4</v>
      </c>
      <c r="L81" s="174">
        <v>2</v>
      </c>
      <c r="M81" s="174"/>
      <c r="N81" s="174"/>
      <c r="O81" s="174">
        <v>2</v>
      </c>
      <c r="P81" s="174"/>
      <c r="Q81" s="174"/>
      <c r="R81" s="174"/>
      <c r="S81" s="174">
        <v>2</v>
      </c>
      <c r="T81" s="174"/>
      <c r="U81" s="174"/>
      <c r="V81" s="174"/>
      <c r="W81" s="174"/>
      <c r="X81" s="174"/>
      <c r="Y81" s="174">
        <f t="shared" si="11"/>
        <v>20</v>
      </c>
      <c r="Z81" s="174">
        <v>6</v>
      </c>
      <c r="AA81" s="174"/>
      <c r="AB81" s="174">
        <v>11</v>
      </c>
      <c r="AC81" s="174">
        <v>0</v>
      </c>
      <c r="AD81" s="174"/>
      <c r="AE81" s="174"/>
      <c r="AF81" s="174">
        <v>6</v>
      </c>
      <c r="AG81" s="174"/>
      <c r="AH81" s="174"/>
      <c r="AI81" s="174">
        <v>4</v>
      </c>
      <c r="AJ81" s="174"/>
      <c r="AK81" s="174"/>
      <c r="AL81" s="174"/>
      <c r="AM81" s="174"/>
      <c r="AN81" s="174"/>
      <c r="AO81" s="174"/>
      <c r="AP81" s="174"/>
      <c r="AQ81" s="174">
        <v>1</v>
      </c>
      <c r="AR81" s="174"/>
      <c r="AS81" s="174"/>
      <c r="AT81" s="174"/>
      <c r="AU81" s="174"/>
      <c r="AV81" s="174"/>
      <c r="AW81" s="174">
        <f t="shared" si="10"/>
        <v>11</v>
      </c>
      <c r="AX81" s="174">
        <v>3421.6</v>
      </c>
      <c r="AY81" s="142"/>
      <c r="BA81" s="142"/>
    </row>
    <row r="82" spans="1:53" x14ac:dyDescent="0.25">
      <c r="A82" s="175" t="s">
        <v>159</v>
      </c>
      <c r="B82" s="174">
        <v>6</v>
      </c>
      <c r="C82" s="174">
        <v>2</v>
      </c>
      <c r="D82" s="174">
        <v>26</v>
      </c>
      <c r="E82" s="174">
        <v>3</v>
      </c>
      <c r="F82" s="174"/>
      <c r="G82" s="174"/>
      <c r="H82" s="174"/>
      <c r="I82" s="174"/>
      <c r="J82" s="174">
        <v>1</v>
      </c>
      <c r="K82" s="174"/>
      <c r="L82" s="174">
        <v>19</v>
      </c>
      <c r="M82" s="174"/>
      <c r="N82" s="174">
        <v>3</v>
      </c>
      <c r="O82" s="174"/>
      <c r="P82" s="174"/>
      <c r="Q82" s="174"/>
      <c r="R82" s="174"/>
      <c r="S82" s="174"/>
      <c r="T82" s="174">
        <v>2</v>
      </c>
      <c r="U82" s="174">
        <v>1</v>
      </c>
      <c r="V82" s="174"/>
      <c r="W82" s="174"/>
      <c r="X82" s="174"/>
      <c r="Y82" s="174">
        <f t="shared" si="11"/>
        <v>26</v>
      </c>
      <c r="Z82" s="174">
        <v>6</v>
      </c>
      <c r="AA82" s="174">
        <v>2</v>
      </c>
      <c r="AB82" s="174">
        <v>19</v>
      </c>
      <c r="AC82" s="174">
        <v>2</v>
      </c>
      <c r="AD82" s="174"/>
      <c r="AE82" s="174"/>
      <c r="AF82" s="174"/>
      <c r="AG82" s="174"/>
      <c r="AH82" s="174"/>
      <c r="AI82" s="174"/>
      <c r="AJ82" s="174">
        <v>16</v>
      </c>
      <c r="AK82" s="174"/>
      <c r="AL82" s="174"/>
      <c r="AM82" s="174"/>
      <c r="AN82" s="174"/>
      <c r="AO82" s="174"/>
      <c r="AP82" s="174"/>
      <c r="AQ82" s="174"/>
      <c r="AR82" s="174">
        <v>2</v>
      </c>
      <c r="AS82" s="174">
        <v>1</v>
      </c>
      <c r="AT82" s="174"/>
      <c r="AU82" s="174"/>
      <c r="AV82" s="174"/>
      <c r="AW82" s="174">
        <f t="shared" si="10"/>
        <v>19</v>
      </c>
      <c r="AX82" s="174">
        <v>1986.35</v>
      </c>
      <c r="AY82" s="142"/>
      <c r="BA82" s="142"/>
    </row>
    <row r="83" spans="1:53" x14ac:dyDescent="0.25">
      <c r="A83" s="175" t="s">
        <v>160</v>
      </c>
      <c r="B83" s="174">
        <v>3</v>
      </c>
      <c r="C83" s="174"/>
      <c r="D83" s="174">
        <v>5</v>
      </c>
      <c r="E83" s="174"/>
      <c r="F83" s="174"/>
      <c r="G83" s="174"/>
      <c r="H83" s="174"/>
      <c r="I83" s="174"/>
      <c r="J83" s="174"/>
      <c r="K83" s="174"/>
      <c r="L83" s="174">
        <v>2</v>
      </c>
      <c r="M83" s="174"/>
      <c r="N83" s="174"/>
      <c r="O83" s="174"/>
      <c r="P83" s="174"/>
      <c r="Q83" s="174"/>
      <c r="R83" s="174">
        <v>3</v>
      </c>
      <c r="S83" s="174"/>
      <c r="T83" s="174"/>
      <c r="U83" s="174"/>
      <c r="V83" s="174"/>
      <c r="W83" s="174"/>
      <c r="X83" s="174"/>
      <c r="Y83" s="174">
        <f t="shared" si="11"/>
        <v>5</v>
      </c>
      <c r="Z83" s="174">
        <v>2</v>
      </c>
      <c r="AA83" s="174"/>
      <c r="AB83" s="174">
        <v>4</v>
      </c>
      <c r="AC83" s="174">
        <v>0</v>
      </c>
      <c r="AD83" s="174"/>
      <c r="AE83" s="174"/>
      <c r="AF83" s="174"/>
      <c r="AG83" s="174"/>
      <c r="AH83" s="174"/>
      <c r="AI83" s="174"/>
      <c r="AJ83" s="174">
        <v>2</v>
      </c>
      <c r="AK83" s="174"/>
      <c r="AL83" s="174"/>
      <c r="AM83" s="174"/>
      <c r="AN83" s="174"/>
      <c r="AO83" s="174"/>
      <c r="AP83" s="174">
        <v>2</v>
      </c>
      <c r="AQ83" s="174"/>
      <c r="AR83" s="174"/>
      <c r="AS83" s="174"/>
      <c r="AT83" s="174"/>
      <c r="AU83" s="174"/>
      <c r="AV83" s="174"/>
      <c r="AW83" s="174">
        <f t="shared" si="10"/>
        <v>4</v>
      </c>
      <c r="AX83" s="174">
        <v>710.1</v>
      </c>
      <c r="AY83" s="142"/>
      <c r="BA83" s="142"/>
    </row>
    <row r="84" spans="1:53" x14ac:dyDescent="0.25">
      <c r="A84" s="175" t="s">
        <v>161</v>
      </c>
      <c r="B84" s="174">
        <v>5</v>
      </c>
      <c r="C84" s="174"/>
      <c r="D84" s="174">
        <v>54</v>
      </c>
      <c r="E84" s="174"/>
      <c r="F84" s="174"/>
      <c r="G84" s="174"/>
      <c r="H84" s="174">
        <v>19</v>
      </c>
      <c r="I84" s="174"/>
      <c r="J84" s="174"/>
      <c r="K84" s="174"/>
      <c r="L84" s="174">
        <v>30</v>
      </c>
      <c r="M84" s="174">
        <v>5</v>
      </c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>
        <f t="shared" si="11"/>
        <v>54</v>
      </c>
      <c r="Z84" s="174">
        <v>6</v>
      </c>
      <c r="AA84" s="174"/>
      <c r="AB84" s="174">
        <v>21</v>
      </c>
      <c r="AC84" s="174">
        <v>0</v>
      </c>
      <c r="AD84" s="174"/>
      <c r="AE84" s="174"/>
      <c r="AF84" s="174">
        <v>2</v>
      </c>
      <c r="AG84" s="174"/>
      <c r="AH84" s="174"/>
      <c r="AI84" s="174"/>
      <c r="AJ84" s="174">
        <v>19</v>
      </c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>
        <f t="shared" si="10"/>
        <v>21</v>
      </c>
      <c r="AX84" s="174">
        <v>2359.2199999999998</v>
      </c>
      <c r="AY84" s="142"/>
      <c r="BA84" s="142"/>
    </row>
    <row r="85" spans="1:53" x14ac:dyDescent="0.25">
      <c r="A85" s="175" t="s">
        <v>162</v>
      </c>
      <c r="B85" s="174">
        <v>2</v>
      </c>
      <c r="C85" s="174"/>
      <c r="D85" s="174">
        <v>2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>
        <v>2</v>
      </c>
      <c r="T85" s="174"/>
      <c r="U85" s="174"/>
      <c r="V85" s="174"/>
      <c r="W85" s="174"/>
      <c r="X85" s="174"/>
      <c r="Y85" s="174">
        <f t="shared" si="11"/>
        <v>2</v>
      </c>
      <c r="Z85" s="174">
        <v>1</v>
      </c>
      <c r="AA85" s="174"/>
      <c r="AB85" s="174">
        <v>1</v>
      </c>
      <c r="AC85" s="174">
        <v>0</v>
      </c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>
        <v>1</v>
      </c>
      <c r="AR85" s="174"/>
      <c r="AS85" s="174"/>
      <c r="AT85" s="174"/>
      <c r="AU85" s="174"/>
      <c r="AV85" s="174"/>
      <c r="AW85" s="174">
        <f t="shared" si="10"/>
        <v>1</v>
      </c>
      <c r="AX85" s="174">
        <v>4413</v>
      </c>
      <c r="AY85" s="142"/>
      <c r="BA85" s="142"/>
    </row>
    <row r="86" spans="1:53" x14ac:dyDescent="0.25">
      <c r="A86" s="175" t="s">
        <v>163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>
        <v>0</v>
      </c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42"/>
      <c r="BA86" s="142"/>
    </row>
    <row r="87" spans="1:53" x14ac:dyDescent="0.25">
      <c r="A87" s="175" t="s">
        <v>164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>
        <v>0</v>
      </c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42"/>
      <c r="BA87" s="142"/>
    </row>
    <row r="88" spans="1:53" x14ac:dyDescent="0.25">
      <c r="A88" s="175" t="s">
        <v>165</v>
      </c>
      <c r="B88" s="174">
        <v>7</v>
      </c>
      <c r="C88" s="174">
        <v>6</v>
      </c>
      <c r="D88" s="174">
        <v>39</v>
      </c>
      <c r="E88" s="174">
        <v>19</v>
      </c>
      <c r="F88" s="174"/>
      <c r="G88" s="174"/>
      <c r="H88" s="174">
        <v>9</v>
      </c>
      <c r="I88" s="174"/>
      <c r="J88" s="174">
        <v>6</v>
      </c>
      <c r="K88" s="174"/>
      <c r="L88" s="174">
        <v>2</v>
      </c>
      <c r="M88" s="174">
        <v>5</v>
      </c>
      <c r="N88" s="174"/>
      <c r="O88" s="174">
        <v>8</v>
      </c>
      <c r="P88" s="174">
        <v>1</v>
      </c>
      <c r="Q88" s="174"/>
      <c r="R88" s="174"/>
      <c r="S88" s="174"/>
      <c r="T88" s="174">
        <v>6</v>
      </c>
      <c r="U88" s="174"/>
      <c r="V88" s="174">
        <v>2</v>
      </c>
      <c r="W88" s="174"/>
      <c r="X88" s="174"/>
      <c r="Y88" s="174">
        <f t="shared" si="11"/>
        <v>39</v>
      </c>
      <c r="Z88" s="174">
        <v>8</v>
      </c>
      <c r="AA88" s="174">
        <v>1</v>
      </c>
      <c r="AB88" s="174">
        <v>9</v>
      </c>
      <c r="AC88" s="174">
        <v>2</v>
      </c>
      <c r="AD88" s="174"/>
      <c r="AE88" s="174"/>
      <c r="AF88" s="174">
        <v>7</v>
      </c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>
        <v>2</v>
      </c>
      <c r="AS88" s="174"/>
      <c r="AT88" s="174"/>
      <c r="AU88" s="174"/>
      <c r="AV88" s="174"/>
      <c r="AW88" s="174">
        <f t="shared" si="10"/>
        <v>9</v>
      </c>
      <c r="AX88" s="174">
        <v>3458.67</v>
      </c>
      <c r="AY88" s="142"/>
      <c r="BA88" s="142"/>
    </row>
    <row r="89" spans="1:53" x14ac:dyDescent="0.25">
      <c r="A89" s="175" t="s">
        <v>166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42"/>
      <c r="BA89" s="142"/>
    </row>
    <row r="90" spans="1:53" x14ac:dyDescent="0.25">
      <c r="A90" s="175" t="s">
        <v>167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42"/>
      <c r="BA90" s="142"/>
    </row>
    <row r="91" spans="1:53" x14ac:dyDescent="0.25">
      <c r="A91" s="175" t="s">
        <v>168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42"/>
      <c r="BA91" s="142"/>
    </row>
    <row r="92" spans="1:53" x14ac:dyDescent="0.25">
      <c r="A92" s="175" t="s">
        <v>169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42"/>
      <c r="BA92" s="142"/>
    </row>
    <row r="93" spans="1:53" x14ac:dyDescent="0.25">
      <c r="A93" s="175" t="s">
        <v>170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42"/>
      <c r="BA93" s="142"/>
    </row>
    <row r="94" spans="1:53" x14ac:dyDescent="0.25">
      <c r="A94" s="173" t="s">
        <v>43</v>
      </c>
      <c r="B94" s="174">
        <f>SUM(B95:B177)</f>
        <v>473</v>
      </c>
      <c r="C94" s="174">
        <f t="shared" ref="C94:X94" si="14">SUM(C95:C177)</f>
        <v>42</v>
      </c>
      <c r="D94" s="174">
        <f t="shared" si="14"/>
        <v>1950</v>
      </c>
      <c r="E94" s="174">
        <f t="shared" si="14"/>
        <v>99</v>
      </c>
      <c r="F94" s="174">
        <f t="shared" si="14"/>
        <v>0</v>
      </c>
      <c r="G94" s="174">
        <f t="shared" si="14"/>
        <v>15</v>
      </c>
      <c r="H94" s="174">
        <f t="shared" si="14"/>
        <v>1052</v>
      </c>
      <c r="I94" s="174">
        <f t="shared" si="14"/>
        <v>0</v>
      </c>
      <c r="J94" s="174">
        <f t="shared" si="14"/>
        <v>48</v>
      </c>
      <c r="K94" s="174">
        <f t="shared" si="14"/>
        <v>139</v>
      </c>
      <c r="L94" s="174">
        <f t="shared" si="14"/>
        <v>149</v>
      </c>
      <c r="M94" s="174">
        <f t="shared" si="14"/>
        <v>18</v>
      </c>
      <c r="N94" s="174">
        <f t="shared" si="14"/>
        <v>143</v>
      </c>
      <c r="O94" s="174">
        <f t="shared" si="14"/>
        <v>8</v>
      </c>
      <c r="P94" s="174">
        <f t="shared" si="14"/>
        <v>38</v>
      </c>
      <c r="Q94" s="174">
        <f t="shared" si="14"/>
        <v>0</v>
      </c>
      <c r="R94" s="174">
        <f t="shared" si="14"/>
        <v>76</v>
      </c>
      <c r="S94" s="174">
        <f t="shared" si="14"/>
        <v>33</v>
      </c>
      <c r="T94" s="174">
        <f t="shared" si="14"/>
        <v>2</v>
      </c>
      <c r="U94" s="174">
        <f t="shared" si="14"/>
        <v>2</v>
      </c>
      <c r="V94" s="174">
        <f t="shared" si="14"/>
        <v>21</v>
      </c>
      <c r="W94" s="174">
        <f t="shared" si="14"/>
        <v>3</v>
      </c>
      <c r="X94" s="174">
        <f t="shared" si="14"/>
        <v>203</v>
      </c>
      <c r="Y94" s="174">
        <f t="shared" si="11"/>
        <v>1950</v>
      </c>
      <c r="Z94" s="174">
        <f t="shared" ref="Z94:AV94" si="15">SUM(Z95:Z177)</f>
        <v>314</v>
      </c>
      <c r="AA94" s="174">
        <f t="shared" si="15"/>
        <v>40</v>
      </c>
      <c r="AB94" s="174">
        <f t="shared" si="15"/>
        <v>1220</v>
      </c>
      <c r="AC94" s="174">
        <f t="shared" si="15"/>
        <v>73</v>
      </c>
      <c r="AD94" s="174">
        <f t="shared" si="15"/>
        <v>0</v>
      </c>
      <c r="AE94" s="174">
        <f t="shared" si="15"/>
        <v>12</v>
      </c>
      <c r="AF94" s="174">
        <f t="shared" si="15"/>
        <v>773</v>
      </c>
      <c r="AG94" s="174">
        <f t="shared" si="15"/>
        <v>0</v>
      </c>
      <c r="AH94" s="174">
        <f t="shared" si="15"/>
        <v>43</v>
      </c>
      <c r="AI94" s="174">
        <f t="shared" si="15"/>
        <v>67</v>
      </c>
      <c r="AJ94" s="174">
        <f t="shared" si="15"/>
        <v>74</v>
      </c>
      <c r="AK94" s="174">
        <f t="shared" si="15"/>
        <v>8</v>
      </c>
      <c r="AL94" s="174">
        <f t="shared" si="15"/>
        <v>48</v>
      </c>
      <c r="AM94" s="174">
        <f t="shared" si="15"/>
        <v>3</v>
      </c>
      <c r="AN94" s="174">
        <f t="shared" si="15"/>
        <v>55</v>
      </c>
      <c r="AO94" s="174">
        <f t="shared" si="15"/>
        <v>0</v>
      </c>
      <c r="AP94" s="174">
        <f t="shared" si="15"/>
        <v>23</v>
      </c>
      <c r="AQ94" s="174">
        <f t="shared" si="15"/>
        <v>12</v>
      </c>
      <c r="AR94" s="174">
        <f t="shared" si="15"/>
        <v>1</v>
      </c>
      <c r="AS94" s="174">
        <f t="shared" si="15"/>
        <v>1</v>
      </c>
      <c r="AT94" s="174">
        <f t="shared" si="15"/>
        <v>11</v>
      </c>
      <c r="AU94" s="174">
        <f t="shared" si="15"/>
        <v>2</v>
      </c>
      <c r="AV94" s="174">
        <f t="shared" si="15"/>
        <v>87</v>
      </c>
      <c r="AW94" s="174">
        <f t="shared" si="10"/>
        <v>1220</v>
      </c>
      <c r="AX94" s="174"/>
      <c r="AY94" s="184">
        <f>Z94*100/B94</f>
        <v>66.38477801268499</v>
      </c>
      <c r="AZ94" s="174">
        <f>B94-Z94</f>
        <v>159</v>
      </c>
      <c r="BA94" s="184">
        <f>AZ94*100/B94</f>
        <v>33.61522198731501</v>
      </c>
    </row>
    <row r="95" spans="1:53" x14ac:dyDescent="0.25">
      <c r="A95" s="175" t="s">
        <v>114</v>
      </c>
      <c r="B95" s="174">
        <v>33</v>
      </c>
      <c r="C95" s="174">
        <v>3</v>
      </c>
      <c r="D95" s="174">
        <v>198</v>
      </c>
      <c r="E95" s="174">
        <v>3</v>
      </c>
      <c r="F95" s="174"/>
      <c r="G95" s="174"/>
      <c r="H95" s="174">
        <v>15</v>
      </c>
      <c r="I95" s="174"/>
      <c r="J95" s="174"/>
      <c r="K95" s="174"/>
      <c r="L95" s="174">
        <v>14</v>
      </c>
      <c r="M95" s="174"/>
      <c r="N95" s="174">
        <v>141</v>
      </c>
      <c r="O95" s="174"/>
      <c r="P95" s="174"/>
      <c r="Q95" s="174"/>
      <c r="R95" s="174">
        <v>23</v>
      </c>
      <c r="S95" s="174">
        <v>2</v>
      </c>
      <c r="T95" s="174"/>
      <c r="U95" s="174">
        <v>1</v>
      </c>
      <c r="V95" s="174">
        <v>2</v>
      </c>
      <c r="W95" s="174"/>
      <c r="X95" s="174"/>
      <c r="Y95" s="174">
        <f t="shared" si="11"/>
        <v>198</v>
      </c>
      <c r="Z95" s="174">
        <v>23</v>
      </c>
      <c r="AA95" s="174">
        <v>3</v>
      </c>
      <c r="AB95" s="174">
        <v>51</v>
      </c>
      <c r="AC95" s="174">
        <v>3</v>
      </c>
      <c r="AD95" s="174"/>
      <c r="AE95" s="174"/>
      <c r="AF95" s="174">
        <v>1</v>
      </c>
      <c r="AG95" s="174"/>
      <c r="AH95" s="174"/>
      <c r="AI95" s="174"/>
      <c r="AJ95" s="174">
        <v>1</v>
      </c>
      <c r="AK95" s="174"/>
      <c r="AL95" s="174">
        <v>46</v>
      </c>
      <c r="AM95" s="174"/>
      <c r="AN95" s="174"/>
      <c r="AO95" s="174"/>
      <c r="AP95" s="174"/>
      <c r="AQ95" s="174">
        <v>1</v>
      </c>
      <c r="AR95" s="174"/>
      <c r="AS95" s="174">
        <v>1</v>
      </c>
      <c r="AT95" s="174">
        <v>1</v>
      </c>
      <c r="AU95" s="174"/>
      <c r="AV95" s="174"/>
      <c r="AW95" s="174">
        <f t="shared" si="10"/>
        <v>51</v>
      </c>
      <c r="AX95" s="174">
        <v>2033.61</v>
      </c>
      <c r="AY95" s="142"/>
      <c r="BA95" s="142"/>
    </row>
    <row r="96" spans="1:53" x14ac:dyDescent="0.25">
      <c r="A96" s="175" t="s">
        <v>101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42"/>
      <c r="BA96" s="142"/>
    </row>
    <row r="97" spans="1:53" x14ac:dyDescent="0.25">
      <c r="A97" s="175" t="s">
        <v>102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42"/>
      <c r="BA97" s="142"/>
    </row>
    <row r="98" spans="1:53" x14ac:dyDescent="0.25">
      <c r="A98" s="175" t="s">
        <v>179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>
        <v>0</v>
      </c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42"/>
      <c r="BA98" s="142"/>
    </row>
    <row r="99" spans="1:53" x14ac:dyDescent="0.25">
      <c r="A99" s="175" t="s">
        <v>180</v>
      </c>
      <c r="B99" s="174">
        <v>6</v>
      </c>
      <c r="C99" s="174"/>
      <c r="D99" s="174">
        <v>14</v>
      </c>
      <c r="E99" s="174"/>
      <c r="F99" s="174"/>
      <c r="G99" s="174"/>
      <c r="H99" s="174">
        <v>2</v>
      </c>
      <c r="I99" s="174"/>
      <c r="J99" s="174"/>
      <c r="K99" s="174">
        <v>8</v>
      </c>
      <c r="L99" s="174">
        <v>3</v>
      </c>
      <c r="M99" s="174"/>
      <c r="N99" s="174"/>
      <c r="O99" s="174"/>
      <c r="P99" s="174"/>
      <c r="Q99" s="174"/>
      <c r="R99" s="174"/>
      <c r="S99" s="174">
        <v>1</v>
      </c>
      <c r="T99" s="174"/>
      <c r="U99" s="174"/>
      <c r="V99" s="174"/>
      <c r="W99" s="174"/>
      <c r="X99" s="174"/>
      <c r="Y99" s="174">
        <f t="shared" si="11"/>
        <v>14</v>
      </c>
      <c r="Z99" s="174">
        <v>4</v>
      </c>
      <c r="AA99" s="174"/>
      <c r="AB99" s="174">
        <v>7</v>
      </c>
      <c r="AC99" s="174">
        <v>0</v>
      </c>
      <c r="AD99" s="174"/>
      <c r="AE99" s="174"/>
      <c r="AF99" s="174">
        <v>2</v>
      </c>
      <c r="AG99" s="174"/>
      <c r="AH99" s="174"/>
      <c r="AI99" s="174">
        <v>5</v>
      </c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>
        <f t="shared" si="10"/>
        <v>7</v>
      </c>
      <c r="AX99" s="174">
        <v>2240</v>
      </c>
      <c r="AY99" s="142"/>
      <c r="BA99" s="142"/>
    </row>
    <row r="100" spans="1:53" x14ac:dyDescent="0.25">
      <c r="A100" s="175" t="s">
        <v>181</v>
      </c>
      <c r="B100" s="174">
        <v>1</v>
      </c>
      <c r="C100" s="174">
        <v>1</v>
      </c>
      <c r="D100" s="174">
        <v>1</v>
      </c>
      <c r="E100" s="174">
        <v>1</v>
      </c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>
        <v>1</v>
      </c>
      <c r="U100" s="174"/>
      <c r="V100" s="174"/>
      <c r="W100" s="174"/>
      <c r="X100" s="174"/>
      <c r="Y100" s="174">
        <f t="shared" si="11"/>
        <v>1</v>
      </c>
      <c r="Z100" s="174">
        <v>1</v>
      </c>
      <c r="AA100" s="174">
        <v>1</v>
      </c>
      <c r="AB100" s="174">
        <v>1</v>
      </c>
      <c r="AC100" s="174">
        <v>1</v>
      </c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>
        <v>1</v>
      </c>
      <c r="AS100" s="174"/>
      <c r="AT100" s="174"/>
      <c r="AU100" s="174"/>
      <c r="AV100" s="174"/>
      <c r="AW100" s="174">
        <f t="shared" si="10"/>
        <v>1</v>
      </c>
      <c r="AX100" s="174">
        <v>1352</v>
      </c>
      <c r="AY100" s="142"/>
      <c r="BA100" s="142"/>
    </row>
    <row r="101" spans="1:53" x14ac:dyDescent="0.25">
      <c r="A101" s="175" t="s">
        <v>182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42"/>
      <c r="BA101" s="142"/>
    </row>
    <row r="102" spans="1:53" x14ac:dyDescent="0.25">
      <c r="A102" s="175" t="s">
        <v>183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42"/>
      <c r="BA102" s="142"/>
    </row>
    <row r="103" spans="1:53" x14ac:dyDescent="0.25">
      <c r="A103" s="175" t="s">
        <v>184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42"/>
      <c r="BA103" s="142"/>
    </row>
    <row r="104" spans="1:53" x14ac:dyDescent="0.25">
      <c r="A104" s="175" t="s">
        <v>185</v>
      </c>
      <c r="B104" s="174">
        <v>18</v>
      </c>
      <c r="C104" s="174">
        <v>2</v>
      </c>
      <c r="D104" s="174">
        <v>76</v>
      </c>
      <c r="E104" s="174">
        <v>2</v>
      </c>
      <c r="F104" s="174"/>
      <c r="G104" s="174">
        <v>14</v>
      </c>
      <c r="H104" s="174">
        <v>31</v>
      </c>
      <c r="I104" s="174"/>
      <c r="J104" s="174">
        <v>1</v>
      </c>
      <c r="K104" s="174">
        <v>14</v>
      </c>
      <c r="L104" s="174">
        <v>12</v>
      </c>
      <c r="M104" s="174"/>
      <c r="N104" s="174"/>
      <c r="O104" s="174">
        <v>2</v>
      </c>
      <c r="P104" s="174"/>
      <c r="Q104" s="174"/>
      <c r="R104" s="174"/>
      <c r="S104" s="174">
        <v>1</v>
      </c>
      <c r="T104" s="174"/>
      <c r="U104" s="174"/>
      <c r="V104" s="174"/>
      <c r="W104" s="174"/>
      <c r="X104" s="174">
        <v>1</v>
      </c>
      <c r="Y104" s="174">
        <f t="shared" si="11"/>
        <v>76</v>
      </c>
      <c r="Z104" s="174">
        <v>19</v>
      </c>
      <c r="AA104" s="174">
        <v>1</v>
      </c>
      <c r="AB104" s="174">
        <v>47</v>
      </c>
      <c r="AC104" s="174">
        <v>1</v>
      </c>
      <c r="AD104" s="174"/>
      <c r="AE104" s="174">
        <v>11</v>
      </c>
      <c r="AF104" s="174">
        <v>17</v>
      </c>
      <c r="AG104" s="174"/>
      <c r="AH104" s="174"/>
      <c r="AI104" s="174">
        <v>7</v>
      </c>
      <c r="AJ104" s="174">
        <v>9</v>
      </c>
      <c r="AK104" s="174"/>
      <c r="AL104" s="174"/>
      <c r="AM104" s="174">
        <v>2</v>
      </c>
      <c r="AN104" s="174"/>
      <c r="AO104" s="174"/>
      <c r="AP104" s="174"/>
      <c r="AQ104" s="174">
        <v>1</v>
      </c>
      <c r="AR104" s="174"/>
      <c r="AS104" s="174"/>
      <c r="AT104" s="174"/>
      <c r="AU104" s="174"/>
      <c r="AV104" s="174"/>
      <c r="AW104" s="174">
        <f t="shared" si="10"/>
        <v>47</v>
      </c>
      <c r="AX104" s="174">
        <v>1568.29</v>
      </c>
      <c r="AY104" s="142"/>
      <c r="BA104" s="142"/>
    </row>
    <row r="105" spans="1:53" x14ac:dyDescent="0.25">
      <c r="A105" s="175" t="s">
        <v>186</v>
      </c>
      <c r="B105" s="174">
        <v>1</v>
      </c>
      <c r="C105" s="174"/>
      <c r="D105" s="174">
        <v>1</v>
      </c>
      <c r="E105" s="174"/>
      <c r="F105" s="174"/>
      <c r="G105" s="174"/>
      <c r="H105" s="174"/>
      <c r="I105" s="174"/>
      <c r="J105" s="174"/>
      <c r="K105" s="174">
        <v>1</v>
      </c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>
        <f t="shared" si="11"/>
        <v>1</v>
      </c>
      <c r="Z105" s="174"/>
      <c r="AA105" s="174"/>
      <c r="AB105" s="174"/>
      <c r="AC105" s="174">
        <v>0</v>
      </c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42"/>
      <c r="BA105" s="142"/>
    </row>
    <row r="106" spans="1:53" x14ac:dyDescent="0.25">
      <c r="A106" s="175" t="s">
        <v>187</v>
      </c>
      <c r="B106" s="174">
        <v>1</v>
      </c>
      <c r="C106" s="174">
        <v>1</v>
      </c>
      <c r="D106" s="174">
        <v>1</v>
      </c>
      <c r="E106" s="174">
        <v>1</v>
      </c>
      <c r="F106" s="174"/>
      <c r="G106" s="174"/>
      <c r="H106" s="174"/>
      <c r="I106" s="174"/>
      <c r="J106" s="174"/>
      <c r="K106" s="174"/>
      <c r="L106" s="174"/>
      <c r="M106" s="174">
        <v>1</v>
      </c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>
        <f t="shared" si="11"/>
        <v>1</v>
      </c>
      <c r="Z106" s="174"/>
      <c r="AA106" s="174"/>
      <c r="AB106" s="174"/>
      <c r="AC106" s="174">
        <v>0</v>
      </c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42"/>
      <c r="BA106" s="142"/>
    </row>
    <row r="107" spans="1:53" x14ac:dyDescent="0.25">
      <c r="A107" s="175" t="s">
        <v>188</v>
      </c>
      <c r="B107" s="174">
        <v>46</v>
      </c>
      <c r="C107" s="174"/>
      <c r="D107" s="174">
        <v>120</v>
      </c>
      <c r="E107" s="174"/>
      <c r="F107" s="174"/>
      <c r="G107" s="174"/>
      <c r="H107" s="174"/>
      <c r="I107" s="174"/>
      <c r="J107" s="174"/>
      <c r="K107" s="174"/>
      <c r="L107" s="174">
        <v>4</v>
      </c>
      <c r="M107" s="174"/>
      <c r="N107" s="174"/>
      <c r="O107" s="174"/>
      <c r="P107" s="174"/>
      <c r="Q107" s="174"/>
      <c r="R107" s="174"/>
      <c r="S107" s="174">
        <v>1</v>
      </c>
      <c r="T107" s="174"/>
      <c r="U107" s="174"/>
      <c r="V107" s="174">
        <v>8</v>
      </c>
      <c r="W107" s="174"/>
      <c r="X107" s="174">
        <v>107</v>
      </c>
      <c r="Y107" s="174">
        <f t="shared" si="11"/>
        <v>120</v>
      </c>
      <c r="Z107" s="174">
        <v>26</v>
      </c>
      <c r="AA107" s="174"/>
      <c r="AB107" s="174">
        <v>44</v>
      </c>
      <c r="AC107" s="174">
        <v>0</v>
      </c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>
        <v>44</v>
      </c>
      <c r="AW107" s="174">
        <f t="shared" si="10"/>
        <v>44</v>
      </c>
      <c r="AX107" s="174">
        <v>2697.96</v>
      </c>
      <c r="AY107" s="142"/>
      <c r="BA107" s="142"/>
    </row>
    <row r="108" spans="1:53" x14ac:dyDescent="0.25">
      <c r="A108" s="175" t="s">
        <v>189</v>
      </c>
      <c r="B108" s="174">
        <v>9</v>
      </c>
      <c r="C108" s="174">
        <v>3</v>
      </c>
      <c r="D108" s="174">
        <v>102</v>
      </c>
      <c r="E108" s="174">
        <v>14</v>
      </c>
      <c r="F108" s="174"/>
      <c r="G108" s="174"/>
      <c r="H108" s="174">
        <v>86</v>
      </c>
      <c r="I108" s="174"/>
      <c r="J108" s="174">
        <v>2</v>
      </c>
      <c r="K108" s="174"/>
      <c r="L108" s="174">
        <v>1</v>
      </c>
      <c r="M108" s="174">
        <v>6</v>
      </c>
      <c r="N108" s="174"/>
      <c r="O108" s="174"/>
      <c r="P108" s="174"/>
      <c r="Q108" s="174"/>
      <c r="R108" s="174"/>
      <c r="S108" s="174">
        <v>7</v>
      </c>
      <c r="T108" s="174"/>
      <c r="U108" s="174"/>
      <c r="V108" s="174"/>
      <c r="W108" s="174"/>
      <c r="X108" s="174"/>
      <c r="Y108" s="174">
        <f t="shared" si="11"/>
        <v>102</v>
      </c>
      <c r="Z108" s="174">
        <v>10</v>
      </c>
      <c r="AA108" s="174">
        <v>2</v>
      </c>
      <c r="AB108" s="174">
        <v>56</v>
      </c>
      <c r="AC108" s="174">
        <v>4</v>
      </c>
      <c r="AD108" s="174"/>
      <c r="AE108" s="174"/>
      <c r="AF108" s="174">
        <v>43</v>
      </c>
      <c r="AG108" s="174"/>
      <c r="AH108" s="174">
        <v>4</v>
      </c>
      <c r="AI108" s="174"/>
      <c r="AJ108" s="174">
        <v>3</v>
      </c>
      <c r="AK108" s="174"/>
      <c r="AL108" s="174"/>
      <c r="AM108" s="174"/>
      <c r="AN108" s="174"/>
      <c r="AO108" s="174"/>
      <c r="AP108" s="174"/>
      <c r="AQ108" s="174">
        <v>6</v>
      </c>
      <c r="AR108" s="174"/>
      <c r="AS108" s="174"/>
      <c r="AT108" s="174"/>
      <c r="AU108" s="174"/>
      <c r="AV108" s="174"/>
      <c r="AW108" s="174">
        <f t="shared" si="10"/>
        <v>56</v>
      </c>
      <c r="AX108" s="174">
        <v>593.30999999999995</v>
      </c>
      <c r="AY108" s="142"/>
      <c r="BA108" s="142"/>
    </row>
    <row r="109" spans="1:53" x14ac:dyDescent="0.25">
      <c r="A109" s="175" t="s">
        <v>190</v>
      </c>
      <c r="B109" s="174">
        <v>43</v>
      </c>
      <c r="C109" s="174"/>
      <c r="D109" s="174">
        <v>86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>
        <v>2</v>
      </c>
      <c r="X109" s="174">
        <v>84</v>
      </c>
      <c r="Y109" s="174">
        <f t="shared" si="11"/>
        <v>86</v>
      </c>
      <c r="Z109" s="174">
        <v>20</v>
      </c>
      <c r="AA109" s="174"/>
      <c r="AB109" s="174">
        <v>42</v>
      </c>
      <c r="AC109" s="174">
        <v>0</v>
      </c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>
        <v>1</v>
      </c>
      <c r="AV109" s="174">
        <v>41</v>
      </c>
      <c r="AW109" s="174">
        <f t="shared" si="10"/>
        <v>42</v>
      </c>
      <c r="AX109" s="174">
        <v>3337.11</v>
      </c>
      <c r="AY109" s="142"/>
      <c r="BA109" s="142"/>
    </row>
    <row r="110" spans="1:53" x14ac:dyDescent="0.25">
      <c r="A110" s="175" t="s">
        <v>191</v>
      </c>
      <c r="B110" s="174">
        <v>9</v>
      </c>
      <c r="C110" s="174">
        <v>8</v>
      </c>
      <c r="D110" s="174">
        <v>12</v>
      </c>
      <c r="E110" s="174">
        <v>8</v>
      </c>
      <c r="F110" s="174"/>
      <c r="G110" s="174"/>
      <c r="H110" s="174"/>
      <c r="I110" s="174"/>
      <c r="J110" s="174"/>
      <c r="K110" s="174">
        <v>12</v>
      </c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>
        <f t="shared" si="11"/>
        <v>12</v>
      </c>
      <c r="Z110" s="174">
        <v>5</v>
      </c>
      <c r="AA110" s="174">
        <v>5</v>
      </c>
      <c r="AB110" s="174">
        <v>5</v>
      </c>
      <c r="AC110" s="174">
        <v>5</v>
      </c>
      <c r="AD110" s="174"/>
      <c r="AE110" s="174"/>
      <c r="AF110" s="174"/>
      <c r="AG110" s="174"/>
      <c r="AH110" s="174"/>
      <c r="AI110" s="174">
        <v>5</v>
      </c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>
        <f t="shared" si="10"/>
        <v>5</v>
      </c>
      <c r="AX110" s="174">
        <v>1587.04</v>
      </c>
      <c r="AY110" s="142"/>
      <c r="BA110" s="142"/>
    </row>
    <row r="111" spans="1:53" x14ac:dyDescent="0.25">
      <c r="A111" s="175" t="s">
        <v>192</v>
      </c>
      <c r="B111" s="174">
        <v>3</v>
      </c>
      <c r="C111" s="174"/>
      <c r="D111" s="174">
        <v>6</v>
      </c>
      <c r="E111" s="174"/>
      <c r="F111" s="174"/>
      <c r="G111" s="174"/>
      <c r="H111" s="174">
        <v>5</v>
      </c>
      <c r="I111" s="174"/>
      <c r="J111" s="174"/>
      <c r="K111" s="174">
        <v>1</v>
      </c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>
        <f t="shared" si="11"/>
        <v>6</v>
      </c>
      <c r="Z111" s="174">
        <v>2</v>
      </c>
      <c r="AA111" s="174"/>
      <c r="AB111" s="174">
        <v>5</v>
      </c>
      <c r="AC111" s="174">
        <v>0</v>
      </c>
      <c r="AD111" s="174"/>
      <c r="AE111" s="174"/>
      <c r="AF111" s="174">
        <v>5</v>
      </c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>
        <f t="shared" si="10"/>
        <v>5</v>
      </c>
      <c r="AX111" s="174">
        <v>4015.4</v>
      </c>
      <c r="AY111" s="142"/>
      <c r="BA111" s="142"/>
    </row>
    <row r="112" spans="1:53" x14ac:dyDescent="0.25">
      <c r="A112" s="175" t="s">
        <v>193</v>
      </c>
      <c r="B112" s="174">
        <v>5</v>
      </c>
      <c r="C112" s="174">
        <v>1</v>
      </c>
      <c r="D112" s="174">
        <v>10</v>
      </c>
      <c r="E112" s="174">
        <v>4</v>
      </c>
      <c r="F112" s="174"/>
      <c r="G112" s="174"/>
      <c r="H112" s="174">
        <v>1</v>
      </c>
      <c r="I112" s="174"/>
      <c r="J112" s="174">
        <v>4</v>
      </c>
      <c r="K112" s="174">
        <v>1</v>
      </c>
      <c r="L112" s="174">
        <v>1</v>
      </c>
      <c r="M112" s="174"/>
      <c r="N112" s="174"/>
      <c r="O112" s="174"/>
      <c r="P112" s="174"/>
      <c r="Q112" s="174"/>
      <c r="R112" s="174">
        <v>3</v>
      </c>
      <c r="S112" s="174"/>
      <c r="T112" s="174"/>
      <c r="U112" s="174"/>
      <c r="V112" s="174"/>
      <c r="W112" s="174"/>
      <c r="X112" s="174"/>
      <c r="Y112" s="174">
        <f t="shared" si="11"/>
        <v>10</v>
      </c>
      <c r="Z112" s="174">
        <v>3</v>
      </c>
      <c r="AA112" s="174">
        <v>1</v>
      </c>
      <c r="AB112" s="174">
        <v>6</v>
      </c>
      <c r="AC112" s="174">
        <v>4</v>
      </c>
      <c r="AD112" s="174"/>
      <c r="AE112" s="174"/>
      <c r="AF112" s="174">
        <v>1</v>
      </c>
      <c r="AG112" s="174"/>
      <c r="AH112" s="174">
        <v>4</v>
      </c>
      <c r="AI112" s="174"/>
      <c r="AJ112" s="174">
        <v>1</v>
      </c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>
        <f t="shared" si="10"/>
        <v>6</v>
      </c>
      <c r="AX112" s="174">
        <v>666.07</v>
      </c>
      <c r="AY112" s="142"/>
      <c r="BA112" s="142"/>
    </row>
    <row r="113" spans="1:53" x14ac:dyDescent="0.25">
      <c r="A113" s="175" t="s">
        <v>194</v>
      </c>
      <c r="B113" s="174">
        <v>123</v>
      </c>
      <c r="C113" s="174">
        <v>1</v>
      </c>
      <c r="D113" s="174">
        <v>615</v>
      </c>
      <c r="E113" s="174">
        <v>1</v>
      </c>
      <c r="F113" s="174"/>
      <c r="G113" s="174"/>
      <c r="H113" s="174">
        <v>521</v>
      </c>
      <c r="I113" s="174"/>
      <c r="J113" s="174"/>
      <c r="K113" s="174">
        <v>60</v>
      </c>
      <c r="L113" s="174">
        <v>13</v>
      </c>
      <c r="M113" s="174">
        <v>1</v>
      </c>
      <c r="N113" s="174"/>
      <c r="O113" s="174"/>
      <c r="P113" s="174"/>
      <c r="Q113" s="174"/>
      <c r="R113" s="174">
        <v>2</v>
      </c>
      <c r="S113" s="174">
        <v>18</v>
      </c>
      <c r="T113" s="174"/>
      <c r="U113" s="174"/>
      <c r="V113" s="174"/>
      <c r="W113" s="174"/>
      <c r="X113" s="174"/>
      <c r="Y113" s="174">
        <f t="shared" si="11"/>
        <v>615</v>
      </c>
      <c r="Z113" s="174">
        <v>79</v>
      </c>
      <c r="AA113" s="174">
        <v>1</v>
      </c>
      <c r="AB113" s="174">
        <v>523</v>
      </c>
      <c r="AC113" s="174">
        <v>1</v>
      </c>
      <c r="AD113" s="174"/>
      <c r="AE113" s="174"/>
      <c r="AF113" s="174">
        <v>501</v>
      </c>
      <c r="AG113" s="174"/>
      <c r="AH113" s="174"/>
      <c r="AI113" s="174">
        <v>12</v>
      </c>
      <c r="AJ113" s="174">
        <v>4</v>
      </c>
      <c r="AK113" s="174">
        <v>1</v>
      </c>
      <c r="AL113" s="174"/>
      <c r="AM113" s="174"/>
      <c r="AN113" s="174"/>
      <c r="AO113" s="174"/>
      <c r="AP113" s="174">
        <v>2</v>
      </c>
      <c r="AQ113" s="174">
        <v>3</v>
      </c>
      <c r="AR113" s="174"/>
      <c r="AS113" s="174"/>
      <c r="AT113" s="174"/>
      <c r="AU113" s="174"/>
      <c r="AV113" s="174"/>
      <c r="AW113" s="174">
        <f t="shared" si="10"/>
        <v>523</v>
      </c>
      <c r="AX113" s="174">
        <v>1392.54</v>
      </c>
      <c r="AY113" s="142"/>
      <c r="BA113" s="142"/>
    </row>
    <row r="114" spans="1:53" x14ac:dyDescent="0.25">
      <c r="A114" s="175" t="s">
        <v>195</v>
      </c>
      <c r="B114" s="174">
        <v>3</v>
      </c>
      <c r="C114" s="174"/>
      <c r="D114" s="174">
        <v>11</v>
      </c>
      <c r="E114" s="174"/>
      <c r="F114" s="174"/>
      <c r="G114" s="174"/>
      <c r="H114" s="174">
        <v>11</v>
      </c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>
        <f t="shared" si="11"/>
        <v>11</v>
      </c>
      <c r="Z114" s="174"/>
      <c r="AA114" s="174"/>
      <c r="AB114" s="174"/>
      <c r="AC114" s="174">
        <v>0</v>
      </c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42"/>
      <c r="BA114" s="142"/>
    </row>
    <row r="115" spans="1:53" x14ac:dyDescent="0.25">
      <c r="A115" s="175" t="s">
        <v>196</v>
      </c>
      <c r="B115" s="174">
        <v>21</v>
      </c>
      <c r="C115" s="174"/>
      <c r="D115" s="174">
        <v>12</v>
      </c>
      <c r="E115" s="174"/>
      <c r="F115" s="174"/>
      <c r="G115" s="174"/>
      <c r="H115" s="174">
        <v>10</v>
      </c>
      <c r="I115" s="174"/>
      <c r="J115" s="174"/>
      <c r="K115" s="174">
        <v>1</v>
      </c>
      <c r="L115" s="174"/>
      <c r="M115" s="174"/>
      <c r="N115" s="174"/>
      <c r="O115" s="174"/>
      <c r="P115" s="174"/>
      <c r="Q115" s="174"/>
      <c r="R115" s="174">
        <v>1</v>
      </c>
      <c r="S115" s="174"/>
      <c r="T115" s="174"/>
      <c r="U115" s="174"/>
      <c r="V115" s="174"/>
      <c r="W115" s="174"/>
      <c r="X115" s="174"/>
      <c r="Y115" s="174">
        <f t="shared" si="11"/>
        <v>12</v>
      </c>
      <c r="Z115" s="174">
        <v>10</v>
      </c>
      <c r="AA115" s="174"/>
      <c r="AB115" s="174">
        <v>16</v>
      </c>
      <c r="AC115" s="174">
        <v>0</v>
      </c>
      <c r="AD115" s="174"/>
      <c r="AE115" s="174"/>
      <c r="AF115" s="174">
        <v>6</v>
      </c>
      <c r="AG115" s="174"/>
      <c r="AH115" s="174"/>
      <c r="AI115" s="174">
        <v>8</v>
      </c>
      <c r="AJ115" s="174"/>
      <c r="AK115" s="174"/>
      <c r="AL115" s="174"/>
      <c r="AM115" s="174"/>
      <c r="AN115" s="174"/>
      <c r="AO115" s="174"/>
      <c r="AP115" s="174">
        <v>2</v>
      </c>
      <c r="AQ115" s="174"/>
      <c r="AR115" s="174"/>
      <c r="AS115" s="174"/>
      <c r="AT115" s="174"/>
      <c r="AU115" s="174"/>
      <c r="AV115" s="174"/>
      <c r="AW115" s="174">
        <f t="shared" si="10"/>
        <v>16</v>
      </c>
      <c r="AX115" s="174">
        <v>2603.75</v>
      </c>
      <c r="AY115" s="142"/>
      <c r="BA115" s="142"/>
    </row>
    <row r="116" spans="1:53" x14ac:dyDescent="0.25">
      <c r="A116" s="175" t="s">
        <v>197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>
        <v>0</v>
      </c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42"/>
      <c r="BA116" s="142"/>
    </row>
    <row r="117" spans="1:53" x14ac:dyDescent="0.25">
      <c r="A117" s="175" t="s">
        <v>198</v>
      </c>
      <c r="B117" s="174">
        <v>10</v>
      </c>
      <c r="C117" s="174">
        <v>1</v>
      </c>
      <c r="D117" s="174">
        <v>23</v>
      </c>
      <c r="E117" s="174">
        <v>2</v>
      </c>
      <c r="F117" s="174"/>
      <c r="G117" s="174"/>
      <c r="H117" s="174"/>
      <c r="I117" s="174"/>
      <c r="J117" s="174"/>
      <c r="K117" s="174"/>
      <c r="L117" s="174">
        <v>18</v>
      </c>
      <c r="M117" s="174">
        <v>2</v>
      </c>
      <c r="N117" s="174"/>
      <c r="O117" s="174"/>
      <c r="P117" s="174"/>
      <c r="Q117" s="174"/>
      <c r="R117" s="174">
        <v>3</v>
      </c>
      <c r="S117" s="174"/>
      <c r="T117" s="174"/>
      <c r="U117" s="174"/>
      <c r="V117" s="174"/>
      <c r="W117" s="174"/>
      <c r="X117" s="174"/>
      <c r="Y117" s="174">
        <f t="shared" si="11"/>
        <v>23</v>
      </c>
      <c r="Z117" s="174">
        <v>13</v>
      </c>
      <c r="AA117" s="174">
        <v>1</v>
      </c>
      <c r="AB117" s="174">
        <v>23</v>
      </c>
      <c r="AC117" s="174">
        <v>2</v>
      </c>
      <c r="AD117" s="174"/>
      <c r="AE117" s="174"/>
      <c r="AF117" s="174"/>
      <c r="AG117" s="174"/>
      <c r="AH117" s="174"/>
      <c r="AI117" s="174"/>
      <c r="AJ117" s="174">
        <v>21</v>
      </c>
      <c r="AK117" s="174">
        <v>2</v>
      </c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>
        <f t="shared" si="10"/>
        <v>23</v>
      </c>
      <c r="AX117" s="174">
        <v>1498.45</v>
      </c>
      <c r="AY117" s="142"/>
      <c r="BA117" s="142"/>
    </row>
    <row r="118" spans="1:53" x14ac:dyDescent="0.25">
      <c r="A118" s="175" t="s">
        <v>199</v>
      </c>
      <c r="B118" s="174">
        <v>1</v>
      </c>
      <c r="C118" s="174">
        <v>1</v>
      </c>
      <c r="D118" s="174">
        <v>4</v>
      </c>
      <c r="E118" s="174">
        <v>4</v>
      </c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>
        <v>4</v>
      </c>
      <c r="W118" s="174"/>
      <c r="X118" s="174"/>
      <c r="Y118" s="174">
        <f t="shared" si="11"/>
        <v>4</v>
      </c>
      <c r="Z118" s="174">
        <v>1</v>
      </c>
      <c r="AA118" s="174">
        <v>1</v>
      </c>
      <c r="AB118" s="174">
        <v>4</v>
      </c>
      <c r="AC118" s="174">
        <v>4</v>
      </c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>
        <v>4</v>
      </c>
      <c r="AU118" s="174"/>
      <c r="AV118" s="174"/>
      <c r="AW118" s="174">
        <f t="shared" si="10"/>
        <v>4</v>
      </c>
      <c r="AX118" s="174">
        <v>1200</v>
      </c>
      <c r="AY118" s="142"/>
      <c r="BA118" s="142"/>
    </row>
    <row r="119" spans="1:53" x14ac:dyDescent="0.25">
      <c r="A119" s="175" t="s">
        <v>200</v>
      </c>
      <c r="B119" s="174">
        <v>3</v>
      </c>
      <c r="C119" s="174"/>
      <c r="D119" s="174">
        <v>38</v>
      </c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>
        <v>38</v>
      </c>
      <c r="Q119" s="174"/>
      <c r="R119" s="174"/>
      <c r="S119" s="174"/>
      <c r="T119" s="174"/>
      <c r="U119" s="174"/>
      <c r="V119" s="174"/>
      <c r="W119" s="174"/>
      <c r="X119" s="174"/>
      <c r="Y119" s="174">
        <f t="shared" si="11"/>
        <v>38</v>
      </c>
      <c r="Z119" s="174">
        <v>3</v>
      </c>
      <c r="AA119" s="174"/>
      <c r="AB119" s="174">
        <v>55</v>
      </c>
      <c r="AC119" s="174">
        <v>0</v>
      </c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>
        <v>55</v>
      </c>
      <c r="AO119" s="174"/>
      <c r="AP119" s="174"/>
      <c r="AQ119" s="174"/>
      <c r="AR119" s="174"/>
      <c r="AS119" s="174"/>
      <c r="AT119" s="174"/>
      <c r="AU119" s="174"/>
      <c r="AV119" s="174"/>
      <c r="AW119" s="174">
        <f t="shared" si="10"/>
        <v>55</v>
      </c>
      <c r="AX119" s="174">
        <v>145.6</v>
      </c>
      <c r="AY119" s="142"/>
      <c r="BA119" s="142"/>
    </row>
    <row r="120" spans="1:53" x14ac:dyDescent="0.25">
      <c r="A120" s="175" t="s">
        <v>201</v>
      </c>
      <c r="B120" s="174">
        <v>13</v>
      </c>
      <c r="C120" s="174">
        <v>6</v>
      </c>
      <c r="D120" s="174">
        <v>74</v>
      </c>
      <c r="E120" s="174">
        <v>25</v>
      </c>
      <c r="F120" s="174"/>
      <c r="G120" s="174"/>
      <c r="H120" s="174">
        <v>32</v>
      </c>
      <c r="I120" s="174"/>
      <c r="J120" s="174">
        <v>18</v>
      </c>
      <c r="K120" s="174">
        <v>9</v>
      </c>
      <c r="L120" s="174">
        <v>8</v>
      </c>
      <c r="M120" s="174"/>
      <c r="N120" s="174"/>
      <c r="O120" s="174">
        <v>2</v>
      </c>
      <c r="P120" s="174"/>
      <c r="Q120" s="174"/>
      <c r="R120" s="174"/>
      <c r="S120" s="174"/>
      <c r="T120" s="174"/>
      <c r="U120" s="174"/>
      <c r="V120" s="174">
        <v>5</v>
      </c>
      <c r="W120" s="174"/>
      <c r="X120" s="174"/>
      <c r="Y120" s="174">
        <f t="shared" si="11"/>
        <v>74</v>
      </c>
      <c r="Z120" s="174">
        <v>19</v>
      </c>
      <c r="AA120" s="174">
        <v>16</v>
      </c>
      <c r="AB120" s="174">
        <v>63</v>
      </c>
      <c r="AC120" s="174">
        <v>25</v>
      </c>
      <c r="AD120" s="174"/>
      <c r="AE120" s="174"/>
      <c r="AF120" s="174">
        <v>24</v>
      </c>
      <c r="AG120" s="174"/>
      <c r="AH120" s="174">
        <v>21</v>
      </c>
      <c r="AI120" s="174">
        <v>9</v>
      </c>
      <c r="AJ120" s="174">
        <v>4</v>
      </c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>
        <v>5</v>
      </c>
      <c r="AU120" s="174"/>
      <c r="AV120" s="174"/>
      <c r="AW120" s="174">
        <f t="shared" si="10"/>
        <v>63</v>
      </c>
      <c r="AX120" s="174">
        <v>1735.13</v>
      </c>
      <c r="AY120" s="142"/>
      <c r="BA120" s="142"/>
    </row>
    <row r="121" spans="1:53" x14ac:dyDescent="0.25">
      <c r="A121" s="175" t="s">
        <v>202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42"/>
      <c r="BA121" s="142"/>
    </row>
    <row r="122" spans="1:53" x14ac:dyDescent="0.25">
      <c r="A122" s="175" t="s">
        <v>203</v>
      </c>
      <c r="B122" s="174">
        <v>1</v>
      </c>
      <c r="C122" s="174"/>
      <c r="D122" s="174">
        <v>3</v>
      </c>
      <c r="E122" s="174"/>
      <c r="F122" s="174"/>
      <c r="G122" s="174"/>
      <c r="H122" s="174">
        <v>3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>
        <f t="shared" si="11"/>
        <v>3</v>
      </c>
      <c r="Z122" s="174">
        <v>1</v>
      </c>
      <c r="AA122" s="174"/>
      <c r="AB122" s="174">
        <v>3</v>
      </c>
      <c r="AC122" s="174">
        <v>0</v>
      </c>
      <c r="AD122" s="174"/>
      <c r="AE122" s="174"/>
      <c r="AF122" s="174">
        <v>3</v>
      </c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>
        <f t="shared" si="10"/>
        <v>3</v>
      </c>
      <c r="AX122" s="174">
        <v>3200</v>
      </c>
      <c r="AY122" s="142"/>
      <c r="BA122" s="142"/>
    </row>
    <row r="123" spans="1:53" x14ac:dyDescent="0.25">
      <c r="A123" s="175" t="s">
        <v>204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42"/>
      <c r="BA123" s="142"/>
    </row>
    <row r="124" spans="1:53" x14ac:dyDescent="0.25">
      <c r="A124" s="175" t="s">
        <v>205</v>
      </c>
      <c r="B124" s="174">
        <v>5</v>
      </c>
      <c r="C124" s="174"/>
      <c r="D124" s="174">
        <v>26</v>
      </c>
      <c r="E124" s="174"/>
      <c r="F124" s="174"/>
      <c r="G124" s="174"/>
      <c r="H124" s="174">
        <v>20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>
        <v>6</v>
      </c>
      <c r="S124" s="174"/>
      <c r="T124" s="174"/>
      <c r="U124" s="174"/>
      <c r="V124" s="174"/>
      <c r="W124" s="174"/>
      <c r="X124" s="174"/>
      <c r="Y124" s="174">
        <f t="shared" si="11"/>
        <v>26</v>
      </c>
      <c r="Z124" s="174">
        <v>5</v>
      </c>
      <c r="AA124" s="174"/>
      <c r="AB124" s="174">
        <v>30</v>
      </c>
      <c r="AC124" s="174">
        <v>0</v>
      </c>
      <c r="AD124" s="174"/>
      <c r="AE124" s="174"/>
      <c r="AF124" s="174">
        <v>26</v>
      </c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>
        <v>4</v>
      </c>
      <c r="AQ124" s="174"/>
      <c r="AR124" s="174"/>
      <c r="AS124" s="174"/>
      <c r="AT124" s="174"/>
      <c r="AU124" s="174"/>
      <c r="AV124" s="174"/>
      <c r="AW124" s="174">
        <f t="shared" si="10"/>
        <v>30</v>
      </c>
      <c r="AX124" s="174">
        <v>2721.73</v>
      </c>
      <c r="AY124" s="142"/>
      <c r="BA124" s="142"/>
    </row>
    <row r="125" spans="1:53" x14ac:dyDescent="0.25">
      <c r="A125" s="175" t="s">
        <v>206</v>
      </c>
      <c r="B125" s="174">
        <v>2</v>
      </c>
      <c r="C125" s="174"/>
      <c r="D125" s="174">
        <v>9</v>
      </c>
      <c r="E125" s="174"/>
      <c r="F125" s="174"/>
      <c r="G125" s="174"/>
      <c r="H125" s="174">
        <v>9</v>
      </c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>
        <f t="shared" si="11"/>
        <v>9</v>
      </c>
      <c r="Z125" s="174">
        <v>1</v>
      </c>
      <c r="AA125" s="174"/>
      <c r="AB125" s="174">
        <v>2</v>
      </c>
      <c r="AC125" s="174">
        <v>0</v>
      </c>
      <c r="AD125" s="174"/>
      <c r="AE125" s="174"/>
      <c r="AF125" s="174">
        <v>2</v>
      </c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>
        <f t="shared" si="10"/>
        <v>2</v>
      </c>
      <c r="AX125" s="174">
        <v>1853.6</v>
      </c>
      <c r="AY125" s="142"/>
      <c r="BA125" s="142"/>
    </row>
    <row r="126" spans="1:53" x14ac:dyDescent="0.25">
      <c r="A126" s="175" t="s">
        <v>207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>
        <v>0</v>
      </c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42"/>
      <c r="BA126" s="142"/>
    </row>
    <row r="127" spans="1:53" x14ac:dyDescent="0.25">
      <c r="A127" s="175" t="s">
        <v>208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>
        <v>0</v>
      </c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42"/>
      <c r="BA127" s="142"/>
    </row>
    <row r="128" spans="1:53" x14ac:dyDescent="0.25">
      <c r="A128" s="175" t="s">
        <v>209</v>
      </c>
      <c r="B128" s="174">
        <v>7</v>
      </c>
      <c r="C128" s="174">
        <v>1</v>
      </c>
      <c r="D128" s="174">
        <v>87</v>
      </c>
      <c r="E128" s="174">
        <v>2</v>
      </c>
      <c r="F128" s="174"/>
      <c r="G128" s="174"/>
      <c r="H128" s="174">
        <v>85</v>
      </c>
      <c r="I128" s="174"/>
      <c r="J128" s="174">
        <v>2</v>
      </c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>
        <f t="shared" ref="Y128:Y188" si="16">SUM(F128:X128)</f>
        <v>87</v>
      </c>
      <c r="Z128" s="174">
        <v>4</v>
      </c>
      <c r="AA128" s="174"/>
      <c r="AB128" s="174">
        <v>33</v>
      </c>
      <c r="AC128" s="174">
        <v>0</v>
      </c>
      <c r="AD128" s="174"/>
      <c r="AE128" s="174"/>
      <c r="AF128" s="174">
        <v>33</v>
      </c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>
        <f t="shared" ref="AW128:AW188" si="17">SUM(AD128:AV128)</f>
        <v>33</v>
      </c>
      <c r="AX128" s="174">
        <v>618.64</v>
      </c>
      <c r="AY128" s="142"/>
      <c r="BA128" s="142"/>
    </row>
    <row r="129" spans="1:50" s="142" customFormat="1" x14ac:dyDescent="0.25">
      <c r="A129" s="175" t="s">
        <v>210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>
        <v>0</v>
      </c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</row>
    <row r="130" spans="1:50" s="142" customFormat="1" x14ac:dyDescent="0.25">
      <c r="A130" s="175" t="s">
        <v>211</v>
      </c>
      <c r="B130" s="174">
        <v>3</v>
      </c>
      <c r="C130" s="174"/>
      <c r="D130" s="174">
        <v>20</v>
      </c>
      <c r="E130" s="174"/>
      <c r="F130" s="174"/>
      <c r="G130" s="174">
        <v>1</v>
      </c>
      <c r="H130" s="174">
        <v>19</v>
      </c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>
        <f t="shared" si="16"/>
        <v>20</v>
      </c>
      <c r="Z130" s="174">
        <v>2</v>
      </c>
      <c r="AA130" s="174"/>
      <c r="AB130" s="174">
        <v>7</v>
      </c>
      <c r="AC130" s="174">
        <v>0</v>
      </c>
      <c r="AD130" s="174"/>
      <c r="AE130" s="174">
        <v>1</v>
      </c>
      <c r="AF130" s="174">
        <v>6</v>
      </c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>
        <f t="shared" si="17"/>
        <v>7</v>
      </c>
      <c r="AX130" s="174">
        <v>1862.86</v>
      </c>
    </row>
    <row r="131" spans="1:50" s="142" customFormat="1" x14ac:dyDescent="0.25">
      <c r="A131" s="175" t="s">
        <v>212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</row>
    <row r="132" spans="1:50" s="142" customFormat="1" x14ac:dyDescent="0.25">
      <c r="A132" s="175" t="s">
        <v>213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>
        <v>0</v>
      </c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</row>
    <row r="133" spans="1:50" s="142" customFormat="1" x14ac:dyDescent="0.25">
      <c r="A133" s="175" t="s">
        <v>214</v>
      </c>
      <c r="B133" s="174">
        <v>2</v>
      </c>
      <c r="C133" s="174"/>
      <c r="D133" s="174">
        <v>11</v>
      </c>
      <c r="E133" s="174"/>
      <c r="F133" s="174"/>
      <c r="G133" s="174"/>
      <c r="H133" s="174">
        <v>1</v>
      </c>
      <c r="I133" s="174"/>
      <c r="J133" s="174"/>
      <c r="K133" s="174"/>
      <c r="L133" s="174">
        <v>10</v>
      </c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>
        <f t="shared" si="16"/>
        <v>11</v>
      </c>
      <c r="Z133" s="174">
        <v>2</v>
      </c>
      <c r="AA133" s="174"/>
      <c r="AB133" s="174">
        <v>21</v>
      </c>
      <c r="AC133" s="174">
        <v>0</v>
      </c>
      <c r="AD133" s="174"/>
      <c r="AE133" s="174"/>
      <c r="AF133" s="174">
        <v>1</v>
      </c>
      <c r="AG133" s="174"/>
      <c r="AH133" s="174"/>
      <c r="AI133" s="174"/>
      <c r="AJ133" s="174">
        <v>20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>
        <f t="shared" si="17"/>
        <v>21</v>
      </c>
      <c r="AX133" s="174">
        <v>946.29</v>
      </c>
    </row>
    <row r="134" spans="1:50" s="142" customFormat="1" x14ac:dyDescent="0.25">
      <c r="A134" s="175" t="s">
        <v>215</v>
      </c>
      <c r="B134" s="174">
        <v>1</v>
      </c>
      <c r="C134" s="174"/>
      <c r="D134" s="174">
        <v>4</v>
      </c>
      <c r="E134" s="174"/>
      <c r="F134" s="174"/>
      <c r="G134" s="174"/>
      <c r="H134" s="174">
        <v>4</v>
      </c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>
        <f t="shared" si="16"/>
        <v>4</v>
      </c>
      <c r="Z134" s="174">
        <v>1</v>
      </c>
      <c r="AA134" s="174"/>
      <c r="AB134" s="174">
        <v>4</v>
      </c>
      <c r="AC134" s="174">
        <v>0</v>
      </c>
      <c r="AD134" s="174"/>
      <c r="AE134" s="174"/>
      <c r="AF134" s="174">
        <v>4</v>
      </c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>
        <f t="shared" si="17"/>
        <v>4</v>
      </c>
      <c r="AX134" s="174">
        <v>960</v>
      </c>
    </row>
    <row r="135" spans="1:50" s="142" customFormat="1" x14ac:dyDescent="0.25">
      <c r="A135" s="175" t="s">
        <v>216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>
        <v>0</v>
      </c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</row>
    <row r="136" spans="1:50" s="142" customFormat="1" x14ac:dyDescent="0.25">
      <c r="A136" s="175" t="s">
        <v>217</v>
      </c>
      <c r="B136" s="174">
        <v>16</v>
      </c>
      <c r="C136" s="174">
        <v>3</v>
      </c>
      <c r="D136" s="174">
        <v>61</v>
      </c>
      <c r="E136" s="174">
        <v>9</v>
      </c>
      <c r="F136" s="174"/>
      <c r="G136" s="174"/>
      <c r="H136" s="174">
        <v>21</v>
      </c>
      <c r="I136" s="174"/>
      <c r="J136" s="174">
        <v>8</v>
      </c>
      <c r="K136" s="174">
        <v>7</v>
      </c>
      <c r="L136" s="174">
        <v>16</v>
      </c>
      <c r="M136" s="174"/>
      <c r="N136" s="174"/>
      <c r="O136" s="174">
        <v>2</v>
      </c>
      <c r="P136" s="174"/>
      <c r="Q136" s="174"/>
      <c r="R136" s="174">
        <v>4</v>
      </c>
      <c r="S136" s="174"/>
      <c r="T136" s="174"/>
      <c r="U136" s="174"/>
      <c r="V136" s="174">
        <v>1</v>
      </c>
      <c r="W136" s="174"/>
      <c r="X136" s="174">
        <v>2</v>
      </c>
      <c r="Y136" s="174">
        <f t="shared" si="16"/>
        <v>61</v>
      </c>
      <c r="Z136" s="174">
        <v>11</v>
      </c>
      <c r="AA136" s="174">
        <v>2</v>
      </c>
      <c r="AB136" s="174">
        <v>20</v>
      </c>
      <c r="AC136" s="174">
        <v>5</v>
      </c>
      <c r="AD136" s="174"/>
      <c r="AE136" s="174"/>
      <c r="AF136" s="174">
        <v>10</v>
      </c>
      <c r="AG136" s="174"/>
      <c r="AH136" s="174">
        <v>3</v>
      </c>
      <c r="AI136" s="174">
        <v>2</v>
      </c>
      <c r="AJ136" s="174">
        <v>2</v>
      </c>
      <c r="AK136" s="174"/>
      <c r="AL136" s="174"/>
      <c r="AM136" s="174"/>
      <c r="AN136" s="174"/>
      <c r="AO136" s="174"/>
      <c r="AP136" s="174">
        <v>3</v>
      </c>
      <c r="AQ136" s="174"/>
      <c r="AR136" s="174"/>
      <c r="AS136" s="174"/>
      <c r="AT136" s="174"/>
      <c r="AU136" s="174"/>
      <c r="AV136" s="174"/>
      <c r="AW136" s="174">
        <f t="shared" si="17"/>
        <v>20</v>
      </c>
      <c r="AX136" s="174">
        <v>1969.4</v>
      </c>
    </row>
    <row r="137" spans="1:50" s="142" customFormat="1" x14ac:dyDescent="0.25">
      <c r="A137" s="175" t="s">
        <v>218</v>
      </c>
      <c r="B137" s="174">
        <v>8</v>
      </c>
      <c r="C137" s="174"/>
      <c r="D137" s="174">
        <v>51</v>
      </c>
      <c r="E137" s="174"/>
      <c r="F137" s="174"/>
      <c r="G137" s="174"/>
      <c r="H137" s="174">
        <v>26</v>
      </c>
      <c r="I137" s="174"/>
      <c r="J137" s="174"/>
      <c r="K137" s="174"/>
      <c r="L137" s="174">
        <v>25</v>
      </c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>
        <f t="shared" si="16"/>
        <v>51</v>
      </c>
      <c r="Z137" s="174">
        <v>2</v>
      </c>
      <c r="AA137" s="174"/>
      <c r="AB137" s="174">
        <v>7</v>
      </c>
      <c r="AC137" s="174">
        <v>0</v>
      </c>
      <c r="AD137" s="174"/>
      <c r="AE137" s="174"/>
      <c r="AF137" s="174">
        <v>7</v>
      </c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>
        <f t="shared" si="17"/>
        <v>7</v>
      </c>
      <c r="AX137" s="174">
        <v>3656</v>
      </c>
    </row>
    <row r="138" spans="1:50" s="142" customFormat="1" x14ac:dyDescent="0.25">
      <c r="A138" s="175" t="s">
        <v>219</v>
      </c>
      <c r="B138" s="174">
        <v>11</v>
      </c>
      <c r="C138" s="174">
        <v>2</v>
      </c>
      <c r="D138" s="174">
        <v>36</v>
      </c>
      <c r="E138" s="174">
        <v>8</v>
      </c>
      <c r="F138" s="174"/>
      <c r="G138" s="174"/>
      <c r="H138" s="174">
        <v>18</v>
      </c>
      <c r="I138" s="174"/>
      <c r="J138" s="174">
        <v>1</v>
      </c>
      <c r="K138" s="174">
        <v>13</v>
      </c>
      <c r="L138" s="174">
        <v>1</v>
      </c>
      <c r="M138" s="174"/>
      <c r="N138" s="174"/>
      <c r="O138" s="174"/>
      <c r="P138" s="174"/>
      <c r="Q138" s="174"/>
      <c r="R138" s="174">
        <v>3</v>
      </c>
      <c r="S138" s="174"/>
      <c r="T138" s="174"/>
      <c r="U138" s="174"/>
      <c r="V138" s="174"/>
      <c r="W138" s="174"/>
      <c r="X138" s="174"/>
      <c r="Y138" s="174">
        <f t="shared" si="16"/>
        <v>36</v>
      </c>
      <c r="Z138" s="174">
        <v>6</v>
      </c>
      <c r="AA138" s="174">
        <v>1</v>
      </c>
      <c r="AB138" s="174">
        <v>15</v>
      </c>
      <c r="AC138" s="174">
        <v>6</v>
      </c>
      <c r="AD138" s="174"/>
      <c r="AE138" s="174"/>
      <c r="AF138" s="174">
        <v>2</v>
      </c>
      <c r="AG138" s="174"/>
      <c r="AH138" s="174"/>
      <c r="AI138" s="174">
        <v>12</v>
      </c>
      <c r="AJ138" s="174">
        <v>1</v>
      </c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>
        <f t="shared" si="17"/>
        <v>15</v>
      </c>
      <c r="AX138" s="174">
        <v>804.36</v>
      </c>
    </row>
    <row r="139" spans="1:50" s="142" customFormat="1" x14ac:dyDescent="0.25">
      <c r="A139" s="175" t="s">
        <v>220</v>
      </c>
      <c r="B139" s="174">
        <v>3</v>
      </c>
      <c r="C139" s="174"/>
      <c r="D139" s="174">
        <v>9</v>
      </c>
      <c r="E139" s="174"/>
      <c r="F139" s="174"/>
      <c r="G139" s="174"/>
      <c r="H139" s="174">
        <v>3</v>
      </c>
      <c r="I139" s="174"/>
      <c r="J139" s="174"/>
      <c r="K139" s="174">
        <v>1</v>
      </c>
      <c r="L139" s="174">
        <v>5</v>
      </c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>
        <f t="shared" si="16"/>
        <v>9</v>
      </c>
      <c r="Z139" s="174">
        <v>1</v>
      </c>
      <c r="AA139" s="174"/>
      <c r="AB139" s="174">
        <v>8</v>
      </c>
      <c r="AC139" s="174">
        <v>0</v>
      </c>
      <c r="AD139" s="174"/>
      <c r="AE139" s="174"/>
      <c r="AF139" s="174"/>
      <c r="AG139" s="174"/>
      <c r="AH139" s="174"/>
      <c r="AI139" s="174"/>
      <c r="AJ139" s="174">
        <v>8</v>
      </c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>
        <f t="shared" si="17"/>
        <v>8</v>
      </c>
      <c r="AX139" s="174">
        <v>1200</v>
      </c>
    </row>
    <row r="140" spans="1:50" s="142" customFormat="1" x14ac:dyDescent="0.25">
      <c r="A140" s="175" t="s">
        <v>221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>
        <v>0</v>
      </c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</row>
    <row r="141" spans="1:50" s="142" customFormat="1" x14ac:dyDescent="0.25">
      <c r="A141" s="175" t="s">
        <v>222</v>
      </c>
      <c r="B141" s="174">
        <v>4</v>
      </c>
      <c r="C141" s="174"/>
      <c r="D141" s="174">
        <v>17</v>
      </c>
      <c r="E141" s="174"/>
      <c r="F141" s="174"/>
      <c r="G141" s="174"/>
      <c r="H141" s="174">
        <v>15</v>
      </c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>
        <v>2</v>
      </c>
      <c r="Y141" s="174">
        <f t="shared" si="16"/>
        <v>17</v>
      </c>
      <c r="Z141" s="174">
        <v>4</v>
      </c>
      <c r="AA141" s="174"/>
      <c r="AB141" s="174">
        <v>13</v>
      </c>
      <c r="AC141" s="174">
        <v>0</v>
      </c>
      <c r="AD141" s="174"/>
      <c r="AE141" s="174"/>
      <c r="AF141" s="174">
        <v>12</v>
      </c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>
        <v>1</v>
      </c>
      <c r="AW141" s="174">
        <f t="shared" si="17"/>
        <v>13</v>
      </c>
      <c r="AX141" s="174">
        <v>1914.35</v>
      </c>
    </row>
    <row r="142" spans="1:50" s="142" customFormat="1" x14ac:dyDescent="0.25">
      <c r="A142" s="175" t="s">
        <v>223</v>
      </c>
      <c r="B142" s="174">
        <v>3</v>
      </c>
      <c r="C142" s="174">
        <v>1</v>
      </c>
      <c r="D142" s="174">
        <v>12</v>
      </c>
      <c r="E142" s="174">
        <v>2</v>
      </c>
      <c r="F142" s="174"/>
      <c r="G142" s="174"/>
      <c r="H142" s="174">
        <v>10</v>
      </c>
      <c r="I142" s="174"/>
      <c r="J142" s="174">
        <v>2</v>
      </c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>
        <f t="shared" si="16"/>
        <v>12</v>
      </c>
      <c r="Z142" s="174">
        <v>2</v>
      </c>
      <c r="AA142" s="174">
        <v>1</v>
      </c>
      <c r="AB142" s="174">
        <v>12</v>
      </c>
      <c r="AC142" s="174">
        <v>2</v>
      </c>
      <c r="AD142" s="174"/>
      <c r="AE142" s="174"/>
      <c r="AF142" s="174">
        <v>10</v>
      </c>
      <c r="AG142" s="174"/>
      <c r="AH142" s="174">
        <v>2</v>
      </c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>
        <f t="shared" si="17"/>
        <v>12</v>
      </c>
      <c r="AX142" s="174">
        <v>321.33</v>
      </c>
    </row>
    <row r="143" spans="1:50" s="142" customFormat="1" x14ac:dyDescent="0.25">
      <c r="A143" s="175" t="s">
        <v>224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>
        <v>0</v>
      </c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</row>
    <row r="144" spans="1:50" s="142" customFormat="1" x14ac:dyDescent="0.25">
      <c r="A144" s="175" t="s">
        <v>225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>
        <v>0</v>
      </c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</row>
    <row r="145" spans="1:50" s="142" customFormat="1" x14ac:dyDescent="0.25">
      <c r="A145" s="175" t="s">
        <v>226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>
        <v>0</v>
      </c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</row>
    <row r="146" spans="1:50" s="142" customFormat="1" x14ac:dyDescent="0.25">
      <c r="A146" s="175" t="s">
        <v>227</v>
      </c>
      <c r="B146" s="174">
        <v>3</v>
      </c>
      <c r="C146" s="174">
        <v>1</v>
      </c>
      <c r="D146" s="174">
        <v>9</v>
      </c>
      <c r="E146" s="174">
        <v>1</v>
      </c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>
        <v>8</v>
      </c>
      <c r="S146" s="174"/>
      <c r="T146" s="174">
        <v>1</v>
      </c>
      <c r="U146" s="174"/>
      <c r="V146" s="174"/>
      <c r="W146" s="174"/>
      <c r="X146" s="174"/>
      <c r="Y146" s="174">
        <f t="shared" si="16"/>
        <v>9</v>
      </c>
      <c r="Z146" s="174">
        <v>2</v>
      </c>
      <c r="AA146" s="174"/>
      <c r="AB146" s="174">
        <v>5</v>
      </c>
      <c r="AC146" s="174">
        <v>0</v>
      </c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>
        <v>5</v>
      </c>
      <c r="AQ146" s="174"/>
      <c r="AR146" s="174"/>
      <c r="AS146" s="174"/>
      <c r="AT146" s="174"/>
      <c r="AU146" s="174"/>
      <c r="AV146" s="174"/>
      <c r="AW146" s="174">
        <f t="shared" si="17"/>
        <v>5</v>
      </c>
      <c r="AX146" s="174">
        <v>1280</v>
      </c>
    </row>
    <row r="147" spans="1:50" s="142" customFormat="1" x14ac:dyDescent="0.25">
      <c r="A147" s="175" t="s">
        <v>228</v>
      </c>
      <c r="B147" s="174">
        <v>1</v>
      </c>
      <c r="C147" s="174"/>
      <c r="D147" s="174">
        <v>2</v>
      </c>
      <c r="E147" s="174"/>
      <c r="F147" s="174"/>
      <c r="G147" s="174"/>
      <c r="H147" s="174"/>
      <c r="I147" s="174"/>
      <c r="J147" s="174"/>
      <c r="K147" s="174">
        <v>2</v>
      </c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>
        <f t="shared" si="16"/>
        <v>2</v>
      </c>
      <c r="Z147" s="174">
        <v>1</v>
      </c>
      <c r="AA147" s="174"/>
      <c r="AB147" s="174">
        <v>2</v>
      </c>
      <c r="AC147" s="174">
        <v>0</v>
      </c>
      <c r="AD147" s="174"/>
      <c r="AE147" s="174"/>
      <c r="AF147" s="174"/>
      <c r="AG147" s="174"/>
      <c r="AH147" s="174"/>
      <c r="AI147" s="174">
        <v>2</v>
      </c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>
        <f t="shared" si="17"/>
        <v>2</v>
      </c>
      <c r="AX147" s="174">
        <v>1500</v>
      </c>
    </row>
    <row r="148" spans="1:50" s="142" customFormat="1" x14ac:dyDescent="0.25">
      <c r="A148" s="175" t="s">
        <v>229</v>
      </c>
      <c r="B148" s="174">
        <v>7</v>
      </c>
      <c r="C148" s="174"/>
      <c r="D148" s="174">
        <v>8</v>
      </c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>
        <v>7</v>
      </c>
      <c r="S148" s="174">
        <v>1</v>
      </c>
      <c r="T148" s="174"/>
      <c r="U148" s="174"/>
      <c r="V148" s="174"/>
      <c r="W148" s="174"/>
      <c r="X148" s="174"/>
      <c r="Y148" s="174">
        <f t="shared" si="16"/>
        <v>8</v>
      </c>
      <c r="Z148" s="174">
        <v>5</v>
      </c>
      <c r="AA148" s="174"/>
      <c r="AB148" s="174">
        <v>5</v>
      </c>
      <c r="AC148" s="174">
        <v>0</v>
      </c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>
        <v>4</v>
      </c>
      <c r="AQ148" s="174">
        <v>1</v>
      </c>
      <c r="AR148" s="174"/>
      <c r="AS148" s="174"/>
      <c r="AT148" s="174"/>
      <c r="AU148" s="174"/>
      <c r="AV148" s="174"/>
      <c r="AW148" s="174">
        <f t="shared" si="17"/>
        <v>5</v>
      </c>
      <c r="AX148" s="174">
        <v>1939</v>
      </c>
    </row>
    <row r="149" spans="1:50" s="142" customFormat="1" x14ac:dyDescent="0.25">
      <c r="A149" s="175" t="s">
        <v>230</v>
      </c>
      <c r="B149" s="174">
        <v>1</v>
      </c>
      <c r="C149" s="174"/>
      <c r="D149" s="174">
        <v>2</v>
      </c>
      <c r="E149" s="174"/>
      <c r="F149" s="174"/>
      <c r="G149" s="174"/>
      <c r="H149" s="174"/>
      <c r="I149" s="174"/>
      <c r="J149" s="174"/>
      <c r="K149" s="174">
        <v>2</v>
      </c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>
        <f t="shared" si="16"/>
        <v>2</v>
      </c>
      <c r="Z149" s="174"/>
      <c r="AA149" s="174"/>
      <c r="AB149" s="174"/>
      <c r="AC149" s="174">
        <v>0</v>
      </c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</row>
    <row r="150" spans="1:50" s="142" customFormat="1" x14ac:dyDescent="0.25">
      <c r="A150" s="175" t="s">
        <v>231</v>
      </c>
      <c r="B150" s="174">
        <v>3</v>
      </c>
      <c r="C150" s="174"/>
      <c r="D150" s="174">
        <v>6</v>
      </c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>
        <v>6</v>
      </c>
      <c r="Y150" s="174">
        <f t="shared" si="16"/>
        <v>6</v>
      </c>
      <c r="Z150" s="174"/>
      <c r="AA150" s="174"/>
      <c r="AB150" s="174"/>
      <c r="AC150" s="174">
        <v>0</v>
      </c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</row>
    <row r="151" spans="1:50" s="142" customFormat="1" x14ac:dyDescent="0.25">
      <c r="A151" s="175" t="s">
        <v>232</v>
      </c>
      <c r="B151" s="174">
        <v>1</v>
      </c>
      <c r="C151" s="174"/>
      <c r="D151" s="174">
        <v>1</v>
      </c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>
        <v>1</v>
      </c>
      <c r="X151" s="174"/>
      <c r="Y151" s="174">
        <f t="shared" si="16"/>
        <v>1</v>
      </c>
      <c r="Z151" s="174">
        <v>1</v>
      </c>
      <c r="AA151" s="174"/>
      <c r="AB151" s="174">
        <v>1</v>
      </c>
      <c r="AC151" s="174">
        <v>0</v>
      </c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>
        <v>1</v>
      </c>
      <c r="AV151" s="174"/>
      <c r="AW151" s="174">
        <f t="shared" si="17"/>
        <v>1</v>
      </c>
      <c r="AX151" s="174">
        <v>480</v>
      </c>
    </row>
    <row r="152" spans="1:50" s="142" customFormat="1" x14ac:dyDescent="0.25">
      <c r="A152" s="175" t="s">
        <v>233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>
        <v>0</v>
      </c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</row>
    <row r="153" spans="1:50" s="142" customFormat="1" x14ac:dyDescent="0.25">
      <c r="A153" s="175" t="s">
        <v>234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>
        <v>0</v>
      </c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</row>
    <row r="154" spans="1:50" s="142" customFormat="1" x14ac:dyDescent="0.25">
      <c r="A154" s="175" t="s">
        <v>235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>
        <v>0</v>
      </c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</row>
    <row r="155" spans="1:50" s="142" customFormat="1" ht="13.15" customHeight="1" x14ac:dyDescent="0.25">
      <c r="A155" s="175" t="s">
        <v>236</v>
      </c>
      <c r="B155" s="174">
        <v>3</v>
      </c>
      <c r="C155" s="174"/>
      <c r="D155" s="174">
        <v>6</v>
      </c>
      <c r="E155" s="174"/>
      <c r="F155" s="174"/>
      <c r="G155" s="174"/>
      <c r="H155" s="174"/>
      <c r="I155" s="174"/>
      <c r="J155" s="174"/>
      <c r="K155" s="174"/>
      <c r="L155" s="174"/>
      <c r="M155" s="174">
        <v>6</v>
      </c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>
        <f t="shared" si="16"/>
        <v>6</v>
      </c>
      <c r="Z155" s="174">
        <v>2</v>
      </c>
      <c r="AA155" s="174"/>
      <c r="AB155" s="174">
        <v>5</v>
      </c>
      <c r="AC155" s="174">
        <v>0</v>
      </c>
      <c r="AD155" s="174"/>
      <c r="AE155" s="174"/>
      <c r="AF155" s="174"/>
      <c r="AG155" s="174"/>
      <c r="AH155" s="174"/>
      <c r="AI155" s="174"/>
      <c r="AJ155" s="174"/>
      <c r="AK155" s="174">
        <v>5</v>
      </c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>
        <f t="shared" si="17"/>
        <v>5</v>
      </c>
      <c r="AX155" s="174">
        <v>1136</v>
      </c>
    </row>
    <row r="156" spans="1:50" s="142" customFormat="1" x14ac:dyDescent="0.25">
      <c r="A156" s="175" t="s">
        <v>237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</row>
    <row r="157" spans="1:50" s="142" customFormat="1" x14ac:dyDescent="0.25">
      <c r="A157" s="175" t="s">
        <v>238</v>
      </c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</row>
    <row r="158" spans="1:50" s="142" customFormat="1" x14ac:dyDescent="0.25">
      <c r="A158" s="175" t="s">
        <v>239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>
        <v>0</v>
      </c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</row>
    <row r="159" spans="1:50" s="142" customFormat="1" x14ac:dyDescent="0.25">
      <c r="A159" s="175" t="s">
        <v>240</v>
      </c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>
        <v>0</v>
      </c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</row>
    <row r="160" spans="1:50" s="142" customFormat="1" x14ac:dyDescent="0.25">
      <c r="A160" s="175" t="s">
        <v>241</v>
      </c>
      <c r="B160" s="174">
        <v>1</v>
      </c>
      <c r="C160" s="174"/>
      <c r="D160" s="174">
        <v>1</v>
      </c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>
        <v>1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>
        <f t="shared" si="16"/>
        <v>1</v>
      </c>
      <c r="Z160" s="174">
        <v>1</v>
      </c>
      <c r="AA160" s="174"/>
      <c r="AB160" s="174">
        <v>1</v>
      </c>
      <c r="AC160" s="174">
        <v>0</v>
      </c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>
        <v>1</v>
      </c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>
        <f t="shared" si="17"/>
        <v>1</v>
      </c>
      <c r="AX160" s="174">
        <v>4500</v>
      </c>
    </row>
    <row r="161" spans="1:63" x14ac:dyDescent="0.25">
      <c r="A161" s="175" t="s">
        <v>242</v>
      </c>
      <c r="B161" s="174">
        <v>5</v>
      </c>
      <c r="C161" s="174">
        <v>1</v>
      </c>
      <c r="D161" s="174">
        <v>11</v>
      </c>
      <c r="E161" s="174">
        <v>1</v>
      </c>
      <c r="F161" s="174"/>
      <c r="G161" s="174"/>
      <c r="H161" s="174">
        <v>7</v>
      </c>
      <c r="I161" s="174"/>
      <c r="J161" s="174"/>
      <c r="K161" s="174"/>
      <c r="L161" s="174">
        <v>3</v>
      </c>
      <c r="M161" s="174"/>
      <c r="N161" s="174"/>
      <c r="O161" s="174"/>
      <c r="P161" s="174"/>
      <c r="Q161" s="174"/>
      <c r="R161" s="174"/>
      <c r="S161" s="174"/>
      <c r="T161" s="174"/>
      <c r="U161" s="174">
        <v>1</v>
      </c>
      <c r="V161" s="174"/>
      <c r="W161" s="174"/>
      <c r="X161" s="174"/>
      <c r="Y161" s="174">
        <f t="shared" si="16"/>
        <v>11</v>
      </c>
      <c r="Z161" s="174">
        <v>3</v>
      </c>
      <c r="AA161" s="174"/>
      <c r="AB161" s="174">
        <v>10</v>
      </c>
      <c r="AC161" s="174">
        <v>0</v>
      </c>
      <c r="AD161" s="174"/>
      <c r="AE161" s="174"/>
      <c r="AF161" s="174">
        <v>10</v>
      </c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>
        <f t="shared" si="17"/>
        <v>10</v>
      </c>
      <c r="AX161" s="174">
        <v>1036.4000000000001</v>
      </c>
      <c r="AY161" s="142"/>
      <c r="BA161" s="142"/>
    </row>
    <row r="162" spans="1:63" x14ac:dyDescent="0.25">
      <c r="A162" s="175" t="s">
        <v>243</v>
      </c>
      <c r="B162" s="174">
        <v>8</v>
      </c>
      <c r="C162" s="174">
        <v>1</v>
      </c>
      <c r="D162" s="174">
        <v>32</v>
      </c>
      <c r="E162" s="174">
        <v>1</v>
      </c>
      <c r="F162" s="174"/>
      <c r="G162" s="174"/>
      <c r="H162" s="174">
        <v>20</v>
      </c>
      <c r="I162" s="174"/>
      <c r="J162" s="174">
        <v>1</v>
      </c>
      <c r="K162" s="174"/>
      <c r="L162" s="174"/>
      <c r="M162" s="174"/>
      <c r="N162" s="174"/>
      <c r="O162" s="174"/>
      <c r="P162" s="174"/>
      <c r="Q162" s="174"/>
      <c r="R162" s="174">
        <v>11</v>
      </c>
      <c r="S162" s="174"/>
      <c r="T162" s="174"/>
      <c r="U162" s="174"/>
      <c r="V162" s="174"/>
      <c r="W162" s="174"/>
      <c r="X162" s="174"/>
      <c r="Y162" s="174">
        <f t="shared" si="16"/>
        <v>32</v>
      </c>
      <c r="Z162" s="174">
        <v>4</v>
      </c>
      <c r="AA162" s="174"/>
      <c r="AB162" s="174">
        <v>11</v>
      </c>
      <c r="AC162" s="174">
        <v>0</v>
      </c>
      <c r="AD162" s="174"/>
      <c r="AE162" s="174"/>
      <c r="AF162" s="174">
        <v>8</v>
      </c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>
        <v>3</v>
      </c>
      <c r="AQ162" s="174"/>
      <c r="AR162" s="174"/>
      <c r="AS162" s="174"/>
      <c r="AT162" s="174"/>
      <c r="AU162" s="174"/>
      <c r="AV162" s="174"/>
      <c r="AW162" s="174">
        <f t="shared" si="17"/>
        <v>11</v>
      </c>
      <c r="AX162" s="174">
        <v>2022.35</v>
      </c>
      <c r="AY162" s="142"/>
      <c r="BA162" s="142"/>
    </row>
    <row r="163" spans="1:63" x14ac:dyDescent="0.25">
      <c r="A163" s="175" t="s">
        <v>244</v>
      </c>
      <c r="B163" s="174">
        <v>1</v>
      </c>
      <c r="C163" s="174"/>
      <c r="D163" s="174">
        <v>2</v>
      </c>
      <c r="E163" s="174"/>
      <c r="F163" s="174"/>
      <c r="G163" s="174"/>
      <c r="H163" s="174">
        <v>2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>
        <f t="shared" si="16"/>
        <v>2</v>
      </c>
      <c r="Z163" s="174">
        <v>1</v>
      </c>
      <c r="AA163" s="174"/>
      <c r="AB163" s="174">
        <v>2</v>
      </c>
      <c r="AC163" s="174">
        <v>0</v>
      </c>
      <c r="AD163" s="174"/>
      <c r="AE163" s="174"/>
      <c r="AF163" s="174">
        <v>2</v>
      </c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>
        <f t="shared" si="17"/>
        <v>2</v>
      </c>
      <c r="AX163" s="174">
        <v>1560</v>
      </c>
      <c r="AY163" s="142"/>
      <c r="BA163" s="142"/>
    </row>
    <row r="164" spans="1:63" x14ac:dyDescent="0.25">
      <c r="A164" s="175" t="s">
        <v>245</v>
      </c>
      <c r="B164" s="174">
        <v>2</v>
      </c>
      <c r="C164" s="174"/>
      <c r="D164" s="174">
        <v>14</v>
      </c>
      <c r="E164" s="174"/>
      <c r="F164" s="174"/>
      <c r="G164" s="174"/>
      <c r="H164" s="174">
        <v>14</v>
      </c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>
        <f t="shared" si="16"/>
        <v>14</v>
      </c>
      <c r="Z164" s="174">
        <v>3</v>
      </c>
      <c r="AA164" s="174"/>
      <c r="AB164" s="174">
        <v>15</v>
      </c>
      <c r="AC164" s="174">
        <v>0</v>
      </c>
      <c r="AD164" s="174"/>
      <c r="AE164" s="174"/>
      <c r="AF164" s="174">
        <v>15</v>
      </c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>
        <f t="shared" si="17"/>
        <v>15</v>
      </c>
      <c r="AX164" s="174">
        <v>1488</v>
      </c>
      <c r="AY164" s="142"/>
      <c r="BA164" s="142"/>
    </row>
    <row r="165" spans="1:63" x14ac:dyDescent="0.25">
      <c r="A165" s="175" t="s">
        <v>246</v>
      </c>
      <c r="B165" s="174">
        <v>2</v>
      </c>
      <c r="C165" s="174"/>
      <c r="D165" s="174">
        <v>61</v>
      </c>
      <c r="E165" s="174"/>
      <c r="F165" s="174"/>
      <c r="G165" s="174"/>
      <c r="H165" s="174">
        <v>61</v>
      </c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>
        <f t="shared" si="16"/>
        <v>61</v>
      </c>
      <c r="Z165" s="174">
        <v>2</v>
      </c>
      <c r="AA165" s="174"/>
      <c r="AB165" s="174">
        <v>22</v>
      </c>
      <c r="AC165" s="174">
        <v>0</v>
      </c>
      <c r="AD165" s="174"/>
      <c r="AE165" s="174"/>
      <c r="AF165" s="174">
        <v>22</v>
      </c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>
        <f t="shared" si="17"/>
        <v>22</v>
      </c>
      <c r="AX165" s="174">
        <v>262.97000000000003</v>
      </c>
      <c r="AY165" s="142"/>
      <c r="BA165" s="142"/>
    </row>
    <row r="166" spans="1:63" x14ac:dyDescent="0.25">
      <c r="A166" s="175" t="s">
        <v>247</v>
      </c>
      <c r="B166" s="174">
        <v>4</v>
      </c>
      <c r="C166" s="174">
        <v>1</v>
      </c>
      <c r="D166" s="174">
        <v>11</v>
      </c>
      <c r="E166" s="174">
        <v>1</v>
      </c>
      <c r="F166" s="174"/>
      <c r="G166" s="174"/>
      <c r="H166" s="174"/>
      <c r="I166" s="174"/>
      <c r="J166" s="174"/>
      <c r="K166" s="174"/>
      <c r="L166" s="174"/>
      <c r="M166" s="174">
        <v>2</v>
      </c>
      <c r="N166" s="174"/>
      <c r="O166" s="174">
        <v>1</v>
      </c>
      <c r="P166" s="174"/>
      <c r="Q166" s="174"/>
      <c r="R166" s="174">
        <v>5</v>
      </c>
      <c r="S166" s="174">
        <v>1</v>
      </c>
      <c r="T166" s="174"/>
      <c r="U166" s="174"/>
      <c r="V166" s="174">
        <v>1</v>
      </c>
      <c r="W166" s="174"/>
      <c r="X166" s="174">
        <v>1</v>
      </c>
      <c r="Y166" s="174">
        <f t="shared" si="16"/>
        <v>11</v>
      </c>
      <c r="Z166" s="174">
        <v>2</v>
      </c>
      <c r="AA166" s="174">
        <v>1</v>
      </c>
      <c r="AB166" s="174">
        <v>2</v>
      </c>
      <c r="AC166" s="174">
        <v>1</v>
      </c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>
        <v>1</v>
      </c>
      <c r="AU166" s="174"/>
      <c r="AV166" s="174">
        <v>1</v>
      </c>
      <c r="AW166" s="174">
        <f t="shared" si="17"/>
        <v>2</v>
      </c>
      <c r="AX166" s="174">
        <v>931</v>
      </c>
      <c r="AY166" s="142"/>
      <c r="BA166" s="142"/>
    </row>
    <row r="167" spans="1:63" x14ac:dyDescent="0.25">
      <c r="A167" s="175" t="s">
        <v>248</v>
      </c>
      <c r="B167" s="174">
        <v>5</v>
      </c>
      <c r="C167" s="174"/>
      <c r="D167" s="174">
        <v>11</v>
      </c>
      <c r="E167" s="174"/>
      <c r="F167" s="174"/>
      <c r="G167" s="174"/>
      <c r="H167" s="174"/>
      <c r="I167" s="174"/>
      <c r="J167" s="174"/>
      <c r="K167" s="174"/>
      <c r="L167" s="174">
        <v>10</v>
      </c>
      <c r="M167" s="174"/>
      <c r="N167" s="174"/>
      <c r="O167" s="174"/>
      <c r="P167" s="174"/>
      <c r="Q167" s="174"/>
      <c r="R167" s="174"/>
      <c r="S167" s="174">
        <v>1</v>
      </c>
      <c r="T167" s="174"/>
      <c r="U167" s="174"/>
      <c r="V167" s="174"/>
      <c r="W167" s="174"/>
      <c r="X167" s="174"/>
      <c r="Y167" s="174">
        <f t="shared" si="16"/>
        <v>11</v>
      </c>
      <c r="Z167" s="174"/>
      <c r="AA167" s="174"/>
      <c r="AB167" s="174"/>
      <c r="AC167" s="174">
        <v>0</v>
      </c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</row>
    <row r="168" spans="1:63" x14ac:dyDescent="0.25">
      <c r="A168" s="175" t="s">
        <v>249</v>
      </c>
      <c r="B168" s="174">
        <v>3</v>
      </c>
      <c r="C168" s="174">
        <v>3</v>
      </c>
      <c r="D168" s="174">
        <v>9</v>
      </c>
      <c r="E168" s="174">
        <v>9</v>
      </c>
      <c r="F168" s="174"/>
      <c r="G168" s="174"/>
      <c r="H168" s="174"/>
      <c r="I168" s="174"/>
      <c r="J168" s="174">
        <v>9</v>
      </c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>
        <f t="shared" si="16"/>
        <v>9</v>
      </c>
      <c r="Z168" s="174">
        <v>3</v>
      </c>
      <c r="AA168" s="174">
        <v>3</v>
      </c>
      <c r="AB168" s="174">
        <v>9</v>
      </c>
      <c r="AC168" s="174">
        <v>9</v>
      </c>
      <c r="AD168" s="174"/>
      <c r="AE168" s="174"/>
      <c r="AF168" s="174"/>
      <c r="AG168" s="174"/>
      <c r="AH168" s="174">
        <v>9</v>
      </c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>
        <f t="shared" si="17"/>
        <v>9</v>
      </c>
      <c r="AX168" s="174">
        <v>637.85</v>
      </c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</row>
    <row r="169" spans="1:63" x14ac:dyDescent="0.25">
      <c r="A169" s="175" t="s">
        <v>250</v>
      </c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</row>
    <row r="170" spans="1:63" x14ac:dyDescent="0.25">
      <c r="A170" s="175" t="s">
        <v>251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</row>
    <row r="171" spans="1:63" x14ac:dyDescent="0.25">
      <c r="A171" s="175" t="s">
        <v>252</v>
      </c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</row>
    <row r="172" spans="1:63" x14ac:dyDescent="0.25">
      <c r="A172" s="175" t="s">
        <v>253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</row>
    <row r="173" spans="1:63" x14ac:dyDescent="0.25">
      <c r="A173" s="175" t="s">
        <v>254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</row>
    <row r="174" spans="1:63" x14ac:dyDescent="0.25">
      <c r="A174" s="175" t="s">
        <v>255</v>
      </c>
      <c r="B174" s="174">
        <v>8</v>
      </c>
      <c r="C174" s="174"/>
      <c r="D174" s="174">
        <v>14</v>
      </c>
      <c r="E174" s="174"/>
      <c r="F174" s="174"/>
      <c r="G174" s="174"/>
      <c r="H174" s="174"/>
      <c r="I174" s="174"/>
      <c r="J174" s="174"/>
      <c r="K174" s="174">
        <v>7</v>
      </c>
      <c r="L174" s="174">
        <v>5</v>
      </c>
      <c r="M174" s="174"/>
      <c r="N174" s="174">
        <v>2</v>
      </c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>
        <f t="shared" si="16"/>
        <v>14</v>
      </c>
      <c r="Z174" s="174">
        <v>4</v>
      </c>
      <c r="AA174" s="174"/>
      <c r="AB174" s="174">
        <v>7</v>
      </c>
      <c r="AC174" s="174">
        <v>0</v>
      </c>
      <c r="AD174" s="174"/>
      <c r="AE174" s="174"/>
      <c r="AF174" s="174"/>
      <c r="AG174" s="174"/>
      <c r="AH174" s="174"/>
      <c r="AI174" s="174">
        <v>5</v>
      </c>
      <c r="AJ174" s="174"/>
      <c r="AK174" s="174"/>
      <c r="AL174" s="174">
        <v>2</v>
      </c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>
        <f t="shared" si="17"/>
        <v>7</v>
      </c>
      <c r="AX174" s="174">
        <v>2306.9</v>
      </c>
      <c r="AY174" s="142"/>
      <c r="BA174" s="142"/>
    </row>
    <row r="175" spans="1:63" x14ac:dyDescent="0.25">
      <c r="A175" s="175" t="s">
        <v>256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</row>
    <row r="176" spans="1:63" x14ac:dyDescent="0.25">
      <c r="A176" s="175" t="s">
        <v>257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</row>
    <row r="177" spans="1:63" x14ac:dyDescent="0.25">
      <c r="A177" s="175" t="s">
        <v>258</v>
      </c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</row>
    <row r="178" spans="1:63" x14ac:dyDescent="0.25">
      <c r="A178" s="173" t="s">
        <v>44</v>
      </c>
      <c r="B178" s="174">
        <f>SUM(B179:B180)</f>
        <v>7</v>
      </c>
      <c r="C178" s="174">
        <f t="shared" ref="C178:X178" si="18">SUM(C179:C180)</f>
        <v>2</v>
      </c>
      <c r="D178" s="174">
        <f t="shared" si="18"/>
        <v>15</v>
      </c>
      <c r="E178" s="174">
        <f t="shared" si="18"/>
        <v>4</v>
      </c>
      <c r="F178" s="174">
        <f t="shared" si="18"/>
        <v>0</v>
      </c>
      <c r="G178" s="174">
        <f t="shared" si="18"/>
        <v>0</v>
      </c>
      <c r="H178" s="174">
        <f t="shared" si="18"/>
        <v>0</v>
      </c>
      <c r="I178" s="174">
        <f t="shared" si="18"/>
        <v>0</v>
      </c>
      <c r="J178" s="174">
        <f t="shared" si="18"/>
        <v>0</v>
      </c>
      <c r="K178" s="174">
        <f t="shared" si="18"/>
        <v>1</v>
      </c>
      <c r="L178" s="174">
        <f t="shared" si="18"/>
        <v>2</v>
      </c>
      <c r="M178" s="174">
        <f t="shared" si="18"/>
        <v>4</v>
      </c>
      <c r="N178" s="174">
        <f t="shared" si="18"/>
        <v>1</v>
      </c>
      <c r="O178" s="174">
        <f t="shared" si="18"/>
        <v>2</v>
      </c>
      <c r="P178" s="174">
        <f t="shared" si="18"/>
        <v>0</v>
      </c>
      <c r="Q178" s="174">
        <f t="shared" si="18"/>
        <v>0</v>
      </c>
      <c r="R178" s="174">
        <f t="shared" si="18"/>
        <v>1</v>
      </c>
      <c r="S178" s="174">
        <f t="shared" si="18"/>
        <v>0</v>
      </c>
      <c r="T178" s="174">
        <f t="shared" si="18"/>
        <v>0</v>
      </c>
      <c r="U178" s="174">
        <f t="shared" si="18"/>
        <v>1</v>
      </c>
      <c r="V178" s="174">
        <f t="shared" si="18"/>
        <v>0</v>
      </c>
      <c r="W178" s="174">
        <f t="shared" si="18"/>
        <v>2</v>
      </c>
      <c r="X178" s="174">
        <f t="shared" si="18"/>
        <v>1</v>
      </c>
      <c r="Y178" s="174">
        <f t="shared" si="16"/>
        <v>15</v>
      </c>
      <c r="Z178" s="174">
        <f t="shared" ref="Z178:AV178" si="19">SUM(Z179:Z180)</f>
        <v>5</v>
      </c>
      <c r="AA178" s="174">
        <f t="shared" si="19"/>
        <v>1</v>
      </c>
      <c r="AB178" s="174">
        <f t="shared" si="19"/>
        <v>12</v>
      </c>
      <c r="AC178" s="174">
        <f t="shared" si="19"/>
        <v>2</v>
      </c>
      <c r="AD178" s="174">
        <f t="shared" si="19"/>
        <v>0</v>
      </c>
      <c r="AE178" s="174">
        <f t="shared" si="19"/>
        <v>0</v>
      </c>
      <c r="AF178" s="174">
        <f t="shared" si="19"/>
        <v>0</v>
      </c>
      <c r="AG178" s="174">
        <f t="shared" si="19"/>
        <v>0</v>
      </c>
      <c r="AH178" s="174">
        <f t="shared" si="19"/>
        <v>0</v>
      </c>
      <c r="AI178" s="174">
        <f t="shared" si="19"/>
        <v>0</v>
      </c>
      <c r="AJ178" s="174">
        <f t="shared" si="19"/>
        <v>1</v>
      </c>
      <c r="AK178" s="174">
        <f t="shared" si="19"/>
        <v>4</v>
      </c>
      <c r="AL178" s="174">
        <f t="shared" si="19"/>
        <v>2</v>
      </c>
      <c r="AM178" s="174">
        <f t="shared" si="19"/>
        <v>3</v>
      </c>
      <c r="AN178" s="174">
        <f t="shared" si="19"/>
        <v>0</v>
      </c>
      <c r="AO178" s="174">
        <f t="shared" si="19"/>
        <v>0</v>
      </c>
      <c r="AP178" s="174">
        <f t="shared" si="19"/>
        <v>0</v>
      </c>
      <c r="AQ178" s="174">
        <f t="shared" si="19"/>
        <v>0</v>
      </c>
      <c r="AR178" s="174">
        <f t="shared" si="19"/>
        <v>0</v>
      </c>
      <c r="AS178" s="174">
        <f t="shared" si="19"/>
        <v>0</v>
      </c>
      <c r="AT178" s="174">
        <f t="shared" si="19"/>
        <v>0</v>
      </c>
      <c r="AU178" s="174">
        <f t="shared" si="19"/>
        <v>2</v>
      </c>
      <c r="AV178" s="174">
        <f t="shared" si="19"/>
        <v>0</v>
      </c>
      <c r="AW178" s="174">
        <f t="shared" si="17"/>
        <v>12</v>
      </c>
      <c r="AX178" s="174"/>
      <c r="AY178" s="184">
        <f>Z178*100/B178</f>
        <v>71.428571428571431</v>
      </c>
      <c r="AZ178" s="174">
        <f>B178-Z178</f>
        <v>2</v>
      </c>
      <c r="BA178" s="184">
        <f>AZ178*100/B178</f>
        <v>28.571428571428573</v>
      </c>
      <c r="BI178" s="112"/>
      <c r="BJ178" s="112"/>
      <c r="BK178" s="112"/>
    </row>
    <row r="179" spans="1:63" x14ac:dyDescent="0.25">
      <c r="A179" s="175" t="s">
        <v>128</v>
      </c>
      <c r="B179" s="174">
        <v>7</v>
      </c>
      <c r="C179" s="174">
        <v>2</v>
      </c>
      <c r="D179" s="174">
        <v>15</v>
      </c>
      <c r="E179" s="174">
        <v>4</v>
      </c>
      <c r="F179" s="174"/>
      <c r="G179" s="174"/>
      <c r="H179" s="174"/>
      <c r="I179" s="174"/>
      <c r="J179" s="174"/>
      <c r="K179" s="174">
        <v>1</v>
      </c>
      <c r="L179" s="174">
        <v>2</v>
      </c>
      <c r="M179" s="174">
        <v>4</v>
      </c>
      <c r="N179" s="174">
        <v>1</v>
      </c>
      <c r="O179" s="174">
        <v>2</v>
      </c>
      <c r="P179" s="174"/>
      <c r="Q179" s="174"/>
      <c r="R179" s="174">
        <v>1</v>
      </c>
      <c r="S179" s="174"/>
      <c r="T179" s="174"/>
      <c r="U179" s="174">
        <v>1</v>
      </c>
      <c r="V179" s="174"/>
      <c r="W179" s="174">
        <v>2</v>
      </c>
      <c r="X179" s="174">
        <v>1</v>
      </c>
      <c r="Y179" s="174">
        <f t="shared" si="16"/>
        <v>15</v>
      </c>
      <c r="Z179" s="174">
        <v>5</v>
      </c>
      <c r="AA179" s="174">
        <v>1</v>
      </c>
      <c r="AB179" s="174">
        <v>12</v>
      </c>
      <c r="AC179" s="174">
        <v>2</v>
      </c>
      <c r="AD179" s="174"/>
      <c r="AE179" s="174"/>
      <c r="AF179" s="174"/>
      <c r="AG179" s="174"/>
      <c r="AH179" s="174"/>
      <c r="AI179" s="174"/>
      <c r="AJ179" s="174">
        <v>1</v>
      </c>
      <c r="AK179" s="174">
        <v>4</v>
      </c>
      <c r="AL179" s="174">
        <v>2</v>
      </c>
      <c r="AM179" s="174">
        <v>3</v>
      </c>
      <c r="AN179" s="174"/>
      <c r="AO179" s="174"/>
      <c r="AP179" s="174"/>
      <c r="AQ179" s="174"/>
      <c r="AR179" s="174"/>
      <c r="AS179" s="174"/>
      <c r="AT179" s="174"/>
      <c r="AU179" s="174">
        <v>2</v>
      </c>
      <c r="AV179" s="174"/>
      <c r="AW179" s="174">
        <f t="shared" si="17"/>
        <v>12</v>
      </c>
      <c r="AX179" s="174">
        <v>4009.12</v>
      </c>
      <c r="AY179" s="142"/>
      <c r="BA179" s="142"/>
    </row>
    <row r="180" spans="1:63" x14ac:dyDescent="0.25">
      <c r="A180" s="175" t="s">
        <v>129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>
        <v>0</v>
      </c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42"/>
      <c r="BA180" s="142"/>
    </row>
    <row r="181" spans="1:63" x14ac:dyDescent="0.25">
      <c r="A181" s="173" t="s">
        <v>45</v>
      </c>
      <c r="B181" s="174">
        <f>B182+B183+B184+B185+B186+B187+B188+B189+B190+B191+B192+B193+B194</f>
        <v>40</v>
      </c>
      <c r="C181" s="174">
        <f t="shared" ref="C181:X181" si="20">C182+C183+C184+C185+C186+C187+C188+C189+C190+C191+C192+C193+C194</f>
        <v>24</v>
      </c>
      <c r="D181" s="174">
        <f t="shared" si="20"/>
        <v>149</v>
      </c>
      <c r="E181" s="174">
        <f t="shared" si="20"/>
        <v>91</v>
      </c>
      <c r="F181" s="174">
        <f t="shared" si="20"/>
        <v>0</v>
      </c>
      <c r="G181" s="174">
        <f t="shared" si="20"/>
        <v>0</v>
      </c>
      <c r="H181" s="174">
        <f t="shared" si="20"/>
        <v>2</v>
      </c>
      <c r="I181" s="174">
        <f t="shared" si="20"/>
        <v>0</v>
      </c>
      <c r="J181" s="174">
        <f t="shared" si="20"/>
        <v>0</v>
      </c>
      <c r="K181" s="174">
        <f t="shared" si="20"/>
        <v>0</v>
      </c>
      <c r="L181" s="174">
        <f t="shared" si="20"/>
        <v>0</v>
      </c>
      <c r="M181" s="174">
        <f t="shared" si="20"/>
        <v>0</v>
      </c>
      <c r="N181" s="174">
        <f t="shared" si="20"/>
        <v>0</v>
      </c>
      <c r="O181" s="174">
        <f t="shared" si="20"/>
        <v>0</v>
      </c>
      <c r="P181" s="174">
        <f t="shared" si="20"/>
        <v>0</v>
      </c>
      <c r="Q181" s="174">
        <f t="shared" si="20"/>
        <v>0</v>
      </c>
      <c r="R181" s="174">
        <f t="shared" si="20"/>
        <v>1</v>
      </c>
      <c r="S181" s="174">
        <f t="shared" si="20"/>
        <v>1</v>
      </c>
      <c r="T181" s="174">
        <f t="shared" si="20"/>
        <v>0</v>
      </c>
      <c r="U181" s="174">
        <f t="shared" si="20"/>
        <v>32</v>
      </c>
      <c r="V181" s="174">
        <f t="shared" si="20"/>
        <v>95</v>
      </c>
      <c r="W181" s="174">
        <f t="shared" si="20"/>
        <v>0</v>
      </c>
      <c r="X181" s="174">
        <f t="shared" si="20"/>
        <v>18</v>
      </c>
      <c r="Y181" s="174">
        <f t="shared" si="16"/>
        <v>149</v>
      </c>
      <c r="Z181" s="174">
        <f t="shared" ref="Z181:AV181" si="21">SUM(Z182:Z194)</f>
        <v>24</v>
      </c>
      <c r="AA181" s="174">
        <f t="shared" si="21"/>
        <v>10</v>
      </c>
      <c r="AB181" s="174">
        <f t="shared" si="21"/>
        <v>89</v>
      </c>
      <c r="AC181" s="174">
        <f t="shared" si="21"/>
        <v>49</v>
      </c>
      <c r="AD181" s="174">
        <f t="shared" si="21"/>
        <v>0</v>
      </c>
      <c r="AE181" s="174">
        <f t="shared" si="21"/>
        <v>0</v>
      </c>
      <c r="AF181" s="174">
        <f t="shared" si="21"/>
        <v>1</v>
      </c>
      <c r="AG181" s="174">
        <f t="shared" si="21"/>
        <v>0</v>
      </c>
      <c r="AH181" s="174">
        <f t="shared" si="21"/>
        <v>0</v>
      </c>
      <c r="AI181" s="174">
        <f t="shared" si="21"/>
        <v>0</v>
      </c>
      <c r="AJ181" s="174">
        <f t="shared" si="21"/>
        <v>0</v>
      </c>
      <c r="AK181" s="174">
        <f t="shared" si="21"/>
        <v>0</v>
      </c>
      <c r="AL181" s="174">
        <f t="shared" si="21"/>
        <v>0</v>
      </c>
      <c r="AM181" s="174">
        <f t="shared" si="21"/>
        <v>0</v>
      </c>
      <c r="AN181" s="174">
        <f t="shared" si="21"/>
        <v>0</v>
      </c>
      <c r="AO181" s="174">
        <f t="shared" si="21"/>
        <v>0</v>
      </c>
      <c r="AP181" s="174">
        <f t="shared" si="21"/>
        <v>0</v>
      </c>
      <c r="AQ181" s="174">
        <f t="shared" si="21"/>
        <v>1</v>
      </c>
      <c r="AR181" s="174">
        <f t="shared" si="21"/>
        <v>0</v>
      </c>
      <c r="AS181" s="174">
        <f t="shared" si="21"/>
        <v>32</v>
      </c>
      <c r="AT181" s="174">
        <f t="shared" si="21"/>
        <v>42</v>
      </c>
      <c r="AU181" s="174">
        <f t="shared" si="21"/>
        <v>0</v>
      </c>
      <c r="AV181" s="174">
        <f t="shared" si="21"/>
        <v>13</v>
      </c>
      <c r="AW181" s="174">
        <f t="shared" si="17"/>
        <v>89</v>
      </c>
      <c r="AX181" s="174"/>
      <c r="AY181" s="184">
        <f>Z181*100/B181</f>
        <v>60</v>
      </c>
      <c r="AZ181" s="174">
        <f>B181-Z181</f>
        <v>16</v>
      </c>
      <c r="BA181" s="184">
        <f>AZ181*100/B181</f>
        <v>40</v>
      </c>
    </row>
    <row r="182" spans="1:63" x14ac:dyDescent="0.25">
      <c r="A182" s="175" t="s">
        <v>259</v>
      </c>
      <c r="B182" s="174">
        <v>18</v>
      </c>
      <c r="C182" s="174">
        <v>10</v>
      </c>
      <c r="D182" s="174">
        <v>98</v>
      </c>
      <c r="E182" s="174">
        <v>63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>
        <v>1</v>
      </c>
      <c r="S182" s="174">
        <v>1</v>
      </c>
      <c r="T182" s="174"/>
      <c r="U182" s="174">
        <v>11</v>
      </c>
      <c r="V182" s="174">
        <v>67</v>
      </c>
      <c r="W182" s="174"/>
      <c r="X182" s="174">
        <v>18</v>
      </c>
      <c r="Y182" s="174">
        <f t="shared" si="16"/>
        <v>98</v>
      </c>
      <c r="Z182" s="174">
        <v>9</v>
      </c>
      <c r="AA182" s="174">
        <v>3</v>
      </c>
      <c r="AB182" s="174">
        <v>41</v>
      </c>
      <c r="AC182" s="174">
        <v>15</v>
      </c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>
        <v>1</v>
      </c>
      <c r="AR182" s="174"/>
      <c r="AS182" s="174">
        <v>9</v>
      </c>
      <c r="AT182" s="174">
        <v>18</v>
      </c>
      <c r="AU182" s="174"/>
      <c r="AV182" s="174">
        <v>13</v>
      </c>
      <c r="AW182" s="174">
        <f t="shared" si="17"/>
        <v>41</v>
      </c>
      <c r="AX182" s="174">
        <v>2029.42</v>
      </c>
      <c r="AY182" s="142"/>
      <c r="BA182" s="142"/>
    </row>
    <row r="183" spans="1:63" x14ac:dyDescent="0.25">
      <c r="A183" s="175" t="s">
        <v>260</v>
      </c>
      <c r="B183" s="174">
        <v>6</v>
      </c>
      <c r="C183" s="174">
        <v>3</v>
      </c>
      <c r="D183" s="174">
        <v>26</v>
      </c>
      <c r="E183" s="174">
        <v>14</v>
      </c>
      <c r="F183" s="174"/>
      <c r="G183" s="174"/>
      <c r="H183" s="174">
        <v>1</v>
      </c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>
        <v>8</v>
      </c>
      <c r="V183" s="174">
        <v>17</v>
      </c>
      <c r="W183" s="174"/>
      <c r="X183" s="174"/>
      <c r="Y183" s="174">
        <f t="shared" si="16"/>
        <v>26</v>
      </c>
      <c r="Z183" s="174">
        <v>5</v>
      </c>
      <c r="AA183" s="174">
        <v>2</v>
      </c>
      <c r="AB183" s="174">
        <v>30</v>
      </c>
      <c r="AC183" s="174">
        <v>23</v>
      </c>
      <c r="AD183" s="174"/>
      <c r="AE183" s="174"/>
      <c r="AF183" s="174">
        <v>1</v>
      </c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>
        <v>10</v>
      </c>
      <c r="AT183" s="174">
        <v>19</v>
      </c>
      <c r="AU183" s="174"/>
      <c r="AV183" s="174"/>
      <c r="AW183" s="174">
        <f t="shared" si="17"/>
        <v>30</v>
      </c>
      <c r="AX183" s="174">
        <v>925.36</v>
      </c>
      <c r="AY183" s="142"/>
      <c r="BA183" s="142"/>
    </row>
    <row r="184" spans="1:63" x14ac:dyDescent="0.25">
      <c r="A184" s="175" t="s">
        <v>261</v>
      </c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>
        <v>0</v>
      </c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42"/>
      <c r="BA184" s="142"/>
    </row>
    <row r="185" spans="1:63" x14ac:dyDescent="0.25">
      <c r="A185" s="175" t="s">
        <v>262</v>
      </c>
      <c r="B185" s="174">
        <v>2</v>
      </c>
      <c r="C185" s="174">
        <v>1</v>
      </c>
      <c r="D185" s="174">
        <v>4</v>
      </c>
      <c r="E185" s="174">
        <v>1</v>
      </c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>
        <v>4</v>
      </c>
      <c r="W185" s="174"/>
      <c r="X185" s="174"/>
      <c r="Y185" s="174">
        <f t="shared" si="16"/>
        <v>4</v>
      </c>
      <c r="Z185" s="174">
        <v>1</v>
      </c>
      <c r="AA185" s="174"/>
      <c r="AB185" s="174">
        <v>3</v>
      </c>
      <c r="AC185" s="174">
        <v>0</v>
      </c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>
        <v>3</v>
      </c>
      <c r="AU185" s="174"/>
      <c r="AV185" s="174"/>
      <c r="AW185" s="174">
        <f t="shared" si="17"/>
        <v>3</v>
      </c>
      <c r="AX185" s="174">
        <v>1600</v>
      </c>
      <c r="AY185" s="142"/>
      <c r="BA185" s="142"/>
    </row>
    <row r="186" spans="1:63" x14ac:dyDescent="0.25">
      <c r="A186" s="175" t="s">
        <v>263</v>
      </c>
      <c r="B186" s="174">
        <v>1</v>
      </c>
      <c r="C186" s="174"/>
      <c r="D186" s="174">
        <v>1</v>
      </c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>
        <v>1</v>
      </c>
      <c r="W186" s="174"/>
      <c r="X186" s="174"/>
      <c r="Y186" s="174">
        <f t="shared" si="16"/>
        <v>1</v>
      </c>
      <c r="Z186" s="174">
        <v>1</v>
      </c>
      <c r="AA186" s="174"/>
      <c r="AB186" s="174">
        <v>1</v>
      </c>
      <c r="AC186" s="174">
        <v>0</v>
      </c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>
        <v>1</v>
      </c>
      <c r="AU186" s="174"/>
      <c r="AV186" s="174"/>
      <c r="AW186" s="174">
        <f t="shared" si="17"/>
        <v>1</v>
      </c>
      <c r="AX186" s="174">
        <v>2600</v>
      </c>
      <c r="AY186" s="142"/>
      <c r="BA186" s="142"/>
    </row>
    <row r="187" spans="1:63" x14ac:dyDescent="0.25">
      <c r="A187" s="175" t="s">
        <v>264</v>
      </c>
      <c r="B187" s="174">
        <v>2</v>
      </c>
      <c r="C187" s="174"/>
      <c r="D187" s="174">
        <v>2</v>
      </c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>
        <v>2</v>
      </c>
      <c r="W187" s="174"/>
      <c r="X187" s="174"/>
      <c r="Y187" s="174">
        <f t="shared" si="16"/>
        <v>2</v>
      </c>
      <c r="Z187" s="174">
        <v>1</v>
      </c>
      <c r="AA187" s="174"/>
      <c r="AB187" s="174">
        <v>1</v>
      </c>
      <c r="AC187" s="174">
        <v>0</v>
      </c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>
        <v>1</v>
      </c>
      <c r="AU187" s="174"/>
      <c r="AV187" s="174"/>
      <c r="AW187" s="174">
        <f t="shared" si="17"/>
        <v>1</v>
      </c>
      <c r="AX187" s="174">
        <v>750</v>
      </c>
      <c r="AY187" s="142"/>
      <c r="BA187" s="142"/>
    </row>
    <row r="188" spans="1:63" x14ac:dyDescent="0.25">
      <c r="A188" s="175" t="s">
        <v>265</v>
      </c>
      <c r="B188" s="174">
        <v>5</v>
      </c>
      <c r="C188" s="174">
        <v>7</v>
      </c>
      <c r="D188" s="174">
        <v>10</v>
      </c>
      <c r="E188" s="174">
        <v>8</v>
      </c>
      <c r="F188" s="174"/>
      <c r="G188" s="174"/>
      <c r="H188" s="174">
        <v>1</v>
      </c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>
        <v>9</v>
      </c>
      <c r="V188" s="174"/>
      <c r="W188" s="174"/>
      <c r="X188" s="174"/>
      <c r="Y188" s="174">
        <f t="shared" si="16"/>
        <v>10</v>
      </c>
      <c r="Z188" s="174">
        <v>6</v>
      </c>
      <c r="AA188" s="174">
        <v>4</v>
      </c>
      <c r="AB188" s="174">
        <v>12</v>
      </c>
      <c r="AC188" s="174">
        <v>10</v>
      </c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>
        <v>12</v>
      </c>
      <c r="AT188" s="174"/>
      <c r="AU188" s="174"/>
      <c r="AV188" s="174"/>
      <c r="AW188" s="174">
        <f t="shared" si="17"/>
        <v>12</v>
      </c>
      <c r="AX188" s="174">
        <v>2824</v>
      </c>
      <c r="AY188" s="142"/>
      <c r="BA188" s="142"/>
    </row>
    <row r="189" spans="1:63" x14ac:dyDescent="0.25">
      <c r="A189" s="175" t="s">
        <v>266</v>
      </c>
      <c r="B189" s="174">
        <v>1</v>
      </c>
      <c r="C189" s="174"/>
      <c r="D189" s="174">
        <v>1</v>
      </c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>
        <v>1</v>
      </c>
      <c r="W189" s="174"/>
      <c r="X189" s="174"/>
      <c r="Y189" s="174">
        <f>SUM(F189:X189)</f>
        <v>1</v>
      </c>
      <c r="Z189" s="174"/>
      <c r="AA189" s="174"/>
      <c r="AB189" s="174"/>
      <c r="AC189" s="174">
        <v>0</v>
      </c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42"/>
      <c r="BA189" s="142"/>
    </row>
    <row r="190" spans="1:63" x14ac:dyDescent="0.25">
      <c r="A190" s="175" t="s">
        <v>267</v>
      </c>
      <c r="B190" s="174">
        <v>3</v>
      </c>
      <c r="C190" s="174">
        <v>2</v>
      </c>
      <c r="D190" s="174">
        <v>5</v>
      </c>
      <c r="E190" s="174">
        <v>4</v>
      </c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>
        <v>3</v>
      </c>
      <c r="V190" s="174">
        <v>2</v>
      </c>
      <c r="W190" s="174"/>
      <c r="X190" s="174"/>
      <c r="Y190" s="174">
        <f>SUM(F190:X190)</f>
        <v>5</v>
      </c>
      <c r="Z190" s="174"/>
      <c r="AA190" s="174"/>
      <c r="AB190" s="174"/>
      <c r="AC190" s="174">
        <v>0</v>
      </c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42"/>
      <c r="BA190" s="142"/>
    </row>
    <row r="191" spans="1:63" x14ac:dyDescent="0.25">
      <c r="A191" s="175" t="s">
        <v>268</v>
      </c>
      <c r="B191" s="174">
        <v>2</v>
      </c>
      <c r="C191" s="174">
        <v>1</v>
      </c>
      <c r="D191" s="174">
        <v>2</v>
      </c>
      <c r="E191" s="174">
        <v>1</v>
      </c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>
        <v>1</v>
      </c>
      <c r="V191" s="174">
        <v>1</v>
      </c>
      <c r="W191" s="174"/>
      <c r="X191" s="174"/>
      <c r="Y191" s="174">
        <f>SUM(F191:X191)</f>
        <v>2</v>
      </c>
      <c r="Z191" s="174">
        <v>1</v>
      </c>
      <c r="AA191" s="174">
        <v>1</v>
      </c>
      <c r="AB191" s="174">
        <v>1</v>
      </c>
      <c r="AC191" s="174">
        <v>1</v>
      </c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>
        <v>1</v>
      </c>
      <c r="AT191" s="174"/>
      <c r="AU191" s="174"/>
      <c r="AV191" s="174"/>
      <c r="AW191" s="174">
        <f>SUM(AD191:AV191)</f>
        <v>1</v>
      </c>
      <c r="AX191" s="174">
        <v>2600</v>
      </c>
      <c r="AY191" s="142"/>
      <c r="BA191" s="142"/>
    </row>
    <row r="192" spans="1:63" x14ac:dyDescent="0.25">
      <c r="A192" s="175" t="s">
        <v>269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>
        <v>0</v>
      </c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42"/>
      <c r="BA192" s="142"/>
    </row>
    <row r="193" spans="1:53" x14ac:dyDescent="0.25">
      <c r="A193" s="175" t="s">
        <v>270</v>
      </c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42"/>
      <c r="BA193" s="142"/>
    </row>
    <row r="194" spans="1:53" x14ac:dyDescent="0.25">
      <c r="A194" s="175" t="s">
        <v>271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42"/>
      <c r="BA194" s="142"/>
    </row>
    <row r="195" spans="1:53" x14ac:dyDescent="0.25">
      <c r="A195" s="173" t="s">
        <v>46</v>
      </c>
      <c r="B195" s="174">
        <f>SUM(B196:B222)</f>
        <v>10</v>
      </c>
      <c r="C195" s="174">
        <f t="shared" ref="C195:X195" si="22">SUM(C196:C222)</f>
        <v>2</v>
      </c>
      <c r="D195" s="174">
        <f t="shared" si="22"/>
        <v>11</v>
      </c>
      <c r="E195" s="174">
        <f t="shared" si="22"/>
        <v>2</v>
      </c>
      <c r="F195" s="174">
        <f t="shared" si="22"/>
        <v>0</v>
      </c>
      <c r="G195" s="174">
        <f t="shared" si="22"/>
        <v>0</v>
      </c>
      <c r="H195" s="174">
        <f t="shared" si="22"/>
        <v>0</v>
      </c>
      <c r="I195" s="174">
        <f t="shared" si="22"/>
        <v>0</v>
      </c>
      <c r="J195" s="174">
        <f t="shared" si="22"/>
        <v>0</v>
      </c>
      <c r="K195" s="174">
        <f t="shared" si="22"/>
        <v>0</v>
      </c>
      <c r="L195" s="174">
        <f t="shared" si="22"/>
        <v>1</v>
      </c>
      <c r="M195" s="174">
        <f t="shared" si="22"/>
        <v>0</v>
      </c>
      <c r="N195" s="174">
        <f t="shared" si="22"/>
        <v>0</v>
      </c>
      <c r="O195" s="174">
        <f t="shared" si="22"/>
        <v>0</v>
      </c>
      <c r="P195" s="174">
        <f t="shared" si="22"/>
        <v>0</v>
      </c>
      <c r="Q195" s="174">
        <f t="shared" si="22"/>
        <v>0</v>
      </c>
      <c r="R195" s="174">
        <f t="shared" si="22"/>
        <v>0</v>
      </c>
      <c r="S195" s="174">
        <f t="shared" si="22"/>
        <v>0</v>
      </c>
      <c r="T195" s="174">
        <f t="shared" si="22"/>
        <v>0</v>
      </c>
      <c r="U195" s="174">
        <f t="shared" si="22"/>
        <v>4</v>
      </c>
      <c r="V195" s="174">
        <f t="shared" si="22"/>
        <v>4</v>
      </c>
      <c r="W195" s="174">
        <f t="shared" si="22"/>
        <v>0</v>
      </c>
      <c r="X195" s="174">
        <f t="shared" si="22"/>
        <v>2</v>
      </c>
      <c r="Y195" s="174">
        <f>SUM(F195:X195)</f>
        <v>11</v>
      </c>
      <c r="Z195" s="174">
        <f t="shared" ref="Z195:AV195" si="23">SUM(Z196:Z222)</f>
        <v>7</v>
      </c>
      <c r="AA195" s="174">
        <f t="shared" si="23"/>
        <v>1</v>
      </c>
      <c r="AB195" s="174">
        <f t="shared" si="23"/>
        <v>7</v>
      </c>
      <c r="AC195" s="174">
        <f t="shared" si="23"/>
        <v>1</v>
      </c>
      <c r="AD195" s="174">
        <f t="shared" si="23"/>
        <v>0</v>
      </c>
      <c r="AE195" s="174">
        <f t="shared" si="23"/>
        <v>0</v>
      </c>
      <c r="AF195" s="174">
        <f t="shared" si="23"/>
        <v>0</v>
      </c>
      <c r="AG195" s="174">
        <f t="shared" si="23"/>
        <v>0</v>
      </c>
      <c r="AH195" s="174">
        <f t="shared" si="23"/>
        <v>0</v>
      </c>
      <c r="AI195" s="174">
        <f t="shared" si="23"/>
        <v>0</v>
      </c>
      <c r="AJ195" s="174">
        <f t="shared" si="23"/>
        <v>1</v>
      </c>
      <c r="AK195" s="174">
        <f t="shared" si="23"/>
        <v>0</v>
      </c>
      <c r="AL195" s="174">
        <f t="shared" si="23"/>
        <v>0</v>
      </c>
      <c r="AM195" s="174">
        <f t="shared" si="23"/>
        <v>0</v>
      </c>
      <c r="AN195" s="174">
        <f t="shared" si="23"/>
        <v>0</v>
      </c>
      <c r="AO195" s="174">
        <f t="shared" si="23"/>
        <v>0</v>
      </c>
      <c r="AP195" s="174">
        <f t="shared" si="23"/>
        <v>0</v>
      </c>
      <c r="AQ195" s="174">
        <f t="shared" si="23"/>
        <v>0</v>
      </c>
      <c r="AR195" s="174">
        <f t="shared" si="23"/>
        <v>0</v>
      </c>
      <c r="AS195" s="174">
        <f t="shared" si="23"/>
        <v>2</v>
      </c>
      <c r="AT195" s="174">
        <f t="shared" si="23"/>
        <v>2</v>
      </c>
      <c r="AU195" s="174">
        <f t="shared" si="23"/>
        <v>0</v>
      </c>
      <c r="AV195" s="174">
        <f t="shared" si="23"/>
        <v>2</v>
      </c>
      <c r="AW195" s="174">
        <f>SUM(AD195:AV195)</f>
        <v>7</v>
      </c>
      <c r="AX195" s="174"/>
      <c r="AY195" s="184">
        <f>Z195*100/B195</f>
        <v>70</v>
      </c>
      <c r="AZ195" s="174">
        <f>B195-Z195</f>
        <v>3</v>
      </c>
      <c r="BA195" s="184">
        <f>AZ195*100/B195</f>
        <v>30</v>
      </c>
    </row>
    <row r="196" spans="1:53" x14ac:dyDescent="0.25">
      <c r="A196" s="175" t="s">
        <v>115</v>
      </c>
      <c r="B196" s="174">
        <v>5</v>
      </c>
      <c r="C196" s="174"/>
      <c r="D196" s="174">
        <v>6</v>
      </c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>
        <v>1</v>
      </c>
      <c r="V196" s="174">
        <v>4</v>
      </c>
      <c r="W196" s="174"/>
      <c r="X196" s="174">
        <v>1</v>
      </c>
      <c r="Y196" s="174">
        <f>SUM(F196:X196)</f>
        <v>6</v>
      </c>
      <c r="Z196" s="174">
        <v>3</v>
      </c>
      <c r="AA196" s="174"/>
      <c r="AB196" s="174">
        <v>3</v>
      </c>
      <c r="AC196" s="174">
        <v>0</v>
      </c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>
        <v>2</v>
      </c>
      <c r="AU196" s="174"/>
      <c r="AV196" s="174">
        <v>1</v>
      </c>
      <c r="AW196" s="174">
        <f>SUM(AD196:AV196)</f>
        <v>3</v>
      </c>
      <c r="AX196" s="174">
        <v>3856.67</v>
      </c>
      <c r="AY196" s="142"/>
      <c r="BA196" s="142"/>
    </row>
    <row r="197" spans="1:53" ht="15" customHeight="1" x14ac:dyDescent="0.25">
      <c r="A197" s="175" t="s">
        <v>116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>
        <v>0</v>
      </c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42"/>
      <c r="BA197" s="142"/>
    </row>
    <row r="198" spans="1:53" x14ac:dyDescent="0.25">
      <c r="A198" s="175" t="s">
        <v>59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42"/>
      <c r="BA198" s="142"/>
    </row>
    <row r="199" spans="1:53" x14ac:dyDescent="0.25">
      <c r="A199" s="175" t="s">
        <v>60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42"/>
      <c r="BA199" s="142"/>
    </row>
    <row r="200" spans="1:53" x14ac:dyDescent="0.25">
      <c r="A200" s="175" t="s">
        <v>117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>
        <v>0</v>
      </c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42"/>
      <c r="BA200" s="142"/>
    </row>
    <row r="201" spans="1:53" x14ac:dyDescent="0.25">
      <c r="A201" s="175" t="s">
        <v>118</v>
      </c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>
        <v>0</v>
      </c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42"/>
      <c r="BA201" s="142"/>
    </row>
    <row r="202" spans="1:53" x14ac:dyDescent="0.25">
      <c r="A202" s="175" t="s">
        <v>119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>
        <v>0</v>
      </c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42"/>
      <c r="BA202" s="142"/>
    </row>
    <row r="203" spans="1:53" x14ac:dyDescent="0.25">
      <c r="A203" s="175" t="s">
        <v>120</v>
      </c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>
        <v>0</v>
      </c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42"/>
      <c r="BA203" s="142"/>
    </row>
    <row r="204" spans="1:53" x14ac:dyDescent="0.25">
      <c r="A204" s="217" t="s">
        <v>121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>
        <v>0</v>
      </c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42"/>
      <c r="BA204" s="142"/>
    </row>
    <row r="205" spans="1:53" x14ac:dyDescent="0.25">
      <c r="A205" s="217" t="s">
        <v>122</v>
      </c>
      <c r="B205" s="174">
        <v>3</v>
      </c>
      <c r="C205" s="174">
        <v>1</v>
      </c>
      <c r="D205" s="174">
        <v>3</v>
      </c>
      <c r="E205" s="174">
        <v>1</v>
      </c>
      <c r="F205" s="174"/>
      <c r="G205" s="174"/>
      <c r="H205" s="174"/>
      <c r="I205" s="174"/>
      <c r="J205" s="174"/>
      <c r="K205" s="174"/>
      <c r="L205" s="174">
        <v>1</v>
      </c>
      <c r="M205" s="174"/>
      <c r="N205" s="174"/>
      <c r="O205" s="174"/>
      <c r="P205" s="174"/>
      <c r="Q205" s="174"/>
      <c r="R205" s="174"/>
      <c r="S205" s="174"/>
      <c r="T205" s="174"/>
      <c r="U205" s="174">
        <v>1</v>
      </c>
      <c r="V205" s="174"/>
      <c r="W205" s="174"/>
      <c r="X205" s="174">
        <v>1</v>
      </c>
      <c r="Y205" s="174">
        <f>SUM(F205:X205)</f>
        <v>3</v>
      </c>
      <c r="Z205" s="174">
        <v>2</v>
      </c>
      <c r="AA205" s="174"/>
      <c r="AB205" s="174">
        <v>2</v>
      </c>
      <c r="AC205" s="174">
        <v>0</v>
      </c>
      <c r="AD205" s="174"/>
      <c r="AE205" s="174"/>
      <c r="AF205" s="174"/>
      <c r="AG205" s="174"/>
      <c r="AH205" s="174"/>
      <c r="AI205" s="174"/>
      <c r="AJ205" s="174">
        <v>1</v>
      </c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>
        <v>1</v>
      </c>
      <c r="AW205" s="174">
        <f>SUM(AD205:AV205)</f>
        <v>2</v>
      </c>
      <c r="AX205" s="174">
        <v>1530</v>
      </c>
      <c r="AY205" s="142"/>
      <c r="BA205" s="142"/>
    </row>
    <row r="206" spans="1:53" x14ac:dyDescent="0.25">
      <c r="A206" s="217" t="s">
        <v>123</v>
      </c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>
        <v>0</v>
      </c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42"/>
      <c r="BA206" s="142"/>
    </row>
    <row r="207" spans="1:53" x14ac:dyDescent="0.25">
      <c r="A207" s="175" t="s">
        <v>61</v>
      </c>
      <c r="B207" s="174">
        <v>2</v>
      </c>
      <c r="C207" s="174">
        <v>1</v>
      </c>
      <c r="D207" s="174">
        <v>2</v>
      </c>
      <c r="E207" s="174">
        <v>1</v>
      </c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>
        <v>2</v>
      </c>
      <c r="V207" s="174"/>
      <c r="W207" s="174"/>
      <c r="X207" s="174"/>
      <c r="Y207" s="174">
        <f>SUM(F207:X207)</f>
        <v>2</v>
      </c>
      <c r="Z207" s="174">
        <v>2</v>
      </c>
      <c r="AA207" s="174">
        <v>1</v>
      </c>
      <c r="AB207" s="174">
        <v>2</v>
      </c>
      <c r="AC207" s="174">
        <v>1</v>
      </c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>
        <v>2</v>
      </c>
      <c r="AT207" s="174"/>
      <c r="AU207" s="174"/>
      <c r="AV207" s="174"/>
      <c r="AW207" s="174">
        <f>SUM(AD207:AV207)</f>
        <v>2</v>
      </c>
      <c r="AX207" s="174">
        <v>2100</v>
      </c>
      <c r="AY207" s="142"/>
      <c r="BA207" s="142"/>
    </row>
    <row r="208" spans="1:53" x14ac:dyDescent="0.25">
      <c r="A208" s="175" t="s">
        <v>62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>
        <v>0</v>
      </c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42"/>
      <c r="BA208" s="142"/>
    </row>
    <row r="209" spans="1:53" x14ac:dyDescent="0.25">
      <c r="A209" s="175" t="s">
        <v>63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42"/>
      <c r="BA209" s="142"/>
    </row>
    <row r="210" spans="1:53" x14ac:dyDescent="0.25">
      <c r="A210" s="175" t="s">
        <v>64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42"/>
      <c r="BA210" s="142"/>
    </row>
    <row r="211" spans="1:53" x14ac:dyDescent="0.25">
      <c r="A211" s="175" t="s">
        <v>65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42"/>
      <c r="BA211" s="142"/>
    </row>
    <row r="212" spans="1:53" x14ac:dyDescent="0.25">
      <c r="A212" s="175" t="s">
        <v>66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42"/>
      <c r="BA212" s="142"/>
    </row>
    <row r="213" spans="1:53" x14ac:dyDescent="0.25">
      <c r="A213" s="175" t="s">
        <v>67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42"/>
      <c r="BA213" s="142"/>
    </row>
    <row r="214" spans="1:53" x14ac:dyDescent="0.25">
      <c r="A214" s="175" t="s">
        <v>68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42"/>
      <c r="BA214" s="142"/>
    </row>
    <row r="215" spans="1:53" x14ac:dyDescent="0.25">
      <c r="A215" s="175" t="s">
        <v>69</v>
      </c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42"/>
      <c r="BA215" s="142"/>
    </row>
    <row r="216" spans="1:53" x14ac:dyDescent="0.25">
      <c r="A216" s="175" t="s">
        <v>70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42"/>
      <c r="BA216" s="142"/>
    </row>
    <row r="217" spans="1:53" x14ac:dyDescent="0.25">
      <c r="A217" s="175" t="s">
        <v>71</v>
      </c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42"/>
      <c r="BA217" s="142"/>
    </row>
    <row r="218" spans="1:53" x14ac:dyDescent="0.25">
      <c r="A218" s="175" t="s">
        <v>72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42"/>
      <c r="BA218" s="142"/>
    </row>
    <row r="219" spans="1:53" x14ac:dyDescent="0.25">
      <c r="A219" s="175" t="s">
        <v>73</v>
      </c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42"/>
      <c r="BA219" s="142"/>
    </row>
    <row r="220" spans="1:53" x14ac:dyDescent="0.25">
      <c r="A220" s="175" t="s">
        <v>74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42"/>
      <c r="BA220" s="142"/>
    </row>
    <row r="221" spans="1:53" x14ac:dyDescent="0.25">
      <c r="A221" s="175" t="s">
        <v>75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42"/>
      <c r="BA221" s="142"/>
    </row>
    <row r="222" spans="1:53" x14ac:dyDescent="0.25">
      <c r="A222" s="175" t="s">
        <v>76</v>
      </c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42"/>
      <c r="BA222" s="142"/>
    </row>
    <row r="223" spans="1:53" x14ac:dyDescent="0.25">
      <c r="A223" s="173" t="s">
        <v>47</v>
      </c>
      <c r="B223" s="174">
        <f>SUM(B224:B230)</f>
        <v>46</v>
      </c>
      <c r="C223" s="174">
        <f t="shared" ref="C223:X223" si="24">SUM(C224:C230)</f>
        <v>7</v>
      </c>
      <c r="D223" s="174">
        <f t="shared" si="24"/>
        <v>91</v>
      </c>
      <c r="E223" s="174">
        <f t="shared" si="24"/>
        <v>11</v>
      </c>
      <c r="F223" s="174">
        <f t="shared" si="24"/>
        <v>4</v>
      </c>
      <c r="G223" s="174">
        <f t="shared" si="24"/>
        <v>1</v>
      </c>
      <c r="H223" s="174">
        <f t="shared" si="24"/>
        <v>16</v>
      </c>
      <c r="I223" s="174">
        <f t="shared" si="24"/>
        <v>0</v>
      </c>
      <c r="J223" s="174">
        <f t="shared" si="24"/>
        <v>5</v>
      </c>
      <c r="K223" s="174">
        <f t="shared" si="24"/>
        <v>9</v>
      </c>
      <c r="L223" s="174">
        <f t="shared" si="24"/>
        <v>23</v>
      </c>
      <c r="M223" s="174">
        <f t="shared" si="24"/>
        <v>24</v>
      </c>
      <c r="N223" s="174">
        <f t="shared" si="24"/>
        <v>0</v>
      </c>
      <c r="O223" s="174">
        <f t="shared" si="24"/>
        <v>0</v>
      </c>
      <c r="P223" s="174">
        <f t="shared" si="24"/>
        <v>0</v>
      </c>
      <c r="Q223" s="174">
        <f t="shared" si="24"/>
        <v>0</v>
      </c>
      <c r="R223" s="174">
        <f t="shared" si="24"/>
        <v>7</v>
      </c>
      <c r="S223" s="174">
        <f t="shared" si="24"/>
        <v>1</v>
      </c>
      <c r="T223" s="174">
        <f t="shared" si="24"/>
        <v>0</v>
      </c>
      <c r="U223" s="174">
        <f t="shared" si="24"/>
        <v>0</v>
      </c>
      <c r="V223" s="174">
        <f t="shared" si="24"/>
        <v>0</v>
      </c>
      <c r="W223" s="174">
        <f t="shared" si="24"/>
        <v>1</v>
      </c>
      <c r="X223" s="174">
        <f t="shared" si="24"/>
        <v>0</v>
      </c>
      <c r="Y223" s="174">
        <f t="shared" ref="Y223:Y228" si="25">SUM(F223:X223)</f>
        <v>91</v>
      </c>
      <c r="Z223" s="174">
        <f t="shared" ref="Z223:AV223" si="26">SUM(Z224:Z230)</f>
        <v>39</v>
      </c>
      <c r="AA223" s="174">
        <f t="shared" si="26"/>
        <v>3</v>
      </c>
      <c r="AB223" s="174">
        <f t="shared" si="26"/>
        <v>54</v>
      </c>
      <c r="AC223" s="174">
        <f t="shared" si="26"/>
        <v>6</v>
      </c>
      <c r="AD223" s="174">
        <f t="shared" si="26"/>
        <v>1</v>
      </c>
      <c r="AE223" s="174">
        <f t="shared" si="26"/>
        <v>1</v>
      </c>
      <c r="AF223" s="174">
        <f t="shared" si="26"/>
        <v>7</v>
      </c>
      <c r="AG223" s="174">
        <f t="shared" si="26"/>
        <v>0</v>
      </c>
      <c r="AH223" s="174">
        <f t="shared" si="26"/>
        <v>4</v>
      </c>
      <c r="AI223" s="174">
        <f t="shared" si="26"/>
        <v>6</v>
      </c>
      <c r="AJ223" s="174">
        <f t="shared" si="26"/>
        <v>14</v>
      </c>
      <c r="AK223" s="174">
        <f t="shared" si="26"/>
        <v>16</v>
      </c>
      <c r="AL223" s="174">
        <f t="shared" si="26"/>
        <v>0</v>
      </c>
      <c r="AM223" s="174">
        <f t="shared" si="26"/>
        <v>0</v>
      </c>
      <c r="AN223" s="174">
        <f t="shared" si="26"/>
        <v>0</v>
      </c>
      <c r="AO223" s="174">
        <f t="shared" si="26"/>
        <v>0</v>
      </c>
      <c r="AP223" s="174">
        <f t="shared" si="26"/>
        <v>4</v>
      </c>
      <c r="AQ223" s="174">
        <f t="shared" si="26"/>
        <v>0</v>
      </c>
      <c r="AR223" s="174">
        <f t="shared" si="26"/>
        <v>0</v>
      </c>
      <c r="AS223" s="174">
        <f t="shared" si="26"/>
        <v>0</v>
      </c>
      <c r="AT223" s="174">
        <f t="shared" si="26"/>
        <v>0</v>
      </c>
      <c r="AU223" s="174">
        <f t="shared" si="26"/>
        <v>1</v>
      </c>
      <c r="AV223" s="174">
        <f t="shared" si="26"/>
        <v>0</v>
      </c>
      <c r="AW223" s="174">
        <f>SUM(AD223:AV223)</f>
        <v>54</v>
      </c>
      <c r="AX223" s="174"/>
      <c r="AY223" s="184">
        <f>Z223*100/B223</f>
        <v>84.782608695652172</v>
      </c>
      <c r="AZ223" s="174">
        <f>B223-Z223</f>
        <v>7</v>
      </c>
      <c r="BA223" s="184">
        <f>AZ223*100/B223</f>
        <v>15.217391304347826</v>
      </c>
    </row>
    <row r="224" spans="1:53" x14ac:dyDescent="0.25">
      <c r="A224" s="175" t="s">
        <v>48</v>
      </c>
      <c r="B224" s="174">
        <v>2</v>
      </c>
      <c r="C224" s="174"/>
      <c r="D224" s="174">
        <v>2</v>
      </c>
      <c r="E224" s="174"/>
      <c r="F224" s="174"/>
      <c r="G224" s="174"/>
      <c r="H224" s="174">
        <v>1</v>
      </c>
      <c r="I224" s="174"/>
      <c r="J224" s="174"/>
      <c r="K224" s="174"/>
      <c r="L224" s="174"/>
      <c r="M224" s="174"/>
      <c r="N224" s="174"/>
      <c r="O224" s="174"/>
      <c r="P224" s="174"/>
      <c r="Q224" s="174"/>
      <c r="R224" s="174">
        <v>1</v>
      </c>
      <c r="S224" s="174"/>
      <c r="T224" s="174"/>
      <c r="U224" s="174"/>
      <c r="V224" s="174"/>
      <c r="W224" s="174"/>
      <c r="X224" s="174"/>
      <c r="Y224" s="174">
        <f t="shared" si="25"/>
        <v>2</v>
      </c>
      <c r="Z224" s="174"/>
      <c r="AA224" s="174"/>
      <c r="AB224" s="174"/>
      <c r="AC224" s="174">
        <v>0</v>
      </c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42"/>
      <c r="BA224" s="142"/>
    </row>
    <row r="225" spans="1:63" x14ac:dyDescent="0.25">
      <c r="A225" s="175" t="s">
        <v>49</v>
      </c>
      <c r="B225" s="174">
        <v>5</v>
      </c>
      <c r="C225" s="174">
        <v>2</v>
      </c>
      <c r="D225" s="174">
        <v>5</v>
      </c>
      <c r="E225" s="174">
        <v>2</v>
      </c>
      <c r="F225" s="174"/>
      <c r="G225" s="174"/>
      <c r="H225" s="174"/>
      <c r="I225" s="174"/>
      <c r="J225" s="174"/>
      <c r="K225" s="174">
        <v>2</v>
      </c>
      <c r="L225" s="174"/>
      <c r="M225" s="174">
        <v>3</v>
      </c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>
        <f t="shared" si="25"/>
        <v>5</v>
      </c>
      <c r="Z225" s="174">
        <v>2</v>
      </c>
      <c r="AA225" s="174"/>
      <c r="AB225" s="174">
        <v>2</v>
      </c>
      <c r="AC225" s="174">
        <v>0</v>
      </c>
      <c r="AD225" s="174"/>
      <c r="AE225" s="174"/>
      <c r="AF225" s="174"/>
      <c r="AG225" s="174"/>
      <c r="AH225" s="174"/>
      <c r="AI225" s="174">
        <v>1</v>
      </c>
      <c r="AJ225" s="174"/>
      <c r="AK225" s="174">
        <v>1</v>
      </c>
      <c r="AL225" s="174"/>
      <c r="AM225" s="174"/>
      <c r="AN225" s="174"/>
      <c r="AO225" s="174"/>
      <c r="AP225" s="174"/>
      <c r="AQ225" s="174"/>
      <c r="AR225" s="174"/>
      <c r="AS225" s="174"/>
      <c r="AT225" s="174"/>
      <c r="AU225" s="174"/>
      <c r="AV225" s="174"/>
      <c r="AW225" s="174">
        <f>SUM(AD225:AV225)</f>
        <v>2</v>
      </c>
      <c r="AX225" s="174">
        <v>6215</v>
      </c>
      <c r="AY225" s="142"/>
      <c r="BA225" s="142"/>
    </row>
    <row r="226" spans="1:63" x14ac:dyDescent="0.25">
      <c r="A226" s="175" t="s">
        <v>50</v>
      </c>
      <c r="B226" s="174">
        <v>36</v>
      </c>
      <c r="C226" s="174">
        <v>4</v>
      </c>
      <c r="D226" s="174">
        <v>74</v>
      </c>
      <c r="E226" s="174">
        <v>6</v>
      </c>
      <c r="F226" s="174">
        <v>4</v>
      </c>
      <c r="G226" s="174">
        <v>1</v>
      </c>
      <c r="H226" s="174">
        <v>9</v>
      </c>
      <c r="I226" s="174"/>
      <c r="J226" s="174">
        <v>5</v>
      </c>
      <c r="K226" s="174">
        <v>7</v>
      </c>
      <c r="L226" s="174">
        <v>23</v>
      </c>
      <c r="M226" s="174">
        <v>18</v>
      </c>
      <c r="N226" s="174"/>
      <c r="O226" s="174"/>
      <c r="P226" s="174"/>
      <c r="Q226" s="174"/>
      <c r="R226" s="174">
        <v>6</v>
      </c>
      <c r="S226" s="174"/>
      <c r="T226" s="174"/>
      <c r="U226" s="174"/>
      <c r="V226" s="174"/>
      <c r="W226" s="174">
        <v>1</v>
      </c>
      <c r="X226" s="174"/>
      <c r="Y226" s="174">
        <f t="shared" si="25"/>
        <v>74</v>
      </c>
      <c r="Z226" s="174">
        <v>36</v>
      </c>
      <c r="AA226" s="174">
        <v>2</v>
      </c>
      <c r="AB226" s="174">
        <v>49</v>
      </c>
      <c r="AC226" s="174">
        <v>3</v>
      </c>
      <c r="AD226" s="174">
        <v>1</v>
      </c>
      <c r="AE226" s="174">
        <v>1</v>
      </c>
      <c r="AF226" s="174">
        <v>7</v>
      </c>
      <c r="AG226" s="174"/>
      <c r="AH226" s="174">
        <v>4</v>
      </c>
      <c r="AI226" s="174">
        <v>5</v>
      </c>
      <c r="AJ226" s="174">
        <v>14</v>
      </c>
      <c r="AK226" s="174">
        <v>12</v>
      </c>
      <c r="AL226" s="174"/>
      <c r="AM226" s="174"/>
      <c r="AN226" s="174"/>
      <c r="AO226" s="174"/>
      <c r="AP226" s="174">
        <v>4</v>
      </c>
      <c r="AQ226" s="174"/>
      <c r="AR226" s="174"/>
      <c r="AS226" s="174"/>
      <c r="AT226" s="174"/>
      <c r="AU226" s="174">
        <v>1</v>
      </c>
      <c r="AV226" s="174"/>
      <c r="AW226" s="174">
        <f>SUM(AD226:AV226)</f>
        <v>49</v>
      </c>
      <c r="AX226" s="174">
        <v>3876.65</v>
      </c>
      <c r="AY226" s="142"/>
      <c r="BA226" s="142"/>
    </row>
    <row r="227" spans="1:63" x14ac:dyDescent="0.25">
      <c r="A227" s="175" t="s">
        <v>51</v>
      </c>
      <c r="B227" s="174">
        <v>1</v>
      </c>
      <c r="C227" s="174"/>
      <c r="D227" s="174">
        <v>1</v>
      </c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>
        <v>1</v>
      </c>
      <c r="T227" s="174"/>
      <c r="U227" s="174"/>
      <c r="V227" s="174"/>
      <c r="W227" s="174"/>
      <c r="X227" s="174"/>
      <c r="Y227" s="174">
        <f t="shared" si="25"/>
        <v>1</v>
      </c>
      <c r="Z227" s="174"/>
      <c r="AA227" s="174"/>
      <c r="AB227" s="174"/>
      <c r="AC227" s="174">
        <v>0</v>
      </c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42"/>
      <c r="BA227" s="142"/>
    </row>
    <row r="228" spans="1:63" x14ac:dyDescent="0.25">
      <c r="A228" s="175" t="s">
        <v>52</v>
      </c>
      <c r="B228" s="174">
        <v>1</v>
      </c>
      <c r="C228" s="174">
        <v>1</v>
      </c>
      <c r="D228" s="174">
        <v>3</v>
      </c>
      <c r="E228" s="174">
        <v>3</v>
      </c>
      <c r="F228" s="174"/>
      <c r="G228" s="174"/>
      <c r="H228" s="174"/>
      <c r="I228" s="174"/>
      <c r="J228" s="174"/>
      <c r="K228" s="174"/>
      <c r="L228" s="174"/>
      <c r="M228" s="174">
        <v>3</v>
      </c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>
        <f t="shared" si="25"/>
        <v>3</v>
      </c>
      <c r="Z228" s="174">
        <v>1</v>
      </c>
      <c r="AA228" s="174">
        <v>1</v>
      </c>
      <c r="AB228" s="174">
        <v>3</v>
      </c>
      <c r="AC228" s="174">
        <v>3</v>
      </c>
      <c r="AD228" s="174"/>
      <c r="AE228" s="174"/>
      <c r="AF228" s="174"/>
      <c r="AG228" s="174"/>
      <c r="AH228" s="174"/>
      <c r="AI228" s="174"/>
      <c r="AJ228" s="174"/>
      <c r="AK228" s="174">
        <v>3</v>
      </c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>
        <f>SUM(AD228:AV228)</f>
        <v>3</v>
      </c>
      <c r="AX228" s="174">
        <v>600</v>
      </c>
      <c r="AY228" s="142"/>
      <c r="BA228" s="142"/>
    </row>
    <row r="229" spans="1:63" x14ac:dyDescent="0.25">
      <c r="A229" s="175" t="s">
        <v>53</v>
      </c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>
        <v>0</v>
      </c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142"/>
      <c r="BA229" s="142"/>
    </row>
    <row r="230" spans="1:63" x14ac:dyDescent="0.25">
      <c r="A230" s="175" t="s">
        <v>54</v>
      </c>
      <c r="B230" s="174">
        <v>1</v>
      </c>
      <c r="C230" s="174"/>
      <c r="D230" s="174">
        <v>6</v>
      </c>
      <c r="E230" s="174"/>
      <c r="F230" s="174"/>
      <c r="G230" s="174"/>
      <c r="H230" s="174">
        <v>6</v>
      </c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>
        <f t="shared" ref="Y230:Y235" si="27">SUM(F230:X230)</f>
        <v>6</v>
      </c>
      <c r="Z230" s="174"/>
      <c r="AA230" s="174"/>
      <c r="AB230" s="174"/>
      <c r="AC230" s="174">
        <v>0</v>
      </c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12"/>
      <c r="AZ230" s="112"/>
      <c r="BA230" s="112"/>
      <c r="BB230" s="112"/>
      <c r="BC230" s="112"/>
      <c r="BD230" s="112"/>
      <c r="BE230" s="112"/>
      <c r="BF230" s="112"/>
      <c r="BG230" s="112"/>
    </row>
    <row r="231" spans="1:63" x14ac:dyDescent="0.25">
      <c r="A231" s="173" t="s">
        <v>55</v>
      </c>
      <c r="B231" s="174">
        <f>SUM(B232:B246)</f>
        <v>162</v>
      </c>
      <c r="C231" s="174">
        <f t="shared" ref="C231:X231" si="28">SUM(C232:C246)</f>
        <v>37</v>
      </c>
      <c r="D231" s="174">
        <f t="shared" si="28"/>
        <v>320</v>
      </c>
      <c r="E231" s="174">
        <f t="shared" si="28"/>
        <v>61</v>
      </c>
      <c r="F231" s="174">
        <f t="shared" si="28"/>
        <v>0</v>
      </c>
      <c r="G231" s="174">
        <f t="shared" si="28"/>
        <v>0</v>
      </c>
      <c r="H231" s="174">
        <f t="shared" si="28"/>
        <v>31</v>
      </c>
      <c r="I231" s="174">
        <f t="shared" si="28"/>
        <v>0</v>
      </c>
      <c r="J231" s="174">
        <f t="shared" si="28"/>
        <v>8</v>
      </c>
      <c r="K231" s="174">
        <f t="shared" si="28"/>
        <v>3</v>
      </c>
      <c r="L231" s="174">
        <f t="shared" si="28"/>
        <v>23</v>
      </c>
      <c r="M231" s="174">
        <f t="shared" si="28"/>
        <v>13</v>
      </c>
      <c r="N231" s="174">
        <f t="shared" si="28"/>
        <v>2</v>
      </c>
      <c r="O231" s="174">
        <f t="shared" si="28"/>
        <v>3</v>
      </c>
      <c r="P231" s="174">
        <f t="shared" si="28"/>
        <v>2</v>
      </c>
      <c r="Q231" s="174">
        <f t="shared" si="28"/>
        <v>0</v>
      </c>
      <c r="R231" s="174">
        <f t="shared" si="28"/>
        <v>156</v>
      </c>
      <c r="S231" s="174">
        <f t="shared" si="28"/>
        <v>12</v>
      </c>
      <c r="T231" s="174">
        <f t="shared" si="28"/>
        <v>24</v>
      </c>
      <c r="U231" s="174">
        <f t="shared" si="28"/>
        <v>3</v>
      </c>
      <c r="V231" s="174">
        <f t="shared" si="28"/>
        <v>26</v>
      </c>
      <c r="W231" s="174">
        <f t="shared" si="28"/>
        <v>4</v>
      </c>
      <c r="X231" s="174">
        <f t="shared" si="28"/>
        <v>10</v>
      </c>
      <c r="Y231" s="174">
        <f t="shared" si="27"/>
        <v>320</v>
      </c>
      <c r="Z231" s="174">
        <f t="shared" ref="Z231:AV231" si="29">SUM(Z232:Z246)</f>
        <v>78</v>
      </c>
      <c r="AA231" s="174">
        <f t="shared" si="29"/>
        <v>26</v>
      </c>
      <c r="AB231" s="174">
        <f t="shared" si="29"/>
        <v>170</v>
      </c>
      <c r="AC231" s="174">
        <f t="shared" si="29"/>
        <v>62</v>
      </c>
      <c r="AD231" s="174">
        <f t="shared" si="29"/>
        <v>0</v>
      </c>
      <c r="AE231" s="174">
        <f t="shared" si="29"/>
        <v>0</v>
      </c>
      <c r="AF231" s="174">
        <f t="shared" si="29"/>
        <v>12</v>
      </c>
      <c r="AG231" s="174">
        <f t="shared" si="29"/>
        <v>0</v>
      </c>
      <c r="AH231" s="174">
        <f t="shared" si="29"/>
        <v>8</v>
      </c>
      <c r="AI231" s="174">
        <f t="shared" si="29"/>
        <v>1</v>
      </c>
      <c r="AJ231" s="174">
        <f t="shared" si="29"/>
        <v>10</v>
      </c>
      <c r="AK231" s="174">
        <f t="shared" si="29"/>
        <v>3</v>
      </c>
      <c r="AL231" s="174">
        <f t="shared" si="29"/>
        <v>2</v>
      </c>
      <c r="AM231" s="174">
        <f t="shared" si="29"/>
        <v>2</v>
      </c>
      <c r="AN231" s="174">
        <f t="shared" si="29"/>
        <v>1</v>
      </c>
      <c r="AO231" s="174">
        <f t="shared" si="29"/>
        <v>0</v>
      </c>
      <c r="AP231" s="174">
        <f t="shared" si="29"/>
        <v>67</v>
      </c>
      <c r="AQ231" s="174">
        <f t="shared" si="29"/>
        <v>4</v>
      </c>
      <c r="AR231" s="174">
        <f t="shared" si="29"/>
        <v>34</v>
      </c>
      <c r="AS231" s="174">
        <f t="shared" si="29"/>
        <v>1</v>
      </c>
      <c r="AT231" s="174">
        <f t="shared" si="29"/>
        <v>16</v>
      </c>
      <c r="AU231" s="174">
        <f t="shared" si="29"/>
        <v>2</v>
      </c>
      <c r="AV231" s="174">
        <f t="shared" si="29"/>
        <v>7</v>
      </c>
      <c r="AW231" s="174">
        <f>SUM(AD231:AV231)</f>
        <v>170</v>
      </c>
      <c r="AX231" s="174"/>
      <c r="AY231" s="184">
        <f>Z231*100/B231</f>
        <v>48.148148148148145</v>
      </c>
      <c r="AZ231" s="174">
        <f>B231-Z231</f>
        <v>84</v>
      </c>
      <c r="BA231" s="184">
        <f>AZ231*100/B231</f>
        <v>51.851851851851855</v>
      </c>
    </row>
    <row r="232" spans="1:63" x14ac:dyDescent="0.25">
      <c r="A232" s="175" t="s">
        <v>124</v>
      </c>
      <c r="B232" s="174">
        <v>86</v>
      </c>
      <c r="C232" s="174">
        <v>7</v>
      </c>
      <c r="D232" s="174">
        <v>171</v>
      </c>
      <c r="E232" s="174">
        <v>8</v>
      </c>
      <c r="F232" s="174"/>
      <c r="G232" s="174"/>
      <c r="H232" s="174">
        <v>24</v>
      </c>
      <c r="I232" s="174"/>
      <c r="J232" s="174">
        <v>4</v>
      </c>
      <c r="K232" s="174">
        <v>3</v>
      </c>
      <c r="L232" s="174">
        <v>15</v>
      </c>
      <c r="M232" s="174">
        <v>10</v>
      </c>
      <c r="N232" s="174"/>
      <c r="O232" s="174">
        <v>1</v>
      </c>
      <c r="P232" s="174">
        <v>2</v>
      </c>
      <c r="Q232" s="174"/>
      <c r="R232" s="174">
        <v>91</v>
      </c>
      <c r="S232" s="174">
        <v>2</v>
      </c>
      <c r="T232" s="174">
        <v>3</v>
      </c>
      <c r="U232" s="174">
        <v>2</v>
      </c>
      <c r="V232" s="174">
        <v>4</v>
      </c>
      <c r="W232" s="174">
        <v>4</v>
      </c>
      <c r="X232" s="174">
        <v>6</v>
      </c>
      <c r="Y232" s="174">
        <f t="shared" si="27"/>
        <v>171</v>
      </c>
      <c r="Z232" s="174">
        <v>44</v>
      </c>
      <c r="AA232" s="174">
        <v>5</v>
      </c>
      <c r="AB232" s="174">
        <v>65</v>
      </c>
      <c r="AC232" s="174">
        <v>6</v>
      </c>
      <c r="AD232" s="174"/>
      <c r="AE232" s="174"/>
      <c r="AF232" s="174">
        <v>10</v>
      </c>
      <c r="AG232" s="174"/>
      <c r="AH232" s="174">
        <v>2</v>
      </c>
      <c r="AI232" s="174">
        <v>1</v>
      </c>
      <c r="AJ232" s="174">
        <v>6</v>
      </c>
      <c r="AK232" s="174">
        <v>3</v>
      </c>
      <c r="AL232" s="174"/>
      <c r="AM232" s="174"/>
      <c r="AN232" s="174">
        <v>1</v>
      </c>
      <c r="AO232" s="174"/>
      <c r="AP232" s="174">
        <v>31</v>
      </c>
      <c r="AQ232" s="174">
        <v>1</v>
      </c>
      <c r="AR232" s="174">
        <v>1</v>
      </c>
      <c r="AS232" s="174">
        <v>1</v>
      </c>
      <c r="AT232" s="174">
        <v>2</v>
      </c>
      <c r="AU232" s="174">
        <v>2</v>
      </c>
      <c r="AV232" s="174">
        <v>4</v>
      </c>
      <c r="AW232" s="174">
        <f>SUM(AD232:AV232)</f>
        <v>65</v>
      </c>
      <c r="AX232" s="174">
        <v>1899.72</v>
      </c>
      <c r="AY232" s="142"/>
      <c r="BA232" s="142"/>
      <c r="BI232" s="112"/>
      <c r="BJ232" s="112"/>
      <c r="BK232" s="112"/>
    </row>
    <row r="233" spans="1:63" x14ac:dyDescent="0.25">
      <c r="A233" s="175" t="s">
        <v>125</v>
      </c>
      <c r="B233" s="174">
        <v>2</v>
      </c>
      <c r="C233" s="174">
        <v>2</v>
      </c>
      <c r="D233" s="174">
        <v>6</v>
      </c>
      <c r="E233" s="174">
        <v>6</v>
      </c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>
        <v>4</v>
      </c>
      <c r="U233" s="174"/>
      <c r="V233" s="174">
        <v>2</v>
      </c>
      <c r="W233" s="174"/>
      <c r="X233" s="174"/>
      <c r="Y233" s="174">
        <f t="shared" si="27"/>
        <v>6</v>
      </c>
      <c r="Z233" s="174">
        <v>2</v>
      </c>
      <c r="AA233" s="174">
        <v>2</v>
      </c>
      <c r="AB233" s="174">
        <v>6</v>
      </c>
      <c r="AC233" s="174">
        <v>6</v>
      </c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/>
      <c r="AQ233" s="174"/>
      <c r="AR233" s="174">
        <v>4</v>
      </c>
      <c r="AS233" s="174"/>
      <c r="AT233" s="174">
        <v>2</v>
      </c>
      <c r="AU233" s="174"/>
      <c r="AV233" s="174"/>
      <c r="AW233" s="174">
        <f>SUM(AD233:AV233)</f>
        <v>6</v>
      </c>
      <c r="AX233" s="174">
        <v>1269.92</v>
      </c>
      <c r="AY233" s="142"/>
      <c r="BA233" s="142"/>
    </row>
    <row r="234" spans="1:63" x14ac:dyDescent="0.25">
      <c r="A234" s="175" t="s">
        <v>126</v>
      </c>
      <c r="B234" s="174">
        <v>47</v>
      </c>
      <c r="C234" s="174">
        <v>9</v>
      </c>
      <c r="D234" s="174">
        <v>75</v>
      </c>
      <c r="E234" s="174">
        <v>15</v>
      </c>
      <c r="F234" s="174"/>
      <c r="G234" s="174"/>
      <c r="H234" s="174">
        <v>6</v>
      </c>
      <c r="I234" s="174"/>
      <c r="J234" s="174">
        <v>4</v>
      </c>
      <c r="K234" s="174"/>
      <c r="L234" s="174">
        <v>6</v>
      </c>
      <c r="M234" s="174">
        <v>2</v>
      </c>
      <c r="N234" s="174">
        <v>2</v>
      </c>
      <c r="O234" s="174">
        <v>2</v>
      </c>
      <c r="P234" s="174"/>
      <c r="Q234" s="174"/>
      <c r="R234" s="174">
        <v>31</v>
      </c>
      <c r="S234" s="174">
        <v>10</v>
      </c>
      <c r="T234" s="174">
        <v>1</v>
      </c>
      <c r="U234" s="174"/>
      <c r="V234" s="174">
        <v>7</v>
      </c>
      <c r="W234" s="174"/>
      <c r="X234" s="174">
        <v>4</v>
      </c>
      <c r="Y234" s="174">
        <f t="shared" si="27"/>
        <v>75</v>
      </c>
      <c r="Z234" s="174">
        <v>15</v>
      </c>
      <c r="AA234" s="174">
        <v>6</v>
      </c>
      <c r="AB234" s="174">
        <v>36</v>
      </c>
      <c r="AC234" s="174">
        <v>12</v>
      </c>
      <c r="AD234" s="174"/>
      <c r="AE234" s="174"/>
      <c r="AF234" s="174">
        <v>2</v>
      </c>
      <c r="AG234" s="174"/>
      <c r="AH234" s="174">
        <v>6</v>
      </c>
      <c r="AI234" s="174"/>
      <c r="AJ234" s="174">
        <v>3</v>
      </c>
      <c r="AK234" s="174"/>
      <c r="AL234" s="174">
        <v>2</v>
      </c>
      <c r="AM234" s="174">
        <v>2</v>
      </c>
      <c r="AN234" s="174"/>
      <c r="AO234" s="174"/>
      <c r="AP234" s="174">
        <v>12</v>
      </c>
      <c r="AQ234" s="174">
        <v>3</v>
      </c>
      <c r="AR234" s="174"/>
      <c r="AS234" s="174"/>
      <c r="AT234" s="174">
        <v>3</v>
      </c>
      <c r="AU234" s="174"/>
      <c r="AV234" s="174">
        <v>3</v>
      </c>
      <c r="AW234" s="174">
        <f>SUM(AD234:AV234)</f>
        <v>36</v>
      </c>
      <c r="AX234" s="174">
        <v>1673.71</v>
      </c>
      <c r="AY234" s="142"/>
      <c r="BA234" s="142"/>
    </row>
    <row r="235" spans="1:63" x14ac:dyDescent="0.25">
      <c r="A235" s="175" t="s">
        <v>127</v>
      </c>
      <c r="B235" s="174">
        <v>10</v>
      </c>
      <c r="C235" s="174">
        <v>10</v>
      </c>
      <c r="D235" s="174">
        <v>14</v>
      </c>
      <c r="E235" s="174">
        <v>14</v>
      </c>
      <c r="F235" s="174"/>
      <c r="G235" s="174"/>
      <c r="H235" s="174"/>
      <c r="I235" s="174"/>
      <c r="J235" s="174"/>
      <c r="K235" s="174"/>
      <c r="L235" s="174"/>
      <c r="M235" s="174">
        <v>1</v>
      </c>
      <c r="N235" s="174"/>
      <c r="O235" s="174"/>
      <c r="P235" s="174"/>
      <c r="Q235" s="174"/>
      <c r="R235" s="174">
        <v>1</v>
      </c>
      <c r="S235" s="174"/>
      <c r="T235" s="174">
        <v>5</v>
      </c>
      <c r="U235" s="174">
        <v>1</v>
      </c>
      <c r="V235" s="174">
        <v>6</v>
      </c>
      <c r="W235" s="174"/>
      <c r="X235" s="174"/>
      <c r="Y235" s="174">
        <f t="shared" si="27"/>
        <v>14</v>
      </c>
      <c r="Z235" s="174">
        <v>7</v>
      </c>
      <c r="AA235" s="174">
        <v>8</v>
      </c>
      <c r="AB235" s="174">
        <v>28</v>
      </c>
      <c r="AC235" s="174">
        <v>28</v>
      </c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>
        <v>23</v>
      </c>
      <c r="AS235" s="174"/>
      <c r="AT235" s="174">
        <v>5</v>
      </c>
      <c r="AU235" s="174"/>
      <c r="AV235" s="174"/>
      <c r="AW235" s="174">
        <f>SUM(AD235:AV235)</f>
        <v>28</v>
      </c>
      <c r="AX235" s="174">
        <v>735.43</v>
      </c>
      <c r="AY235" s="142"/>
      <c r="BA235" s="142"/>
    </row>
    <row r="236" spans="1:63" x14ac:dyDescent="0.25">
      <c r="A236" s="175" t="s">
        <v>103</v>
      </c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42"/>
      <c r="BA236" s="142"/>
    </row>
    <row r="237" spans="1:63" x14ac:dyDescent="0.25">
      <c r="A237" s="175" t="s">
        <v>104</v>
      </c>
      <c r="B237" s="174">
        <v>3</v>
      </c>
      <c r="C237" s="174">
        <v>1</v>
      </c>
      <c r="D237" s="174">
        <v>4</v>
      </c>
      <c r="E237" s="174">
        <v>1</v>
      </c>
      <c r="F237" s="174"/>
      <c r="G237" s="174"/>
      <c r="H237" s="174"/>
      <c r="I237" s="174"/>
      <c r="J237" s="174"/>
      <c r="K237" s="174"/>
      <c r="L237" s="174">
        <v>1</v>
      </c>
      <c r="M237" s="174"/>
      <c r="N237" s="174"/>
      <c r="O237" s="174"/>
      <c r="P237" s="174"/>
      <c r="Q237" s="174"/>
      <c r="R237" s="174">
        <v>2</v>
      </c>
      <c r="S237" s="174"/>
      <c r="T237" s="174">
        <v>1</v>
      </c>
      <c r="U237" s="174"/>
      <c r="V237" s="174"/>
      <c r="W237" s="174"/>
      <c r="X237" s="174"/>
      <c r="Y237" s="174">
        <f>SUM(F237:X237)</f>
        <v>4</v>
      </c>
      <c r="Z237" s="174">
        <v>2</v>
      </c>
      <c r="AA237" s="174">
        <v>1</v>
      </c>
      <c r="AB237" s="174">
        <v>2</v>
      </c>
      <c r="AC237" s="174">
        <v>1</v>
      </c>
      <c r="AD237" s="174"/>
      <c r="AE237" s="174"/>
      <c r="AF237" s="174"/>
      <c r="AG237" s="174"/>
      <c r="AH237" s="174"/>
      <c r="AI237" s="174"/>
      <c r="AJ237" s="174">
        <v>1</v>
      </c>
      <c r="AK237" s="174"/>
      <c r="AL237" s="174"/>
      <c r="AM237" s="174"/>
      <c r="AN237" s="174"/>
      <c r="AO237" s="174"/>
      <c r="AP237" s="174"/>
      <c r="AQ237" s="174"/>
      <c r="AR237" s="174">
        <v>1</v>
      </c>
      <c r="AS237" s="174"/>
      <c r="AT237" s="174"/>
      <c r="AU237" s="174"/>
      <c r="AV237" s="174"/>
      <c r="AW237" s="174">
        <f>SUM(AD237:AV237)</f>
        <v>2</v>
      </c>
      <c r="AX237" s="174">
        <v>2560</v>
      </c>
      <c r="AY237" s="142"/>
      <c r="BA237" s="142"/>
    </row>
    <row r="238" spans="1:63" x14ac:dyDescent="0.25">
      <c r="A238" s="175" t="s">
        <v>105</v>
      </c>
      <c r="B238" s="174">
        <v>1</v>
      </c>
      <c r="C238" s="174">
        <v>1</v>
      </c>
      <c r="D238" s="174">
        <v>5</v>
      </c>
      <c r="E238" s="174">
        <v>5</v>
      </c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>
        <v>5</v>
      </c>
      <c r="U238" s="174"/>
      <c r="V238" s="174"/>
      <c r="W238" s="174"/>
      <c r="X238" s="174"/>
      <c r="Y238" s="174">
        <f>SUM(F238:X238)</f>
        <v>5</v>
      </c>
      <c r="Z238" s="174">
        <v>1</v>
      </c>
      <c r="AA238" s="174">
        <v>1</v>
      </c>
      <c r="AB238" s="174">
        <v>5</v>
      </c>
      <c r="AC238" s="174">
        <v>5</v>
      </c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>
        <v>5</v>
      </c>
      <c r="AS238" s="174"/>
      <c r="AT238" s="174"/>
      <c r="AU238" s="174"/>
      <c r="AV238" s="174"/>
      <c r="AW238" s="174">
        <f>SUM(AD238:AV238)</f>
        <v>5</v>
      </c>
      <c r="AX238" s="174">
        <v>192</v>
      </c>
      <c r="AY238" s="142"/>
      <c r="BA238" s="142"/>
    </row>
    <row r="239" spans="1:63" x14ac:dyDescent="0.25">
      <c r="A239" s="175" t="s">
        <v>106</v>
      </c>
      <c r="B239" s="174">
        <v>9</v>
      </c>
      <c r="C239" s="174">
        <v>4</v>
      </c>
      <c r="D239" s="174">
        <v>30</v>
      </c>
      <c r="E239" s="174">
        <v>8</v>
      </c>
      <c r="F239" s="174"/>
      <c r="G239" s="174"/>
      <c r="H239" s="174">
        <v>1</v>
      </c>
      <c r="I239" s="174"/>
      <c r="J239" s="174"/>
      <c r="K239" s="174"/>
      <c r="L239" s="174">
        <v>1</v>
      </c>
      <c r="M239" s="174"/>
      <c r="N239" s="174"/>
      <c r="O239" s="174"/>
      <c r="P239" s="174"/>
      <c r="Q239" s="174"/>
      <c r="R239" s="174">
        <v>20</v>
      </c>
      <c r="S239" s="174"/>
      <c r="T239" s="174">
        <v>5</v>
      </c>
      <c r="U239" s="174"/>
      <c r="V239" s="174">
        <v>3</v>
      </c>
      <c r="W239" s="174"/>
      <c r="X239" s="174"/>
      <c r="Y239" s="174">
        <f>SUM(F239:X239)</f>
        <v>30</v>
      </c>
      <c r="Z239" s="174">
        <v>5</v>
      </c>
      <c r="AA239" s="174">
        <v>2</v>
      </c>
      <c r="AB239" s="174">
        <v>15</v>
      </c>
      <c r="AC239" s="174">
        <v>2</v>
      </c>
      <c r="AD239" s="174"/>
      <c r="AE239" s="174"/>
      <c r="AF239" s="174"/>
      <c r="AG239" s="174"/>
      <c r="AH239" s="174"/>
      <c r="AI239" s="174"/>
      <c r="AJ239" s="174"/>
      <c r="AK239" s="174"/>
      <c r="AL239" s="174"/>
      <c r="AM239" s="174"/>
      <c r="AN239" s="174"/>
      <c r="AO239" s="174"/>
      <c r="AP239" s="174">
        <v>13</v>
      </c>
      <c r="AQ239" s="174"/>
      <c r="AR239" s="174"/>
      <c r="AS239" s="174"/>
      <c r="AT239" s="174">
        <v>2</v>
      </c>
      <c r="AU239" s="174"/>
      <c r="AV239" s="174"/>
      <c r="AW239" s="174">
        <f>SUM(AD239:AV239)</f>
        <v>15</v>
      </c>
      <c r="AX239" s="174">
        <v>671.27</v>
      </c>
      <c r="AY239" s="142"/>
      <c r="BA239" s="142"/>
    </row>
    <row r="240" spans="1:63" x14ac:dyDescent="0.25">
      <c r="A240" s="175" t="s">
        <v>107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>
        <v>0</v>
      </c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142"/>
      <c r="BA240" s="142"/>
    </row>
    <row r="241" spans="1:60" x14ac:dyDescent="0.25">
      <c r="A241" s="175" t="s">
        <v>108</v>
      </c>
      <c r="B241" s="174">
        <v>1</v>
      </c>
      <c r="C241" s="174"/>
      <c r="D241" s="174">
        <v>11</v>
      </c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>
        <v>11</v>
      </c>
      <c r="S241" s="174"/>
      <c r="T241" s="174"/>
      <c r="U241" s="174"/>
      <c r="V241" s="174"/>
      <c r="W241" s="174"/>
      <c r="X241" s="174"/>
      <c r="Y241" s="174">
        <f>SUM(F241:X241)</f>
        <v>11</v>
      </c>
      <c r="Z241" s="174">
        <v>1</v>
      </c>
      <c r="AA241" s="174"/>
      <c r="AB241" s="174">
        <v>11</v>
      </c>
      <c r="AC241" s="174">
        <v>0</v>
      </c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>
        <v>11</v>
      </c>
      <c r="AQ241" s="174"/>
      <c r="AR241" s="174"/>
      <c r="AS241" s="174"/>
      <c r="AT241" s="174"/>
      <c r="AU241" s="174"/>
      <c r="AV241" s="174"/>
      <c r="AW241" s="174">
        <f>SUM(AD241:AV241)</f>
        <v>11</v>
      </c>
      <c r="AX241" s="174">
        <v>630</v>
      </c>
      <c r="AY241" s="142"/>
      <c r="BA241" s="142"/>
    </row>
    <row r="242" spans="1:60" x14ac:dyDescent="0.25">
      <c r="A242" s="175" t="s">
        <v>109</v>
      </c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>
        <v>0</v>
      </c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142"/>
      <c r="BA242" s="142"/>
    </row>
    <row r="243" spans="1:60" x14ac:dyDescent="0.25">
      <c r="A243" s="175" t="s">
        <v>110</v>
      </c>
      <c r="B243" s="174">
        <v>3</v>
      </c>
      <c r="C243" s="174">
        <v>3</v>
      </c>
      <c r="D243" s="174">
        <v>4</v>
      </c>
      <c r="E243" s="174">
        <v>4</v>
      </c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>
        <v>4</v>
      </c>
      <c r="W243" s="174"/>
      <c r="X243" s="174"/>
      <c r="Y243" s="174">
        <f>SUM(F243:X243)</f>
        <v>4</v>
      </c>
      <c r="Z243" s="174">
        <v>1</v>
      </c>
      <c r="AA243" s="174">
        <v>1</v>
      </c>
      <c r="AB243" s="174">
        <v>2</v>
      </c>
      <c r="AC243" s="174">
        <v>2</v>
      </c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74"/>
      <c r="AS243" s="174"/>
      <c r="AT243" s="174">
        <v>2</v>
      </c>
      <c r="AU243" s="174"/>
      <c r="AV243" s="174"/>
      <c r="AW243" s="174">
        <f>SUM(AD243:AV243)</f>
        <v>2</v>
      </c>
      <c r="AX243" s="174">
        <v>851.2</v>
      </c>
      <c r="AY243" s="142"/>
      <c r="BA243" s="142"/>
    </row>
    <row r="244" spans="1:60" x14ac:dyDescent="0.25">
      <c r="A244" s="175" t="s">
        <v>111</v>
      </c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174"/>
      <c r="Z244" s="218"/>
      <c r="AA244" s="218"/>
      <c r="AB244" s="218"/>
      <c r="AC244" s="218">
        <v>0</v>
      </c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174"/>
      <c r="AX244" s="218"/>
      <c r="AY244" s="142"/>
      <c r="BA244" s="142"/>
    </row>
    <row r="245" spans="1:60" x14ac:dyDescent="0.25">
      <c r="A245" s="175" t="s">
        <v>112</v>
      </c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174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174"/>
      <c r="AX245" s="218"/>
      <c r="AY245" s="142"/>
      <c r="BA245" s="142"/>
    </row>
    <row r="246" spans="1:60" x14ac:dyDescent="0.25">
      <c r="A246" s="175" t="s">
        <v>113</v>
      </c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174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174"/>
      <c r="AX246" s="218"/>
      <c r="AY246" s="142"/>
      <c r="BA246" s="142"/>
    </row>
    <row r="247" spans="1:60" x14ac:dyDescent="0.25">
      <c r="A247" s="177" t="s">
        <v>56</v>
      </c>
      <c r="B247" s="113">
        <f t="shared" ref="B247:X247" si="30">SUM(B6+B26+B44+B63+B73+B94+B178+B181+B195+B223+B231)</f>
        <v>1123</v>
      </c>
      <c r="C247" s="113">
        <f t="shared" si="30"/>
        <v>247</v>
      </c>
      <c r="D247" s="113">
        <f t="shared" si="30"/>
        <v>5629</v>
      </c>
      <c r="E247" s="113">
        <f t="shared" si="30"/>
        <v>1576</v>
      </c>
      <c r="F247" s="113">
        <f t="shared" si="30"/>
        <v>4</v>
      </c>
      <c r="G247" s="113">
        <f t="shared" si="30"/>
        <v>16</v>
      </c>
      <c r="H247" s="113">
        <f t="shared" si="30"/>
        <v>1612</v>
      </c>
      <c r="I247" s="113">
        <f t="shared" si="30"/>
        <v>0</v>
      </c>
      <c r="J247" s="113">
        <f t="shared" si="30"/>
        <v>131</v>
      </c>
      <c r="K247" s="113">
        <f t="shared" si="30"/>
        <v>246</v>
      </c>
      <c r="L247" s="113">
        <f t="shared" si="30"/>
        <v>443</v>
      </c>
      <c r="M247" s="113">
        <f t="shared" si="30"/>
        <v>74</v>
      </c>
      <c r="N247" s="113">
        <f t="shared" si="30"/>
        <v>166</v>
      </c>
      <c r="O247" s="113">
        <f t="shared" si="30"/>
        <v>46</v>
      </c>
      <c r="P247" s="113">
        <f t="shared" si="30"/>
        <v>64</v>
      </c>
      <c r="Q247" s="113">
        <f t="shared" si="30"/>
        <v>0</v>
      </c>
      <c r="R247" s="113">
        <f t="shared" si="30"/>
        <v>280</v>
      </c>
      <c r="S247" s="113">
        <f t="shared" si="30"/>
        <v>56</v>
      </c>
      <c r="T247" s="113">
        <f t="shared" si="30"/>
        <v>42</v>
      </c>
      <c r="U247" s="113">
        <f t="shared" si="30"/>
        <v>61</v>
      </c>
      <c r="V247" s="113">
        <f t="shared" si="30"/>
        <v>2094</v>
      </c>
      <c r="W247" s="113">
        <f t="shared" si="30"/>
        <v>14</v>
      </c>
      <c r="X247" s="113">
        <f t="shared" si="30"/>
        <v>280</v>
      </c>
      <c r="Y247" s="113">
        <f>SUM(F247:X247)</f>
        <v>5629</v>
      </c>
      <c r="Z247" s="113">
        <f t="shared" ref="Z247:AV247" si="31">SUM(Z6+Z26+Z44+Z63+Z73+Z94+Z178+Z181+Z195+Z223+Z231)</f>
        <v>747</v>
      </c>
      <c r="AA247" s="113">
        <f t="shared" si="31"/>
        <v>177</v>
      </c>
      <c r="AB247" s="113">
        <f t="shared" si="31"/>
        <v>3036</v>
      </c>
      <c r="AC247" s="113">
        <f t="shared" si="31"/>
        <v>862</v>
      </c>
      <c r="AD247" s="113">
        <f t="shared" si="31"/>
        <v>1</v>
      </c>
      <c r="AE247" s="113">
        <f t="shared" si="31"/>
        <v>13</v>
      </c>
      <c r="AF247" s="113">
        <f t="shared" si="31"/>
        <v>1015</v>
      </c>
      <c r="AG247" s="113">
        <f t="shared" si="31"/>
        <v>0</v>
      </c>
      <c r="AH247" s="113">
        <f t="shared" si="31"/>
        <v>115</v>
      </c>
      <c r="AI247" s="113">
        <f t="shared" si="31"/>
        <v>93</v>
      </c>
      <c r="AJ247" s="113">
        <f t="shared" si="31"/>
        <v>234</v>
      </c>
      <c r="AK247" s="113">
        <f t="shared" si="31"/>
        <v>35</v>
      </c>
      <c r="AL247" s="113">
        <f t="shared" si="31"/>
        <v>57</v>
      </c>
      <c r="AM247" s="113">
        <f t="shared" si="31"/>
        <v>16</v>
      </c>
      <c r="AN247" s="113">
        <f t="shared" si="31"/>
        <v>61</v>
      </c>
      <c r="AO247" s="113">
        <f t="shared" si="31"/>
        <v>0</v>
      </c>
      <c r="AP247" s="113">
        <f t="shared" si="31"/>
        <v>105</v>
      </c>
      <c r="AQ247" s="113">
        <f t="shared" si="31"/>
        <v>21</v>
      </c>
      <c r="AR247" s="113">
        <f t="shared" si="31"/>
        <v>46</v>
      </c>
      <c r="AS247" s="113">
        <f t="shared" si="31"/>
        <v>51</v>
      </c>
      <c r="AT247" s="113">
        <f t="shared" si="31"/>
        <v>1039</v>
      </c>
      <c r="AU247" s="113">
        <f t="shared" si="31"/>
        <v>8</v>
      </c>
      <c r="AV247" s="113">
        <f t="shared" si="31"/>
        <v>126</v>
      </c>
      <c r="AW247" s="113">
        <f>SUM(AD247:AV247)</f>
        <v>3036</v>
      </c>
      <c r="AX247" s="113">
        <v>1857.66</v>
      </c>
      <c r="AY247" s="184">
        <f>Z247*100/B247</f>
        <v>66.51825467497774</v>
      </c>
      <c r="AZ247" s="174">
        <f>B247-Z247</f>
        <v>376</v>
      </c>
      <c r="BA247" s="184">
        <f>AZ247*100/B247</f>
        <v>33.48174532502226</v>
      </c>
      <c r="BB247" s="237"/>
      <c r="BC247" s="219"/>
      <c r="BD247" s="219"/>
      <c r="BE247" s="219"/>
      <c r="BF247" s="219"/>
      <c r="BG247" s="219"/>
    </row>
    <row r="249" spans="1:60" x14ac:dyDescent="0.25">
      <c r="BH249" s="219"/>
    </row>
    <row r="250" spans="1:60" s="219" customFormat="1" x14ac:dyDescent="0.25">
      <c r="A250" s="14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79"/>
      <c r="AZ250" s="142"/>
      <c r="BA250" s="179"/>
      <c r="BB250" s="142"/>
      <c r="BC250" s="142"/>
      <c r="BD250" s="142"/>
      <c r="BE250" s="142"/>
      <c r="BF250" s="142"/>
      <c r="BG250" s="142"/>
      <c r="BH250" s="142"/>
    </row>
    <row r="251" spans="1:60" x14ac:dyDescent="0.25">
      <c r="A251" s="188"/>
    </row>
    <row r="261" spans="2:49" x14ac:dyDescent="0.25"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</row>
    <row r="262" spans="2:49" x14ac:dyDescent="0.25"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</row>
    <row r="263" spans="2:49" x14ac:dyDescent="0.25"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</row>
    <row r="264" spans="2:49" x14ac:dyDescent="0.25"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</row>
    <row r="265" spans="2:49" x14ac:dyDescent="0.25"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</row>
    <row r="266" spans="2:49" x14ac:dyDescent="0.25"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</row>
    <row r="267" spans="2:49" x14ac:dyDescent="0.25"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</row>
    <row r="268" spans="2:49" x14ac:dyDescent="0.25"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</row>
    <row r="269" spans="2:49" x14ac:dyDescent="0.25"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</row>
    <row r="270" spans="2:49" x14ac:dyDescent="0.25"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</row>
  </sheetData>
  <autoFilter ref="A5:BK247" xr:uid="{00000000-0009-0000-0000-000000000000}"/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A251"/>
  <sheetViews>
    <sheetView zoomScaleNormal="100" workbookViewId="0">
      <pane ySplit="5" topLeftCell="A6" activePane="bottomLeft" state="frozen"/>
      <selection activeCell="Y39" sqref="Y39"/>
      <selection pane="bottomLeft" activeCell="D9" sqref="D9"/>
    </sheetView>
  </sheetViews>
  <sheetFormatPr defaultRowHeight="15" x14ac:dyDescent="0.25"/>
  <cols>
    <col min="1" max="1" width="74.42578125" style="142" bestFit="1" customWidth="1"/>
    <col min="2" max="2" width="15.5703125" style="112" customWidth="1"/>
    <col min="3" max="4" width="10.7109375" style="112" customWidth="1"/>
    <col min="5" max="5" width="11.5703125" style="112" customWidth="1"/>
    <col min="6" max="6" width="8.5703125" style="112" customWidth="1"/>
    <col min="7" max="7" width="4.7109375" style="112" customWidth="1"/>
    <col min="8" max="8" width="5.42578125" style="112" customWidth="1"/>
    <col min="9" max="21" width="4.7109375" style="112" customWidth="1"/>
    <col min="22" max="22" width="5.42578125" style="112" customWidth="1"/>
    <col min="23" max="23" width="4.7109375" style="112" customWidth="1"/>
    <col min="24" max="24" width="7.5703125" style="112" customWidth="1"/>
    <col min="25" max="25" width="6.42578125" style="112" customWidth="1"/>
    <col min="26" max="26" width="9.140625" style="112" customWidth="1"/>
    <col min="27" max="27" width="7.42578125" style="112" customWidth="1"/>
    <col min="28" max="28" width="6.28515625" style="112" customWidth="1"/>
    <col min="29" max="29" width="6.5703125" style="112" customWidth="1"/>
    <col min="30" max="31" width="4" style="112" customWidth="1"/>
    <col min="32" max="32" width="5.42578125" style="112" customWidth="1"/>
    <col min="33" max="45" width="4" style="112" customWidth="1"/>
    <col min="46" max="46" width="5.42578125" style="112" customWidth="1"/>
    <col min="47" max="48" width="4" style="112" customWidth="1"/>
    <col min="49" max="49" width="6.7109375" style="112" customWidth="1"/>
    <col min="50" max="50" width="15.140625" style="112" customWidth="1"/>
    <col min="51" max="51" width="15.140625" style="179" customWidth="1"/>
    <col min="52" max="52" width="15.140625" style="112" customWidth="1"/>
    <col min="53" max="53" width="15.140625" style="179" customWidth="1"/>
    <col min="54" max="78" width="8.85546875" style="142" customWidth="1"/>
    <col min="79" max="79" width="21.42578125" style="142" customWidth="1"/>
    <col min="80" max="16384" width="9.140625" style="142"/>
  </cols>
  <sheetData>
    <row r="2" spans="1:53" x14ac:dyDescent="0.25">
      <c r="AB2" s="227"/>
    </row>
    <row r="3" spans="1:53" ht="57" customHeight="1" x14ac:dyDescent="0.25">
      <c r="A3" s="114">
        <v>2019</v>
      </c>
      <c r="B3" s="230" t="s">
        <v>0</v>
      </c>
      <c r="C3" s="231"/>
      <c r="D3" s="153" t="s">
        <v>1</v>
      </c>
      <c r="E3" s="154"/>
      <c r="F3" s="150" t="s">
        <v>4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74"/>
      <c r="Z3" s="199" t="s">
        <v>2</v>
      </c>
      <c r="AA3" s="174"/>
      <c r="AB3" s="199" t="s">
        <v>3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84"/>
      <c r="AZ3" s="174"/>
      <c r="BA3" s="184"/>
    </row>
    <row r="4" spans="1:53" customFormat="1" ht="22.9" hidden="1" customHeight="1" x14ac:dyDescent="0.25">
      <c r="A4" s="114"/>
      <c r="B4" s="232"/>
      <c r="C4" s="233"/>
      <c r="D4" s="163"/>
      <c r="E4" s="164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57"/>
      <c r="Z4" s="6"/>
      <c r="AA4" s="6"/>
      <c r="AB4" s="57"/>
      <c r="AC4" s="57"/>
      <c r="AD4" s="116" t="s">
        <v>4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8"/>
      <c r="AW4" s="57"/>
      <c r="AX4" s="6"/>
      <c r="AY4" s="111"/>
      <c r="AZ4" s="111"/>
      <c r="BA4" s="111"/>
    </row>
    <row r="5" spans="1:53" ht="90" x14ac:dyDescent="0.25">
      <c r="A5" s="115"/>
      <c r="B5" s="228" t="s">
        <v>5</v>
      </c>
      <c r="C5" s="229" t="s">
        <v>6</v>
      </c>
      <c r="D5" s="229" t="s">
        <v>7</v>
      </c>
      <c r="E5" s="229" t="s">
        <v>6</v>
      </c>
      <c r="F5" s="229" t="s">
        <v>8</v>
      </c>
      <c r="G5" s="229" t="s">
        <v>9</v>
      </c>
      <c r="H5" s="229" t="s">
        <v>10</v>
      </c>
      <c r="I5" s="229" t="s">
        <v>11</v>
      </c>
      <c r="J5" s="229" t="s">
        <v>12</v>
      </c>
      <c r="K5" s="229" t="s">
        <v>13</v>
      </c>
      <c r="L5" s="229" t="s">
        <v>14</v>
      </c>
      <c r="M5" s="229" t="s">
        <v>15</v>
      </c>
      <c r="N5" s="229" t="s">
        <v>16</v>
      </c>
      <c r="O5" s="229" t="s">
        <v>17</v>
      </c>
      <c r="P5" s="229" t="s">
        <v>18</v>
      </c>
      <c r="Q5" s="229" t="s">
        <v>19</v>
      </c>
      <c r="R5" s="229" t="s">
        <v>20</v>
      </c>
      <c r="S5" s="229" t="s">
        <v>21</v>
      </c>
      <c r="T5" s="229" t="s">
        <v>22</v>
      </c>
      <c r="U5" s="229" t="s">
        <v>23</v>
      </c>
      <c r="V5" s="229" t="s">
        <v>24</v>
      </c>
      <c r="W5" s="229" t="s">
        <v>25</v>
      </c>
      <c r="X5" s="229" t="s">
        <v>26</v>
      </c>
      <c r="Y5" s="199"/>
      <c r="Z5" s="199" t="s">
        <v>5</v>
      </c>
      <c r="AA5" s="199" t="s">
        <v>27</v>
      </c>
      <c r="AB5" s="199" t="s">
        <v>7</v>
      </c>
      <c r="AC5" s="199" t="s">
        <v>6</v>
      </c>
      <c r="AD5" s="199" t="s">
        <v>8</v>
      </c>
      <c r="AE5" s="199" t="s">
        <v>9</v>
      </c>
      <c r="AF5" s="199" t="s">
        <v>10</v>
      </c>
      <c r="AG5" s="199" t="s">
        <v>11</v>
      </c>
      <c r="AH5" s="199" t="s">
        <v>12</v>
      </c>
      <c r="AI5" s="199" t="s">
        <v>13</v>
      </c>
      <c r="AJ5" s="199" t="s">
        <v>14</v>
      </c>
      <c r="AK5" s="199" t="s">
        <v>15</v>
      </c>
      <c r="AL5" s="199" t="s">
        <v>16</v>
      </c>
      <c r="AM5" s="199" t="s">
        <v>17</v>
      </c>
      <c r="AN5" s="199" t="s">
        <v>18</v>
      </c>
      <c r="AO5" s="199" t="s">
        <v>19</v>
      </c>
      <c r="AP5" s="199" t="s">
        <v>20</v>
      </c>
      <c r="AQ5" s="199" t="s">
        <v>21</v>
      </c>
      <c r="AR5" s="199" t="s">
        <v>22</v>
      </c>
      <c r="AS5" s="199" t="s">
        <v>23</v>
      </c>
      <c r="AT5" s="199" t="s">
        <v>24</v>
      </c>
      <c r="AU5" s="199" t="s">
        <v>25</v>
      </c>
      <c r="AV5" s="199" t="s">
        <v>26</v>
      </c>
      <c r="AW5" s="199"/>
      <c r="AX5" s="199" t="s">
        <v>28</v>
      </c>
      <c r="AY5" s="213" t="s">
        <v>277</v>
      </c>
      <c r="AZ5" s="222" t="s">
        <v>278</v>
      </c>
      <c r="BA5" s="213" t="s">
        <v>279</v>
      </c>
    </row>
    <row r="6" spans="1:53" x14ac:dyDescent="0.25">
      <c r="A6" s="173" t="s">
        <v>29</v>
      </c>
      <c r="B6" s="174">
        <f t="shared" ref="B6:X6" si="0">B7+B8+B9+B10+B11+B12+B13+B14+B15+B16+B17+B18+B20+B21+B22+B23+B24+B25</f>
        <v>186</v>
      </c>
      <c r="C6" s="174">
        <f t="shared" si="0"/>
        <v>120</v>
      </c>
      <c r="D6" s="174">
        <f t="shared" si="0"/>
        <v>508</v>
      </c>
      <c r="E6" s="174">
        <f t="shared" si="0"/>
        <v>340</v>
      </c>
      <c r="F6" s="174">
        <f t="shared" si="0"/>
        <v>0</v>
      </c>
      <c r="G6" s="174">
        <f t="shared" si="0"/>
        <v>0</v>
      </c>
      <c r="H6" s="174">
        <f t="shared" si="0"/>
        <v>39</v>
      </c>
      <c r="I6" s="174">
        <f t="shared" si="0"/>
        <v>0</v>
      </c>
      <c r="J6" s="174">
        <f t="shared" si="0"/>
        <v>65</v>
      </c>
      <c r="K6" s="174">
        <f t="shared" si="0"/>
        <v>0</v>
      </c>
      <c r="L6" s="174">
        <f t="shared" si="0"/>
        <v>0</v>
      </c>
      <c r="M6" s="174">
        <f t="shared" si="0"/>
        <v>1</v>
      </c>
      <c r="N6" s="174">
        <f t="shared" si="0"/>
        <v>0</v>
      </c>
      <c r="O6" s="174">
        <f t="shared" si="0"/>
        <v>8</v>
      </c>
      <c r="P6" s="174">
        <f t="shared" si="0"/>
        <v>0</v>
      </c>
      <c r="Q6" s="174">
        <f t="shared" si="0"/>
        <v>0</v>
      </c>
      <c r="R6" s="174">
        <f t="shared" si="0"/>
        <v>12</v>
      </c>
      <c r="S6" s="174">
        <f t="shared" si="0"/>
        <v>2</v>
      </c>
      <c r="T6" s="174">
        <f t="shared" si="0"/>
        <v>63</v>
      </c>
      <c r="U6" s="174">
        <f t="shared" si="0"/>
        <v>10</v>
      </c>
      <c r="V6" s="174">
        <f t="shared" si="0"/>
        <v>291</v>
      </c>
      <c r="W6" s="174">
        <f t="shared" si="0"/>
        <v>7</v>
      </c>
      <c r="X6" s="174">
        <f t="shared" si="0"/>
        <v>10</v>
      </c>
      <c r="Y6" s="174">
        <f t="shared" ref="Y6:Y12" si="1">SUM(F6:X6)</f>
        <v>508</v>
      </c>
      <c r="Z6" s="174">
        <f>Z7+Z8+Z9+Z10+Z11+Z12+Z13+Z14+Z15+Z16+Z17+Z18+Z20+Z21+Z22+Z23+Z24+Z25</f>
        <v>157</v>
      </c>
      <c r="AA6" s="174">
        <f>AA7+AA8+AA9+AA10+AA11+AA12+AA13+AA14+AA15+AA16+AA17+AA18+AA20+AA21+AA22+AA23+AA24+AA25</f>
        <v>88</v>
      </c>
      <c r="AB6" s="174">
        <f t="shared" ref="AB6:AV6" si="2">AB7+AB8+AB9+AB10+AB11+AB12+AB13+AB14+AB15+AB16+AB17+AB18+AB20+AB21+AB22+AB23+AB24+AB25</f>
        <v>449</v>
      </c>
      <c r="AC6" s="174">
        <f t="shared" si="2"/>
        <v>299</v>
      </c>
      <c r="AD6" s="174">
        <f t="shared" si="2"/>
        <v>0</v>
      </c>
      <c r="AE6" s="174">
        <f t="shared" si="2"/>
        <v>0</v>
      </c>
      <c r="AF6" s="174">
        <f t="shared" si="2"/>
        <v>32</v>
      </c>
      <c r="AG6" s="174">
        <f t="shared" si="2"/>
        <v>0</v>
      </c>
      <c r="AH6" s="174">
        <f t="shared" si="2"/>
        <v>65</v>
      </c>
      <c r="AI6" s="174">
        <f t="shared" si="2"/>
        <v>0</v>
      </c>
      <c r="AJ6" s="174">
        <f t="shared" si="2"/>
        <v>0</v>
      </c>
      <c r="AK6" s="174">
        <f t="shared" si="2"/>
        <v>0</v>
      </c>
      <c r="AL6" s="174">
        <f t="shared" si="2"/>
        <v>0</v>
      </c>
      <c r="AM6" s="174">
        <f t="shared" si="2"/>
        <v>8</v>
      </c>
      <c r="AN6" s="174">
        <f t="shared" si="2"/>
        <v>0</v>
      </c>
      <c r="AO6" s="174">
        <f t="shared" si="2"/>
        <v>0</v>
      </c>
      <c r="AP6" s="174">
        <f t="shared" si="2"/>
        <v>1</v>
      </c>
      <c r="AQ6" s="174">
        <f t="shared" si="2"/>
        <v>0</v>
      </c>
      <c r="AR6" s="174">
        <f t="shared" si="2"/>
        <v>54</v>
      </c>
      <c r="AS6" s="174">
        <f t="shared" si="2"/>
        <v>9</v>
      </c>
      <c r="AT6" s="174">
        <f t="shared" si="2"/>
        <v>266</v>
      </c>
      <c r="AU6" s="174">
        <f t="shared" si="2"/>
        <v>7</v>
      </c>
      <c r="AV6" s="174">
        <f t="shared" si="2"/>
        <v>7</v>
      </c>
      <c r="AW6" s="174">
        <f t="shared" ref="AW6:AW18" si="3">SUM(AD6:AV6)</f>
        <v>449</v>
      </c>
      <c r="AX6" s="174"/>
      <c r="AY6" s="184">
        <f>Z6*100/B6</f>
        <v>84.408602150537632</v>
      </c>
      <c r="AZ6" s="174">
        <f>B6-Z6</f>
        <v>29</v>
      </c>
      <c r="BA6" s="184">
        <f>AZ6*100/Z6</f>
        <v>18.471337579617835</v>
      </c>
    </row>
    <row r="7" spans="1:53" x14ac:dyDescent="0.25">
      <c r="A7" s="175" t="s">
        <v>151</v>
      </c>
      <c r="B7" s="174">
        <v>71</v>
      </c>
      <c r="C7" s="174">
        <v>60</v>
      </c>
      <c r="D7" s="174">
        <v>232</v>
      </c>
      <c r="E7" s="174">
        <v>225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>
        <v>2</v>
      </c>
      <c r="U7" s="174"/>
      <c r="V7" s="174">
        <v>228</v>
      </c>
      <c r="W7" s="174"/>
      <c r="X7" s="174">
        <v>2</v>
      </c>
      <c r="Y7" s="174">
        <f t="shared" si="1"/>
        <v>232</v>
      </c>
      <c r="Z7" s="174">
        <v>66</v>
      </c>
      <c r="AA7" s="174">
        <v>49</v>
      </c>
      <c r="AB7" s="174">
        <v>209</v>
      </c>
      <c r="AC7" s="174">
        <v>195</v>
      </c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>
        <v>2</v>
      </c>
      <c r="AS7" s="174"/>
      <c r="AT7" s="174">
        <v>206</v>
      </c>
      <c r="AU7" s="174"/>
      <c r="AV7" s="174">
        <v>1</v>
      </c>
      <c r="AW7" s="174">
        <f t="shared" si="3"/>
        <v>209</v>
      </c>
      <c r="AX7" s="174">
        <v>1334.23</v>
      </c>
      <c r="AY7" s="204"/>
      <c r="AZ7" s="204"/>
      <c r="BA7" s="204"/>
    </row>
    <row r="8" spans="1:53" x14ac:dyDescent="0.25">
      <c r="A8" s="175" t="s">
        <v>152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204"/>
      <c r="AZ8" s="204"/>
      <c r="BA8" s="204"/>
    </row>
    <row r="9" spans="1:53" x14ac:dyDescent="0.25">
      <c r="A9" s="175" t="s">
        <v>153</v>
      </c>
      <c r="B9" s="174">
        <v>5</v>
      </c>
      <c r="C9" s="174">
        <v>4</v>
      </c>
      <c r="D9" s="174">
        <v>16</v>
      </c>
      <c r="E9" s="174">
        <v>5</v>
      </c>
      <c r="F9" s="174"/>
      <c r="G9" s="174"/>
      <c r="H9" s="174"/>
      <c r="I9" s="174"/>
      <c r="J9" s="174">
        <v>11</v>
      </c>
      <c r="K9" s="174"/>
      <c r="L9" s="174"/>
      <c r="M9" s="174"/>
      <c r="N9" s="174"/>
      <c r="O9" s="174"/>
      <c r="P9" s="174"/>
      <c r="Q9" s="174"/>
      <c r="R9" s="174"/>
      <c r="S9" s="174"/>
      <c r="T9" s="174">
        <v>2</v>
      </c>
      <c r="U9" s="174"/>
      <c r="V9" s="174">
        <v>3</v>
      </c>
      <c r="W9" s="174"/>
      <c r="X9" s="174"/>
      <c r="Y9" s="174">
        <f t="shared" si="1"/>
        <v>16</v>
      </c>
      <c r="Z9" s="174">
        <v>3</v>
      </c>
      <c r="AA9" s="174">
        <v>2</v>
      </c>
      <c r="AB9" s="174">
        <v>14</v>
      </c>
      <c r="AC9" s="174">
        <v>3</v>
      </c>
      <c r="AD9" s="174"/>
      <c r="AE9" s="174"/>
      <c r="AF9" s="174"/>
      <c r="AG9" s="174"/>
      <c r="AH9" s="174">
        <v>11</v>
      </c>
      <c r="AI9" s="174"/>
      <c r="AJ9" s="174"/>
      <c r="AK9" s="174"/>
      <c r="AL9" s="174"/>
      <c r="AM9" s="174"/>
      <c r="AN9" s="174"/>
      <c r="AO9" s="174"/>
      <c r="AP9" s="174"/>
      <c r="AQ9" s="174"/>
      <c r="AR9" s="174">
        <v>2</v>
      </c>
      <c r="AS9" s="174"/>
      <c r="AT9" s="174">
        <v>1</v>
      </c>
      <c r="AU9" s="174"/>
      <c r="AV9" s="174"/>
      <c r="AW9" s="174">
        <f t="shared" si="3"/>
        <v>14</v>
      </c>
      <c r="AX9" s="174">
        <v>208</v>
      </c>
      <c r="AY9" s="204"/>
      <c r="AZ9" s="204"/>
      <c r="BA9" s="204"/>
    </row>
    <row r="10" spans="1:53" x14ac:dyDescent="0.25">
      <c r="A10" s="175" t="s">
        <v>154</v>
      </c>
      <c r="B10" s="174">
        <v>42</v>
      </c>
      <c r="C10" s="174">
        <v>11</v>
      </c>
      <c r="D10" s="174">
        <v>87</v>
      </c>
      <c r="E10" s="174">
        <v>15</v>
      </c>
      <c r="F10" s="174"/>
      <c r="G10" s="174"/>
      <c r="H10" s="174">
        <v>9</v>
      </c>
      <c r="I10" s="174"/>
      <c r="J10" s="174">
        <v>37</v>
      </c>
      <c r="K10" s="174"/>
      <c r="L10" s="174"/>
      <c r="M10" s="174">
        <v>1</v>
      </c>
      <c r="N10" s="174"/>
      <c r="O10" s="174">
        <v>8</v>
      </c>
      <c r="P10" s="174"/>
      <c r="Q10" s="174"/>
      <c r="R10" s="174">
        <v>12</v>
      </c>
      <c r="S10" s="174">
        <v>2</v>
      </c>
      <c r="T10" s="174">
        <v>1</v>
      </c>
      <c r="U10" s="174">
        <v>2</v>
      </c>
      <c r="V10" s="174">
        <v>3</v>
      </c>
      <c r="W10" s="174">
        <v>6</v>
      </c>
      <c r="X10" s="174">
        <v>6</v>
      </c>
      <c r="Y10" s="174">
        <f t="shared" si="1"/>
        <v>87</v>
      </c>
      <c r="Z10" s="174">
        <v>25</v>
      </c>
      <c r="AA10" s="174">
        <v>8</v>
      </c>
      <c r="AB10" s="174">
        <v>69</v>
      </c>
      <c r="AC10" s="174">
        <v>11</v>
      </c>
      <c r="AD10" s="174"/>
      <c r="AE10" s="174"/>
      <c r="AF10" s="174">
        <v>7</v>
      </c>
      <c r="AG10" s="174"/>
      <c r="AH10" s="174">
        <v>37</v>
      </c>
      <c r="AI10" s="174"/>
      <c r="AJ10" s="174"/>
      <c r="AK10" s="174"/>
      <c r="AL10" s="174"/>
      <c r="AM10" s="174">
        <v>8</v>
      </c>
      <c r="AN10" s="174"/>
      <c r="AO10" s="174"/>
      <c r="AP10" s="174">
        <v>1</v>
      </c>
      <c r="AQ10" s="174"/>
      <c r="AR10" s="174">
        <v>1</v>
      </c>
      <c r="AS10" s="174">
        <v>1</v>
      </c>
      <c r="AT10" s="174">
        <v>2</v>
      </c>
      <c r="AU10" s="174">
        <v>6</v>
      </c>
      <c r="AV10" s="174">
        <v>6</v>
      </c>
      <c r="AW10" s="174">
        <f t="shared" si="3"/>
        <v>69</v>
      </c>
      <c r="AX10" s="174">
        <v>756.80769230769226</v>
      </c>
      <c r="AY10" s="204"/>
      <c r="AZ10" s="204"/>
      <c r="BA10" s="204"/>
    </row>
    <row r="11" spans="1:53" x14ac:dyDescent="0.25">
      <c r="A11" s="175" t="s">
        <v>155</v>
      </c>
      <c r="B11" s="174">
        <v>5</v>
      </c>
      <c r="C11" s="174">
        <v>2</v>
      </c>
      <c r="D11" s="174">
        <v>5</v>
      </c>
      <c r="E11" s="174">
        <v>2</v>
      </c>
      <c r="F11" s="174"/>
      <c r="G11" s="174"/>
      <c r="H11" s="174">
        <v>3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>
        <v>2</v>
      </c>
      <c r="W11" s="174"/>
      <c r="X11" s="174"/>
      <c r="Y11" s="174">
        <f t="shared" si="1"/>
        <v>5</v>
      </c>
      <c r="Z11" s="174">
        <v>5</v>
      </c>
      <c r="AA11" s="174">
        <v>2</v>
      </c>
      <c r="AB11" s="174">
        <v>5</v>
      </c>
      <c r="AC11" s="174">
        <v>2</v>
      </c>
      <c r="AD11" s="174"/>
      <c r="AE11" s="174"/>
      <c r="AF11" s="174">
        <v>3</v>
      </c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>
        <v>2</v>
      </c>
      <c r="AU11" s="174"/>
      <c r="AV11" s="174"/>
      <c r="AW11" s="174">
        <f t="shared" si="3"/>
        <v>5</v>
      </c>
      <c r="AX11" s="174">
        <v>1549.3333333333333</v>
      </c>
      <c r="AY11" s="204"/>
      <c r="AZ11" s="204"/>
      <c r="BA11" s="204"/>
    </row>
    <row r="12" spans="1:53" x14ac:dyDescent="0.25">
      <c r="A12" s="175" t="s">
        <v>156</v>
      </c>
      <c r="B12" s="174">
        <v>4</v>
      </c>
      <c r="C12" s="174">
        <v>4</v>
      </c>
      <c r="D12" s="174">
        <v>12</v>
      </c>
      <c r="E12" s="174">
        <v>12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>
        <v>12</v>
      </c>
      <c r="U12" s="174"/>
      <c r="V12" s="174"/>
      <c r="W12" s="174"/>
      <c r="X12" s="174"/>
      <c r="Y12" s="174">
        <f t="shared" si="1"/>
        <v>12</v>
      </c>
      <c r="Z12" s="174">
        <v>4</v>
      </c>
      <c r="AA12" s="174">
        <v>4</v>
      </c>
      <c r="AB12" s="174">
        <v>12</v>
      </c>
      <c r="AC12" s="174">
        <v>12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>
        <v>12</v>
      </c>
      <c r="AS12" s="174"/>
      <c r="AT12" s="174"/>
      <c r="AU12" s="174"/>
      <c r="AV12" s="174"/>
      <c r="AW12" s="174">
        <f t="shared" si="3"/>
        <v>12</v>
      </c>
      <c r="AX12" s="174">
        <v>1175.8</v>
      </c>
      <c r="AY12" s="204"/>
      <c r="AZ12" s="204"/>
      <c r="BA12" s="204"/>
    </row>
    <row r="13" spans="1:53" x14ac:dyDescent="0.25">
      <c r="A13" s="175" t="s">
        <v>157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204"/>
      <c r="AZ13" s="204"/>
      <c r="BA13" s="204"/>
    </row>
    <row r="14" spans="1:53" x14ac:dyDescent="0.25">
      <c r="A14" s="175" t="s">
        <v>158</v>
      </c>
      <c r="B14" s="174">
        <v>3</v>
      </c>
      <c r="C14" s="174">
        <v>2</v>
      </c>
      <c r="D14" s="174">
        <v>2</v>
      </c>
      <c r="E14" s="174">
        <v>2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>
        <v>2</v>
      </c>
      <c r="W14" s="174"/>
      <c r="X14" s="174"/>
      <c r="Y14" s="174">
        <f>SUM(F14:X14)</f>
        <v>2</v>
      </c>
      <c r="Z14" s="174">
        <v>2</v>
      </c>
      <c r="AA14" s="174">
        <v>2</v>
      </c>
      <c r="AB14" s="174">
        <v>2</v>
      </c>
      <c r="AC14" s="174">
        <v>2</v>
      </c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>
        <v>2</v>
      </c>
      <c r="AU14" s="174"/>
      <c r="AV14" s="174"/>
      <c r="AW14" s="174">
        <f t="shared" si="3"/>
        <v>2</v>
      </c>
      <c r="AX14" s="174">
        <v>670</v>
      </c>
      <c r="AY14" s="204"/>
      <c r="AZ14" s="204"/>
      <c r="BA14" s="204"/>
    </row>
    <row r="15" spans="1:53" x14ac:dyDescent="0.25">
      <c r="A15" s="175" t="s">
        <v>77</v>
      </c>
      <c r="B15" s="174">
        <v>4</v>
      </c>
      <c r="C15" s="174"/>
      <c r="D15" s="174">
        <v>16</v>
      </c>
      <c r="E15" s="174"/>
      <c r="F15" s="174"/>
      <c r="G15" s="174"/>
      <c r="H15" s="174">
        <v>16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>
        <f>SUM(F15:X15)</f>
        <v>16</v>
      </c>
      <c r="Z15" s="174">
        <v>2</v>
      </c>
      <c r="AA15" s="174"/>
      <c r="AB15" s="174">
        <v>14</v>
      </c>
      <c r="AC15" s="174"/>
      <c r="AD15" s="174"/>
      <c r="AE15" s="174"/>
      <c r="AF15" s="174">
        <v>14</v>
      </c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>
        <f t="shared" si="3"/>
        <v>14</v>
      </c>
      <c r="AX15" s="174">
        <v>720</v>
      </c>
      <c r="AY15" s="204"/>
      <c r="AZ15" s="204"/>
      <c r="BA15" s="204"/>
    </row>
    <row r="16" spans="1:53" x14ac:dyDescent="0.25">
      <c r="A16" s="175" t="s">
        <v>78</v>
      </c>
      <c r="B16" s="174">
        <v>33</v>
      </c>
      <c r="C16" s="174">
        <v>28</v>
      </c>
      <c r="D16" s="174">
        <v>51</v>
      </c>
      <c r="E16" s="174">
        <v>17</v>
      </c>
      <c r="F16" s="174"/>
      <c r="G16" s="174"/>
      <c r="H16" s="174">
        <v>4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>
        <v>44</v>
      </c>
      <c r="U16" s="174"/>
      <c r="V16" s="174">
        <v>2</v>
      </c>
      <c r="W16" s="174"/>
      <c r="X16" s="174">
        <v>1</v>
      </c>
      <c r="Y16" s="174">
        <f>SUM(F16:X16)</f>
        <v>51</v>
      </c>
      <c r="Z16" s="174">
        <v>36</v>
      </c>
      <c r="AA16" s="174">
        <v>13</v>
      </c>
      <c r="AB16" s="174">
        <v>39</v>
      </c>
      <c r="AC16" s="174">
        <v>13</v>
      </c>
      <c r="AD16" s="174"/>
      <c r="AE16" s="174"/>
      <c r="AF16" s="174">
        <v>1</v>
      </c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>
        <v>36</v>
      </c>
      <c r="AS16" s="174"/>
      <c r="AT16" s="174">
        <v>2</v>
      </c>
      <c r="AU16" s="174"/>
      <c r="AV16" s="174"/>
      <c r="AW16" s="174">
        <f t="shared" si="3"/>
        <v>39</v>
      </c>
      <c r="AX16" s="174">
        <v>2470.8537500000002</v>
      </c>
      <c r="AY16" s="204"/>
      <c r="AZ16" s="204"/>
      <c r="BA16" s="204"/>
    </row>
    <row r="17" spans="1:53" x14ac:dyDescent="0.25">
      <c r="A17" s="175" t="s">
        <v>79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204"/>
      <c r="AZ17" s="204"/>
      <c r="BA17" s="204"/>
    </row>
    <row r="18" spans="1:53" x14ac:dyDescent="0.25">
      <c r="A18" s="175" t="s">
        <v>80</v>
      </c>
      <c r="B18" s="174">
        <v>2</v>
      </c>
      <c r="C18" s="174">
        <v>2</v>
      </c>
      <c r="D18" s="174">
        <v>2</v>
      </c>
      <c r="E18" s="174">
        <v>2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>
        <v>1</v>
      </c>
      <c r="V18" s="174"/>
      <c r="W18" s="174">
        <v>1</v>
      </c>
      <c r="X18" s="174"/>
      <c r="Y18" s="174">
        <f>SUM(F18:X18)</f>
        <v>2</v>
      </c>
      <c r="Z18" s="174">
        <v>2</v>
      </c>
      <c r="AA18" s="174">
        <v>2</v>
      </c>
      <c r="AB18" s="174">
        <v>2</v>
      </c>
      <c r="AC18" s="174">
        <v>2</v>
      </c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>
        <v>1</v>
      </c>
      <c r="AT18" s="174"/>
      <c r="AU18" s="174">
        <v>1</v>
      </c>
      <c r="AV18" s="174"/>
      <c r="AW18" s="174">
        <f t="shared" si="3"/>
        <v>2</v>
      </c>
      <c r="AX18" s="174">
        <v>990</v>
      </c>
      <c r="AY18" s="204"/>
      <c r="AZ18" s="204"/>
      <c r="BA18" s="204"/>
    </row>
    <row r="19" spans="1:53" x14ac:dyDescent="0.25">
      <c r="A19" s="175" t="s">
        <v>81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204"/>
      <c r="AZ19" s="204"/>
      <c r="BA19" s="204"/>
    </row>
    <row r="20" spans="1:53" x14ac:dyDescent="0.25">
      <c r="A20" s="175" t="s">
        <v>82</v>
      </c>
      <c r="B20" s="174">
        <v>6</v>
      </c>
      <c r="C20" s="174">
        <v>3</v>
      </c>
      <c r="D20" s="174">
        <v>7</v>
      </c>
      <c r="E20" s="174">
        <v>7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>
        <v>7</v>
      </c>
      <c r="V20" s="174"/>
      <c r="W20" s="174"/>
      <c r="X20" s="174"/>
      <c r="Y20" s="174">
        <f t="shared" ref="Y20:Y61" si="4">SUM(F20:X20)</f>
        <v>7</v>
      </c>
      <c r="Z20" s="174">
        <v>3</v>
      </c>
      <c r="AA20" s="174">
        <v>3</v>
      </c>
      <c r="AB20" s="174">
        <v>7</v>
      </c>
      <c r="AC20" s="174">
        <v>7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>
        <v>7</v>
      </c>
      <c r="AT20" s="174"/>
      <c r="AU20" s="174"/>
      <c r="AV20" s="174"/>
      <c r="AW20" s="174">
        <f t="shared" ref="AW20:AW61" si="5">SUM(AD20:AV20)</f>
        <v>7</v>
      </c>
      <c r="AX20" s="174">
        <v>784</v>
      </c>
      <c r="AY20" s="204"/>
      <c r="AZ20" s="204"/>
      <c r="BA20" s="204"/>
    </row>
    <row r="21" spans="1:53" x14ac:dyDescent="0.25">
      <c r="A21" s="175" t="s">
        <v>83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204"/>
      <c r="AZ21" s="204"/>
      <c r="BA21" s="204"/>
    </row>
    <row r="22" spans="1:53" x14ac:dyDescent="0.25">
      <c r="A22" s="175" t="s">
        <v>84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204"/>
      <c r="AZ22" s="204"/>
      <c r="BA22" s="204"/>
    </row>
    <row r="23" spans="1:53" x14ac:dyDescent="0.25">
      <c r="A23" s="175" t="s">
        <v>85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204"/>
      <c r="AZ23" s="204"/>
      <c r="BA23" s="204"/>
    </row>
    <row r="24" spans="1:53" x14ac:dyDescent="0.25">
      <c r="A24" s="175" t="s">
        <v>86</v>
      </c>
      <c r="B24" s="174">
        <v>6</v>
      </c>
      <c r="C24" s="174">
        <v>3</v>
      </c>
      <c r="D24" s="174">
        <v>58</v>
      </c>
      <c r="E24" s="174">
        <v>37</v>
      </c>
      <c r="F24" s="174"/>
      <c r="G24" s="174"/>
      <c r="H24" s="174">
        <v>3</v>
      </c>
      <c r="I24" s="174"/>
      <c r="J24" s="174">
        <v>17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>
        <v>2</v>
      </c>
      <c r="U24" s="174"/>
      <c r="V24" s="174">
        <v>35</v>
      </c>
      <c r="W24" s="174"/>
      <c r="X24" s="174">
        <v>1</v>
      </c>
      <c r="Y24" s="174">
        <f t="shared" si="4"/>
        <v>58</v>
      </c>
      <c r="Z24" s="174">
        <v>4</v>
      </c>
      <c r="AA24" s="174">
        <v>2</v>
      </c>
      <c r="AB24" s="174">
        <v>56</v>
      </c>
      <c r="AC24" s="174">
        <v>36</v>
      </c>
      <c r="AD24" s="174"/>
      <c r="AE24" s="174"/>
      <c r="AF24" s="174">
        <v>3</v>
      </c>
      <c r="AG24" s="174"/>
      <c r="AH24" s="174">
        <v>17</v>
      </c>
      <c r="AI24" s="174"/>
      <c r="AJ24" s="174"/>
      <c r="AK24" s="174"/>
      <c r="AL24" s="174"/>
      <c r="AM24" s="174"/>
      <c r="AN24" s="174"/>
      <c r="AO24" s="174"/>
      <c r="AP24" s="174"/>
      <c r="AQ24" s="174"/>
      <c r="AR24" s="174">
        <v>1</v>
      </c>
      <c r="AS24" s="174"/>
      <c r="AT24" s="174">
        <v>35</v>
      </c>
      <c r="AU24" s="174"/>
      <c r="AV24" s="174"/>
      <c r="AW24" s="174">
        <f t="shared" si="5"/>
        <v>56</v>
      </c>
      <c r="AX24" s="174">
        <v>584.245</v>
      </c>
      <c r="AY24" s="204"/>
      <c r="AZ24" s="204"/>
      <c r="BA24" s="204"/>
    </row>
    <row r="25" spans="1:53" x14ac:dyDescent="0.25">
      <c r="A25" s="175" t="s">
        <v>87</v>
      </c>
      <c r="B25" s="174">
        <v>5</v>
      </c>
      <c r="C25" s="174">
        <v>1</v>
      </c>
      <c r="D25" s="174">
        <v>20</v>
      </c>
      <c r="E25" s="174">
        <v>16</v>
      </c>
      <c r="F25" s="174"/>
      <c r="G25" s="174"/>
      <c r="H25" s="174">
        <v>4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>
        <v>16</v>
      </c>
      <c r="W25" s="174"/>
      <c r="X25" s="174"/>
      <c r="Y25" s="174">
        <f t="shared" si="4"/>
        <v>20</v>
      </c>
      <c r="Z25" s="174">
        <v>5</v>
      </c>
      <c r="AA25" s="174">
        <v>1</v>
      </c>
      <c r="AB25" s="174">
        <v>20</v>
      </c>
      <c r="AC25" s="174">
        <v>16</v>
      </c>
      <c r="AD25" s="174"/>
      <c r="AE25" s="174"/>
      <c r="AF25" s="174">
        <v>4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>
        <v>16</v>
      </c>
      <c r="AU25" s="174"/>
      <c r="AV25" s="174"/>
      <c r="AW25" s="174">
        <f t="shared" si="5"/>
        <v>20</v>
      </c>
      <c r="AX25" s="174">
        <v>1208.5</v>
      </c>
      <c r="AY25" s="204"/>
      <c r="AZ25" s="204"/>
      <c r="BA25" s="204"/>
    </row>
    <row r="26" spans="1:53" x14ac:dyDescent="0.25">
      <c r="A26" s="173" t="s">
        <v>30</v>
      </c>
      <c r="B26" s="174">
        <f>SUM(B27:B43)</f>
        <v>653</v>
      </c>
      <c r="C26" s="174">
        <f t="shared" ref="C26:Y26" si="6">SUM(C27:C43)</f>
        <v>159</v>
      </c>
      <c r="D26" s="174">
        <f t="shared" si="6"/>
        <v>2098</v>
      </c>
      <c r="E26" s="174">
        <f t="shared" si="6"/>
        <v>898</v>
      </c>
      <c r="F26" s="174">
        <f t="shared" si="6"/>
        <v>0</v>
      </c>
      <c r="G26" s="174">
        <f t="shared" si="6"/>
        <v>0</v>
      </c>
      <c r="H26" s="174">
        <f t="shared" si="6"/>
        <v>20</v>
      </c>
      <c r="I26" s="174">
        <f t="shared" si="6"/>
        <v>0</v>
      </c>
      <c r="J26" s="174">
        <f t="shared" si="6"/>
        <v>0</v>
      </c>
      <c r="K26" s="174">
        <f t="shared" si="6"/>
        <v>10</v>
      </c>
      <c r="L26" s="174">
        <f t="shared" si="6"/>
        <v>6</v>
      </c>
      <c r="M26" s="174">
        <f t="shared" si="6"/>
        <v>0</v>
      </c>
      <c r="N26" s="174">
        <f t="shared" si="6"/>
        <v>6</v>
      </c>
      <c r="O26" s="174">
        <f t="shared" si="6"/>
        <v>0</v>
      </c>
      <c r="P26" s="174">
        <f t="shared" si="6"/>
        <v>0</v>
      </c>
      <c r="Q26" s="174">
        <f t="shared" si="6"/>
        <v>0</v>
      </c>
      <c r="R26" s="174">
        <f t="shared" si="6"/>
        <v>3</v>
      </c>
      <c r="S26" s="174">
        <f t="shared" si="6"/>
        <v>0</v>
      </c>
      <c r="T26" s="174">
        <f t="shared" si="6"/>
        <v>10</v>
      </c>
      <c r="U26" s="174">
        <f t="shared" si="6"/>
        <v>0</v>
      </c>
      <c r="V26" s="174">
        <f t="shared" si="6"/>
        <v>1976</v>
      </c>
      <c r="W26" s="174">
        <f t="shared" si="6"/>
        <v>49</v>
      </c>
      <c r="X26" s="174">
        <f t="shared" si="6"/>
        <v>18</v>
      </c>
      <c r="Y26" s="174">
        <f t="shared" si="6"/>
        <v>2098</v>
      </c>
      <c r="Z26" s="174">
        <f t="shared" ref="Z26:AV26" si="7">Z27+Z28+Z29+Z30+Z31+Z32+Z33+Z34+Z35+Z36+Z37+Z38+Z39+Z40+Z41+Z42+Z43</f>
        <v>560</v>
      </c>
      <c r="AA26" s="174">
        <f t="shared" si="7"/>
        <v>106</v>
      </c>
      <c r="AB26" s="174">
        <f t="shared" si="7"/>
        <v>1968</v>
      </c>
      <c r="AC26" s="174">
        <f t="shared" si="7"/>
        <v>877</v>
      </c>
      <c r="AD26" s="174">
        <f t="shared" si="7"/>
        <v>0</v>
      </c>
      <c r="AE26" s="174">
        <f t="shared" si="7"/>
        <v>0</v>
      </c>
      <c r="AF26" s="174">
        <f t="shared" si="7"/>
        <v>17</v>
      </c>
      <c r="AG26" s="174">
        <f t="shared" si="7"/>
        <v>0</v>
      </c>
      <c r="AH26" s="174">
        <f t="shared" si="7"/>
        <v>0</v>
      </c>
      <c r="AI26" s="174">
        <f t="shared" si="7"/>
        <v>10</v>
      </c>
      <c r="AJ26" s="174">
        <f t="shared" si="7"/>
        <v>6</v>
      </c>
      <c r="AK26" s="174">
        <f t="shared" si="7"/>
        <v>0</v>
      </c>
      <c r="AL26" s="174">
        <f t="shared" si="7"/>
        <v>6</v>
      </c>
      <c r="AM26" s="174">
        <f t="shared" si="7"/>
        <v>0</v>
      </c>
      <c r="AN26" s="174">
        <f t="shared" si="7"/>
        <v>0</v>
      </c>
      <c r="AO26" s="174">
        <f t="shared" si="7"/>
        <v>0</v>
      </c>
      <c r="AP26" s="174">
        <f t="shared" si="7"/>
        <v>0</v>
      </c>
      <c r="AQ26" s="174">
        <f t="shared" si="7"/>
        <v>0</v>
      </c>
      <c r="AR26" s="174">
        <f t="shared" si="7"/>
        <v>1</v>
      </c>
      <c r="AS26" s="174">
        <f t="shared" si="7"/>
        <v>0</v>
      </c>
      <c r="AT26" s="174">
        <f t="shared" si="7"/>
        <v>1893</v>
      </c>
      <c r="AU26" s="174">
        <f t="shared" si="7"/>
        <v>26</v>
      </c>
      <c r="AV26" s="174">
        <f t="shared" si="7"/>
        <v>9</v>
      </c>
      <c r="AW26" s="174">
        <f t="shared" si="5"/>
        <v>1968</v>
      </c>
      <c r="AX26" s="174"/>
      <c r="AY26" s="184">
        <f>Z26*100/B26</f>
        <v>85.758039816232767</v>
      </c>
      <c r="AZ26" s="174">
        <f>B26-Z26</f>
        <v>93</v>
      </c>
      <c r="BA26" s="184">
        <f>AZ26*100/Z26</f>
        <v>16.607142857142858</v>
      </c>
    </row>
    <row r="27" spans="1:53" x14ac:dyDescent="0.25">
      <c r="A27" s="175" t="s">
        <v>150</v>
      </c>
      <c r="B27" s="174">
        <v>36</v>
      </c>
      <c r="C27" s="174">
        <v>10</v>
      </c>
      <c r="D27" s="174">
        <v>638</v>
      </c>
      <c r="E27" s="174">
        <v>211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>
        <v>638</v>
      </c>
      <c r="W27" s="174"/>
      <c r="X27" s="174"/>
      <c r="Y27" s="174">
        <f t="shared" si="4"/>
        <v>638</v>
      </c>
      <c r="Z27" s="174">
        <v>45</v>
      </c>
      <c r="AA27" s="174">
        <v>10</v>
      </c>
      <c r="AB27" s="174">
        <v>638</v>
      </c>
      <c r="AC27" s="174">
        <v>211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>
        <v>638</v>
      </c>
      <c r="AU27" s="174"/>
      <c r="AV27" s="174"/>
      <c r="AW27" s="174">
        <f t="shared" si="5"/>
        <v>638</v>
      </c>
      <c r="AX27" s="174">
        <v>632.154</v>
      </c>
      <c r="AY27" s="204"/>
      <c r="AZ27" s="204"/>
      <c r="BA27" s="204"/>
    </row>
    <row r="28" spans="1:53" x14ac:dyDescent="0.25">
      <c r="A28" s="175" t="s">
        <v>149</v>
      </c>
      <c r="B28" s="174">
        <v>5</v>
      </c>
      <c r="C28" s="174">
        <v>3</v>
      </c>
      <c r="D28" s="174">
        <v>185</v>
      </c>
      <c r="E28" s="174">
        <v>155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>
        <v>185</v>
      </c>
      <c r="W28" s="174"/>
      <c r="X28" s="174"/>
      <c r="Y28" s="174">
        <f t="shared" si="4"/>
        <v>185</v>
      </c>
      <c r="Z28" s="174">
        <v>5</v>
      </c>
      <c r="AA28" s="174">
        <v>3</v>
      </c>
      <c r="AB28" s="174">
        <v>169</v>
      </c>
      <c r="AC28" s="174">
        <v>140</v>
      </c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>
        <v>169</v>
      </c>
      <c r="AU28" s="174"/>
      <c r="AV28" s="174"/>
      <c r="AW28" s="174">
        <f t="shared" si="5"/>
        <v>169</v>
      </c>
      <c r="AX28" s="174">
        <v>641.18499999999995</v>
      </c>
      <c r="AY28" s="204"/>
      <c r="AZ28" s="204"/>
      <c r="BA28" s="204"/>
    </row>
    <row r="29" spans="1:53" x14ac:dyDescent="0.25">
      <c r="A29" s="175" t="s">
        <v>148</v>
      </c>
      <c r="B29" s="174">
        <v>2</v>
      </c>
      <c r="C29" s="174">
        <v>2</v>
      </c>
      <c r="D29" s="174">
        <v>11</v>
      </c>
      <c r="E29" s="174">
        <v>11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>
        <v>11</v>
      </c>
      <c r="W29" s="174"/>
      <c r="X29" s="174"/>
      <c r="Y29" s="174">
        <f t="shared" si="4"/>
        <v>11</v>
      </c>
      <c r="Z29" s="174">
        <v>2</v>
      </c>
      <c r="AA29" s="174">
        <v>2</v>
      </c>
      <c r="AB29" s="174">
        <v>11</v>
      </c>
      <c r="AC29" s="174">
        <v>11</v>
      </c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>
        <v>11</v>
      </c>
      <c r="AU29" s="174"/>
      <c r="AV29" s="174"/>
      <c r="AW29" s="174">
        <f t="shared" si="5"/>
        <v>11</v>
      </c>
      <c r="AX29" s="174">
        <v>800</v>
      </c>
      <c r="AY29" s="204"/>
      <c r="AZ29" s="204"/>
      <c r="BA29" s="204"/>
    </row>
    <row r="30" spans="1:53" x14ac:dyDescent="0.25">
      <c r="A30" s="175" t="s">
        <v>147</v>
      </c>
      <c r="B30" s="174">
        <v>365</v>
      </c>
      <c r="C30" s="174">
        <v>36</v>
      </c>
      <c r="D30" s="174">
        <v>491</v>
      </c>
      <c r="E30" s="174">
        <v>39</v>
      </c>
      <c r="F30" s="174"/>
      <c r="G30" s="174"/>
      <c r="H30" s="174">
        <v>3</v>
      </c>
      <c r="I30" s="174"/>
      <c r="J30" s="174"/>
      <c r="K30" s="174">
        <v>4</v>
      </c>
      <c r="L30" s="174">
        <v>5</v>
      </c>
      <c r="M30" s="174"/>
      <c r="N30" s="174">
        <v>6</v>
      </c>
      <c r="O30" s="174"/>
      <c r="P30" s="174"/>
      <c r="Q30" s="174"/>
      <c r="R30" s="174"/>
      <c r="S30" s="174"/>
      <c r="T30" s="174">
        <v>9</v>
      </c>
      <c r="U30" s="174"/>
      <c r="V30" s="174">
        <v>432</v>
      </c>
      <c r="W30" s="174">
        <v>28</v>
      </c>
      <c r="X30" s="174">
        <v>4</v>
      </c>
      <c r="Y30" s="174">
        <f t="shared" si="4"/>
        <v>491</v>
      </c>
      <c r="Z30" s="174">
        <v>302</v>
      </c>
      <c r="AA30" s="174">
        <v>37</v>
      </c>
      <c r="AB30" s="174">
        <v>485</v>
      </c>
      <c r="AC30" s="174">
        <v>39</v>
      </c>
      <c r="AD30" s="174"/>
      <c r="AE30" s="174"/>
      <c r="AF30" s="174">
        <v>3</v>
      </c>
      <c r="AG30" s="174"/>
      <c r="AH30" s="174"/>
      <c r="AI30" s="174">
        <v>4</v>
      </c>
      <c r="AJ30" s="174">
        <v>5</v>
      </c>
      <c r="AK30" s="174"/>
      <c r="AL30" s="174">
        <v>6</v>
      </c>
      <c r="AM30" s="174"/>
      <c r="AN30" s="174"/>
      <c r="AO30" s="174"/>
      <c r="AP30" s="174"/>
      <c r="AQ30" s="174"/>
      <c r="AR30" s="174"/>
      <c r="AS30" s="174"/>
      <c r="AT30" s="174">
        <v>447</v>
      </c>
      <c r="AU30" s="174">
        <v>17</v>
      </c>
      <c r="AV30" s="174">
        <v>3</v>
      </c>
      <c r="AW30" s="174">
        <f t="shared" si="5"/>
        <v>485</v>
      </c>
      <c r="AX30" s="174">
        <v>3097.0158928571427</v>
      </c>
      <c r="AY30" s="204"/>
      <c r="AZ30" s="204"/>
      <c r="BA30" s="204"/>
    </row>
    <row r="31" spans="1:53" x14ac:dyDescent="0.25">
      <c r="A31" s="175" t="s">
        <v>146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204"/>
      <c r="AZ31" s="204"/>
      <c r="BA31" s="204"/>
    </row>
    <row r="32" spans="1:53" x14ac:dyDescent="0.25">
      <c r="A32" s="175" t="s">
        <v>58</v>
      </c>
      <c r="B32" s="174">
        <v>2</v>
      </c>
      <c r="C32" s="174">
        <v>2</v>
      </c>
      <c r="D32" s="174">
        <v>48</v>
      </c>
      <c r="E32" s="174">
        <v>48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>
        <v>48</v>
      </c>
      <c r="W32" s="174"/>
      <c r="X32" s="174"/>
      <c r="Y32" s="174">
        <f t="shared" si="4"/>
        <v>48</v>
      </c>
      <c r="Z32" s="174">
        <v>2</v>
      </c>
      <c r="AA32" s="174">
        <v>2</v>
      </c>
      <c r="AB32" s="174">
        <v>48</v>
      </c>
      <c r="AC32" s="174">
        <v>48</v>
      </c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>
        <v>48</v>
      </c>
      <c r="AU32" s="174"/>
      <c r="AV32" s="174"/>
      <c r="AW32" s="174">
        <f t="shared" si="5"/>
        <v>48</v>
      </c>
      <c r="AX32" s="174">
        <v>36836</v>
      </c>
      <c r="AY32" s="204"/>
      <c r="AZ32" s="204"/>
      <c r="BA32" s="204"/>
    </row>
    <row r="33" spans="1:53" x14ac:dyDescent="0.25">
      <c r="A33" s="175" t="s">
        <v>88</v>
      </c>
      <c r="B33" s="174">
        <v>6</v>
      </c>
      <c r="C33" s="174">
        <v>2</v>
      </c>
      <c r="D33" s="174">
        <v>29</v>
      </c>
      <c r="E33" s="174">
        <v>3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>
        <v>18</v>
      </c>
      <c r="W33" s="174">
        <v>6</v>
      </c>
      <c r="X33" s="174">
        <v>5</v>
      </c>
      <c r="Y33" s="174">
        <f t="shared" si="4"/>
        <v>29</v>
      </c>
      <c r="Z33" s="174">
        <v>3</v>
      </c>
      <c r="AA33" s="174">
        <v>1</v>
      </c>
      <c r="AB33" s="174">
        <v>13</v>
      </c>
      <c r="AC33" s="174">
        <v>1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>
        <v>10</v>
      </c>
      <c r="AU33" s="174"/>
      <c r="AV33" s="174">
        <v>3</v>
      </c>
      <c r="AW33" s="174">
        <f t="shared" si="5"/>
        <v>13</v>
      </c>
      <c r="AX33" s="174">
        <v>1059.6666666666667</v>
      </c>
      <c r="AY33" s="204"/>
      <c r="AZ33" s="204"/>
      <c r="BA33" s="204"/>
    </row>
    <row r="34" spans="1:53" x14ac:dyDescent="0.25">
      <c r="A34" s="175" t="s">
        <v>89</v>
      </c>
      <c r="B34" s="174">
        <v>6</v>
      </c>
      <c r="C34" s="174">
        <v>1</v>
      </c>
      <c r="D34" s="174">
        <v>25</v>
      </c>
      <c r="E34" s="174">
        <v>1</v>
      </c>
      <c r="F34" s="174"/>
      <c r="G34" s="174"/>
      <c r="H34" s="174"/>
      <c r="I34" s="174"/>
      <c r="J34" s="174"/>
      <c r="K34" s="174">
        <v>6</v>
      </c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>
        <v>16</v>
      </c>
      <c r="W34" s="174"/>
      <c r="X34" s="174">
        <v>3</v>
      </c>
      <c r="Y34" s="174">
        <f t="shared" si="4"/>
        <v>25</v>
      </c>
      <c r="Z34" s="174">
        <v>3</v>
      </c>
      <c r="AA34" s="174"/>
      <c r="AB34" s="174">
        <v>14</v>
      </c>
      <c r="AC34" s="174"/>
      <c r="AD34" s="174"/>
      <c r="AE34" s="174"/>
      <c r="AF34" s="174"/>
      <c r="AG34" s="174"/>
      <c r="AH34" s="174"/>
      <c r="AI34" s="174">
        <v>6</v>
      </c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>
        <v>8</v>
      </c>
      <c r="AU34" s="174"/>
      <c r="AV34" s="174"/>
      <c r="AW34" s="174">
        <f t="shared" si="5"/>
        <v>14</v>
      </c>
      <c r="AX34" s="174">
        <v>2090</v>
      </c>
      <c r="AY34" s="204"/>
      <c r="AZ34" s="204"/>
      <c r="BA34" s="204"/>
    </row>
    <row r="35" spans="1:53" x14ac:dyDescent="0.25">
      <c r="A35" s="175" t="s">
        <v>90</v>
      </c>
      <c r="B35" s="174">
        <v>145</v>
      </c>
      <c r="C35" s="174">
        <v>67</v>
      </c>
      <c r="D35" s="174">
        <v>479</v>
      </c>
      <c r="E35" s="174">
        <v>327</v>
      </c>
      <c r="F35" s="174"/>
      <c r="G35" s="174"/>
      <c r="H35" s="174"/>
      <c r="I35" s="174"/>
      <c r="J35" s="174"/>
      <c r="K35" s="174"/>
      <c r="L35" s="174">
        <v>1</v>
      </c>
      <c r="M35" s="174"/>
      <c r="N35" s="174"/>
      <c r="O35" s="174"/>
      <c r="P35" s="174"/>
      <c r="Q35" s="174"/>
      <c r="R35" s="174"/>
      <c r="S35" s="174"/>
      <c r="T35" s="174"/>
      <c r="U35" s="174"/>
      <c r="V35" s="174">
        <v>478</v>
      </c>
      <c r="W35" s="174"/>
      <c r="X35" s="174"/>
      <c r="Y35" s="174">
        <f t="shared" si="4"/>
        <v>479</v>
      </c>
      <c r="Z35" s="174">
        <v>152</v>
      </c>
      <c r="AA35" s="174">
        <v>46</v>
      </c>
      <c r="AB35" s="174">
        <v>432</v>
      </c>
      <c r="AC35" s="174">
        <v>324</v>
      </c>
      <c r="AD35" s="174"/>
      <c r="AE35" s="174"/>
      <c r="AF35" s="174"/>
      <c r="AG35" s="174"/>
      <c r="AH35" s="174"/>
      <c r="AI35" s="174"/>
      <c r="AJ35" s="174">
        <v>1</v>
      </c>
      <c r="AK35" s="174"/>
      <c r="AL35" s="174"/>
      <c r="AM35" s="174"/>
      <c r="AN35" s="174"/>
      <c r="AO35" s="174"/>
      <c r="AP35" s="174"/>
      <c r="AQ35" s="174"/>
      <c r="AR35" s="174"/>
      <c r="AS35" s="174"/>
      <c r="AT35" s="174">
        <v>431</v>
      </c>
      <c r="AU35" s="174"/>
      <c r="AV35" s="174"/>
      <c r="AW35" s="174">
        <f t="shared" si="5"/>
        <v>432</v>
      </c>
      <c r="AX35" s="174">
        <v>3822.5831999999996</v>
      </c>
      <c r="AY35" s="204"/>
      <c r="AZ35" s="204"/>
      <c r="BA35" s="204"/>
    </row>
    <row r="36" spans="1:53" x14ac:dyDescent="0.25">
      <c r="A36" s="175" t="s">
        <v>91</v>
      </c>
      <c r="B36" s="174">
        <v>37</v>
      </c>
      <c r="C36" s="174"/>
      <c r="D36" s="174">
        <v>47</v>
      </c>
      <c r="E36" s="174"/>
      <c r="F36" s="174"/>
      <c r="G36" s="174"/>
      <c r="H36" s="174">
        <v>17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12">
        <v>26</v>
      </c>
      <c r="W36" s="174">
        <v>4</v>
      </c>
      <c r="X36" s="174"/>
      <c r="Y36" s="174">
        <f t="shared" si="4"/>
        <v>47</v>
      </c>
      <c r="Z36" s="174">
        <v>31</v>
      </c>
      <c r="AA36" s="174"/>
      <c r="AB36" s="174">
        <v>40</v>
      </c>
      <c r="AC36" s="174"/>
      <c r="AD36" s="174"/>
      <c r="AE36" s="174"/>
      <c r="AF36" s="174">
        <v>14</v>
      </c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>
        <v>22</v>
      </c>
      <c r="AU36" s="174">
        <v>4</v>
      </c>
      <c r="AV36" s="174"/>
      <c r="AW36" s="174">
        <f t="shared" si="5"/>
        <v>40</v>
      </c>
      <c r="AX36" s="221">
        <v>5913.3250000000007</v>
      </c>
      <c r="AY36" s="223"/>
      <c r="AZ36" s="223"/>
      <c r="BA36" s="223"/>
    </row>
    <row r="37" spans="1:53" x14ac:dyDescent="0.25">
      <c r="A37" s="175" t="s">
        <v>145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204"/>
      <c r="AZ37" s="204"/>
      <c r="BA37" s="204"/>
    </row>
    <row r="38" spans="1:53" x14ac:dyDescent="0.25">
      <c r="A38" s="175" t="s">
        <v>144</v>
      </c>
      <c r="B38" s="174">
        <v>1</v>
      </c>
      <c r="C38" s="174"/>
      <c r="D38" s="174">
        <v>1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>
        <v>1</v>
      </c>
      <c r="W38" s="174"/>
      <c r="X38" s="174"/>
      <c r="Y38" s="174">
        <f t="shared" si="4"/>
        <v>1</v>
      </c>
      <c r="Z38" s="174">
        <v>1</v>
      </c>
      <c r="AA38" s="174"/>
      <c r="AB38" s="174">
        <v>1</v>
      </c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>
        <v>1</v>
      </c>
      <c r="AU38" s="174"/>
      <c r="AV38" s="174"/>
      <c r="AW38" s="174">
        <f t="shared" si="5"/>
        <v>1</v>
      </c>
      <c r="AX38" s="174">
        <v>2880</v>
      </c>
      <c r="AY38" s="204"/>
      <c r="AZ38" s="204"/>
      <c r="BA38" s="204"/>
    </row>
    <row r="39" spans="1:53" x14ac:dyDescent="0.25">
      <c r="A39" s="175" t="s">
        <v>143</v>
      </c>
      <c r="B39" s="174">
        <v>6</v>
      </c>
      <c r="C39" s="174">
        <v>3</v>
      </c>
      <c r="D39" s="174">
        <v>7</v>
      </c>
      <c r="E39" s="174">
        <v>4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>
        <v>1</v>
      </c>
      <c r="S39" s="174"/>
      <c r="T39" s="174">
        <v>1</v>
      </c>
      <c r="U39" s="174"/>
      <c r="V39" s="174">
        <v>2</v>
      </c>
      <c r="W39" s="174"/>
      <c r="X39" s="174">
        <v>3</v>
      </c>
      <c r="Y39" s="174">
        <f t="shared" si="4"/>
        <v>7</v>
      </c>
      <c r="Z39" s="174">
        <v>4</v>
      </c>
      <c r="AA39" s="174">
        <v>3</v>
      </c>
      <c r="AB39" s="174">
        <v>5</v>
      </c>
      <c r="AC39" s="174">
        <v>4</v>
      </c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>
        <v>1</v>
      </c>
      <c r="AS39" s="174"/>
      <c r="AT39" s="174">
        <v>2</v>
      </c>
      <c r="AU39" s="174"/>
      <c r="AV39" s="174">
        <v>2</v>
      </c>
      <c r="AW39" s="174">
        <f t="shared" si="5"/>
        <v>5</v>
      </c>
      <c r="AX39" s="174">
        <v>2542</v>
      </c>
      <c r="AY39" s="204"/>
      <c r="AZ39" s="204"/>
      <c r="BA39" s="204"/>
    </row>
    <row r="40" spans="1:53" x14ac:dyDescent="0.25">
      <c r="A40" s="175" t="s">
        <v>92</v>
      </c>
      <c r="B40" s="174">
        <v>1</v>
      </c>
      <c r="C40" s="174"/>
      <c r="D40" s="174">
        <v>1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>
        <v>1</v>
      </c>
      <c r="Y40" s="174">
        <f t="shared" si="4"/>
        <v>1</v>
      </c>
      <c r="Z40" s="174">
        <v>1</v>
      </c>
      <c r="AA40" s="174"/>
      <c r="AB40" s="174">
        <v>1</v>
      </c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>
        <v>1</v>
      </c>
      <c r="AW40" s="174">
        <f t="shared" si="5"/>
        <v>1</v>
      </c>
      <c r="AX40" s="174">
        <v>11000</v>
      </c>
      <c r="AY40" s="204"/>
      <c r="AZ40" s="204"/>
      <c r="BA40" s="204"/>
    </row>
    <row r="41" spans="1:53" x14ac:dyDescent="0.25">
      <c r="A41" s="175" t="s">
        <v>93</v>
      </c>
      <c r="B41" s="174">
        <v>18</v>
      </c>
      <c r="C41" s="174">
        <v>33</v>
      </c>
      <c r="D41" s="174">
        <v>111</v>
      </c>
      <c r="E41" s="174">
        <v>99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>
        <v>1</v>
      </c>
      <c r="S41" s="174"/>
      <c r="T41" s="174"/>
      <c r="U41" s="174"/>
      <c r="V41" s="174">
        <v>108</v>
      </c>
      <c r="W41" s="174">
        <v>1</v>
      </c>
      <c r="X41" s="174">
        <v>1</v>
      </c>
      <c r="Y41" s="174">
        <f t="shared" si="4"/>
        <v>111</v>
      </c>
      <c r="Z41" s="174">
        <v>3</v>
      </c>
      <c r="AA41" s="174">
        <v>2</v>
      </c>
      <c r="AB41" s="174">
        <v>103</v>
      </c>
      <c r="AC41" s="174">
        <v>99</v>
      </c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>
        <v>103</v>
      </c>
      <c r="AU41" s="174"/>
      <c r="AV41" s="174"/>
      <c r="AW41" s="174">
        <f t="shared" si="5"/>
        <v>103</v>
      </c>
      <c r="AX41" s="174">
        <v>1185</v>
      </c>
      <c r="AY41" s="204"/>
      <c r="AZ41" s="204"/>
      <c r="BA41" s="204"/>
    </row>
    <row r="42" spans="1:53" x14ac:dyDescent="0.25">
      <c r="A42" s="175" t="s">
        <v>94</v>
      </c>
      <c r="B42" s="174">
        <v>15</v>
      </c>
      <c r="C42" s="174"/>
      <c r="D42" s="174">
        <v>15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>
        <v>1</v>
      </c>
      <c r="S42" s="174"/>
      <c r="T42" s="174"/>
      <c r="U42" s="174"/>
      <c r="V42" s="174">
        <v>13</v>
      </c>
      <c r="W42" s="174"/>
      <c r="X42" s="174">
        <v>1</v>
      </c>
      <c r="Y42" s="174">
        <f t="shared" si="4"/>
        <v>15</v>
      </c>
      <c r="Z42" s="174">
        <v>3</v>
      </c>
      <c r="AA42" s="174"/>
      <c r="AB42" s="174">
        <v>3</v>
      </c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>
        <v>3</v>
      </c>
      <c r="AU42" s="174"/>
      <c r="AV42" s="174"/>
      <c r="AW42" s="174">
        <f t="shared" si="5"/>
        <v>3</v>
      </c>
      <c r="AX42" s="174">
        <v>3700</v>
      </c>
      <c r="AY42" s="204"/>
      <c r="AZ42" s="204"/>
      <c r="BA42" s="204"/>
    </row>
    <row r="43" spans="1:53" x14ac:dyDescent="0.25">
      <c r="A43" s="175" t="s">
        <v>95</v>
      </c>
      <c r="B43" s="174">
        <v>8</v>
      </c>
      <c r="C43" s="174"/>
      <c r="D43" s="174">
        <v>10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>
        <v>10</v>
      </c>
      <c r="X43" s="174"/>
      <c r="Y43" s="174">
        <f t="shared" si="4"/>
        <v>10</v>
      </c>
      <c r="Z43" s="174">
        <v>3</v>
      </c>
      <c r="AA43" s="174"/>
      <c r="AB43" s="174">
        <v>5</v>
      </c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>
        <v>5</v>
      </c>
      <c r="AV43" s="174"/>
      <c r="AW43" s="174">
        <f t="shared" si="5"/>
        <v>5</v>
      </c>
      <c r="AX43" s="174">
        <v>1625</v>
      </c>
      <c r="AY43" s="204"/>
      <c r="AZ43" s="204"/>
      <c r="BA43" s="204"/>
    </row>
    <row r="44" spans="1:53" x14ac:dyDescent="0.25">
      <c r="A44" s="173" t="s">
        <v>31</v>
      </c>
      <c r="B44" s="174">
        <f t="shared" ref="B44:X44" si="8">SUM(B45:B61)</f>
        <v>112</v>
      </c>
      <c r="C44" s="174">
        <f t="shared" si="8"/>
        <v>9</v>
      </c>
      <c r="D44" s="174">
        <f t="shared" si="8"/>
        <v>670</v>
      </c>
      <c r="E44" s="174">
        <f t="shared" si="8"/>
        <v>49</v>
      </c>
      <c r="F44" s="174">
        <f t="shared" si="8"/>
        <v>0</v>
      </c>
      <c r="G44" s="174">
        <f t="shared" si="8"/>
        <v>0</v>
      </c>
      <c r="H44" s="174">
        <f t="shared" si="8"/>
        <v>261</v>
      </c>
      <c r="I44" s="174">
        <f t="shared" si="8"/>
        <v>0</v>
      </c>
      <c r="J44" s="174">
        <f t="shared" si="8"/>
        <v>0</v>
      </c>
      <c r="K44" s="174">
        <f t="shared" si="8"/>
        <v>0</v>
      </c>
      <c r="L44" s="174">
        <f t="shared" si="8"/>
        <v>188</v>
      </c>
      <c r="M44" s="174">
        <f t="shared" si="8"/>
        <v>30</v>
      </c>
      <c r="N44" s="174">
        <f t="shared" si="8"/>
        <v>36</v>
      </c>
      <c r="O44" s="174">
        <f t="shared" si="8"/>
        <v>0</v>
      </c>
      <c r="P44" s="174">
        <f t="shared" si="8"/>
        <v>4</v>
      </c>
      <c r="Q44" s="174">
        <f t="shared" si="8"/>
        <v>0</v>
      </c>
      <c r="R44" s="174">
        <f t="shared" si="8"/>
        <v>21</v>
      </c>
      <c r="S44" s="174">
        <f t="shared" si="8"/>
        <v>12</v>
      </c>
      <c r="T44" s="174">
        <f t="shared" si="8"/>
        <v>0</v>
      </c>
      <c r="U44" s="174">
        <f t="shared" si="8"/>
        <v>29</v>
      </c>
      <c r="V44" s="174">
        <f t="shared" si="8"/>
        <v>47</v>
      </c>
      <c r="W44" s="174">
        <f t="shared" si="8"/>
        <v>0</v>
      </c>
      <c r="X44" s="174">
        <f t="shared" si="8"/>
        <v>42</v>
      </c>
      <c r="Y44" s="174">
        <f t="shared" si="4"/>
        <v>670</v>
      </c>
      <c r="Z44" s="174">
        <f t="shared" ref="Z44:AV44" si="9">SUM(Z45:Z61)</f>
        <v>62</v>
      </c>
      <c r="AA44" s="174">
        <f t="shared" si="9"/>
        <v>6</v>
      </c>
      <c r="AB44" s="174">
        <f t="shared" si="9"/>
        <v>396</v>
      </c>
      <c r="AC44" s="174">
        <f t="shared" si="9"/>
        <v>36</v>
      </c>
      <c r="AD44" s="174">
        <f t="shared" si="9"/>
        <v>0</v>
      </c>
      <c r="AE44" s="174">
        <f t="shared" si="9"/>
        <v>0</v>
      </c>
      <c r="AF44" s="174">
        <f t="shared" si="9"/>
        <v>123</v>
      </c>
      <c r="AG44" s="174">
        <f t="shared" si="9"/>
        <v>0</v>
      </c>
      <c r="AH44" s="174">
        <f t="shared" si="9"/>
        <v>0</v>
      </c>
      <c r="AI44" s="174">
        <f t="shared" si="9"/>
        <v>0</v>
      </c>
      <c r="AJ44" s="174">
        <f t="shared" si="9"/>
        <v>130</v>
      </c>
      <c r="AK44" s="174">
        <f t="shared" si="9"/>
        <v>0</v>
      </c>
      <c r="AL44" s="174">
        <f t="shared" si="9"/>
        <v>34</v>
      </c>
      <c r="AM44" s="174">
        <f t="shared" si="9"/>
        <v>0</v>
      </c>
      <c r="AN44" s="174">
        <f t="shared" si="9"/>
        <v>4</v>
      </c>
      <c r="AO44" s="174">
        <f t="shared" si="9"/>
        <v>0</v>
      </c>
      <c r="AP44" s="174">
        <f t="shared" si="9"/>
        <v>0</v>
      </c>
      <c r="AQ44" s="174">
        <f t="shared" si="9"/>
        <v>6</v>
      </c>
      <c r="AR44" s="174">
        <f t="shared" si="9"/>
        <v>0</v>
      </c>
      <c r="AS44" s="174">
        <f t="shared" si="9"/>
        <v>26</v>
      </c>
      <c r="AT44" s="174">
        <f t="shared" si="9"/>
        <v>41</v>
      </c>
      <c r="AU44" s="174">
        <f t="shared" si="9"/>
        <v>0</v>
      </c>
      <c r="AV44" s="174">
        <f t="shared" si="9"/>
        <v>32</v>
      </c>
      <c r="AW44" s="174">
        <f t="shared" si="5"/>
        <v>396</v>
      </c>
      <c r="AX44" s="174"/>
      <c r="AY44" s="184">
        <f>Z44*100/B44</f>
        <v>55.357142857142854</v>
      </c>
      <c r="AZ44" s="174">
        <f>B44-Z44</f>
        <v>50</v>
      </c>
      <c r="BA44" s="184">
        <f>AZ44*100/Z44</f>
        <v>80.645161290322577</v>
      </c>
    </row>
    <row r="45" spans="1:53" x14ac:dyDescent="0.25">
      <c r="A45" s="175" t="s">
        <v>142</v>
      </c>
      <c r="B45" s="174">
        <v>2</v>
      </c>
      <c r="C45" s="174"/>
      <c r="D45" s="174">
        <v>54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>
        <v>20</v>
      </c>
      <c r="V45" s="174">
        <v>34</v>
      </c>
      <c r="W45" s="174"/>
      <c r="X45" s="174"/>
      <c r="Y45" s="174">
        <f t="shared" si="4"/>
        <v>54</v>
      </c>
      <c r="Z45" s="174">
        <v>2</v>
      </c>
      <c r="AA45" s="174"/>
      <c r="AB45" s="174">
        <v>54</v>
      </c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>
        <v>20</v>
      </c>
      <c r="AT45" s="174">
        <v>34</v>
      </c>
      <c r="AU45" s="174"/>
      <c r="AV45" s="174"/>
      <c r="AW45" s="174">
        <f t="shared" si="5"/>
        <v>54</v>
      </c>
      <c r="AX45" s="174">
        <v>400</v>
      </c>
      <c r="AY45" s="204"/>
      <c r="AZ45" s="204"/>
      <c r="BA45" s="204"/>
    </row>
    <row r="46" spans="1:53" x14ac:dyDescent="0.25">
      <c r="A46" s="175" t="s">
        <v>141</v>
      </c>
      <c r="B46" s="174">
        <v>9</v>
      </c>
      <c r="C46" s="174">
        <v>2</v>
      </c>
      <c r="D46" s="174">
        <v>17</v>
      </c>
      <c r="E46" s="174">
        <v>2</v>
      </c>
      <c r="F46" s="174"/>
      <c r="G46" s="174"/>
      <c r="H46" s="174">
        <v>11</v>
      </c>
      <c r="I46" s="174"/>
      <c r="J46" s="174"/>
      <c r="K46" s="174"/>
      <c r="L46" s="174">
        <v>1</v>
      </c>
      <c r="M46" s="174"/>
      <c r="N46" s="174"/>
      <c r="O46" s="174"/>
      <c r="P46" s="174"/>
      <c r="Q46" s="174"/>
      <c r="R46" s="174"/>
      <c r="S46" s="174">
        <v>1</v>
      </c>
      <c r="T46" s="174"/>
      <c r="U46" s="174">
        <v>3</v>
      </c>
      <c r="V46" s="174"/>
      <c r="W46" s="174"/>
      <c r="X46" s="174">
        <v>1</v>
      </c>
      <c r="Y46" s="174">
        <f t="shared" si="4"/>
        <v>17</v>
      </c>
      <c r="Z46" s="174">
        <v>12</v>
      </c>
      <c r="AA46" s="174">
        <v>1</v>
      </c>
      <c r="AB46" s="174">
        <v>12</v>
      </c>
      <c r="AC46" s="174">
        <v>1</v>
      </c>
      <c r="AD46" s="174"/>
      <c r="AE46" s="174"/>
      <c r="AF46" s="174">
        <v>10</v>
      </c>
      <c r="AG46" s="174"/>
      <c r="AH46" s="174"/>
      <c r="AI46" s="174"/>
      <c r="AJ46" s="174">
        <v>1</v>
      </c>
      <c r="AK46" s="174"/>
      <c r="AL46" s="174"/>
      <c r="AM46" s="174"/>
      <c r="AN46" s="174"/>
      <c r="AO46" s="174"/>
      <c r="AP46" s="174"/>
      <c r="AQ46" s="174">
        <v>1</v>
      </c>
      <c r="AR46" s="174"/>
      <c r="AS46" s="174"/>
      <c r="AT46" s="174"/>
      <c r="AU46" s="174"/>
      <c r="AV46" s="174"/>
      <c r="AW46" s="174">
        <f t="shared" si="5"/>
        <v>12</v>
      </c>
      <c r="AX46" s="174">
        <v>6970.333333333333</v>
      </c>
      <c r="AY46" s="204"/>
      <c r="AZ46" s="204"/>
      <c r="BA46" s="204"/>
    </row>
    <row r="47" spans="1:53" x14ac:dyDescent="0.25">
      <c r="A47" s="175" t="s">
        <v>140</v>
      </c>
      <c r="B47" s="174">
        <v>4</v>
      </c>
      <c r="C47" s="174"/>
      <c r="D47" s="174">
        <v>20</v>
      </c>
      <c r="E47" s="174"/>
      <c r="F47" s="174"/>
      <c r="G47" s="174"/>
      <c r="H47" s="174">
        <v>8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>
        <v>12</v>
      </c>
      <c r="S47" s="174"/>
      <c r="T47" s="174"/>
      <c r="U47" s="174"/>
      <c r="V47" s="174"/>
      <c r="W47" s="174"/>
      <c r="X47" s="174"/>
      <c r="Y47" s="174">
        <f t="shared" si="4"/>
        <v>20</v>
      </c>
      <c r="Z47" s="174">
        <v>1</v>
      </c>
      <c r="AA47" s="174"/>
      <c r="AB47" s="174">
        <v>5</v>
      </c>
      <c r="AC47" s="174"/>
      <c r="AD47" s="174"/>
      <c r="AE47" s="174"/>
      <c r="AF47" s="174">
        <v>5</v>
      </c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>
        <f t="shared" si="5"/>
        <v>5</v>
      </c>
      <c r="AX47" s="174">
        <v>3768.72</v>
      </c>
      <c r="AY47" s="204"/>
      <c r="AZ47" s="204"/>
      <c r="BA47" s="204"/>
    </row>
    <row r="48" spans="1:53" x14ac:dyDescent="0.25">
      <c r="A48" s="175" t="s">
        <v>139</v>
      </c>
      <c r="B48" s="174">
        <v>69</v>
      </c>
      <c r="C48" s="174">
        <v>1</v>
      </c>
      <c r="D48" s="174">
        <v>319</v>
      </c>
      <c r="E48" s="174">
        <v>1</v>
      </c>
      <c r="F48" s="174"/>
      <c r="G48" s="174"/>
      <c r="H48" s="174">
        <v>55</v>
      </c>
      <c r="I48" s="174"/>
      <c r="J48" s="174"/>
      <c r="K48" s="174"/>
      <c r="L48" s="174">
        <v>167</v>
      </c>
      <c r="M48" s="174">
        <v>30</v>
      </c>
      <c r="N48" s="174">
        <v>36</v>
      </c>
      <c r="O48" s="174"/>
      <c r="P48" s="174">
        <v>4</v>
      </c>
      <c r="Q48" s="174"/>
      <c r="R48" s="174">
        <v>9</v>
      </c>
      <c r="S48" s="174">
        <v>8</v>
      </c>
      <c r="T48" s="174"/>
      <c r="U48" s="174">
        <v>6</v>
      </c>
      <c r="V48" s="174"/>
      <c r="W48" s="174"/>
      <c r="X48" s="174">
        <v>4</v>
      </c>
      <c r="Y48" s="174">
        <f t="shared" si="4"/>
        <v>319</v>
      </c>
      <c r="Z48" s="174">
        <v>29</v>
      </c>
      <c r="AA48" s="174">
        <v>1</v>
      </c>
      <c r="AB48" s="174">
        <v>178</v>
      </c>
      <c r="AC48" s="174">
        <v>1</v>
      </c>
      <c r="AD48" s="174"/>
      <c r="AE48" s="174"/>
      <c r="AF48" s="174">
        <v>19</v>
      </c>
      <c r="AG48" s="174"/>
      <c r="AH48" s="174"/>
      <c r="AI48" s="174"/>
      <c r="AJ48" s="174">
        <v>111</v>
      </c>
      <c r="AK48" s="174"/>
      <c r="AL48" s="174">
        <v>34</v>
      </c>
      <c r="AM48" s="174"/>
      <c r="AN48" s="174">
        <v>4</v>
      </c>
      <c r="AO48" s="174"/>
      <c r="AP48" s="174"/>
      <c r="AQ48" s="174">
        <v>2</v>
      </c>
      <c r="AR48" s="174"/>
      <c r="AS48" s="174">
        <v>6</v>
      </c>
      <c r="AT48" s="174"/>
      <c r="AU48" s="174"/>
      <c r="AV48" s="174">
        <v>2</v>
      </c>
      <c r="AW48" s="174">
        <f t="shared" si="5"/>
        <v>178</v>
      </c>
      <c r="AX48" s="174">
        <v>1921.7509090909093</v>
      </c>
      <c r="AY48" s="204"/>
      <c r="AZ48" s="204"/>
      <c r="BA48" s="204"/>
    </row>
    <row r="49" spans="1:53" x14ac:dyDescent="0.25">
      <c r="A49" s="175" t="s">
        <v>138</v>
      </c>
      <c r="B49" s="174">
        <v>5</v>
      </c>
      <c r="C49" s="174">
        <v>2</v>
      </c>
      <c r="D49" s="174">
        <v>27</v>
      </c>
      <c r="E49" s="174">
        <v>3</v>
      </c>
      <c r="F49" s="174"/>
      <c r="G49" s="174"/>
      <c r="H49" s="174">
        <v>23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>
        <v>4</v>
      </c>
      <c r="Y49" s="174">
        <f t="shared" si="4"/>
        <v>27</v>
      </c>
      <c r="Z49" s="174">
        <v>3</v>
      </c>
      <c r="AA49" s="174">
        <v>1</v>
      </c>
      <c r="AB49" s="174">
        <v>24</v>
      </c>
      <c r="AC49" s="174">
        <v>1</v>
      </c>
      <c r="AD49" s="174"/>
      <c r="AE49" s="174"/>
      <c r="AF49" s="174">
        <v>23</v>
      </c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>
        <v>1</v>
      </c>
      <c r="AW49" s="174">
        <f t="shared" si="5"/>
        <v>24</v>
      </c>
      <c r="AX49" s="174">
        <v>1042.6666666666667</v>
      </c>
      <c r="AY49" s="204"/>
      <c r="AZ49" s="204"/>
      <c r="BA49" s="204"/>
    </row>
    <row r="50" spans="1:53" x14ac:dyDescent="0.25">
      <c r="A50" s="175" t="s">
        <v>137</v>
      </c>
      <c r="B50" s="174">
        <v>5</v>
      </c>
      <c r="C50" s="174"/>
      <c r="D50" s="174">
        <v>52</v>
      </c>
      <c r="E50" s="174"/>
      <c r="F50" s="174"/>
      <c r="G50" s="174"/>
      <c r="H50" s="174">
        <v>35</v>
      </c>
      <c r="I50" s="174"/>
      <c r="J50" s="174"/>
      <c r="K50" s="174"/>
      <c r="L50" s="174">
        <v>17</v>
      </c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>
        <f t="shared" si="4"/>
        <v>52</v>
      </c>
      <c r="Z50" s="174">
        <v>4</v>
      </c>
      <c r="AA50" s="174"/>
      <c r="AB50" s="174">
        <v>34</v>
      </c>
      <c r="AC50" s="174"/>
      <c r="AD50" s="174"/>
      <c r="AE50" s="174"/>
      <c r="AF50" s="174">
        <v>17</v>
      </c>
      <c r="AG50" s="174"/>
      <c r="AH50" s="174"/>
      <c r="AI50" s="174"/>
      <c r="AJ50" s="174">
        <v>17</v>
      </c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>
        <f t="shared" si="5"/>
        <v>34</v>
      </c>
      <c r="AX50" s="174">
        <v>807.33333333333337</v>
      </c>
      <c r="AY50" s="204"/>
      <c r="AZ50" s="204"/>
      <c r="BA50" s="204"/>
    </row>
    <row r="51" spans="1:53" x14ac:dyDescent="0.25">
      <c r="A51" s="175" t="s">
        <v>136</v>
      </c>
      <c r="B51" s="174">
        <v>1</v>
      </c>
      <c r="C51" s="174"/>
      <c r="D51" s="174">
        <v>2</v>
      </c>
      <c r="E51" s="174"/>
      <c r="F51" s="174"/>
      <c r="G51" s="174"/>
      <c r="H51" s="174"/>
      <c r="I51" s="174"/>
      <c r="J51" s="174"/>
      <c r="K51" s="174"/>
      <c r="L51" s="174">
        <v>2</v>
      </c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>
        <f t="shared" si="4"/>
        <v>2</v>
      </c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204"/>
      <c r="AZ51" s="204"/>
      <c r="BA51" s="204"/>
    </row>
    <row r="52" spans="1:53" x14ac:dyDescent="0.25">
      <c r="A52" s="175" t="s">
        <v>135</v>
      </c>
      <c r="B52" s="174">
        <v>3</v>
      </c>
      <c r="C52" s="174">
        <v>2</v>
      </c>
      <c r="D52" s="174">
        <v>62</v>
      </c>
      <c r="E52" s="174">
        <v>3</v>
      </c>
      <c r="F52" s="174"/>
      <c r="G52" s="174"/>
      <c r="H52" s="174">
        <v>59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>
        <v>3</v>
      </c>
      <c r="W52" s="174"/>
      <c r="X52" s="174"/>
      <c r="Y52" s="174">
        <f t="shared" si="4"/>
        <v>62</v>
      </c>
      <c r="Z52" s="174">
        <v>1</v>
      </c>
      <c r="AA52" s="174">
        <v>1</v>
      </c>
      <c r="AB52" s="174">
        <v>1</v>
      </c>
      <c r="AC52" s="174">
        <v>1</v>
      </c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>
        <v>1</v>
      </c>
      <c r="AU52" s="174"/>
      <c r="AV52" s="174"/>
      <c r="AW52" s="174">
        <f t="shared" si="5"/>
        <v>1</v>
      </c>
      <c r="AX52" s="174">
        <v>896</v>
      </c>
      <c r="AY52" s="204"/>
      <c r="AZ52" s="204"/>
      <c r="BA52" s="204"/>
    </row>
    <row r="53" spans="1:53" x14ac:dyDescent="0.25">
      <c r="A53" s="175" t="s">
        <v>134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204"/>
      <c r="AZ53" s="204"/>
      <c r="BA53" s="204"/>
    </row>
    <row r="54" spans="1:53" x14ac:dyDescent="0.25">
      <c r="A54" s="175" t="s">
        <v>32</v>
      </c>
      <c r="B54" s="174">
        <v>2</v>
      </c>
      <c r="C54" s="174"/>
      <c r="D54" s="174">
        <v>4</v>
      </c>
      <c r="E54" s="174"/>
      <c r="F54" s="174"/>
      <c r="G54" s="174"/>
      <c r="H54" s="174"/>
      <c r="I54" s="174"/>
      <c r="J54" s="174"/>
      <c r="K54" s="174"/>
      <c r="L54" s="174">
        <v>1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>
        <v>3</v>
      </c>
      <c r="Y54" s="174">
        <f t="shared" si="4"/>
        <v>4</v>
      </c>
      <c r="Z54" s="174">
        <v>2</v>
      </c>
      <c r="AA54" s="174"/>
      <c r="AB54" s="174">
        <v>4</v>
      </c>
      <c r="AC54" s="174"/>
      <c r="AD54" s="174"/>
      <c r="AE54" s="174"/>
      <c r="AF54" s="174"/>
      <c r="AG54" s="174"/>
      <c r="AH54" s="174"/>
      <c r="AI54" s="174"/>
      <c r="AJ54" s="174">
        <v>1</v>
      </c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>
        <v>3</v>
      </c>
      <c r="AW54" s="174">
        <f t="shared" si="5"/>
        <v>4</v>
      </c>
      <c r="AX54" s="174">
        <v>3000</v>
      </c>
      <c r="AY54" s="204"/>
      <c r="AZ54" s="204"/>
      <c r="BA54" s="204"/>
    </row>
    <row r="55" spans="1:53" x14ac:dyDescent="0.25">
      <c r="A55" s="175" t="s">
        <v>33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204"/>
      <c r="AZ55" s="204"/>
      <c r="BA55" s="204"/>
    </row>
    <row r="56" spans="1:53" x14ac:dyDescent="0.25">
      <c r="A56" s="175" t="s">
        <v>34</v>
      </c>
      <c r="B56" s="174">
        <v>1</v>
      </c>
      <c r="C56" s="174">
        <v>1</v>
      </c>
      <c r="D56" s="174">
        <v>30</v>
      </c>
      <c r="E56" s="174">
        <v>30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>
        <v>30</v>
      </c>
      <c r="Y56" s="174">
        <f t="shared" si="4"/>
        <v>30</v>
      </c>
      <c r="Z56" s="174">
        <v>1</v>
      </c>
      <c r="AA56" s="174">
        <v>1</v>
      </c>
      <c r="AB56" s="174">
        <v>26</v>
      </c>
      <c r="AC56" s="174">
        <v>26</v>
      </c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>
        <v>26</v>
      </c>
      <c r="AW56" s="174">
        <f t="shared" si="5"/>
        <v>26</v>
      </c>
      <c r="AX56" s="174">
        <v>288</v>
      </c>
      <c r="AY56" s="204"/>
      <c r="AZ56" s="204"/>
      <c r="BA56" s="204"/>
    </row>
    <row r="57" spans="1:53" x14ac:dyDescent="0.25">
      <c r="A57" s="175" t="s">
        <v>35</v>
      </c>
      <c r="B57" s="174">
        <v>4</v>
      </c>
      <c r="C57" s="174"/>
      <c r="D57" s="174">
        <v>52</v>
      </c>
      <c r="E57" s="174"/>
      <c r="F57" s="174"/>
      <c r="G57" s="174"/>
      <c r="H57" s="174">
        <v>49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>
        <v>3</v>
      </c>
      <c r="T57" s="174"/>
      <c r="U57" s="174"/>
      <c r="V57" s="174"/>
      <c r="W57" s="174"/>
      <c r="X57" s="174"/>
      <c r="Y57" s="174">
        <f t="shared" si="4"/>
        <v>52</v>
      </c>
      <c r="Z57" s="174">
        <v>3</v>
      </c>
      <c r="AA57" s="174"/>
      <c r="AB57" s="174">
        <v>45</v>
      </c>
      <c r="AC57" s="174"/>
      <c r="AD57" s="174"/>
      <c r="AE57" s="174"/>
      <c r="AF57" s="174">
        <v>42</v>
      </c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>
        <v>3</v>
      </c>
      <c r="AR57" s="174"/>
      <c r="AS57" s="174"/>
      <c r="AT57" s="174"/>
      <c r="AU57" s="174"/>
      <c r="AV57" s="174"/>
      <c r="AW57" s="174">
        <f t="shared" si="5"/>
        <v>45</v>
      </c>
      <c r="AX57" s="174">
        <v>1086.6666666666667</v>
      </c>
      <c r="AY57" s="204"/>
      <c r="AZ57" s="204"/>
      <c r="BA57" s="204"/>
    </row>
    <row r="58" spans="1:53" x14ac:dyDescent="0.25">
      <c r="A58" s="175" t="s">
        <v>36</v>
      </c>
      <c r="B58" s="174">
        <v>2</v>
      </c>
      <c r="C58" s="174"/>
      <c r="D58" s="174">
        <v>2</v>
      </c>
      <c r="E58" s="174"/>
      <c r="F58" s="174"/>
      <c r="G58" s="174"/>
      <c r="H58" s="174">
        <v>2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>
        <f t="shared" si="4"/>
        <v>2</v>
      </c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204"/>
      <c r="AZ58" s="204"/>
      <c r="BA58" s="204"/>
    </row>
    <row r="59" spans="1:53" x14ac:dyDescent="0.25">
      <c r="A59" s="175" t="s">
        <v>37</v>
      </c>
      <c r="B59" s="174">
        <v>1</v>
      </c>
      <c r="C59" s="174"/>
      <c r="D59" s="174">
        <v>12</v>
      </c>
      <c r="E59" s="174"/>
      <c r="F59" s="174"/>
      <c r="G59" s="174"/>
      <c r="H59" s="174">
        <v>12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>
        <f t="shared" si="4"/>
        <v>12</v>
      </c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204"/>
      <c r="AZ59" s="204"/>
      <c r="BA59" s="204"/>
    </row>
    <row r="60" spans="1:53" x14ac:dyDescent="0.25">
      <c r="A60" s="175" t="s">
        <v>38</v>
      </c>
      <c r="B60" s="174">
        <v>3</v>
      </c>
      <c r="C60" s="174"/>
      <c r="D60" s="174">
        <v>7</v>
      </c>
      <c r="E60" s="174"/>
      <c r="F60" s="174"/>
      <c r="G60" s="174"/>
      <c r="H60" s="174">
        <v>7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>
        <f t="shared" si="4"/>
        <v>7</v>
      </c>
      <c r="Z60" s="174">
        <v>3</v>
      </c>
      <c r="AA60" s="174"/>
      <c r="AB60" s="174">
        <v>7</v>
      </c>
      <c r="AC60" s="174"/>
      <c r="AD60" s="174"/>
      <c r="AE60" s="174"/>
      <c r="AF60" s="174">
        <v>7</v>
      </c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>
        <f t="shared" si="5"/>
        <v>7</v>
      </c>
      <c r="AX60" s="174">
        <v>4728</v>
      </c>
      <c r="AY60" s="204"/>
      <c r="AZ60" s="204"/>
      <c r="BA60" s="204"/>
    </row>
    <row r="61" spans="1:53" x14ac:dyDescent="0.25">
      <c r="A61" s="175" t="s">
        <v>39</v>
      </c>
      <c r="B61" s="174">
        <v>1</v>
      </c>
      <c r="C61" s="174">
        <v>1</v>
      </c>
      <c r="D61" s="174">
        <v>10</v>
      </c>
      <c r="E61" s="174">
        <v>10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>
        <v>10</v>
      </c>
      <c r="W61" s="174"/>
      <c r="X61" s="174"/>
      <c r="Y61" s="174">
        <f t="shared" si="4"/>
        <v>10</v>
      </c>
      <c r="Z61" s="174">
        <v>1</v>
      </c>
      <c r="AA61" s="174">
        <v>1</v>
      </c>
      <c r="AB61" s="174">
        <v>6</v>
      </c>
      <c r="AC61" s="174">
        <v>6</v>
      </c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>
        <v>6</v>
      </c>
      <c r="AU61" s="174"/>
      <c r="AV61" s="174"/>
      <c r="AW61" s="174">
        <f t="shared" si="5"/>
        <v>6</v>
      </c>
      <c r="AX61" s="174">
        <v>2280</v>
      </c>
      <c r="AY61" s="204"/>
      <c r="AZ61" s="204"/>
      <c r="BA61" s="204"/>
    </row>
    <row r="62" spans="1:53" x14ac:dyDescent="0.25">
      <c r="A62" s="175" t="s">
        <v>40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204"/>
      <c r="AZ62" s="204"/>
      <c r="BA62" s="204"/>
    </row>
    <row r="63" spans="1:53" x14ac:dyDescent="0.25">
      <c r="A63" s="173" t="s">
        <v>41</v>
      </c>
      <c r="B63" s="174">
        <f t="shared" ref="B63:X63" si="10">B64+B65+B66+B67+B68+B69++B70+B71+B72</f>
        <v>56</v>
      </c>
      <c r="C63" s="174">
        <f t="shared" si="10"/>
        <v>3</v>
      </c>
      <c r="D63" s="174">
        <f t="shared" si="10"/>
        <v>379</v>
      </c>
      <c r="E63" s="174">
        <f t="shared" si="10"/>
        <v>3</v>
      </c>
      <c r="F63" s="174">
        <f t="shared" si="10"/>
        <v>0</v>
      </c>
      <c r="G63" s="174">
        <f t="shared" si="10"/>
        <v>0</v>
      </c>
      <c r="H63" s="174">
        <f t="shared" si="10"/>
        <v>185</v>
      </c>
      <c r="I63" s="174">
        <f t="shared" si="10"/>
        <v>0</v>
      </c>
      <c r="J63" s="174">
        <f t="shared" si="10"/>
        <v>0</v>
      </c>
      <c r="K63" s="174">
        <f t="shared" si="10"/>
        <v>6</v>
      </c>
      <c r="L63" s="174">
        <f t="shared" si="10"/>
        <v>119</v>
      </c>
      <c r="M63" s="174">
        <f t="shared" si="10"/>
        <v>0</v>
      </c>
      <c r="N63" s="174">
        <f t="shared" si="10"/>
        <v>25</v>
      </c>
      <c r="O63" s="174">
        <f t="shared" si="10"/>
        <v>0</v>
      </c>
      <c r="P63" s="174">
        <f t="shared" si="10"/>
        <v>7</v>
      </c>
      <c r="Q63" s="174">
        <f t="shared" si="10"/>
        <v>0</v>
      </c>
      <c r="R63" s="174">
        <f t="shared" si="10"/>
        <v>7</v>
      </c>
      <c r="S63" s="174">
        <f t="shared" si="10"/>
        <v>4</v>
      </c>
      <c r="T63" s="174">
        <f t="shared" si="10"/>
        <v>5</v>
      </c>
      <c r="U63" s="174">
        <f t="shared" si="10"/>
        <v>2</v>
      </c>
      <c r="V63" s="174">
        <f t="shared" si="10"/>
        <v>18</v>
      </c>
      <c r="W63" s="174">
        <f t="shared" si="10"/>
        <v>0</v>
      </c>
      <c r="X63" s="174">
        <f t="shared" si="10"/>
        <v>1</v>
      </c>
      <c r="Y63" s="174">
        <f t="shared" ref="Y63:Y92" si="11">SUM(F63:X63)</f>
        <v>379</v>
      </c>
      <c r="Z63" s="174">
        <f t="shared" ref="Z63:AV63" si="12">Z64+Z65+Z66+Z67+Z68+Z69+Z70+Z71+Z72</f>
        <v>37</v>
      </c>
      <c r="AA63" s="174">
        <f t="shared" si="12"/>
        <v>2</v>
      </c>
      <c r="AB63" s="174">
        <f t="shared" si="12"/>
        <v>160</v>
      </c>
      <c r="AC63" s="174">
        <f t="shared" si="12"/>
        <v>2</v>
      </c>
      <c r="AD63" s="174">
        <f t="shared" si="12"/>
        <v>0</v>
      </c>
      <c r="AE63" s="174">
        <f t="shared" si="12"/>
        <v>0</v>
      </c>
      <c r="AF63" s="174">
        <f t="shared" si="12"/>
        <v>86</v>
      </c>
      <c r="AG63" s="174">
        <f t="shared" si="12"/>
        <v>0</v>
      </c>
      <c r="AH63" s="174">
        <f t="shared" si="12"/>
        <v>0</v>
      </c>
      <c r="AI63" s="174">
        <f t="shared" si="12"/>
        <v>0</v>
      </c>
      <c r="AJ63" s="174">
        <f t="shared" si="12"/>
        <v>33</v>
      </c>
      <c r="AK63" s="174">
        <f t="shared" si="12"/>
        <v>0</v>
      </c>
      <c r="AL63" s="174">
        <f t="shared" si="12"/>
        <v>25</v>
      </c>
      <c r="AM63" s="174">
        <f t="shared" si="12"/>
        <v>0</v>
      </c>
      <c r="AN63" s="174">
        <f t="shared" si="12"/>
        <v>4</v>
      </c>
      <c r="AO63" s="174">
        <f t="shared" si="12"/>
        <v>0</v>
      </c>
      <c r="AP63" s="174">
        <f t="shared" si="12"/>
        <v>5</v>
      </c>
      <c r="AQ63" s="174">
        <f t="shared" si="12"/>
        <v>4</v>
      </c>
      <c r="AR63" s="174">
        <f t="shared" si="12"/>
        <v>0</v>
      </c>
      <c r="AS63" s="174">
        <f t="shared" si="12"/>
        <v>2</v>
      </c>
      <c r="AT63" s="174">
        <f t="shared" si="12"/>
        <v>1</v>
      </c>
      <c r="AU63" s="174">
        <f t="shared" si="12"/>
        <v>0</v>
      </c>
      <c r="AV63" s="174">
        <f t="shared" si="12"/>
        <v>0</v>
      </c>
      <c r="AW63" s="174">
        <f t="shared" ref="AW63:AW91" si="13">SUM(AD63:AV63)</f>
        <v>160</v>
      </c>
      <c r="AX63" s="174"/>
      <c r="AY63" s="184">
        <f>Z63*100/B63</f>
        <v>66.071428571428569</v>
      </c>
      <c r="AZ63" s="174">
        <f>B63-Z63</f>
        <v>19</v>
      </c>
      <c r="BA63" s="184">
        <f>AZ63*100/Z63</f>
        <v>51.351351351351354</v>
      </c>
    </row>
    <row r="64" spans="1:53" x14ac:dyDescent="0.25">
      <c r="A64" s="175" t="s">
        <v>133</v>
      </c>
      <c r="B64" s="174">
        <v>12</v>
      </c>
      <c r="C64" s="174"/>
      <c r="D64" s="174">
        <v>135</v>
      </c>
      <c r="E64" s="174"/>
      <c r="F64" s="174"/>
      <c r="G64" s="174"/>
      <c r="H64" s="174"/>
      <c r="I64" s="174"/>
      <c r="J64" s="174"/>
      <c r="K64" s="174">
        <v>3</v>
      </c>
      <c r="L64" s="174">
        <v>119</v>
      </c>
      <c r="M64" s="174"/>
      <c r="N64" s="174">
        <v>5</v>
      </c>
      <c r="O64" s="174"/>
      <c r="P64" s="174">
        <v>3</v>
      </c>
      <c r="Q64" s="174"/>
      <c r="R64" s="174">
        <v>1</v>
      </c>
      <c r="S64" s="174">
        <v>4</v>
      </c>
      <c r="T64" s="174"/>
      <c r="U64" s="174"/>
      <c r="V64" s="174"/>
      <c r="W64" s="174"/>
      <c r="X64" s="174"/>
      <c r="Y64" s="174">
        <f t="shared" si="11"/>
        <v>135</v>
      </c>
      <c r="Z64" s="174">
        <v>12</v>
      </c>
      <c r="AA64" s="174"/>
      <c r="AB64" s="174">
        <v>46</v>
      </c>
      <c r="AC64" s="174"/>
      <c r="AD64" s="174"/>
      <c r="AE64" s="174"/>
      <c r="AF64" s="174"/>
      <c r="AG64" s="174"/>
      <c r="AH64" s="174"/>
      <c r="AI64" s="174"/>
      <c r="AJ64" s="174">
        <v>33</v>
      </c>
      <c r="AK64" s="174"/>
      <c r="AL64" s="174">
        <v>5</v>
      </c>
      <c r="AM64" s="174"/>
      <c r="AN64" s="174">
        <v>3</v>
      </c>
      <c r="AO64" s="174"/>
      <c r="AP64" s="174">
        <v>1</v>
      </c>
      <c r="AQ64" s="174">
        <v>4</v>
      </c>
      <c r="AR64" s="174"/>
      <c r="AS64" s="174"/>
      <c r="AT64" s="174"/>
      <c r="AU64" s="174"/>
      <c r="AV64" s="174"/>
      <c r="AW64" s="174">
        <f t="shared" si="13"/>
        <v>46</v>
      </c>
      <c r="AX64" s="174">
        <v>2745.2114285714283</v>
      </c>
      <c r="AY64" s="204"/>
      <c r="AZ64" s="204"/>
      <c r="BA64" s="204"/>
    </row>
    <row r="65" spans="1:53" x14ac:dyDescent="0.25">
      <c r="A65" s="175" t="s">
        <v>96</v>
      </c>
      <c r="B65" s="174">
        <v>15</v>
      </c>
      <c r="C65" s="174">
        <v>1</v>
      </c>
      <c r="D65" s="174">
        <v>133</v>
      </c>
      <c r="E65" s="174">
        <v>1</v>
      </c>
      <c r="F65" s="174"/>
      <c r="G65" s="174"/>
      <c r="H65" s="174">
        <v>115</v>
      </c>
      <c r="I65" s="174"/>
      <c r="J65" s="174"/>
      <c r="K65" s="174"/>
      <c r="L65" s="174"/>
      <c r="M65" s="174"/>
      <c r="N65" s="174"/>
      <c r="O65" s="174"/>
      <c r="P65" s="174">
        <v>4</v>
      </c>
      <c r="Q65" s="174"/>
      <c r="R65" s="174">
        <v>6</v>
      </c>
      <c r="S65" s="174"/>
      <c r="T65" s="174">
        <v>4</v>
      </c>
      <c r="U65" s="174"/>
      <c r="V65" s="174">
        <v>4</v>
      </c>
      <c r="W65" s="174"/>
      <c r="X65" s="174"/>
      <c r="Y65" s="174">
        <f t="shared" si="11"/>
        <v>133</v>
      </c>
      <c r="Z65" s="174">
        <v>10</v>
      </c>
      <c r="AA65" s="174">
        <v>1</v>
      </c>
      <c r="AB65" s="174">
        <v>81</v>
      </c>
      <c r="AC65" s="174">
        <v>1</v>
      </c>
      <c r="AD65" s="174"/>
      <c r="AE65" s="174"/>
      <c r="AF65" s="174">
        <v>75</v>
      </c>
      <c r="AG65" s="174"/>
      <c r="AH65" s="174"/>
      <c r="AI65" s="174"/>
      <c r="AJ65" s="174"/>
      <c r="AK65" s="174"/>
      <c r="AL65" s="174"/>
      <c r="AM65" s="174"/>
      <c r="AN65" s="174">
        <v>1</v>
      </c>
      <c r="AO65" s="174"/>
      <c r="AP65" s="174">
        <v>4</v>
      </c>
      <c r="AQ65" s="174"/>
      <c r="AR65" s="174"/>
      <c r="AS65" s="174"/>
      <c r="AT65" s="174">
        <v>1</v>
      </c>
      <c r="AU65" s="174"/>
      <c r="AV65" s="174"/>
      <c r="AW65" s="174">
        <f t="shared" si="13"/>
        <v>81</v>
      </c>
      <c r="AX65" s="174">
        <v>2375.21875</v>
      </c>
      <c r="AY65" s="204"/>
      <c r="AZ65" s="204"/>
      <c r="BA65" s="204"/>
    </row>
    <row r="66" spans="1:53" x14ac:dyDescent="0.25">
      <c r="A66" s="175" t="s">
        <v>97</v>
      </c>
      <c r="B66" s="174">
        <v>9</v>
      </c>
      <c r="C66" s="174">
        <v>2</v>
      </c>
      <c r="D66" s="174">
        <v>20</v>
      </c>
      <c r="E66" s="174">
        <v>2</v>
      </c>
      <c r="F66" s="174"/>
      <c r="G66" s="174"/>
      <c r="H66" s="174">
        <v>17</v>
      </c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>
        <v>1</v>
      </c>
      <c r="U66" s="174">
        <v>1</v>
      </c>
      <c r="V66" s="174"/>
      <c r="W66" s="174"/>
      <c r="X66" s="174">
        <v>1</v>
      </c>
      <c r="Y66" s="174">
        <f t="shared" si="11"/>
        <v>20</v>
      </c>
      <c r="Z66" s="174">
        <v>1</v>
      </c>
      <c r="AA66" s="174">
        <v>1</v>
      </c>
      <c r="AB66" s="174">
        <v>1</v>
      </c>
      <c r="AC66" s="174">
        <v>1</v>
      </c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>
        <v>1</v>
      </c>
      <c r="AT66" s="174"/>
      <c r="AU66" s="174"/>
      <c r="AV66" s="174"/>
      <c r="AW66" s="174">
        <f t="shared" si="13"/>
        <v>1</v>
      </c>
      <c r="AX66" s="174">
        <v>3060</v>
      </c>
      <c r="AY66" s="204"/>
      <c r="AZ66" s="204"/>
      <c r="BA66" s="204"/>
    </row>
    <row r="67" spans="1:53" x14ac:dyDescent="0.25">
      <c r="A67" s="175" t="s">
        <v>98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204"/>
      <c r="AZ67" s="204"/>
      <c r="BA67" s="204"/>
    </row>
    <row r="68" spans="1:53" x14ac:dyDescent="0.25">
      <c r="A68" s="175" t="s">
        <v>99</v>
      </c>
      <c r="B68" s="174">
        <v>1</v>
      </c>
      <c r="C68" s="174"/>
      <c r="D68" s="174">
        <v>1</v>
      </c>
      <c r="E68" s="174"/>
      <c r="F68" s="174"/>
      <c r="G68" s="174"/>
      <c r="H68" s="174">
        <v>1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f t="shared" si="11"/>
        <v>1</v>
      </c>
      <c r="Z68" s="174">
        <v>1</v>
      </c>
      <c r="AA68" s="174"/>
      <c r="AB68" s="174">
        <v>1</v>
      </c>
      <c r="AC68" s="174"/>
      <c r="AD68" s="174"/>
      <c r="AE68" s="174"/>
      <c r="AF68" s="174">
        <v>1</v>
      </c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>
        <f t="shared" si="13"/>
        <v>1</v>
      </c>
      <c r="AX68" s="174">
        <v>3400</v>
      </c>
      <c r="AY68" s="204"/>
      <c r="AZ68" s="204"/>
      <c r="BA68" s="204"/>
    </row>
    <row r="69" spans="1:53" x14ac:dyDescent="0.25">
      <c r="A69" s="175" t="s">
        <v>100</v>
      </c>
      <c r="B69" s="174">
        <v>9</v>
      </c>
      <c r="C69" s="174"/>
      <c r="D69" s="174">
        <v>20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>
        <v>20</v>
      </c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>
        <f t="shared" si="11"/>
        <v>20</v>
      </c>
      <c r="Z69" s="174">
        <v>9</v>
      </c>
      <c r="AA69" s="174"/>
      <c r="AB69" s="174">
        <v>20</v>
      </c>
      <c r="AC69" s="174"/>
      <c r="AD69" s="174"/>
      <c r="AE69" s="174"/>
      <c r="AF69" s="174"/>
      <c r="AG69" s="174"/>
      <c r="AH69" s="174"/>
      <c r="AI69" s="174"/>
      <c r="AJ69" s="174"/>
      <c r="AK69" s="174"/>
      <c r="AL69" s="174">
        <v>20</v>
      </c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>
        <f t="shared" si="13"/>
        <v>20</v>
      </c>
      <c r="AX69" s="174">
        <v>1648.8866666666665</v>
      </c>
      <c r="AY69" s="204"/>
      <c r="AZ69" s="204"/>
      <c r="BA69" s="204"/>
    </row>
    <row r="70" spans="1:53" x14ac:dyDescent="0.25">
      <c r="A70" s="175" t="s">
        <v>132</v>
      </c>
      <c r="B70" s="174">
        <v>1</v>
      </c>
      <c r="C70" s="174"/>
      <c r="D70" s="174">
        <v>1</v>
      </c>
      <c r="E70" s="174"/>
      <c r="F70" s="174"/>
      <c r="G70" s="174"/>
      <c r="H70" s="174">
        <v>1</v>
      </c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>
        <f t="shared" si="11"/>
        <v>1</v>
      </c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204"/>
      <c r="AZ70" s="204"/>
      <c r="BA70" s="204"/>
    </row>
    <row r="71" spans="1:53" x14ac:dyDescent="0.25">
      <c r="A71" s="175" t="s">
        <v>131</v>
      </c>
      <c r="B71" s="174">
        <v>9</v>
      </c>
      <c r="C71" s="174"/>
      <c r="D71" s="174">
        <v>69</v>
      </c>
      <c r="E71" s="174"/>
      <c r="F71" s="174"/>
      <c r="G71" s="174"/>
      <c r="H71" s="174">
        <v>51</v>
      </c>
      <c r="I71" s="174"/>
      <c r="J71" s="174"/>
      <c r="K71" s="174">
        <v>3</v>
      </c>
      <c r="L71" s="174"/>
      <c r="M71" s="174"/>
      <c r="N71" s="174"/>
      <c r="O71" s="174"/>
      <c r="P71" s="174"/>
      <c r="Q71" s="174"/>
      <c r="R71" s="174"/>
      <c r="S71" s="174"/>
      <c r="T71" s="174"/>
      <c r="U71" s="174">
        <v>1</v>
      </c>
      <c r="V71" s="174">
        <v>14</v>
      </c>
      <c r="W71" s="174"/>
      <c r="X71" s="174"/>
      <c r="Y71" s="174">
        <f t="shared" si="11"/>
        <v>69</v>
      </c>
      <c r="Z71" s="174">
        <v>4</v>
      </c>
      <c r="AA71" s="174"/>
      <c r="AB71" s="174">
        <v>11</v>
      </c>
      <c r="AC71" s="174"/>
      <c r="AD71" s="174"/>
      <c r="AE71" s="174"/>
      <c r="AF71" s="174">
        <v>10</v>
      </c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>
        <v>1</v>
      </c>
      <c r="AT71" s="174"/>
      <c r="AU71" s="174"/>
      <c r="AV71" s="174"/>
      <c r="AW71" s="174">
        <f t="shared" si="13"/>
        <v>11</v>
      </c>
      <c r="AX71" s="174">
        <v>1735.4</v>
      </c>
      <c r="AY71" s="204"/>
      <c r="AZ71" s="204"/>
      <c r="BA71" s="204"/>
    </row>
    <row r="72" spans="1:53" x14ac:dyDescent="0.25">
      <c r="A72" s="175" t="s">
        <v>130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204"/>
      <c r="AZ72" s="204"/>
      <c r="BA72" s="204"/>
    </row>
    <row r="73" spans="1:53" x14ac:dyDescent="0.25">
      <c r="A73" s="173" t="s">
        <v>42</v>
      </c>
      <c r="B73" s="174">
        <f t="shared" ref="B73:X73" si="14">SUM(B74:B92)</f>
        <v>183</v>
      </c>
      <c r="C73" s="174">
        <f t="shared" si="14"/>
        <v>26</v>
      </c>
      <c r="D73" s="174">
        <f t="shared" si="14"/>
        <v>581</v>
      </c>
      <c r="E73" s="174">
        <f t="shared" si="14"/>
        <v>85</v>
      </c>
      <c r="F73" s="174">
        <f t="shared" si="14"/>
        <v>0</v>
      </c>
      <c r="G73" s="174">
        <f t="shared" si="14"/>
        <v>0</v>
      </c>
      <c r="H73" s="174">
        <f t="shared" si="14"/>
        <v>202</v>
      </c>
      <c r="I73" s="174">
        <f t="shared" si="14"/>
        <v>3</v>
      </c>
      <c r="J73" s="174">
        <f t="shared" si="14"/>
        <v>16</v>
      </c>
      <c r="K73" s="174">
        <f t="shared" si="14"/>
        <v>14</v>
      </c>
      <c r="L73" s="174">
        <f t="shared" si="14"/>
        <v>93</v>
      </c>
      <c r="M73" s="174">
        <f t="shared" si="14"/>
        <v>6</v>
      </c>
      <c r="N73" s="174">
        <f t="shared" si="14"/>
        <v>34</v>
      </c>
      <c r="O73" s="174">
        <f t="shared" si="14"/>
        <v>49</v>
      </c>
      <c r="P73" s="174">
        <f t="shared" si="14"/>
        <v>4</v>
      </c>
      <c r="Q73" s="174">
        <f t="shared" si="14"/>
        <v>6</v>
      </c>
      <c r="R73" s="174">
        <f t="shared" si="14"/>
        <v>27</v>
      </c>
      <c r="S73" s="174">
        <f t="shared" si="14"/>
        <v>8</v>
      </c>
      <c r="T73" s="174">
        <f t="shared" si="14"/>
        <v>76</v>
      </c>
      <c r="U73" s="174">
        <f t="shared" si="14"/>
        <v>14</v>
      </c>
      <c r="V73" s="174">
        <f t="shared" si="14"/>
        <v>5</v>
      </c>
      <c r="W73" s="174">
        <f t="shared" si="14"/>
        <v>2</v>
      </c>
      <c r="X73" s="174">
        <f t="shared" si="14"/>
        <v>22</v>
      </c>
      <c r="Y73" s="174">
        <f t="shared" si="11"/>
        <v>581</v>
      </c>
      <c r="Z73" s="174">
        <f t="shared" ref="Z73:AV73" si="15">SUM(Z74:Z92)</f>
        <v>161</v>
      </c>
      <c r="AA73" s="174">
        <f t="shared" si="15"/>
        <v>17</v>
      </c>
      <c r="AB73" s="174">
        <f t="shared" si="15"/>
        <v>356</v>
      </c>
      <c r="AC73" s="174">
        <f t="shared" si="15"/>
        <v>29</v>
      </c>
      <c r="AD73" s="174">
        <f t="shared" si="15"/>
        <v>0</v>
      </c>
      <c r="AE73" s="174">
        <f t="shared" si="15"/>
        <v>0</v>
      </c>
      <c r="AF73" s="174">
        <f t="shared" si="15"/>
        <v>138</v>
      </c>
      <c r="AG73" s="174">
        <f t="shared" si="15"/>
        <v>3</v>
      </c>
      <c r="AH73" s="174">
        <f t="shared" si="15"/>
        <v>4</v>
      </c>
      <c r="AI73" s="174">
        <f t="shared" si="15"/>
        <v>10</v>
      </c>
      <c r="AJ73" s="174">
        <f t="shared" si="15"/>
        <v>58</v>
      </c>
      <c r="AK73" s="174">
        <f t="shared" si="15"/>
        <v>6</v>
      </c>
      <c r="AL73" s="174">
        <f t="shared" si="15"/>
        <v>25</v>
      </c>
      <c r="AM73" s="174">
        <f t="shared" si="15"/>
        <v>43</v>
      </c>
      <c r="AN73" s="174">
        <f t="shared" si="15"/>
        <v>0</v>
      </c>
      <c r="AO73" s="174">
        <f t="shared" si="15"/>
        <v>2</v>
      </c>
      <c r="AP73" s="174">
        <f t="shared" si="15"/>
        <v>20</v>
      </c>
      <c r="AQ73" s="174">
        <f t="shared" si="15"/>
        <v>2</v>
      </c>
      <c r="AR73" s="174">
        <f t="shared" si="15"/>
        <v>21</v>
      </c>
      <c r="AS73" s="174">
        <f t="shared" si="15"/>
        <v>7</v>
      </c>
      <c r="AT73" s="174">
        <f t="shared" si="15"/>
        <v>5</v>
      </c>
      <c r="AU73" s="174">
        <f t="shared" si="15"/>
        <v>2</v>
      </c>
      <c r="AV73" s="174">
        <f t="shared" si="15"/>
        <v>10</v>
      </c>
      <c r="AW73" s="174">
        <f t="shared" si="13"/>
        <v>356</v>
      </c>
      <c r="AX73" s="174"/>
      <c r="AY73" s="184">
        <f>Z73*100/B73</f>
        <v>87.978142076502735</v>
      </c>
      <c r="AZ73" s="174">
        <f>B73-Z73</f>
        <v>22</v>
      </c>
      <c r="BA73" s="184">
        <f>AZ73*100/Z73</f>
        <v>13.664596273291925</v>
      </c>
    </row>
    <row r="74" spans="1:53" x14ac:dyDescent="0.25">
      <c r="A74" s="175" t="s">
        <v>171</v>
      </c>
      <c r="B74" s="174">
        <v>33</v>
      </c>
      <c r="C74" s="174">
        <v>3</v>
      </c>
      <c r="D74" s="174">
        <v>139</v>
      </c>
      <c r="E74" s="174">
        <v>14</v>
      </c>
      <c r="F74" s="174"/>
      <c r="G74" s="174"/>
      <c r="H74" s="174">
        <v>78</v>
      </c>
      <c r="I74" s="174"/>
      <c r="J74" s="174"/>
      <c r="K74" s="174">
        <v>7</v>
      </c>
      <c r="L74" s="174">
        <v>23</v>
      </c>
      <c r="M74" s="174"/>
      <c r="N74" s="174">
        <v>7</v>
      </c>
      <c r="O74" s="174"/>
      <c r="P74" s="174"/>
      <c r="Q74" s="174"/>
      <c r="R74" s="174">
        <v>18</v>
      </c>
      <c r="S74" s="174"/>
      <c r="T74" s="174">
        <v>3</v>
      </c>
      <c r="U74" s="174">
        <v>3</v>
      </c>
      <c r="V74" s="174"/>
      <c r="W74" s="174"/>
      <c r="X74" s="174"/>
      <c r="Y74" s="174">
        <f t="shared" si="11"/>
        <v>139</v>
      </c>
      <c r="Z74" s="174">
        <v>41</v>
      </c>
      <c r="AA74" s="174">
        <v>2</v>
      </c>
      <c r="AB74" s="174">
        <v>92</v>
      </c>
      <c r="AC74" s="174">
        <v>3</v>
      </c>
      <c r="AD74" s="174"/>
      <c r="AE74" s="174"/>
      <c r="AF74" s="174">
        <v>59</v>
      </c>
      <c r="AG74" s="174"/>
      <c r="AH74" s="174"/>
      <c r="AI74" s="174">
        <v>4</v>
      </c>
      <c r="AJ74" s="174">
        <v>16</v>
      </c>
      <c r="AK74" s="174"/>
      <c r="AL74" s="174">
        <v>1</v>
      </c>
      <c r="AM74" s="174"/>
      <c r="AN74" s="174"/>
      <c r="AO74" s="174"/>
      <c r="AP74" s="174">
        <v>9</v>
      </c>
      <c r="AQ74" s="174"/>
      <c r="AR74" s="174">
        <v>3</v>
      </c>
      <c r="AS74" s="174"/>
      <c r="AT74" s="174"/>
      <c r="AU74" s="174"/>
      <c r="AV74" s="174"/>
      <c r="AW74" s="174">
        <f t="shared" si="13"/>
        <v>92</v>
      </c>
      <c r="AX74" s="174">
        <v>2575.4117647058824</v>
      </c>
      <c r="AY74" s="204"/>
      <c r="AZ74" s="204"/>
      <c r="BA74" s="204"/>
    </row>
    <row r="75" spans="1:53" x14ac:dyDescent="0.25">
      <c r="A75" s="175" t="s">
        <v>172</v>
      </c>
      <c r="B75" s="174">
        <v>3</v>
      </c>
      <c r="C75" s="174"/>
      <c r="D75" s="174">
        <v>11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>
        <v>11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>
        <f t="shared" si="11"/>
        <v>11</v>
      </c>
      <c r="Z75" s="174">
        <v>3</v>
      </c>
      <c r="AA75" s="174"/>
      <c r="AB75" s="174">
        <v>11</v>
      </c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>
        <v>11</v>
      </c>
      <c r="AN75" s="174"/>
      <c r="AO75" s="174"/>
      <c r="AP75" s="174"/>
      <c r="AQ75" s="174"/>
      <c r="AR75" s="174"/>
      <c r="AS75" s="174"/>
      <c r="AT75" s="174"/>
      <c r="AU75" s="174"/>
      <c r="AV75" s="174"/>
      <c r="AW75" s="174">
        <f t="shared" si="13"/>
        <v>11</v>
      </c>
      <c r="AX75" s="174">
        <v>1450</v>
      </c>
      <c r="AY75" s="204"/>
      <c r="AZ75" s="204"/>
      <c r="BA75" s="204"/>
    </row>
    <row r="76" spans="1:53" x14ac:dyDescent="0.25">
      <c r="A76" s="175" t="s">
        <v>173</v>
      </c>
      <c r="B76" s="174">
        <v>12</v>
      </c>
      <c r="C76" s="174">
        <v>8</v>
      </c>
      <c r="D76" s="174">
        <v>40</v>
      </c>
      <c r="E76" s="174">
        <v>6</v>
      </c>
      <c r="F76" s="174"/>
      <c r="G76" s="174"/>
      <c r="H76" s="174">
        <v>1</v>
      </c>
      <c r="I76" s="174"/>
      <c r="J76" s="174"/>
      <c r="K76" s="174"/>
      <c r="L76" s="174"/>
      <c r="M76" s="174"/>
      <c r="N76" s="174">
        <v>11</v>
      </c>
      <c r="O76" s="174"/>
      <c r="P76" s="174"/>
      <c r="Q76" s="174"/>
      <c r="R76" s="174">
        <v>3</v>
      </c>
      <c r="S76" s="174"/>
      <c r="T76" s="174">
        <v>14</v>
      </c>
      <c r="U76" s="174">
        <v>3</v>
      </c>
      <c r="V76" s="174">
        <v>1</v>
      </c>
      <c r="W76" s="174"/>
      <c r="X76" s="174">
        <v>7</v>
      </c>
      <c r="Y76" s="174">
        <f t="shared" si="11"/>
        <v>40</v>
      </c>
      <c r="Z76" s="174">
        <v>9</v>
      </c>
      <c r="AA76" s="174">
        <v>5</v>
      </c>
      <c r="AB76" s="174">
        <v>22</v>
      </c>
      <c r="AC76" s="174">
        <v>6</v>
      </c>
      <c r="AD76" s="174"/>
      <c r="AE76" s="174"/>
      <c r="AF76" s="174">
        <v>1</v>
      </c>
      <c r="AG76" s="174"/>
      <c r="AH76" s="174"/>
      <c r="AI76" s="174"/>
      <c r="AJ76" s="174"/>
      <c r="AK76" s="174"/>
      <c r="AL76" s="174">
        <v>11</v>
      </c>
      <c r="AM76" s="174"/>
      <c r="AN76" s="174"/>
      <c r="AO76" s="174"/>
      <c r="AP76" s="174">
        <v>3</v>
      </c>
      <c r="AQ76" s="174"/>
      <c r="AR76" s="174">
        <v>2</v>
      </c>
      <c r="AS76" s="174">
        <v>3</v>
      </c>
      <c r="AT76" s="174">
        <v>1</v>
      </c>
      <c r="AU76" s="174"/>
      <c r="AV76" s="174">
        <v>1</v>
      </c>
      <c r="AW76" s="174">
        <f t="shared" si="13"/>
        <v>22</v>
      </c>
      <c r="AX76" s="174">
        <v>2254.1212500000001</v>
      </c>
      <c r="AY76" s="204"/>
      <c r="AZ76" s="204"/>
      <c r="BA76" s="204"/>
    </row>
    <row r="77" spans="1:53" x14ac:dyDescent="0.25">
      <c r="A77" s="175" t="s">
        <v>174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204"/>
      <c r="AZ77" s="204"/>
      <c r="BA77" s="204"/>
    </row>
    <row r="78" spans="1:53" x14ac:dyDescent="0.25">
      <c r="A78" s="175" t="s">
        <v>175</v>
      </c>
      <c r="B78" s="174">
        <v>20</v>
      </c>
      <c r="C78" s="174"/>
      <c r="D78" s="174">
        <v>49</v>
      </c>
      <c r="E78" s="174"/>
      <c r="F78" s="174"/>
      <c r="G78" s="174"/>
      <c r="H78" s="174">
        <v>28</v>
      </c>
      <c r="I78" s="174">
        <v>3</v>
      </c>
      <c r="J78" s="174"/>
      <c r="K78" s="174">
        <v>5</v>
      </c>
      <c r="L78" s="174">
        <v>7</v>
      </c>
      <c r="M78" s="174"/>
      <c r="N78" s="174"/>
      <c r="O78" s="174"/>
      <c r="P78" s="174"/>
      <c r="Q78" s="174"/>
      <c r="R78" s="174">
        <v>6</v>
      </c>
      <c r="S78" s="174"/>
      <c r="T78" s="174"/>
      <c r="U78" s="174"/>
      <c r="V78" s="174"/>
      <c r="W78" s="174"/>
      <c r="X78" s="174"/>
      <c r="Y78" s="174">
        <f t="shared" si="11"/>
        <v>49</v>
      </c>
      <c r="Z78" s="174">
        <v>15</v>
      </c>
      <c r="AA78" s="174"/>
      <c r="AB78" s="174">
        <v>35</v>
      </c>
      <c r="AC78" s="174"/>
      <c r="AD78" s="174"/>
      <c r="AE78" s="174"/>
      <c r="AF78" s="174">
        <v>18</v>
      </c>
      <c r="AG78" s="174">
        <v>3</v>
      </c>
      <c r="AH78" s="174"/>
      <c r="AI78" s="174">
        <v>5</v>
      </c>
      <c r="AJ78" s="174">
        <v>3</v>
      </c>
      <c r="AK78" s="174"/>
      <c r="AL78" s="174"/>
      <c r="AM78" s="174"/>
      <c r="AN78" s="174"/>
      <c r="AO78" s="174"/>
      <c r="AP78" s="174">
        <v>6</v>
      </c>
      <c r="AQ78" s="174"/>
      <c r="AR78" s="174"/>
      <c r="AS78" s="174"/>
      <c r="AT78" s="174"/>
      <c r="AU78" s="174"/>
      <c r="AV78" s="174"/>
      <c r="AW78" s="174">
        <f t="shared" si="13"/>
        <v>35</v>
      </c>
      <c r="AX78" s="174">
        <v>2435.3333333333335</v>
      </c>
      <c r="AY78" s="204"/>
      <c r="AZ78" s="204"/>
      <c r="BA78" s="204"/>
    </row>
    <row r="79" spans="1:53" x14ac:dyDescent="0.25">
      <c r="A79" s="175" t="s">
        <v>176</v>
      </c>
      <c r="B79" s="174">
        <v>7</v>
      </c>
      <c r="C79" s="174">
        <v>2</v>
      </c>
      <c r="D79" s="174">
        <v>15</v>
      </c>
      <c r="E79" s="174">
        <v>2</v>
      </c>
      <c r="F79" s="174"/>
      <c r="G79" s="174"/>
      <c r="H79" s="174">
        <v>5</v>
      </c>
      <c r="I79" s="174"/>
      <c r="J79" s="174"/>
      <c r="K79" s="174"/>
      <c r="L79" s="174">
        <v>4</v>
      </c>
      <c r="M79" s="174"/>
      <c r="N79" s="174"/>
      <c r="O79" s="174">
        <v>2</v>
      </c>
      <c r="P79" s="174"/>
      <c r="Q79" s="174">
        <v>2</v>
      </c>
      <c r="R79" s="174"/>
      <c r="S79" s="174"/>
      <c r="T79" s="174">
        <v>1</v>
      </c>
      <c r="U79" s="174">
        <v>1</v>
      </c>
      <c r="V79" s="174"/>
      <c r="W79" s="174"/>
      <c r="X79" s="174"/>
      <c r="Y79" s="174">
        <f t="shared" si="11"/>
        <v>15</v>
      </c>
      <c r="Z79" s="174">
        <v>4</v>
      </c>
      <c r="AA79" s="174">
        <v>2</v>
      </c>
      <c r="AB79" s="174">
        <v>6</v>
      </c>
      <c r="AC79" s="174">
        <v>2</v>
      </c>
      <c r="AD79" s="174"/>
      <c r="AE79" s="174"/>
      <c r="AF79" s="174"/>
      <c r="AG79" s="174"/>
      <c r="AH79" s="174"/>
      <c r="AI79" s="174"/>
      <c r="AJ79" s="174">
        <v>4</v>
      </c>
      <c r="AK79" s="174"/>
      <c r="AL79" s="174"/>
      <c r="AM79" s="174"/>
      <c r="AN79" s="174"/>
      <c r="AO79" s="174"/>
      <c r="AP79" s="174"/>
      <c r="AQ79" s="174"/>
      <c r="AR79" s="174">
        <v>1</v>
      </c>
      <c r="AS79" s="174">
        <v>1</v>
      </c>
      <c r="AT79" s="174"/>
      <c r="AU79" s="174"/>
      <c r="AV79" s="174"/>
      <c r="AW79" s="174">
        <f t="shared" si="13"/>
        <v>6</v>
      </c>
      <c r="AX79" s="174">
        <v>3151</v>
      </c>
      <c r="AY79" s="204"/>
      <c r="AZ79" s="204"/>
      <c r="BA79" s="204"/>
    </row>
    <row r="80" spans="1:53" x14ac:dyDescent="0.25">
      <c r="A80" s="175" t="s">
        <v>178</v>
      </c>
      <c r="B80" s="174">
        <v>26</v>
      </c>
      <c r="C80" s="174">
        <v>9</v>
      </c>
      <c r="D80" s="174">
        <v>135</v>
      </c>
      <c r="E80" s="174">
        <v>40</v>
      </c>
      <c r="F80" s="174"/>
      <c r="G80" s="174"/>
      <c r="H80" s="174">
        <v>68</v>
      </c>
      <c r="I80" s="174"/>
      <c r="J80" s="174">
        <v>14</v>
      </c>
      <c r="K80" s="174"/>
      <c r="L80" s="174">
        <v>6</v>
      </c>
      <c r="M80" s="174"/>
      <c r="N80" s="174"/>
      <c r="O80" s="174"/>
      <c r="P80" s="174"/>
      <c r="Q80" s="174"/>
      <c r="R80" s="174"/>
      <c r="S80" s="174"/>
      <c r="T80" s="174">
        <v>38</v>
      </c>
      <c r="U80" s="174"/>
      <c r="V80" s="174">
        <v>4</v>
      </c>
      <c r="W80" s="174">
        <v>2</v>
      </c>
      <c r="X80" s="174">
        <v>3</v>
      </c>
      <c r="Y80" s="174">
        <f t="shared" si="11"/>
        <v>135</v>
      </c>
      <c r="Z80" s="174">
        <v>19</v>
      </c>
      <c r="AA80" s="174">
        <v>7</v>
      </c>
      <c r="AB80" s="174">
        <v>70</v>
      </c>
      <c r="AC80" s="174">
        <v>16</v>
      </c>
      <c r="AD80" s="174"/>
      <c r="AE80" s="174"/>
      <c r="AF80" s="174">
        <v>40</v>
      </c>
      <c r="AG80" s="174"/>
      <c r="AH80" s="174">
        <v>2</v>
      </c>
      <c r="AI80" s="174"/>
      <c r="AJ80" s="174">
        <v>5</v>
      </c>
      <c r="AK80" s="174"/>
      <c r="AL80" s="174"/>
      <c r="AM80" s="174"/>
      <c r="AN80" s="174"/>
      <c r="AO80" s="174"/>
      <c r="AP80" s="174"/>
      <c r="AQ80" s="174"/>
      <c r="AR80" s="174">
        <v>14</v>
      </c>
      <c r="AS80" s="174"/>
      <c r="AT80" s="174">
        <v>4</v>
      </c>
      <c r="AU80" s="174">
        <v>2</v>
      </c>
      <c r="AV80" s="174">
        <v>3</v>
      </c>
      <c r="AW80" s="174">
        <f t="shared" si="13"/>
        <v>70</v>
      </c>
      <c r="AX80" s="174">
        <v>1973.2244444444445</v>
      </c>
      <c r="AY80" s="204"/>
      <c r="AZ80" s="204"/>
      <c r="BA80" s="204"/>
    </row>
    <row r="81" spans="1:53" x14ac:dyDescent="0.25">
      <c r="A81" s="175" t="s">
        <v>177</v>
      </c>
      <c r="B81" s="174">
        <v>11</v>
      </c>
      <c r="C81" s="174"/>
      <c r="D81" s="174">
        <v>31</v>
      </c>
      <c r="E81" s="174"/>
      <c r="F81" s="174"/>
      <c r="G81" s="174"/>
      <c r="H81" s="174">
        <v>6</v>
      </c>
      <c r="I81" s="174"/>
      <c r="J81" s="174"/>
      <c r="K81" s="174">
        <v>2</v>
      </c>
      <c r="L81" s="174"/>
      <c r="M81" s="174"/>
      <c r="N81" s="174">
        <v>6</v>
      </c>
      <c r="O81" s="174">
        <v>17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>
        <f t="shared" si="11"/>
        <v>31</v>
      </c>
      <c r="Z81" s="174">
        <v>10</v>
      </c>
      <c r="AA81" s="174"/>
      <c r="AB81" s="174">
        <v>27</v>
      </c>
      <c r="AC81" s="174"/>
      <c r="AD81" s="174"/>
      <c r="AE81" s="174"/>
      <c r="AF81" s="174">
        <v>6</v>
      </c>
      <c r="AG81" s="174"/>
      <c r="AH81" s="174"/>
      <c r="AI81" s="174">
        <v>1</v>
      </c>
      <c r="AJ81" s="174"/>
      <c r="AK81" s="174"/>
      <c r="AL81" s="174">
        <v>3</v>
      </c>
      <c r="AM81" s="174">
        <v>17</v>
      </c>
      <c r="AN81" s="174"/>
      <c r="AO81" s="174"/>
      <c r="AP81" s="174"/>
      <c r="AQ81" s="174"/>
      <c r="AR81" s="174"/>
      <c r="AS81" s="174"/>
      <c r="AT81" s="174"/>
      <c r="AU81" s="174"/>
      <c r="AV81" s="174"/>
      <c r="AW81" s="174">
        <f t="shared" si="13"/>
        <v>27</v>
      </c>
      <c r="AX81" s="174">
        <v>3175.1533333333332</v>
      </c>
      <c r="AY81" s="204"/>
      <c r="AZ81" s="204"/>
      <c r="BA81" s="204"/>
    </row>
    <row r="82" spans="1:53" x14ac:dyDescent="0.25">
      <c r="A82" s="175" t="s">
        <v>159</v>
      </c>
      <c r="B82" s="174">
        <v>12</v>
      </c>
      <c r="C82" s="174"/>
      <c r="D82" s="174">
        <v>15</v>
      </c>
      <c r="E82" s="174"/>
      <c r="F82" s="174"/>
      <c r="G82" s="174"/>
      <c r="H82" s="174"/>
      <c r="I82" s="174"/>
      <c r="J82" s="174"/>
      <c r="K82" s="174"/>
      <c r="L82" s="174">
        <v>15</v>
      </c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>
        <f t="shared" si="11"/>
        <v>15</v>
      </c>
      <c r="Z82" s="174">
        <v>6</v>
      </c>
      <c r="AA82" s="174"/>
      <c r="AB82" s="174">
        <v>9</v>
      </c>
      <c r="AC82" s="174"/>
      <c r="AD82" s="174"/>
      <c r="AE82" s="174"/>
      <c r="AF82" s="174"/>
      <c r="AG82" s="174"/>
      <c r="AH82" s="174"/>
      <c r="AI82" s="174"/>
      <c r="AJ82" s="174">
        <v>9</v>
      </c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>
        <f t="shared" si="13"/>
        <v>9</v>
      </c>
      <c r="AX82" s="174">
        <v>4984.3899999999994</v>
      </c>
      <c r="AY82" s="204"/>
      <c r="AZ82" s="204"/>
      <c r="BA82" s="204"/>
    </row>
    <row r="83" spans="1:53" x14ac:dyDescent="0.25">
      <c r="A83" s="175" t="s">
        <v>160</v>
      </c>
      <c r="B83" s="174">
        <v>1</v>
      </c>
      <c r="C83" s="174"/>
      <c r="D83" s="174">
        <v>5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>
        <v>5</v>
      </c>
      <c r="V83" s="174"/>
      <c r="W83" s="174"/>
      <c r="X83" s="174"/>
      <c r="Y83" s="174">
        <f t="shared" si="11"/>
        <v>5</v>
      </c>
      <c r="Z83" s="174">
        <v>1</v>
      </c>
      <c r="AA83" s="174"/>
      <c r="AB83" s="174">
        <v>3</v>
      </c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>
        <v>3</v>
      </c>
      <c r="AT83" s="174"/>
      <c r="AU83" s="174"/>
      <c r="AV83" s="174"/>
      <c r="AW83" s="174">
        <f t="shared" si="13"/>
        <v>3</v>
      </c>
      <c r="AX83" s="174">
        <v>5000</v>
      </c>
      <c r="AY83" s="204"/>
      <c r="AZ83" s="204"/>
      <c r="BA83" s="204"/>
    </row>
    <row r="84" spans="1:53" x14ac:dyDescent="0.25">
      <c r="A84" s="175" t="s">
        <v>161</v>
      </c>
      <c r="B84" s="174">
        <v>3</v>
      </c>
      <c r="C84" s="174"/>
      <c r="D84" s="174">
        <v>21</v>
      </c>
      <c r="E84" s="174"/>
      <c r="F84" s="174"/>
      <c r="G84" s="174"/>
      <c r="H84" s="174">
        <v>1</v>
      </c>
      <c r="I84" s="174"/>
      <c r="J84" s="174"/>
      <c r="K84" s="174"/>
      <c r="L84" s="174">
        <v>10</v>
      </c>
      <c r="M84" s="174"/>
      <c r="N84" s="174">
        <v>10</v>
      </c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>
        <f t="shared" si="11"/>
        <v>21</v>
      </c>
      <c r="Z84" s="174">
        <v>3</v>
      </c>
      <c r="AA84" s="174"/>
      <c r="AB84" s="174">
        <v>21</v>
      </c>
      <c r="AC84" s="174"/>
      <c r="AD84" s="174"/>
      <c r="AE84" s="174"/>
      <c r="AF84" s="174">
        <v>1</v>
      </c>
      <c r="AG84" s="174"/>
      <c r="AH84" s="174"/>
      <c r="AI84" s="174"/>
      <c r="AJ84" s="174">
        <v>10</v>
      </c>
      <c r="AK84" s="174"/>
      <c r="AL84" s="174">
        <v>10</v>
      </c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>
        <f t="shared" si="13"/>
        <v>21</v>
      </c>
      <c r="AX84" s="174">
        <v>14797.333333333334</v>
      </c>
      <c r="AY84" s="204"/>
      <c r="AZ84" s="204"/>
      <c r="BA84" s="204"/>
    </row>
    <row r="85" spans="1:53" x14ac:dyDescent="0.25">
      <c r="A85" s="175" t="s">
        <v>162</v>
      </c>
      <c r="B85" s="174">
        <v>20</v>
      </c>
      <c r="C85" s="174"/>
      <c r="D85" s="174">
        <v>40</v>
      </c>
      <c r="E85" s="174"/>
      <c r="F85" s="174"/>
      <c r="G85" s="174"/>
      <c r="H85" s="174">
        <v>5</v>
      </c>
      <c r="I85" s="174"/>
      <c r="J85" s="174"/>
      <c r="K85" s="174"/>
      <c r="L85" s="174">
        <v>12</v>
      </c>
      <c r="M85" s="174"/>
      <c r="N85" s="174"/>
      <c r="O85" s="174">
        <v>15</v>
      </c>
      <c r="P85" s="174"/>
      <c r="Q85" s="174"/>
      <c r="R85" s="174"/>
      <c r="S85" s="174">
        <v>2</v>
      </c>
      <c r="T85" s="174"/>
      <c r="U85" s="174"/>
      <c r="V85" s="174"/>
      <c r="W85" s="174"/>
      <c r="X85" s="174">
        <v>6</v>
      </c>
      <c r="Y85" s="174">
        <f t="shared" si="11"/>
        <v>40</v>
      </c>
      <c r="Z85" s="174">
        <v>33</v>
      </c>
      <c r="AA85" s="174"/>
      <c r="AB85" s="174">
        <v>27</v>
      </c>
      <c r="AC85" s="174"/>
      <c r="AD85" s="174"/>
      <c r="AE85" s="174"/>
      <c r="AF85" s="174">
        <v>3</v>
      </c>
      <c r="AG85" s="174"/>
      <c r="AH85" s="174"/>
      <c r="AI85" s="174"/>
      <c r="AJ85" s="174">
        <v>5</v>
      </c>
      <c r="AK85" s="174"/>
      <c r="AL85" s="174"/>
      <c r="AM85" s="174">
        <v>11</v>
      </c>
      <c r="AN85" s="174"/>
      <c r="AO85" s="174"/>
      <c r="AP85" s="174"/>
      <c r="AQ85" s="174">
        <v>2</v>
      </c>
      <c r="AR85" s="174"/>
      <c r="AS85" s="174"/>
      <c r="AT85" s="174"/>
      <c r="AU85" s="174"/>
      <c r="AV85" s="174">
        <v>6</v>
      </c>
      <c r="AW85" s="174">
        <f t="shared" si="13"/>
        <v>27</v>
      </c>
      <c r="AX85" s="174">
        <v>5743.090909090909</v>
      </c>
      <c r="AY85" s="204"/>
      <c r="AZ85" s="204"/>
      <c r="BA85" s="204"/>
    </row>
    <row r="86" spans="1:53" x14ac:dyDescent="0.25">
      <c r="A86" s="175" t="s">
        <v>163</v>
      </c>
      <c r="B86" s="174">
        <v>1</v>
      </c>
      <c r="C86" s="174"/>
      <c r="D86" s="174">
        <v>8</v>
      </c>
      <c r="E86" s="174"/>
      <c r="F86" s="174"/>
      <c r="G86" s="174"/>
      <c r="H86" s="174">
        <v>8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>
        <f t="shared" si="11"/>
        <v>8</v>
      </c>
      <c r="Z86" s="174">
        <v>1</v>
      </c>
      <c r="AA86" s="174"/>
      <c r="AB86" s="174">
        <v>8</v>
      </c>
      <c r="AC86" s="174"/>
      <c r="AD86" s="174"/>
      <c r="AE86" s="174"/>
      <c r="AF86" s="174">
        <v>8</v>
      </c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>
        <f t="shared" si="13"/>
        <v>8</v>
      </c>
      <c r="AX86" s="174">
        <v>800</v>
      </c>
      <c r="AY86" s="204"/>
      <c r="AZ86" s="204"/>
      <c r="BA86" s="204"/>
    </row>
    <row r="87" spans="1:53" x14ac:dyDescent="0.25">
      <c r="A87" s="175" t="s">
        <v>164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204"/>
      <c r="AZ87" s="204"/>
      <c r="BA87" s="204"/>
    </row>
    <row r="88" spans="1:53" x14ac:dyDescent="0.25">
      <c r="A88" s="175" t="s">
        <v>165</v>
      </c>
      <c r="B88" s="174">
        <v>12</v>
      </c>
      <c r="C88" s="174">
        <v>2</v>
      </c>
      <c r="D88" s="174">
        <v>19</v>
      </c>
      <c r="E88" s="174">
        <v>3</v>
      </c>
      <c r="F88" s="174"/>
      <c r="G88" s="174"/>
      <c r="H88" s="174">
        <v>1</v>
      </c>
      <c r="I88" s="174"/>
      <c r="J88" s="174">
        <v>2</v>
      </c>
      <c r="K88" s="174"/>
      <c r="L88" s="174"/>
      <c r="M88" s="174">
        <v>2</v>
      </c>
      <c r="N88" s="174"/>
      <c r="O88" s="174">
        <v>2</v>
      </c>
      <c r="P88" s="174">
        <v>4</v>
      </c>
      <c r="Q88" s="174">
        <v>3</v>
      </c>
      <c r="R88" s="174"/>
      <c r="S88" s="174"/>
      <c r="T88" s="174">
        <v>1</v>
      </c>
      <c r="U88" s="174">
        <v>1</v>
      </c>
      <c r="V88" s="174"/>
      <c r="W88" s="174"/>
      <c r="X88" s="174">
        <v>3</v>
      </c>
      <c r="Y88" s="174">
        <f t="shared" si="11"/>
        <v>19</v>
      </c>
      <c r="Z88" s="174">
        <v>7</v>
      </c>
      <c r="AA88" s="174">
        <v>1</v>
      </c>
      <c r="AB88" s="174">
        <v>10</v>
      </c>
      <c r="AC88" s="174">
        <v>2</v>
      </c>
      <c r="AD88" s="174"/>
      <c r="AE88" s="174"/>
      <c r="AF88" s="174">
        <v>1</v>
      </c>
      <c r="AG88" s="174"/>
      <c r="AH88" s="174">
        <v>2</v>
      </c>
      <c r="AI88" s="174"/>
      <c r="AJ88" s="174"/>
      <c r="AK88" s="174">
        <v>2</v>
      </c>
      <c r="AL88" s="174"/>
      <c r="AM88" s="174">
        <v>2</v>
      </c>
      <c r="AN88" s="174"/>
      <c r="AO88" s="174">
        <v>2</v>
      </c>
      <c r="AP88" s="174"/>
      <c r="AQ88" s="174"/>
      <c r="AR88" s="174">
        <v>1</v>
      </c>
      <c r="AS88" s="174"/>
      <c r="AT88" s="174"/>
      <c r="AU88" s="174"/>
      <c r="AV88" s="174"/>
      <c r="AW88" s="174">
        <f t="shared" si="13"/>
        <v>10</v>
      </c>
      <c r="AX88" s="174">
        <v>3246</v>
      </c>
      <c r="AY88" s="204"/>
      <c r="AZ88" s="204"/>
      <c r="BA88" s="204"/>
    </row>
    <row r="89" spans="1:53" x14ac:dyDescent="0.25">
      <c r="A89" s="175" t="s">
        <v>166</v>
      </c>
      <c r="B89" s="174">
        <v>11</v>
      </c>
      <c r="C89" s="174"/>
      <c r="D89" s="174">
        <v>17</v>
      </c>
      <c r="E89" s="174"/>
      <c r="F89" s="174"/>
      <c r="G89" s="174"/>
      <c r="H89" s="174"/>
      <c r="I89" s="174"/>
      <c r="J89" s="174"/>
      <c r="K89" s="174"/>
      <c r="L89" s="174">
        <v>11</v>
      </c>
      <c r="M89" s="174"/>
      <c r="N89" s="174"/>
      <c r="O89" s="174">
        <v>2</v>
      </c>
      <c r="P89" s="174"/>
      <c r="Q89" s="174">
        <v>1</v>
      </c>
      <c r="R89" s="174"/>
      <c r="S89" s="174"/>
      <c r="T89" s="174"/>
      <c r="U89" s="174"/>
      <c r="V89" s="174"/>
      <c r="W89" s="174"/>
      <c r="X89" s="174">
        <v>3</v>
      </c>
      <c r="Y89" s="174">
        <f t="shared" si="11"/>
        <v>17</v>
      </c>
      <c r="Z89" s="174">
        <v>4</v>
      </c>
      <c r="AA89" s="174"/>
      <c r="AB89" s="174">
        <v>5</v>
      </c>
      <c r="AC89" s="174"/>
      <c r="AD89" s="174"/>
      <c r="AE89" s="174"/>
      <c r="AF89" s="174"/>
      <c r="AG89" s="174"/>
      <c r="AH89" s="174"/>
      <c r="AI89" s="174"/>
      <c r="AJ89" s="174">
        <v>3</v>
      </c>
      <c r="AK89" s="174"/>
      <c r="AL89" s="174"/>
      <c r="AM89" s="174">
        <v>2</v>
      </c>
      <c r="AN89" s="174"/>
      <c r="AO89" s="174"/>
      <c r="AP89" s="174"/>
      <c r="AQ89" s="174"/>
      <c r="AR89" s="174"/>
      <c r="AS89" s="174"/>
      <c r="AT89" s="174"/>
      <c r="AU89" s="174"/>
      <c r="AV89" s="174"/>
      <c r="AW89" s="174">
        <f t="shared" si="13"/>
        <v>5</v>
      </c>
      <c r="AX89" s="174">
        <v>8400</v>
      </c>
      <c r="AY89" s="204"/>
      <c r="AZ89" s="204"/>
      <c r="BA89" s="204"/>
    </row>
    <row r="90" spans="1:53" x14ac:dyDescent="0.25">
      <c r="A90" s="175" t="s">
        <v>167</v>
      </c>
      <c r="B90" s="174">
        <v>6</v>
      </c>
      <c r="C90" s="174">
        <v>1</v>
      </c>
      <c r="D90" s="174">
        <v>9</v>
      </c>
      <c r="E90" s="174">
        <v>1</v>
      </c>
      <c r="F90" s="174"/>
      <c r="G90" s="174"/>
      <c r="H90" s="174"/>
      <c r="I90" s="174"/>
      <c r="J90" s="174"/>
      <c r="K90" s="174"/>
      <c r="L90" s="174">
        <v>2</v>
      </c>
      <c r="M90" s="174"/>
      <c r="N90" s="174"/>
      <c r="O90" s="174"/>
      <c r="P90" s="174"/>
      <c r="Q90" s="174"/>
      <c r="R90" s="174"/>
      <c r="S90" s="174">
        <v>6</v>
      </c>
      <c r="T90" s="174"/>
      <c r="U90" s="174">
        <v>1</v>
      </c>
      <c r="V90" s="174"/>
      <c r="W90" s="174"/>
      <c r="X90" s="174"/>
      <c r="Y90" s="174">
        <f t="shared" si="11"/>
        <v>9</v>
      </c>
      <c r="Z90" s="174">
        <v>1</v>
      </c>
      <c r="AA90" s="174"/>
      <c r="AB90" s="174">
        <v>2</v>
      </c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>
        <v>2</v>
      </c>
      <c r="AQ90" s="174"/>
      <c r="AR90" s="174"/>
      <c r="AS90" s="174"/>
      <c r="AT90" s="174"/>
      <c r="AU90" s="174"/>
      <c r="AV90" s="174"/>
      <c r="AW90" s="174">
        <f t="shared" si="13"/>
        <v>2</v>
      </c>
      <c r="AX90" s="174">
        <v>1497</v>
      </c>
      <c r="AY90" s="204"/>
      <c r="AZ90" s="204"/>
      <c r="BA90" s="204"/>
    </row>
    <row r="91" spans="1:53" x14ac:dyDescent="0.25">
      <c r="A91" s="175" t="s">
        <v>168</v>
      </c>
      <c r="B91" s="174">
        <v>4</v>
      </c>
      <c r="C91" s="174"/>
      <c r="D91" s="174">
        <v>8</v>
      </c>
      <c r="E91" s="174"/>
      <c r="F91" s="174"/>
      <c r="G91" s="174"/>
      <c r="H91" s="174">
        <v>1</v>
      </c>
      <c r="I91" s="174"/>
      <c r="J91" s="174"/>
      <c r="K91" s="174"/>
      <c r="L91" s="174">
        <v>3</v>
      </c>
      <c r="M91" s="174">
        <v>4</v>
      </c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>
        <f t="shared" si="11"/>
        <v>8</v>
      </c>
      <c r="Z91" s="174">
        <v>4</v>
      </c>
      <c r="AA91" s="174"/>
      <c r="AB91" s="174">
        <v>8</v>
      </c>
      <c r="AC91" s="174"/>
      <c r="AD91" s="174"/>
      <c r="AE91" s="174"/>
      <c r="AF91" s="174">
        <v>1</v>
      </c>
      <c r="AG91" s="174"/>
      <c r="AH91" s="174"/>
      <c r="AI91" s="174"/>
      <c r="AJ91" s="174">
        <v>3</v>
      </c>
      <c r="AK91" s="174">
        <v>4</v>
      </c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>
        <f t="shared" si="13"/>
        <v>8</v>
      </c>
      <c r="AX91" s="174">
        <v>5732</v>
      </c>
      <c r="AY91" s="204"/>
      <c r="AZ91" s="204"/>
      <c r="BA91" s="204"/>
    </row>
    <row r="92" spans="1:53" x14ac:dyDescent="0.25">
      <c r="A92" s="175" t="s">
        <v>169</v>
      </c>
      <c r="B92" s="174">
        <v>1</v>
      </c>
      <c r="C92" s="174">
        <v>1</v>
      </c>
      <c r="D92" s="174">
        <v>19</v>
      </c>
      <c r="E92" s="174">
        <v>19</v>
      </c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>
        <v>19</v>
      </c>
      <c r="U92" s="174"/>
      <c r="V92" s="174"/>
      <c r="W92" s="174"/>
      <c r="X92" s="174"/>
      <c r="Y92" s="174">
        <f t="shared" si="11"/>
        <v>19</v>
      </c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204"/>
      <c r="AZ92" s="204"/>
      <c r="BA92" s="204"/>
    </row>
    <row r="93" spans="1:53" x14ac:dyDescent="0.25">
      <c r="A93" s="175" t="s">
        <v>170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204"/>
      <c r="AZ93" s="204"/>
      <c r="BA93" s="204"/>
    </row>
    <row r="94" spans="1:53" x14ac:dyDescent="0.25">
      <c r="A94" s="173" t="s">
        <v>43</v>
      </c>
      <c r="B94" s="174">
        <f t="shared" ref="B94:X94" si="16">SUM(B95+B96+B97+B98+B99+B100+B101+B102+B104+B105+B107+B106+B108+B109+B110+B111+B112+B113+B114+B115+B116+B117+B118+B119+B120+B121+B122+B123+B124+B125+B126+B127+B128+B129+B130+B131+B132+B133+B134+B135+B136+B137+B138+B139+B140+B141+B142+B144+B143+B145+B146+B147+B148+B149+B150+B151+B152+B153+B154+B155+B156+B158+B159+B160+B161+B162+B163+B164+B165+B166+B167+B168+B169+B170+B171+B172+B173+B174+B175+B176+B177)</f>
        <v>1326</v>
      </c>
      <c r="C94" s="174">
        <f t="shared" si="16"/>
        <v>34</v>
      </c>
      <c r="D94" s="174">
        <f t="shared" si="16"/>
        <v>5008</v>
      </c>
      <c r="E94" s="174">
        <f t="shared" si="16"/>
        <v>124</v>
      </c>
      <c r="F94" s="174">
        <f t="shared" si="16"/>
        <v>3</v>
      </c>
      <c r="G94" s="174">
        <f t="shared" si="16"/>
        <v>14</v>
      </c>
      <c r="H94" s="174">
        <f t="shared" si="16"/>
        <v>2805</v>
      </c>
      <c r="I94" s="174">
        <f t="shared" si="16"/>
        <v>0</v>
      </c>
      <c r="J94" s="174">
        <f t="shared" si="16"/>
        <v>112</v>
      </c>
      <c r="K94" s="174">
        <f t="shared" si="16"/>
        <v>408</v>
      </c>
      <c r="L94" s="174">
        <f t="shared" si="16"/>
        <v>266</v>
      </c>
      <c r="M94" s="174">
        <f t="shared" si="16"/>
        <v>50</v>
      </c>
      <c r="N94" s="174">
        <f t="shared" si="16"/>
        <v>479</v>
      </c>
      <c r="O94" s="174">
        <f t="shared" si="16"/>
        <v>8</v>
      </c>
      <c r="P94" s="174">
        <f t="shared" si="16"/>
        <v>7</v>
      </c>
      <c r="Q94" s="174">
        <f t="shared" si="16"/>
        <v>8</v>
      </c>
      <c r="R94" s="174">
        <f t="shared" si="16"/>
        <v>58</v>
      </c>
      <c r="S94" s="174">
        <f t="shared" si="16"/>
        <v>20</v>
      </c>
      <c r="T94" s="174">
        <f t="shared" si="16"/>
        <v>1</v>
      </c>
      <c r="U94" s="174">
        <f t="shared" si="16"/>
        <v>62</v>
      </c>
      <c r="V94" s="174">
        <f t="shared" si="16"/>
        <v>91</v>
      </c>
      <c r="W94" s="174">
        <f t="shared" si="16"/>
        <v>12</v>
      </c>
      <c r="X94" s="174">
        <f t="shared" si="16"/>
        <v>604</v>
      </c>
      <c r="Y94" s="174">
        <f t="shared" ref="Y94:Y102" si="17">SUM(F94:X94)</f>
        <v>5008</v>
      </c>
      <c r="Z94" s="174">
        <f t="shared" ref="Z94:AV94" si="18">Z95+Z96+Z97+Z98+Z99+Z100+Z101+Z102+Z104+Z105+Z106+Z107+Z108+Z109+Z110+Z111+Z112+Z113+Z114+Z115+Z116+Z117+Z118+Z119+Z120+Z121+Z122+Z123+Z124+Z125+Z126+Z127+Z128+Z129+Z130+Z131+Z132+Z133+Z134+Z135+Z136+Z137+Z138+Z139+Z140+Z141+Z142+Z143+Z144+Z145+Z146+Z147+Z148+Z149+Z150+Z151+Z152+Z153+Z154+Z155+Z156+Z158+Z159+Z160+Z161+Z162+Z163+Z164+Z165+Z166+Z167+Z168+Z169+Z170+Z171+Z172+Z173+Z174+Z175+Z176+Z177</f>
        <v>1099</v>
      </c>
      <c r="AA94" s="174">
        <f t="shared" si="18"/>
        <v>30</v>
      </c>
      <c r="AB94" s="174">
        <f t="shared" si="18"/>
        <v>3735</v>
      </c>
      <c r="AC94" s="174">
        <f t="shared" si="18"/>
        <v>93</v>
      </c>
      <c r="AD94" s="174">
        <f t="shared" si="18"/>
        <v>0</v>
      </c>
      <c r="AE94" s="174">
        <f t="shared" si="18"/>
        <v>13</v>
      </c>
      <c r="AF94" s="174">
        <f t="shared" si="18"/>
        <v>2341</v>
      </c>
      <c r="AG94" s="174">
        <f t="shared" si="18"/>
        <v>0</v>
      </c>
      <c r="AH94" s="174">
        <f t="shared" si="18"/>
        <v>86</v>
      </c>
      <c r="AI94" s="174">
        <f t="shared" si="18"/>
        <v>284</v>
      </c>
      <c r="AJ94" s="174">
        <f t="shared" si="18"/>
        <v>158</v>
      </c>
      <c r="AK94" s="174">
        <f t="shared" si="18"/>
        <v>47</v>
      </c>
      <c r="AL94" s="174">
        <f t="shared" si="18"/>
        <v>309</v>
      </c>
      <c r="AM94" s="174">
        <f t="shared" si="18"/>
        <v>5</v>
      </c>
      <c r="AN94" s="174">
        <f t="shared" si="18"/>
        <v>2</v>
      </c>
      <c r="AO94" s="174">
        <f t="shared" si="18"/>
        <v>8</v>
      </c>
      <c r="AP94" s="174">
        <f t="shared" si="18"/>
        <v>46</v>
      </c>
      <c r="AQ94" s="174">
        <f t="shared" si="18"/>
        <v>19</v>
      </c>
      <c r="AR94" s="174">
        <f t="shared" si="18"/>
        <v>1</v>
      </c>
      <c r="AS94" s="174">
        <f t="shared" si="18"/>
        <v>36</v>
      </c>
      <c r="AT94" s="174">
        <f t="shared" si="18"/>
        <v>60</v>
      </c>
      <c r="AU94" s="174">
        <f t="shared" si="18"/>
        <v>2</v>
      </c>
      <c r="AV94" s="174">
        <f t="shared" si="18"/>
        <v>318</v>
      </c>
      <c r="AW94" s="174">
        <f t="shared" ref="AW94:AW102" si="19">SUM(AD94:AV94)</f>
        <v>3735</v>
      </c>
      <c r="AX94" s="174"/>
      <c r="AY94" s="184">
        <f>Z94*100/B94</f>
        <v>82.880844645550525</v>
      </c>
      <c r="AZ94" s="174">
        <f>B94-Z94</f>
        <v>227</v>
      </c>
      <c r="BA94" s="184">
        <f>AZ94*100/Z94</f>
        <v>20.655141037306642</v>
      </c>
    </row>
    <row r="95" spans="1:53" x14ac:dyDescent="0.25">
      <c r="A95" s="175" t="s">
        <v>114</v>
      </c>
      <c r="B95" s="174">
        <v>129</v>
      </c>
      <c r="C95" s="174">
        <v>5</v>
      </c>
      <c r="D95" s="174">
        <v>634</v>
      </c>
      <c r="E95" s="174">
        <v>48</v>
      </c>
      <c r="F95" s="174"/>
      <c r="G95" s="174"/>
      <c r="H95" s="174">
        <v>55</v>
      </c>
      <c r="I95" s="174"/>
      <c r="J95" s="174"/>
      <c r="K95" s="174">
        <v>26</v>
      </c>
      <c r="L95" s="174">
        <v>49</v>
      </c>
      <c r="M95" s="174">
        <v>8</v>
      </c>
      <c r="N95" s="174">
        <v>386</v>
      </c>
      <c r="O95" s="174"/>
      <c r="P95" s="174"/>
      <c r="Q95" s="174"/>
      <c r="R95" s="174">
        <v>6</v>
      </c>
      <c r="S95" s="174">
        <v>2</v>
      </c>
      <c r="T95" s="174"/>
      <c r="U95" s="174">
        <v>47</v>
      </c>
      <c r="V95" s="174">
        <v>52</v>
      </c>
      <c r="W95" s="174"/>
      <c r="X95" s="174">
        <v>3</v>
      </c>
      <c r="Y95" s="174">
        <f t="shared" si="17"/>
        <v>634</v>
      </c>
      <c r="Z95" s="174">
        <v>69</v>
      </c>
      <c r="AA95" s="174">
        <v>5</v>
      </c>
      <c r="AB95" s="174">
        <v>365</v>
      </c>
      <c r="AC95" s="174">
        <v>18</v>
      </c>
      <c r="AD95" s="174"/>
      <c r="AE95" s="174"/>
      <c r="AF95" s="174">
        <v>47</v>
      </c>
      <c r="AG95" s="174"/>
      <c r="AH95" s="174"/>
      <c r="AI95" s="174">
        <v>23</v>
      </c>
      <c r="AJ95" s="174"/>
      <c r="AK95" s="174">
        <v>8</v>
      </c>
      <c r="AL95" s="174">
        <v>238</v>
      </c>
      <c r="AM95" s="174"/>
      <c r="AN95" s="174"/>
      <c r="AO95" s="174"/>
      <c r="AP95" s="174"/>
      <c r="AQ95" s="174">
        <v>2</v>
      </c>
      <c r="AR95" s="174"/>
      <c r="AS95" s="174">
        <v>21</v>
      </c>
      <c r="AT95" s="174">
        <v>26</v>
      </c>
      <c r="AU95" s="174"/>
      <c r="AV95" s="174"/>
      <c r="AW95" s="174">
        <f t="shared" si="19"/>
        <v>365</v>
      </c>
      <c r="AX95" s="174">
        <v>3189.6178787878789</v>
      </c>
      <c r="AY95" s="204"/>
      <c r="AZ95" s="204"/>
      <c r="BA95" s="204"/>
    </row>
    <row r="96" spans="1:53" x14ac:dyDescent="0.25">
      <c r="A96" s="175" t="s">
        <v>101</v>
      </c>
      <c r="B96" s="174">
        <v>29</v>
      </c>
      <c r="C96" s="174">
        <v>4</v>
      </c>
      <c r="D96" s="174">
        <v>125</v>
      </c>
      <c r="E96" s="174">
        <v>34</v>
      </c>
      <c r="F96" s="174"/>
      <c r="G96" s="174"/>
      <c r="H96" s="174">
        <v>15</v>
      </c>
      <c r="I96" s="174"/>
      <c r="J96" s="174"/>
      <c r="K96" s="174">
        <v>4</v>
      </c>
      <c r="L96" s="174">
        <v>6</v>
      </c>
      <c r="M96" s="174"/>
      <c r="N96" s="174">
        <v>65</v>
      </c>
      <c r="O96" s="174"/>
      <c r="P96" s="174"/>
      <c r="Q96" s="174"/>
      <c r="R96" s="174"/>
      <c r="S96" s="174"/>
      <c r="T96" s="174"/>
      <c r="U96" s="174">
        <v>1</v>
      </c>
      <c r="V96" s="174">
        <v>34</v>
      </c>
      <c r="W96" s="174"/>
      <c r="X96" s="174"/>
      <c r="Y96" s="174">
        <f t="shared" si="17"/>
        <v>125</v>
      </c>
      <c r="Z96" s="174">
        <v>46</v>
      </c>
      <c r="AA96" s="174">
        <v>4</v>
      </c>
      <c r="AB96" s="174">
        <v>89</v>
      </c>
      <c r="AC96" s="174">
        <v>30</v>
      </c>
      <c r="AD96" s="174"/>
      <c r="AE96" s="174"/>
      <c r="AF96" s="174">
        <v>4</v>
      </c>
      <c r="AG96" s="174"/>
      <c r="AH96" s="174"/>
      <c r="AI96" s="174">
        <v>3</v>
      </c>
      <c r="AJ96" s="174">
        <v>6</v>
      </c>
      <c r="AK96" s="174"/>
      <c r="AL96" s="174">
        <v>45</v>
      </c>
      <c r="AM96" s="174"/>
      <c r="AN96" s="174"/>
      <c r="AO96" s="174"/>
      <c r="AP96" s="174"/>
      <c r="AQ96" s="174"/>
      <c r="AR96" s="174"/>
      <c r="AS96" s="174">
        <v>1</v>
      </c>
      <c r="AT96" s="174">
        <v>30</v>
      </c>
      <c r="AU96" s="174"/>
      <c r="AV96" s="174"/>
      <c r="AW96" s="174">
        <f t="shared" si="19"/>
        <v>89</v>
      </c>
      <c r="AX96" s="174">
        <v>2309.8176470588237</v>
      </c>
      <c r="AY96" s="204"/>
      <c r="AZ96" s="204"/>
      <c r="BA96" s="204"/>
    </row>
    <row r="97" spans="1:53" x14ac:dyDescent="0.25">
      <c r="A97" s="175" t="s">
        <v>102</v>
      </c>
      <c r="B97" s="174">
        <v>5</v>
      </c>
      <c r="C97" s="174"/>
      <c r="D97" s="174">
        <v>13</v>
      </c>
      <c r="E97" s="174"/>
      <c r="F97" s="174"/>
      <c r="G97" s="174"/>
      <c r="H97" s="174"/>
      <c r="I97" s="174"/>
      <c r="J97" s="174"/>
      <c r="K97" s="174">
        <v>1</v>
      </c>
      <c r="L97" s="174"/>
      <c r="M97" s="174"/>
      <c r="N97" s="174">
        <v>12</v>
      </c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>
        <f t="shared" si="17"/>
        <v>13</v>
      </c>
      <c r="Z97" s="174">
        <v>5</v>
      </c>
      <c r="AA97" s="174"/>
      <c r="AB97" s="174">
        <v>13</v>
      </c>
      <c r="AC97" s="174"/>
      <c r="AD97" s="174"/>
      <c r="AE97" s="174"/>
      <c r="AF97" s="174"/>
      <c r="AG97" s="174"/>
      <c r="AH97" s="174"/>
      <c r="AI97" s="174">
        <v>1</v>
      </c>
      <c r="AJ97" s="174"/>
      <c r="AK97" s="174"/>
      <c r="AL97" s="174">
        <v>12</v>
      </c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>
        <f t="shared" si="19"/>
        <v>13</v>
      </c>
      <c r="AX97" s="174">
        <v>1480</v>
      </c>
      <c r="AY97" s="204"/>
      <c r="AZ97" s="204"/>
      <c r="BA97" s="204"/>
    </row>
    <row r="98" spans="1:53" x14ac:dyDescent="0.25">
      <c r="A98" s="175" t="s">
        <v>179</v>
      </c>
      <c r="B98" s="174">
        <v>2</v>
      </c>
      <c r="C98" s="174"/>
      <c r="D98" s="174">
        <v>10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>
        <v>10</v>
      </c>
      <c r="X98" s="174"/>
      <c r="Y98" s="174">
        <f t="shared" si="17"/>
        <v>10</v>
      </c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204"/>
      <c r="AZ98" s="204"/>
      <c r="BA98" s="204"/>
    </row>
    <row r="99" spans="1:53" x14ac:dyDescent="0.25">
      <c r="A99" s="175" t="s">
        <v>180</v>
      </c>
      <c r="B99" s="174">
        <v>17</v>
      </c>
      <c r="C99" s="174">
        <v>1</v>
      </c>
      <c r="D99" s="174">
        <v>44</v>
      </c>
      <c r="E99" s="174">
        <v>1</v>
      </c>
      <c r="F99" s="174"/>
      <c r="G99" s="174"/>
      <c r="H99" s="174">
        <v>26</v>
      </c>
      <c r="I99" s="174"/>
      <c r="J99" s="174"/>
      <c r="K99" s="174">
        <v>17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>
        <v>1</v>
      </c>
      <c r="Y99" s="174">
        <f t="shared" si="17"/>
        <v>44</v>
      </c>
      <c r="Z99" s="174">
        <v>33</v>
      </c>
      <c r="AA99" s="174"/>
      <c r="AB99" s="174">
        <v>36</v>
      </c>
      <c r="AC99" s="174"/>
      <c r="AD99" s="174"/>
      <c r="AE99" s="174"/>
      <c r="AF99" s="174">
        <v>20</v>
      </c>
      <c r="AG99" s="174"/>
      <c r="AH99" s="174"/>
      <c r="AI99" s="174">
        <v>16</v>
      </c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>
        <f t="shared" si="19"/>
        <v>36</v>
      </c>
      <c r="AX99" s="174">
        <v>1707.7876923076924</v>
      </c>
      <c r="AY99" s="204"/>
      <c r="AZ99" s="204"/>
      <c r="BA99" s="204"/>
    </row>
    <row r="100" spans="1:53" x14ac:dyDescent="0.25">
      <c r="A100" s="175" t="s">
        <v>181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204"/>
      <c r="AZ100" s="204"/>
      <c r="BA100" s="204"/>
    </row>
    <row r="101" spans="1:53" x14ac:dyDescent="0.25">
      <c r="A101" s="175" t="s">
        <v>182</v>
      </c>
      <c r="B101" s="174">
        <v>22</v>
      </c>
      <c r="C101" s="174"/>
      <c r="D101" s="174">
        <v>54</v>
      </c>
      <c r="E101" s="174"/>
      <c r="F101" s="174"/>
      <c r="G101" s="174"/>
      <c r="H101" s="174">
        <v>54</v>
      </c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>
        <f t="shared" si="17"/>
        <v>54</v>
      </c>
      <c r="Z101" s="174">
        <v>11</v>
      </c>
      <c r="AA101" s="174"/>
      <c r="AB101" s="174">
        <v>26</v>
      </c>
      <c r="AC101" s="174"/>
      <c r="AD101" s="174"/>
      <c r="AE101" s="174"/>
      <c r="AF101" s="174">
        <v>26</v>
      </c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>
        <f t="shared" si="19"/>
        <v>26</v>
      </c>
      <c r="AX101" s="174">
        <v>1615.2</v>
      </c>
      <c r="AY101" s="204"/>
      <c r="AZ101" s="204"/>
      <c r="BA101" s="204"/>
    </row>
    <row r="102" spans="1:53" x14ac:dyDescent="0.25">
      <c r="A102" s="175" t="s">
        <v>183</v>
      </c>
      <c r="B102" s="174">
        <v>2</v>
      </c>
      <c r="C102" s="174"/>
      <c r="D102" s="174">
        <v>11</v>
      </c>
      <c r="E102" s="174"/>
      <c r="F102" s="174"/>
      <c r="G102" s="174"/>
      <c r="H102" s="174">
        <v>10</v>
      </c>
      <c r="I102" s="174"/>
      <c r="J102" s="174"/>
      <c r="K102" s="174">
        <v>1</v>
      </c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>
        <f t="shared" si="17"/>
        <v>11</v>
      </c>
      <c r="Z102" s="174">
        <v>2</v>
      </c>
      <c r="AA102" s="174"/>
      <c r="AB102" s="174">
        <v>7</v>
      </c>
      <c r="AC102" s="174"/>
      <c r="AD102" s="174"/>
      <c r="AE102" s="174"/>
      <c r="AF102" s="174">
        <v>6</v>
      </c>
      <c r="AG102" s="174"/>
      <c r="AH102" s="174"/>
      <c r="AI102" s="174">
        <v>1</v>
      </c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>
        <f t="shared" si="19"/>
        <v>7</v>
      </c>
      <c r="AX102" s="174">
        <v>1240</v>
      </c>
      <c r="AY102" s="204"/>
      <c r="AZ102" s="204"/>
      <c r="BA102" s="204"/>
    </row>
    <row r="103" spans="1:53" x14ac:dyDescent="0.25">
      <c r="A103" s="175" t="s">
        <v>184</v>
      </c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204"/>
      <c r="AZ103" s="204"/>
      <c r="BA103" s="204"/>
    </row>
    <row r="104" spans="1:53" x14ac:dyDescent="0.25">
      <c r="A104" s="175" t="s">
        <v>185</v>
      </c>
      <c r="B104" s="174">
        <v>47</v>
      </c>
      <c r="C104" s="174">
        <v>2</v>
      </c>
      <c r="D104" s="174">
        <v>108</v>
      </c>
      <c r="E104" s="174">
        <v>2</v>
      </c>
      <c r="F104" s="174"/>
      <c r="G104" s="174">
        <v>6</v>
      </c>
      <c r="H104" s="174">
        <v>35</v>
      </c>
      <c r="I104" s="174"/>
      <c r="J104" s="174">
        <v>3</v>
      </c>
      <c r="K104" s="174">
        <v>48</v>
      </c>
      <c r="L104" s="174">
        <v>5</v>
      </c>
      <c r="M104" s="174">
        <v>9</v>
      </c>
      <c r="N104" s="174"/>
      <c r="O104" s="174"/>
      <c r="P104" s="174"/>
      <c r="Q104" s="174"/>
      <c r="R104" s="174">
        <v>1</v>
      </c>
      <c r="S104" s="174"/>
      <c r="T104" s="174">
        <v>1</v>
      </c>
      <c r="U104" s="174"/>
      <c r="V104" s="174"/>
      <c r="W104" s="174"/>
      <c r="X104" s="174"/>
      <c r="Y104" s="174">
        <f t="shared" ref="Y104:Y156" si="20">SUM(F104:X104)</f>
        <v>108</v>
      </c>
      <c r="Z104" s="174">
        <v>40</v>
      </c>
      <c r="AA104" s="174">
        <v>2</v>
      </c>
      <c r="AB104" s="174">
        <v>86</v>
      </c>
      <c r="AC104" s="174">
        <v>2</v>
      </c>
      <c r="AD104" s="174"/>
      <c r="AE104" s="174">
        <v>6</v>
      </c>
      <c r="AF104" s="174">
        <v>32</v>
      </c>
      <c r="AG104" s="174"/>
      <c r="AH104" s="174">
        <v>3</v>
      </c>
      <c r="AI104" s="174">
        <v>30</v>
      </c>
      <c r="AJ104" s="174">
        <v>4</v>
      </c>
      <c r="AK104" s="174">
        <v>9</v>
      </c>
      <c r="AL104" s="174"/>
      <c r="AM104" s="174"/>
      <c r="AN104" s="174"/>
      <c r="AO104" s="174"/>
      <c r="AP104" s="174">
        <v>1</v>
      </c>
      <c r="AQ104" s="174"/>
      <c r="AR104" s="174">
        <v>1</v>
      </c>
      <c r="AS104" s="174"/>
      <c r="AT104" s="174"/>
      <c r="AU104" s="174"/>
      <c r="AV104" s="174"/>
      <c r="AW104" s="174">
        <f t="shared" ref="AW104:AW156" si="21">SUM(AD104:AV104)</f>
        <v>86</v>
      </c>
      <c r="AX104" s="174">
        <v>1752.8996153846153</v>
      </c>
      <c r="AY104" s="204"/>
      <c r="AZ104" s="204"/>
      <c r="BA104" s="204"/>
    </row>
    <row r="105" spans="1:53" x14ac:dyDescent="0.25">
      <c r="A105" s="175" t="s">
        <v>186</v>
      </c>
      <c r="B105" s="174">
        <v>1</v>
      </c>
      <c r="C105" s="174"/>
      <c r="D105" s="174">
        <v>9</v>
      </c>
      <c r="E105" s="174"/>
      <c r="F105" s="174"/>
      <c r="G105" s="174"/>
      <c r="H105" s="174">
        <v>9</v>
      </c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>
        <f t="shared" si="20"/>
        <v>9</v>
      </c>
      <c r="Z105" s="174">
        <v>1</v>
      </c>
      <c r="AA105" s="174"/>
      <c r="AB105" s="174">
        <v>9</v>
      </c>
      <c r="AC105" s="174"/>
      <c r="AD105" s="174"/>
      <c r="AE105" s="174"/>
      <c r="AF105" s="174">
        <v>9</v>
      </c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>
        <f t="shared" si="21"/>
        <v>9</v>
      </c>
      <c r="AX105" s="174">
        <v>712</v>
      </c>
      <c r="AY105" s="204"/>
      <c r="AZ105" s="204"/>
      <c r="BA105" s="204"/>
    </row>
    <row r="106" spans="1:53" x14ac:dyDescent="0.25">
      <c r="A106" s="175" t="s">
        <v>187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204"/>
      <c r="AZ106" s="204"/>
      <c r="BA106" s="204"/>
    </row>
    <row r="107" spans="1:53" x14ac:dyDescent="0.25">
      <c r="A107" s="175" t="s">
        <v>188</v>
      </c>
      <c r="B107" s="174">
        <v>164</v>
      </c>
      <c r="C107" s="174">
        <v>2</v>
      </c>
      <c r="D107" s="174">
        <v>240</v>
      </c>
      <c r="E107" s="174">
        <v>2</v>
      </c>
      <c r="F107" s="174"/>
      <c r="G107" s="174"/>
      <c r="H107" s="174"/>
      <c r="I107" s="174"/>
      <c r="J107" s="174"/>
      <c r="K107" s="174">
        <v>4</v>
      </c>
      <c r="L107" s="174">
        <v>5</v>
      </c>
      <c r="M107" s="174"/>
      <c r="N107" s="174">
        <v>4</v>
      </c>
      <c r="O107" s="174"/>
      <c r="P107" s="174"/>
      <c r="Q107" s="174"/>
      <c r="R107" s="174">
        <v>5</v>
      </c>
      <c r="S107" s="174"/>
      <c r="T107" s="174"/>
      <c r="U107" s="174">
        <v>2</v>
      </c>
      <c r="V107" s="174">
        <v>2</v>
      </c>
      <c r="W107" s="174"/>
      <c r="X107" s="174">
        <v>218</v>
      </c>
      <c r="Y107" s="174">
        <f t="shared" si="20"/>
        <v>240</v>
      </c>
      <c r="Z107" s="174">
        <v>126</v>
      </c>
      <c r="AA107" s="174">
        <v>2</v>
      </c>
      <c r="AB107" s="174">
        <v>132</v>
      </c>
      <c r="AC107" s="174">
        <v>2</v>
      </c>
      <c r="AD107" s="174"/>
      <c r="AE107" s="174"/>
      <c r="AF107" s="174"/>
      <c r="AG107" s="174"/>
      <c r="AH107" s="174"/>
      <c r="AI107" s="174">
        <v>2</v>
      </c>
      <c r="AJ107" s="174">
        <v>3</v>
      </c>
      <c r="AK107" s="174"/>
      <c r="AL107" s="174">
        <v>2</v>
      </c>
      <c r="AM107" s="174"/>
      <c r="AN107" s="174"/>
      <c r="AO107" s="174"/>
      <c r="AP107" s="174">
        <v>2</v>
      </c>
      <c r="AQ107" s="174"/>
      <c r="AR107" s="174"/>
      <c r="AS107" s="174">
        <v>1</v>
      </c>
      <c r="AT107" s="174">
        <v>1</v>
      </c>
      <c r="AU107" s="174"/>
      <c r="AV107" s="174">
        <v>121</v>
      </c>
      <c r="AW107" s="174">
        <f t="shared" si="21"/>
        <v>132</v>
      </c>
      <c r="AX107" s="174">
        <v>3809.5237037037036</v>
      </c>
      <c r="AY107" s="204"/>
      <c r="AZ107" s="204"/>
      <c r="BA107" s="204"/>
    </row>
    <row r="108" spans="1:53" x14ac:dyDescent="0.25">
      <c r="A108" s="175" t="s">
        <v>189</v>
      </c>
      <c r="B108" s="174">
        <v>51</v>
      </c>
      <c r="C108" s="174">
        <v>1</v>
      </c>
      <c r="D108" s="174">
        <v>563</v>
      </c>
      <c r="E108" s="174">
        <v>12</v>
      </c>
      <c r="F108" s="174"/>
      <c r="G108" s="174"/>
      <c r="H108" s="174">
        <v>521</v>
      </c>
      <c r="I108" s="174"/>
      <c r="J108" s="174">
        <v>7</v>
      </c>
      <c r="K108" s="174">
        <v>11</v>
      </c>
      <c r="L108" s="174">
        <v>11</v>
      </c>
      <c r="M108" s="174">
        <v>12</v>
      </c>
      <c r="N108" s="174"/>
      <c r="O108" s="174"/>
      <c r="P108" s="174"/>
      <c r="Q108" s="174"/>
      <c r="R108" s="174">
        <v>1</v>
      </c>
      <c r="S108" s="174"/>
      <c r="T108" s="174"/>
      <c r="U108" s="174"/>
      <c r="V108" s="174"/>
      <c r="W108" s="174"/>
      <c r="X108" s="174"/>
      <c r="Y108" s="174">
        <f t="shared" si="20"/>
        <v>563</v>
      </c>
      <c r="Z108" s="174">
        <v>46</v>
      </c>
      <c r="AA108" s="174">
        <v>1</v>
      </c>
      <c r="AB108" s="174">
        <v>482</v>
      </c>
      <c r="AC108" s="174">
        <v>12</v>
      </c>
      <c r="AD108" s="174"/>
      <c r="AE108" s="174"/>
      <c r="AF108" s="174">
        <v>442</v>
      </c>
      <c r="AG108" s="174"/>
      <c r="AH108" s="174">
        <v>7</v>
      </c>
      <c r="AI108" s="174">
        <v>10</v>
      </c>
      <c r="AJ108" s="174">
        <v>10</v>
      </c>
      <c r="AK108" s="174">
        <v>12</v>
      </c>
      <c r="AL108" s="174"/>
      <c r="AM108" s="174"/>
      <c r="AN108" s="174"/>
      <c r="AO108" s="174"/>
      <c r="AP108" s="174">
        <v>1</v>
      </c>
      <c r="AQ108" s="174"/>
      <c r="AR108" s="174"/>
      <c r="AS108" s="174"/>
      <c r="AT108" s="174"/>
      <c r="AU108" s="174"/>
      <c r="AV108" s="174"/>
      <c r="AW108" s="174">
        <f t="shared" si="21"/>
        <v>482</v>
      </c>
      <c r="AX108" s="174">
        <v>787.28464285714279</v>
      </c>
      <c r="AY108" s="204"/>
      <c r="AZ108" s="204"/>
      <c r="BA108" s="204"/>
    </row>
    <row r="109" spans="1:53" x14ac:dyDescent="0.25">
      <c r="A109" s="175" t="s">
        <v>190</v>
      </c>
      <c r="B109" s="174">
        <v>205</v>
      </c>
      <c r="C109" s="174"/>
      <c r="D109" s="174">
        <v>384</v>
      </c>
      <c r="E109" s="174"/>
      <c r="F109" s="174"/>
      <c r="G109" s="174"/>
      <c r="H109" s="174"/>
      <c r="I109" s="174"/>
      <c r="J109" s="174"/>
      <c r="K109" s="174">
        <v>6</v>
      </c>
      <c r="L109" s="174">
        <v>11</v>
      </c>
      <c r="M109" s="174"/>
      <c r="N109" s="174"/>
      <c r="O109" s="174">
        <v>3</v>
      </c>
      <c r="P109" s="174"/>
      <c r="Q109" s="174"/>
      <c r="R109" s="174"/>
      <c r="S109" s="174"/>
      <c r="T109" s="174"/>
      <c r="U109" s="174">
        <v>2</v>
      </c>
      <c r="V109" s="174"/>
      <c r="W109" s="174"/>
      <c r="X109" s="174">
        <v>362</v>
      </c>
      <c r="Y109" s="174">
        <f t="shared" si="20"/>
        <v>384</v>
      </c>
      <c r="Z109" s="174">
        <v>162</v>
      </c>
      <c r="AA109" s="174"/>
      <c r="AB109" s="174">
        <v>206</v>
      </c>
      <c r="AC109" s="174"/>
      <c r="AD109" s="174"/>
      <c r="AE109" s="174"/>
      <c r="AF109" s="174">
        <v>2</v>
      </c>
      <c r="AG109" s="174"/>
      <c r="AH109" s="174"/>
      <c r="AI109" s="174">
        <v>4</v>
      </c>
      <c r="AJ109" s="174">
        <v>7</v>
      </c>
      <c r="AK109" s="174"/>
      <c r="AL109" s="174"/>
      <c r="AM109" s="174">
        <v>1</v>
      </c>
      <c r="AN109" s="174"/>
      <c r="AO109" s="174"/>
      <c r="AP109" s="174"/>
      <c r="AQ109" s="174"/>
      <c r="AR109" s="174"/>
      <c r="AS109" s="174">
        <v>1</v>
      </c>
      <c r="AT109" s="174"/>
      <c r="AU109" s="174"/>
      <c r="AV109" s="174">
        <v>191</v>
      </c>
      <c r="AW109" s="174">
        <f t="shared" si="21"/>
        <v>206</v>
      </c>
      <c r="AX109" s="174">
        <v>3805.8023404255305</v>
      </c>
      <c r="AY109" s="204"/>
      <c r="AZ109" s="204"/>
      <c r="BA109" s="204"/>
    </row>
    <row r="110" spans="1:53" x14ac:dyDescent="0.25">
      <c r="A110" s="175" t="s">
        <v>191</v>
      </c>
      <c r="B110" s="174">
        <v>11</v>
      </c>
      <c r="C110" s="174"/>
      <c r="D110" s="174">
        <v>18</v>
      </c>
      <c r="E110" s="174"/>
      <c r="F110" s="174"/>
      <c r="G110" s="174">
        <v>1</v>
      </c>
      <c r="H110" s="174"/>
      <c r="I110" s="174"/>
      <c r="J110" s="174"/>
      <c r="K110" s="174">
        <v>17</v>
      </c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>
        <f t="shared" si="20"/>
        <v>18</v>
      </c>
      <c r="Z110" s="174">
        <v>9</v>
      </c>
      <c r="AA110" s="174"/>
      <c r="AB110" s="174">
        <v>14</v>
      </c>
      <c r="AC110" s="174"/>
      <c r="AD110" s="174"/>
      <c r="AE110" s="174">
        <v>1</v>
      </c>
      <c r="AF110" s="174"/>
      <c r="AG110" s="174"/>
      <c r="AH110" s="174"/>
      <c r="AI110" s="174">
        <v>13</v>
      </c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>
        <f t="shared" si="21"/>
        <v>14</v>
      </c>
      <c r="AX110" s="174">
        <v>1897.3333333333333</v>
      </c>
      <c r="AY110" s="204"/>
      <c r="AZ110" s="204"/>
      <c r="BA110" s="204"/>
    </row>
    <row r="111" spans="1:53" x14ac:dyDescent="0.25">
      <c r="A111" s="175" t="s">
        <v>192</v>
      </c>
      <c r="B111" s="174">
        <v>3</v>
      </c>
      <c r="C111" s="174"/>
      <c r="D111" s="174">
        <v>20</v>
      </c>
      <c r="E111" s="174"/>
      <c r="F111" s="174"/>
      <c r="G111" s="174"/>
      <c r="H111" s="174">
        <v>17</v>
      </c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>
        <v>3</v>
      </c>
      <c r="Y111" s="174">
        <f t="shared" si="20"/>
        <v>20</v>
      </c>
      <c r="Z111" s="174">
        <v>3</v>
      </c>
      <c r="AA111" s="174"/>
      <c r="AB111" s="174">
        <v>17</v>
      </c>
      <c r="AC111" s="174"/>
      <c r="AD111" s="174"/>
      <c r="AE111" s="174"/>
      <c r="AF111" s="174">
        <v>14</v>
      </c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>
        <v>3</v>
      </c>
      <c r="AW111" s="174">
        <f t="shared" si="21"/>
        <v>17</v>
      </c>
      <c r="AX111" s="174">
        <v>3678.4</v>
      </c>
      <c r="AY111" s="204"/>
      <c r="AZ111" s="204"/>
      <c r="BA111" s="204"/>
    </row>
    <row r="112" spans="1:53" x14ac:dyDescent="0.25">
      <c r="A112" s="175" t="s">
        <v>193</v>
      </c>
      <c r="B112" s="174">
        <v>13</v>
      </c>
      <c r="C112" s="174">
        <v>1</v>
      </c>
      <c r="D112" s="174">
        <v>112</v>
      </c>
      <c r="E112" s="174">
        <v>1</v>
      </c>
      <c r="F112" s="174"/>
      <c r="G112" s="174"/>
      <c r="H112" s="174">
        <v>100</v>
      </c>
      <c r="I112" s="174"/>
      <c r="J112" s="174">
        <v>6</v>
      </c>
      <c r="K112" s="174">
        <v>4</v>
      </c>
      <c r="L112" s="174"/>
      <c r="M112" s="174"/>
      <c r="N112" s="174"/>
      <c r="O112" s="174"/>
      <c r="P112" s="174"/>
      <c r="Q112" s="174"/>
      <c r="R112" s="174">
        <v>2</v>
      </c>
      <c r="S112" s="174"/>
      <c r="T112" s="174"/>
      <c r="U112" s="174"/>
      <c r="V112" s="174"/>
      <c r="W112" s="174"/>
      <c r="X112" s="174"/>
      <c r="Y112" s="174">
        <f t="shared" si="20"/>
        <v>112</v>
      </c>
      <c r="Z112" s="174">
        <v>13</v>
      </c>
      <c r="AA112" s="174">
        <v>1</v>
      </c>
      <c r="AB112" s="174">
        <v>103</v>
      </c>
      <c r="AC112" s="174">
        <v>1</v>
      </c>
      <c r="AD112" s="174"/>
      <c r="AE112" s="174"/>
      <c r="AF112" s="174">
        <v>91</v>
      </c>
      <c r="AG112" s="174"/>
      <c r="AH112" s="174">
        <v>6</v>
      </c>
      <c r="AI112" s="174">
        <v>4</v>
      </c>
      <c r="AJ112" s="174"/>
      <c r="AK112" s="174"/>
      <c r="AL112" s="174"/>
      <c r="AM112" s="174"/>
      <c r="AN112" s="174"/>
      <c r="AO112" s="174"/>
      <c r="AP112" s="174">
        <v>2</v>
      </c>
      <c r="AQ112" s="174"/>
      <c r="AR112" s="174"/>
      <c r="AS112" s="174"/>
      <c r="AT112" s="174"/>
      <c r="AU112" s="174"/>
      <c r="AV112" s="174"/>
      <c r="AW112" s="174">
        <f t="shared" si="21"/>
        <v>103</v>
      </c>
      <c r="AX112" s="174">
        <v>755.92416666666668</v>
      </c>
      <c r="AY112" s="204"/>
      <c r="AZ112" s="204"/>
      <c r="BA112" s="204"/>
    </row>
    <row r="113" spans="1:53" x14ac:dyDescent="0.25">
      <c r="A113" s="175" t="s">
        <v>194</v>
      </c>
      <c r="B113" s="174">
        <v>261</v>
      </c>
      <c r="C113" s="174">
        <v>3</v>
      </c>
      <c r="D113" s="174">
        <v>1236</v>
      </c>
      <c r="E113" s="174">
        <v>2</v>
      </c>
      <c r="F113" s="174"/>
      <c r="G113" s="174">
        <v>5</v>
      </c>
      <c r="H113" s="174">
        <v>1046</v>
      </c>
      <c r="I113" s="174"/>
      <c r="J113" s="174">
        <v>3</v>
      </c>
      <c r="K113" s="174">
        <v>145</v>
      </c>
      <c r="L113" s="174">
        <v>15</v>
      </c>
      <c r="M113" s="174">
        <v>4</v>
      </c>
      <c r="N113" s="174"/>
      <c r="O113" s="174"/>
      <c r="P113" s="174">
        <v>4</v>
      </c>
      <c r="Q113" s="174"/>
      <c r="R113" s="174">
        <v>2</v>
      </c>
      <c r="S113" s="174"/>
      <c r="T113" s="174"/>
      <c r="U113" s="174"/>
      <c r="V113" s="174">
        <v>2</v>
      </c>
      <c r="W113" s="174"/>
      <c r="X113" s="174">
        <v>10</v>
      </c>
      <c r="Y113" s="174">
        <f t="shared" si="20"/>
        <v>1236</v>
      </c>
      <c r="Z113" s="174">
        <v>261</v>
      </c>
      <c r="AA113" s="174">
        <v>2</v>
      </c>
      <c r="AB113" s="174">
        <v>1002</v>
      </c>
      <c r="AC113" s="174">
        <v>3</v>
      </c>
      <c r="AD113" s="174"/>
      <c r="AE113" s="174">
        <v>4</v>
      </c>
      <c r="AF113" s="174">
        <v>869</v>
      </c>
      <c r="AG113" s="174"/>
      <c r="AH113" s="174">
        <v>6</v>
      </c>
      <c r="AI113" s="174">
        <v>98</v>
      </c>
      <c r="AJ113" s="174">
        <v>13</v>
      </c>
      <c r="AK113" s="174">
        <v>4</v>
      </c>
      <c r="AL113" s="174"/>
      <c r="AM113" s="174"/>
      <c r="AN113" s="174"/>
      <c r="AO113" s="174"/>
      <c r="AP113" s="174">
        <v>3</v>
      </c>
      <c r="AQ113" s="174"/>
      <c r="AR113" s="174"/>
      <c r="AS113" s="174">
        <v>3</v>
      </c>
      <c r="AT113" s="174">
        <v>2</v>
      </c>
      <c r="AU113" s="174"/>
      <c r="AV113" s="174"/>
      <c r="AW113" s="174">
        <f t="shared" si="21"/>
        <v>1002</v>
      </c>
      <c r="AX113" s="174">
        <v>1786.2576190476193</v>
      </c>
      <c r="AY113" s="204"/>
      <c r="AZ113" s="204"/>
      <c r="BA113" s="204"/>
    </row>
    <row r="114" spans="1:53" x14ac:dyDescent="0.25">
      <c r="A114" s="175" t="s">
        <v>195</v>
      </c>
      <c r="B114" s="174">
        <v>2</v>
      </c>
      <c r="C114" s="174"/>
      <c r="D114" s="174">
        <v>4</v>
      </c>
      <c r="E114" s="174"/>
      <c r="F114" s="174"/>
      <c r="G114" s="174"/>
      <c r="H114" s="174">
        <v>4</v>
      </c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>
        <f t="shared" si="20"/>
        <v>4</v>
      </c>
      <c r="Z114" s="174">
        <v>1</v>
      </c>
      <c r="AA114" s="174"/>
      <c r="AB114" s="174">
        <v>2</v>
      </c>
      <c r="AC114" s="174"/>
      <c r="AD114" s="174"/>
      <c r="AE114" s="174"/>
      <c r="AF114" s="174">
        <v>2</v>
      </c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>
        <f t="shared" si="21"/>
        <v>2</v>
      </c>
      <c r="AX114" s="174">
        <v>4640</v>
      </c>
      <c r="AY114" s="204"/>
      <c r="AZ114" s="204"/>
      <c r="BA114" s="204"/>
    </row>
    <row r="115" spans="1:53" x14ac:dyDescent="0.25">
      <c r="A115" s="175" t="s">
        <v>196</v>
      </c>
      <c r="B115" s="174">
        <v>3</v>
      </c>
      <c r="C115" s="174"/>
      <c r="D115" s="174">
        <v>19</v>
      </c>
      <c r="E115" s="174"/>
      <c r="F115" s="174"/>
      <c r="G115" s="174"/>
      <c r="H115" s="174">
        <v>19</v>
      </c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>
        <f t="shared" si="20"/>
        <v>19</v>
      </c>
      <c r="Z115" s="174">
        <v>3</v>
      </c>
      <c r="AA115" s="174"/>
      <c r="AB115" s="174">
        <v>19</v>
      </c>
      <c r="AC115" s="174"/>
      <c r="AD115" s="174"/>
      <c r="AE115" s="174"/>
      <c r="AF115" s="174">
        <v>19</v>
      </c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>
        <f t="shared" si="21"/>
        <v>19</v>
      </c>
      <c r="AX115" s="174">
        <v>480</v>
      </c>
      <c r="AY115" s="204"/>
      <c r="AZ115" s="204"/>
      <c r="BA115" s="204"/>
    </row>
    <row r="116" spans="1:53" x14ac:dyDescent="0.25">
      <c r="A116" s="175" t="s">
        <v>197</v>
      </c>
      <c r="B116" s="174">
        <v>3</v>
      </c>
      <c r="C116" s="174">
        <v>2</v>
      </c>
      <c r="D116" s="174">
        <v>3</v>
      </c>
      <c r="E116" s="174">
        <v>2</v>
      </c>
      <c r="F116" s="174"/>
      <c r="G116" s="174"/>
      <c r="H116" s="174"/>
      <c r="I116" s="174"/>
      <c r="J116" s="174"/>
      <c r="K116" s="174"/>
      <c r="L116" s="174"/>
      <c r="M116" s="174">
        <v>1</v>
      </c>
      <c r="N116" s="174"/>
      <c r="O116" s="174"/>
      <c r="P116" s="174"/>
      <c r="Q116" s="174"/>
      <c r="R116" s="174">
        <v>1</v>
      </c>
      <c r="S116" s="174">
        <v>1</v>
      </c>
      <c r="T116" s="174"/>
      <c r="U116" s="174"/>
      <c r="V116" s="174"/>
      <c r="W116" s="174"/>
      <c r="X116" s="174"/>
      <c r="Y116" s="174">
        <f t="shared" si="20"/>
        <v>3</v>
      </c>
      <c r="Z116" s="174">
        <v>3</v>
      </c>
      <c r="AA116" s="174">
        <v>2</v>
      </c>
      <c r="AB116" s="174">
        <v>3</v>
      </c>
      <c r="AC116" s="174">
        <v>2</v>
      </c>
      <c r="AD116" s="174"/>
      <c r="AE116" s="174"/>
      <c r="AF116" s="174"/>
      <c r="AG116" s="174"/>
      <c r="AH116" s="174"/>
      <c r="AI116" s="174"/>
      <c r="AJ116" s="174"/>
      <c r="AK116" s="174">
        <v>1</v>
      </c>
      <c r="AL116" s="174"/>
      <c r="AM116" s="174"/>
      <c r="AN116" s="174"/>
      <c r="AO116" s="174"/>
      <c r="AP116" s="174">
        <v>1</v>
      </c>
      <c r="AQ116" s="174">
        <v>1</v>
      </c>
      <c r="AR116" s="174"/>
      <c r="AS116" s="174"/>
      <c r="AT116" s="174"/>
      <c r="AU116" s="174"/>
      <c r="AV116" s="174"/>
      <c r="AW116" s="174">
        <f t="shared" si="21"/>
        <v>3</v>
      </c>
      <c r="AX116" s="174">
        <v>3135</v>
      </c>
      <c r="AY116" s="204"/>
      <c r="AZ116" s="204"/>
      <c r="BA116" s="204"/>
    </row>
    <row r="117" spans="1:53" x14ac:dyDescent="0.25">
      <c r="A117" s="175" t="s">
        <v>198</v>
      </c>
      <c r="B117" s="174">
        <v>71</v>
      </c>
      <c r="C117" s="174">
        <v>1</v>
      </c>
      <c r="D117" s="174">
        <v>138</v>
      </c>
      <c r="E117" s="174">
        <v>7</v>
      </c>
      <c r="F117" s="174"/>
      <c r="G117" s="174"/>
      <c r="H117" s="174">
        <v>11</v>
      </c>
      <c r="I117" s="174"/>
      <c r="J117" s="174"/>
      <c r="K117" s="174">
        <v>1</v>
      </c>
      <c r="L117" s="174">
        <v>116</v>
      </c>
      <c r="M117" s="174">
        <v>2</v>
      </c>
      <c r="N117" s="174"/>
      <c r="O117" s="174"/>
      <c r="P117" s="174"/>
      <c r="Q117" s="174"/>
      <c r="R117" s="174">
        <v>1</v>
      </c>
      <c r="S117" s="174"/>
      <c r="T117" s="174"/>
      <c r="U117" s="174">
        <v>7</v>
      </c>
      <c r="V117" s="174"/>
      <c r="W117" s="174"/>
      <c r="X117" s="174"/>
      <c r="Y117" s="174">
        <f t="shared" si="20"/>
        <v>138</v>
      </c>
      <c r="Z117" s="174">
        <v>49</v>
      </c>
      <c r="AA117" s="174">
        <v>1</v>
      </c>
      <c r="AB117" s="174">
        <v>87</v>
      </c>
      <c r="AC117" s="174">
        <v>7</v>
      </c>
      <c r="AD117" s="174"/>
      <c r="AE117" s="174"/>
      <c r="AF117" s="174"/>
      <c r="AG117" s="174"/>
      <c r="AH117" s="174"/>
      <c r="AI117" s="174">
        <v>1</v>
      </c>
      <c r="AJ117" s="174">
        <v>78</v>
      </c>
      <c r="AK117" s="174">
        <v>1</v>
      </c>
      <c r="AL117" s="174"/>
      <c r="AM117" s="174"/>
      <c r="AN117" s="174"/>
      <c r="AO117" s="174"/>
      <c r="AP117" s="174"/>
      <c r="AQ117" s="174"/>
      <c r="AR117" s="174"/>
      <c r="AS117" s="174">
        <v>7</v>
      </c>
      <c r="AT117" s="174"/>
      <c r="AU117" s="174"/>
      <c r="AV117" s="174"/>
      <c r="AW117" s="174">
        <f t="shared" si="21"/>
        <v>87</v>
      </c>
      <c r="AX117" s="174">
        <v>2669.9977777777781</v>
      </c>
      <c r="AY117" s="204"/>
      <c r="AZ117" s="204"/>
      <c r="BA117" s="204"/>
    </row>
    <row r="118" spans="1:53" x14ac:dyDescent="0.25">
      <c r="A118" s="175" t="s">
        <v>199</v>
      </c>
      <c r="B118" s="174">
        <v>2</v>
      </c>
      <c r="C118" s="174">
        <v>1</v>
      </c>
      <c r="D118" s="174">
        <v>5</v>
      </c>
      <c r="E118" s="174">
        <v>1</v>
      </c>
      <c r="F118" s="174"/>
      <c r="G118" s="174"/>
      <c r="H118" s="174">
        <v>4</v>
      </c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>
        <v>1</v>
      </c>
      <c r="Y118" s="174">
        <f t="shared" si="20"/>
        <v>5</v>
      </c>
      <c r="Z118" s="174">
        <v>2</v>
      </c>
      <c r="AA118" s="174">
        <v>1</v>
      </c>
      <c r="AB118" s="174">
        <v>5</v>
      </c>
      <c r="AC118" s="174">
        <v>1</v>
      </c>
      <c r="AD118" s="174"/>
      <c r="AE118" s="174"/>
      <c r="AF118" s="174">
        <v>4</v>
      </c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>
        <v>1</v>
      </c>
      <c r="AW118" s="174">
        <f t="shared" si="21"/>
        <v>5</v>
      </c>
      <c r="AX118" s="174">
        <v>5947.5749999999998</v>
      </c>
      <c r="AY118" s="204"/>
      <c r="AZ118" s="204"/>
      <c r="BA118" s="204"/>
    </row>
    <row r="119" spans="1:53" x14ac:dyDescent="0.25">
      <c r="A119" s="175" t="s">
        <v>200</v>
      </c>
      <c r="B119" s="174">
        <v>1</v>
      </c>
      <c r="C119" s="174"/>
      <c r="D119" s="174">
        <v>1</v>
      </c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>
        <v>1</v>
      </c>
      <c r="Q119" s="174"/>
      <c r="R119" s="174"/>
      <c r="S119" s="174"/>
      <c r="T119" s="174"/>
      <c r="U119" s="174"/>
      <c r="V119" s="174"/>
      <c r="W119" s="174"/>
      <c r="X119" s="174"/>
      <c r="Y119" s="174">
        <f t="shared" si="20"/>
        <v>1</v>
      </c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204"/>
      <c r="AZ119" s="204"/>
      <c r="BA119" s="204"/>
    </row>
    <row r="120" spans="1:53" x14ac:dyDescent="0.25">
      <c r="A120" s="175" t="s">
        <v>201</v>
      </c>
      <c r="B120" s="174">
        <v>2</v>
      </c>
      <c r="C120" s="174"/>
      <c r="D120" s="174">
        <v>12</v>
      </c>
      <c r="E120" s="174"/>
      <c r="F120" s="174"/>
      <c r="G120" s="174"/>
      <c r="H120" s="174">
        <v>1</v>
      </c>
      <c r="I120" s="174"/>
      <c r="J120" s="174"/>
      <c r="K120" s="174">
        <v>8</v>
      </c>
      <c r="L120" s="174">
        <v>3</v>
      </c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>
        <f t="shared" si="20"/>
        <v>12</v>
      </c>
      <c r="Z120" s="174">
        <v>6</v>
      </c>
      <c r="AA120" s="174"/>
      <c r="AB120" s="174">
        <v>11</v>
      </c>
      <c r="AC120" s="174"/>
      <c r="AD120" s="174"/>
      <c r="AE120" s="174"/>
      <c r="AF120" s="174">
        <v>1</v>
      </c>
      <c r="AG120" s="174"/>
      <c r="AH120" s="174"/>
      <c r="AI120" s="174">
        <v>7</v>
      </c>
      <c r="AJ120" s="174">
        <v>3</v>
      </c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>
        <f t="shared" si="21"/>
        <v>11</v>
      </c>
      <c r="AX120" s="174">
        <v>3767.2</v>
      </c>
      <c r="AY120" s="204"/>
      <c r="AZ120" s="204"/>
      <c r="BA120" s="204"/>
    </row>
    <row r="121" spans="1:53" x14ac:dyDescent="0.25">
      <c r="A121" s="175" t="s">
        <v>202</v>
      </c>
      <c r="B121" s="174">
        <v>3</v>
      </c>
      <c r="C121" s="174"/>
      <c r="D121" s="174">
        <v>4</v>
      </c>
      <c r="E121" s="174"/>
      <c r="F121" s="174"/>
      <c r="G121" s="174"/>
      <c r="H121" s="174"/>
      <c r="I121" s="174"/>
      <c r="J121" s="174"/>
      <c r="K121" s="174"/>
      <c r="L121" s="174">
        <v>4</v>
      </c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>
        <f t="shared" si="20"/>
        <v>4</v>
      </c>
      <c r="Z121" s="174">
        <v>1</v>
      </c>
      <c r="AA121" s="174"/>
      <c r="AB121" s="174">
        <v>1</v>
      </c>
      <c r="AC121" s="174"/>
      <c r="AD121" s="174"/>
      <c r="AE121" s="174"/>
      <c r="AF121" s="174"/>
      <c r="AG121" s="174"/>
      <c r="AH121" s="174"/>
      <c r="AI121" s="174"/>
      <c r="AJ121" s="174">
        <v>1</v>
      </c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>
        <f t="shared" si="21"/>
        <v>1</v>
      </c>
      <c r="AX121" s="174">
        <v>2600</v>
      </c>
      <c r="AY121" s="204"/>
      <c r="AZ121" s="204"/>
      <c r="BA121" s="204"/>
    </row>
    <row r="122" spans="1:53" x14ac:dyDescent="0.25">
      <c r="A122" s="175" t="s">
        <v>203</v>
      </c>
      <c r="B122" s="174">
        <v>9</v>
      </c>
      <c r="C122" s="174"/>
      <c r="D122" s="174">
        <v>55</v>
      </c>
      <c r="E122" s="174"/>
      <c r="F122" s="174"/>
      <c r="G122" s="174"/>
      <c r="H122" s="174">
        <v>55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>
        <f t="shared" si="20"/>
        <v>55</v>
      </c>
      <c r="Z122" s="174">
        <v>8</v>
      </c>
      <c r="AA122" s="174"/>
      <c r="AB122" s="174">
        <v>47</v>
      </c>
      <c r="AC122" s="174"/>
      <c r="AD122" s="174"/>
      <c r="AE122" s="174"/>
      <c r="AF122" s="174">
        <v>47</v>
      </c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>
        <f t="shared" si="21"/>
        <v>47</v>
      </c>
      <c r="AX122" s="174">
        <v>1045.5040000000001</v>
      </c>
      <c r="AY122" s="204"/>
      <c r="AZ122" s="204"/>
      <c r="BA122" s="204"/>
    </row>
    <row r="123" spans="1:53" x14ac:dyDescent="0.25">
      <c r="A123" s="175" t="s">
        <v>204</v>
      </c>
      <c r="B123" s="174">
        <v>4</v>
      </c>
      <c r="C123" s="174"/>
      <c r="D123" s="174">
        <v>9</v>
      </c>
      <c r="E123" s="174"/>
      <c r="F123" s="174"/>
      <c r="G123" s="174"/>
      <c r="H123" s="174">
        <v>3</v>
      </c>
      <c r="I123" s="174"/>
      <c r="J123" s="174"/>
      <c r="K123" s="174">
        <v>6</v>
      </c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>
        <f t="shared" si="20"/>
        <v>9</v>
      </c>
      <c r="Z123" s="174">
        <v>4</v>
      </c>
      <c r="AA123" s="174"/>
      <c r="AB123" s="174">
        <v>9</v>
      </c>
      <c r="AC123" s="174"/>
      <c r="AD123" s="174"/>
      <c r="AE123" s="174"/>
      <c r="AF123" s="174">
        <v>3</v>
      </c>
      <c r="AG123" s="174"/>
      <c r="AH123" s="174"/>
      <c r="AI123" s="174">
        <v>6</v>
      </c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>
        <f t="shared" si="21"/>
        <v>9</v>
      </c>
      <c r="AX123" s="174">
        <v>913.3</v>
      </c>
      <c r="AY123" s="204"/>
      <c r="AZ123" s="204"/>
      <c r="BA123" s="204"/>
    </row>
    <row r="124" spans="1:53" x14ac:dyDescent="0.25">
      <c r="A124" s="175" t="s">
        <v>205</v>
      </c>
      <c r="B124" s="174">
        <v>13</v>
      </c>
      <c r="C124" s="174"/>
      <c r="D124" s="174">
        <v>56</v>
      </c>
      <c r="E124" s="174"/>
      <c r="F124" s="174"/>
      <c r="G124" s="174"/>
      <c r="H124" s="174">
        <v>54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>
        <v>2</v>
      </c>
      <c r="S124" s="174"/>
      <c r="T124" s="174"/>
      <c r="U124" s="174"/>
      <c r="V124" s="174"/>
      <c r="W124" s="174"/>
      <c r="X124" s="174"/>
      <c r="Y124" s="174">
        <f t="shared" si="20"/>
        <v>56</v>
      </c>
      <c r="Z124" s="174">
        <v>12</v>
      </c>
      <c r="AA124" s="174"/>
      <c r="AB124" s="174">
        <v>51</v>
      </c>
      <c r="AC124" s="174"/>
      <c r="AD124" s="174"/>
      <c r="AE124" s="174"/>
      <c r="AF124" s="174">
        <v>49</v>
      </c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>
        <v>2</v>
      </c>
      <c r="AQ124" s="174"/>
      <c r="AR124" s="174"/>
      <c r="AS124" s="174"/>
      <c r="AT124" s="174"/>
      <c r="AU124" s="174"/>
      <c r="AV124" s="174"/>
      <c r="AW124" s="174">
        <f t="shared" si="21"/>
        <v>51</v>
      </c>
      <c r="AX124" s="174">
        <v>2179.818181818182</v>
      </c>
      <c r="AY124" s="204"/>
      <c r="AZ124" s="204"/>
      <c r="BA124" s="204"/>
    </row>
    <row r="125" spans="1:53" x14ac:dyDescent="0.25">
      <c r="A125" s="175" t="s">
        <v>206</v>
      </c>
      <c r="B125" s="174">
        <v>1</v>
      </c>
      <c r="C125" s="174"/>
      <c r="D125" s="174">
        <v>1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>
        <v>1</v>
      </c>
      <c r="S125" s="174"/>
      <c r="T125" s="174"/>
      <c r="U125" s="174"/>
      <c r="V125" s="174"/>
      <c r="W125" s="174"/>
      <c r="X125" s="174"/>
      <c r="Y125" s="174">
        <f t="shared" si="20"/>
        <v>1</v>
      </c>
      <c r="Z125" s="174">
        <v>1</v>
      </c>
      <c r="AA125" s="174"/>
      <c r="AB125" s="174">
        <v>1</v>
      </c>
      <c r="AC125" s="174"/>
      <c r="AD125" s="174"/>
      <c r="AE125" s="174"/>
      <c r="AF125" s="174"/>
      <c r="AG125" s="174"/>
      <c r="AH125" s="174"/>
      <c r="AI125" s="174"/>
      <c r="AJ125" s="174"/>
      <c r="AK125" s="174">
        <v>1</v>
      </c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>
        <f t="shared" si="21"/>
        <v>1</v>
      </c>
      <c r="AX125" s="174">
        <v>3040</v>
      </c>
      <c r="AY125" s="204"/>
      <c r="AZ125" s="204"/>
      <c r="BA125" s="204"/>
    </row>
    <row r="126" spans="1:53" x14ac:dyDescent="0.25">
      <c r="A126" s="175" t="s">
        <v>207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204"/>
      <c r="AZ126" s="204"/>
      <c r="BA126" s="204"/>
    </row>
    <row r="127" spans="1:53" x14ac:dyDescent="0.25">
      <c r="A127" s="175" t="s">
        <v>208</v>
      </c>
      <c r="B127" s="174">
        <v>1</v>
      </c>
      <c r="C127" s="174"/>
      <c r="D127" s="174">
        <v>1</v>
      </c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>
        <v>1</v>
      </c>
      <c r="S127" s="174"/>
      <c r="T127" s="174"/>
      <c r="U127" s="174"/>
      <c r="V127" s="174"/>
      <c r="W127" s="174"/>
      <c r="X127" s="174"/>
      <c r="Y127" s="174">
        <f t="shared" si="20"/>
        <v>1</v>
      </c>
      <c r="Z127" s="174">
        <v>1</v>
      </c>
      <c r="AA127" s="174"/>
      <c r="AB127" s="174">
        <v>1</v>
      </c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>
        <v>1</v>
      </c>
      <c r="AQ127" s="174"/>
      <c r="AR127" s="174"/>
      <c r="AS127" s="174"/>
      <c r="AT127" s="174"/>
      <c r="AU127" s="174"/>
      <c r="AV127" s="174"/>
      <c r="AW127" s="174">
        <f t="shared" si="21"/>
        <v>1</v>
      </c>
      <c r="AX127" s="174">
        <v>5000</v>
      </c>
      <c r="AY127" s="204"/>
      <c r="AZ127" s="204"/>
      <c r="BA127" s="204"/>
    </row>
    <row r="128" spans="1:53" x14ac:dyDescent="0.25">
      <c r="A128" s="175" t="s">
        <v>209</v>
      </c>
      <c r="B128" s="174">
        <v>35</v>
      </c>
      <c r="C128" s="174"/>
      <c r="D128" s="174">
        <v>436</v>
      </c>
      <c r="E128" s="174"/>
      <c r="F128" s="174"/>
      <c r="G128" s="174"/>
      <c r="H128" s="174">
        <v>427</v>
      </c>
      <c r="I128" s="174"/>
      <c r="J128" s="174"/>
      <c r="K128" s="174">
        <v>3</v>
      </c>
      <c r="L128" s="174">
        <v>5</v>
      </c>
      <c r="M128" s="174">
        <v>1</v>
      </c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>
        <f t="shared" si="20"/>
        <v>436</v>
      </c>
      <c r="Z128" s="174">
        <v>30</v>
      </c>
      <c r="AA128" s="174"/>
      <c r="AB128" s="174">
        <v>428</v>
      </c>
      <c r="AC128" s="174"/>
      <c r="AD128" s="174"/>
      <c r="AE128" s="174"/>
      <c r="AF128" s="174">
        <v>425</v>
      </c>
      <c r="AG128" s="174"/>
      <c r="AH128" s="174"/>
      <c r="AI128" s="174"/>
      <c r="AJ128" s="174">
        <v>2</v>
      </c>
      <c r="AK128" s="174">
        <v>1</v>
      </c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>
        <f t="shared" si="21"/>
        <v>428</v>
      </c>
      <c r="AX128" s="174">
        <v>567.03454545454542</v>
      </c>
      <c r="AY128" s="204"/>
      <c r="AZ128" s="204"/>
      <c r="BA128" s="204"/>
    </row>
    <row r="129" spans="1:53" x14ac:dyDescent="0.25">
      <c r="A129" s="175" t="s">
        <v>210</v>
      </c>
      <c r="B129" s="174">
        <v>1</v>
      </c>
      <c r="C129" s="174"/>
      <c r="D129" s="174">
        <v>3</v>
      </c>
      <c r="E129" s="174"/>
      <c r="F129" s="174"/>
      <c r="G129" s="174"/>
      <c r="H129" s="174"/>
      <c r="I129" s="174"/>
      <c r="J129" s="174"/>
      <c r="K129" s="174"/>
      <c r="L129" s="174">
        <v>3</v>
      </c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>
        <f t="shared" si="20"/>
        <v>3</v>
      </c>
      <c r="Z129" s="174">
        <v>1</v>
      </c>
      <c r="AA129" s="174"/>
      <c r="AB129" s="174">
        <v>3</v>
      </c>
      <c r="AC129" s="174"/>
      <c r="AD129" s="174"/>
      <c r="AE129" s="174"/>
      <c r="AF129" s="174"/>
      <c r="AG129" s="174"/>
      <c r="AH129" s="174"/>
      <c r="AI129" s="174"/>
      <c r="AJ129" s="174">
        <v>3</v>
      </c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>
        <f t="shared" si="21"/>
        <v>3</v>
      </c>
      <c r="AX129" s="174">
        <v>800</v>
      </c>
      <c r="AY129" s="204"/>
      <c r="AZ129" s="204"/>
      <c r="BA129" s="204"/>
    </row>
    <row r="130" spans="1:53" x14ac:dyDescent="0.25">
      <c r="A130" s="175" t="s">
        <v>211</v>
      </c>
      <c r="B130" s="174">
        <v>6</v>
      </c>
      <c r="C130" s="174"/>
      <c r="D130" s="174">
        <v>21</v>
      </c>
      <c r="E130" s="174"/>
      <c r="F130" s="174"/>
      <c r="G130" s="174">
        <v>2</v>
      </c>
      <c r="H130" s="174">
        <v>18</v>
      </c>
      <c r="I130" s="174"/>
      <c r="J130" s="174"/>
      <c r="K130" s="174">
        <v>1</v>
      </c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>
        <f t="shared" si="20"/>
        <v>21</v>
      </c>
      <c r="Z130" s="174">
        <v>6</v>
      </c>
      <c r="AA130" s="174"/>
      <c r="AB130" s="174">
        <v>19</v>
      </c>
      <c r="AC130" s="174"/>
      <c r="AD130" s="174"/>
      <c r="AE130" s="174">
        <v>2</v>
      </c>
      <c r="AF130" s="174">
        <v>16</v>
      </c>
      <c r="AG130" s="174"/>
      <c r="AH130" s="174"/>
      <c r="AI130" s="174">
        <v>1</v>
      </c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>
        <f t="shared" si="21"/>
        <v>19</v>
      </c>
      <c r="AX130" s="174">
        <v>1423.3333333333333</v>
      </c>
      <c r="AY130" s="204"/>
      <c r="AZ130" s="204"/>
      <c r="BA130" s="204"/>
    </row>
    <row r="131" spans="1:53" x14ac:dyDescent="0.25">
      <c r="A131" s="175" t="s">
        <v>212</v>
      </c>
      <c r="B131" s="174">
        <v>13</v>
      </c>
      <c r="C131" s="174">
        <v>4</v>
      </c>
      <c r="D131" s="174">
        <v>40</v>
      </c>
      <c r="E131" s="174">
        <v>4</v>
      </c>
      <c r="F131" s="174"/>
      <c r="G131" s="174"/>
      <c r="H131" s="174">
        <v>9</v>
      </c>
      <c r="I131" s="174"/>
      <c r="J131" s="174">
        <v>25</v>
      </c>
      <c r="K131" s="174">
        <v>2</v>
      </c>
      <c r="L131" s="174">
        <v>4</v>
      </c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>
        <f t="shared" si="20"/>
        <v>40</v>
      </c>
      <c r="Z131" s="174">
        <v>11</v>
      </c>
      <c r="AA131" s="174">
        <v>2</v>
      </c>
      <c r="AB131" s="174">
        <v>33</v>
      </c>
      <c r="AC131" s="174">
        <v>7</v>
      </c>
      <c r="AD131" s="174"/>
      <c r="AE131" s="174"/>
      <c r="AF131" s="174">
        <v>9</v>
      </c>
      <c r="AG131" s="174"/>
      <c r="AH131" s="174">
        <v>15</v>
      </c>
      <c r="AI131" s="174">
        <v>2</v>
      </c>
      <c r="AJ131" s="174">
        <v>7</v>
      </c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>
        <f t="shared" si="21"/>
        <v>33</v>
      </c>
      <c r="AX131" s="174">
        <v>1229.3333333333333</v>
      </c>
      <c r="AY131" s="204"/>
      <c r="AZ131" s="204"/>
      <c r="BA131" s="204"/>
    </row>
    <row r="132" spans="1:53" x14ac:dyDescent="0.25">
      <c r="A132" s="175" t="s">
        <v>213</v>
      </c>
      <c r="B132" s="174">
        <v>1</v>
      </c>
      <c r="C132" s="174"/>
      <c r="D132" s="174">
        <v>7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>
        <v>7</v>
      </c>
      <c r="T132" s="174"/>
      <c r="U132" s="174"/>
      <c r="V132" s="174"/>
      <c r="W132" s="174"/>
      <c r="X132" s="174"/>
      <c r="Y132" s="174">
        <f t="shared" si="20"/>
        <v>7</v>
      </c>
      <c r="Z132" s="174">
        <v>1</v>
      </c>
      <c r="AA132" s="174"/>
      <c r="AB132" s="174">
        <v>7</v>
      </c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>
        <v>7</v>
      </c>
      <c r="AR132" s="174"/>
      <c r="AS132" s="174"/>
      <c r="AT132" s="174"/>
      <c r="AU132" s="174"/>
      <c r="AV132" s="174"/>
      <c r="AW132" s="174">
        <f t="shared" si="21"/>
        <v>7</v>
      </c>
      <c r="AX132" s="174">
        <v>4528</v>
      </c>
      <c r="AY132" s="204"/>
      <c r="AZ132" s="204"/>
      <c r="BA132" s="204"/>
    </row>
    <row r="133" spans="1:53" x14ac:dyDescent="0.25">
      <c r="A133" s="175" t="s">
        <v>214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204"/>
      <c r="AZ133" s="204"/>
      <c r="BA133" s="204"/>
    </row>
    <row r="134" spans="1:53" x14ac:dyDescent="0.25">
      <c r="A134" s="175" t="s">
        <v>215</v>
      </c>
      <c r="B134" s="174">
        <v>2</v>
      </c>
      <c r="C134" s="174"/>
      <c r="D134" s="174">
        <v>3</v>
      </c>
      <c r="E134" s="174"/>
      <c r="F134" s="174">
        <v>1</v>
      </c>
      <c r="G134" s="174"/>
      <c r="H134" s="174"/>
      <c r="I134" s="174"/>
      <c r="J134" s="174"/>
      <c r="K134" s="174"/>
      <c r="L134" s="174"/>
      <c r="M134" s="174">
        <v>2</v>
      </c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>
        <f t="shared" si="20"/>
        <v>3</v>
      </c>
      <c r="Z134" s="174">
        <v>1</v>
      </c>
      <c r="AA134" s="174"/>
      <c r="AB134" s="174">
        <v>2</v>
      </c>
      <c r="AC134" s="174"/>
      <c r="AD134" s="174"/>
      <c r="AE134" s="174"/>
      <c r="AF134" s="174"/>
      <c r="AG134" s="174"/>
      <c r="AH134" s="174"/>
      <c r="AI134" s="174"/>
      <c r="AJ134" s="174"/>
      <c r="AK134" s="174">
        <v>2</v>
      </c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>
        <f t="shared" si="21"/>
        <v>2</v>
      </c>
      <c r="AX134" s="174">
        <v>1500</v>
      </c>
      <c r="AY134" s="204"/>
      <c r="AZ134" s="204"/>
      <c r="BA134" s="204"/>
    </row>
    <row r="135" spans="1:53" x14ac:dyDescent="0.25">
      <c r="A135" s="175" t="s">
        <v>216</v>
      </c>
      <c r="B135" s="174">
        <v>6</v>
      </c>
      <c r="C135" s="174"/>
      <c r="D135" s="174">
        <v>63</v>
      </c>
      <c r="E135" s="174"/>
      <c r="F135" s="174"/>
      <c r="G135" s="174"/>
      <c r="H135" s="174">
        <v>53</v>
      </c>
      <c r="I135" s="174"/>
      <c r="J135" s="174"/>
      <c r="K135" s="174"/>
      <c r="L135" s="174"/>
      <c r="M135" s="174"/>
      <c r="N135" s="174"/>
      <c r="O135" s="174">
        <v>4</v>
      </c>
      <c r="P135" s="174"/>
      <c r="Q135" s="174"/>
      <c r="R135" s="174">
        <v>6</v>
      </c>
      <c r="S135" s="174"/>
      <c r="T135" s="174"/>
      <c r="U135" s="174"/>
      <c r="V135" s="174"/>
      <c r="W135" s="174"/>
      <c r="X135" s="174"/>
      <c r="Y135" s="174">
        <f t="shared" si="20"/>
        <v>63</v>
      </c>
      <c r="Z135" s="174">
        <v>3</v>
      </c>
      <c r="AA135" s="174"/>
      <c r="AB135" s="174">
        <v>13</v>
      </c>
      <c r="AC135" s="174"/>
      <c r="AD135" s="174"/>
      <c r="AE135" s="174"/>
      <c r="AF135" s="174">
        <v>4</v>
      </c>
      <c r="AG135" s="174"/>
      <c r="AH135" s="174"/>
      <c r="AI135" s="174"/>
      <c r="AJ135" s="174"/>
      <c r="AK135" s="174"/>
      <c r="AL135" s="174"/>
      <c r="AM135" s="174">
        <v>3</v>
      </c>
      <c r="AN135" s="174"/>
      <c r="AO135" s="174"/>
      <c r="AP135" s="174">
        <v>6</v>
      </c>
      <c r="AQ135" s="174"/>
      <c r="AR135" s="174"/>
      <c r="AS135" s="174"/>
      <c r="AT135" s="174"/>
      <c r="AU135" s="174"/>
      <c r="AV135" s="174"/>
      <c r="AW135" s="174">
        <f t="shared" si="21"/>
        <v>13</v>
      </c>
      <c r="AX135" s="174">
        <v>3136.6666666666665</v>
      </c>
      <c r="AY135" s="204"/>
      <c r="AZ135" s="204"/>
      <c r="BA135" s="204"/>
    </row>
    <row r="136" spans="1:53" x14ac:dyDescent="0.25">
      <c r="A136" s="175" t="s">
        <v>217</v>
      </c>
      <c r="B136" s="174">
        <v>3</v>
      </c>
      <c r="C136" s="174"/>
      <c r="D136" s="174">
        <v>6</v>
      </c>
      <c r="E136" s="174"/>
      <c r="F136" s="174"/>
      <c r="G136" s="174"/>
      <c r="H136" s="174">
        <v>2</v>
      </c>
      <c r="I136" s="174"/>
      <c r="J136" s="174"/>
      <c r="K136" s="174"/>
      <c r="L136" s="174">
        <v>4</v>
      </c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>
        <f t="shared" si="20"/>
        <v>6</v>
      </c>
      <c r="Z136" s="174">
        <v>1</v>
      </c>
      <c r="AA136" s="174"/>
      <c r="AB136" s="174">
        <v>2</v>
      </c>
      <c r="AC136" s="174"/>
      <c r="AD136" s="174"/>
      <c r="AE136" s="174"/>
      <c r="AF136" s="174">
        <v>2</v>
      </c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>
        <f t="shared" si="21"/>
        <v>2</v>
      </c>
      <c r="AX136" s="174">
        <v>643.84666666666669</v>
      </c>
      <c r="AY136" s="204"/>
      <c r="AZ136" s="204"/>
      <c r="BA136" s="204"/>
    </row>
    <row r="137" spans="1:53" x14ac:dyDescent="0.25">
      <c r="A137" s="175" t="s">
        <v>218</v>
      </c>
      <c r="B137" s="174">
        <v>1</v>
      </c>
      <c r="C137" s="174"/>
      <c r="D137" s="174">
        <v>1</v>
      </c>
      <c r="E137" s="174"/>
      <c r="F137" s="174"/>
      <c r="G137" s="174"/>
      <c r="H137" s="174">
        <v>1</v>
      </c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>
        <f t="shared" si="20"/>
        <v>1</v>
      </c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204"/>
      <c r="AZ137" s="204"/>
      <c r="BA137" s="204"/>
    </row>
    <row r="138" spans="1:53" x14ac:dyDescent="0.25">
      <c r="A138" s="175" t="s">
        <v>219</v>
      </c>
      <c r="B138" s="174">
        <v>11</v>
      </c>
      <c r="C138" s="174"/>
      <c r="D138" s="174">
        <v>56</v>
      </c>
      <c r="E138" s="174"/>
      <c r="F138" s="174"/>
      <c r="G138" s="174"/>
      <c r="H138" s="174">
        <v>4</v>
      </c>
      <c r="I138" s="174"/>
      <c r="J138" s="174"/>
      <c r="K138" s="174">
        <v>51</v>
      </c>
      <c r="L138" s="174"/>
      <c r="M138" s="174"/>
      <c r="N138" s="174"/>
      <c r="O138" s="174"/>
      <c r="P138" s="174"/>
      <c r="Q138" s="174"/>
      <c r="R138" s="174">
        <v>1</v>
      </c>
      <c r="S138" s="174"/>
      <c r="T138" s="174"/>
      <c r="U138" s="174"/>
      <c r="V138" s="174"/>
      <c r="W138" s="174"/>
      <c r="X138" s="174"/>
      <c r="Y138" s="174">
        <f t="shared" si="20"/>
        <v>56</v>
      </c>
      <c r="Z138" s="174">
        <v>9</v>
      </c>
      <c r="AA138" s="174"/>
      <c r="AB138" s="174">
        <v>43</v>
      </c>
      <c r="AC138" s="174"/>
      <c r="AD138" s="174"/>
      <c r="AE138" s="174"/>
      <c r="AF138" s="174">
        <v>4</v>
      </c>
      <c r="AG138" s="174"/>
      <c r="AH138" s="174"/>
      <c r="AI138" s="174">
        <v>38</v>
      </c>
      <c r="AJ138" s="174"/>
      <c r="AK138" s="174"/>
      <c r="AL138" s="174"/>
      <c r="AM138" s="174"/>
      <c r="AN138" s="174"/>
      <c r="AO138" s="174"/>
      <c r="AP138" s="174">
        <v>1</v>
      </c>
      <c r="AQ138" s="174"/>
      <c r="AR138" s="174"/>
      <c r="AS138" s="174"/>
      <c r="AT138" s="174"/>
      <c r="AU138" s="174"/>
      <c r="AV138" s="174"/>
      <c r="AW138" s="174">
        <f t="shared" si="21"/>
        <v>43</v>
      </c>
      <c r="AX138" s="174">
        <v>902.15571428571434</v>
      </c>
      <c r="AY138" s="204"/>
      <c r="AZ138" s="204"/>
      <c r="BA138" s="204"/>
    </row>
    <row r="139" spans="1:53" x14ac:dyDescent="0.25">
      <c r="A139" s="175" t="s">
        <v>220</v>
      </c>
      <c r="B139" s="174">
        <v>56</v>
      </c>
      <c r="C139" s="174">
        <v>1</v>
      </c>
      <c r="D139" s="174">
        <v>88</v>
      </c>
      <c r="E139" s="174">
        <v>1</v>
      </c>
      <c r="F139" s="174"/>
      <c r="G139" s="174"/>
      <c r="H139" s="174">
        <v>37</v>
      </c>
      <c r="I139" s="174"/>
      <c r="J139" s="174">
        <v>11</v>
      </c>
      <c r="K139" s="174">
        <v>35</v>
      </c>
      <c r="L139" s="174"/>
      <c r="M139" s="174"/>
      <c r="N139" s="174"/>
      <c r="O139" s="174">
        <v>1</v>
      </c>
      <c r="P139" s="174">
        <v>1</v>
      </c>
      <c r="Q139" s="174">
        <v>1</v>
      </c>
      <c r="R139" s="174">
        <v>2</v>
      </c>
      <c r="S139" s="174"/>
      <c r="T139" s="174"/>
      <c r="U139" s="174"/>
      <c r="V139" s="174"/>
      <c r="W139" s="174"/>
      <c r="X139" s="174"/>
      <c r="Y139" s="174">
        <f t="shared" si="20"/>
        <v>88</v>
      </c>
      <c r="Z139" s="174">
        <v>28</v>
      </c>
      <c r="AA139" s="174">
        <v>1</v>
      </c>
      <c r="AB139" s="174">
        <v>57</v>
      </c>
      <c r="AC139" s="174">
        <v>1</v>
      </c>
      <c r="AD139" s="174"/>
      <c r="AE139" s="174"/>
      <c r="AF139" s="174">
        <v>28</v>
      </c>
      <c r="AG139" s="174"/>
      <c r="AH139" s="174">
        <v>11</v>
      </c>
      <c r="AI139" s="174">
        <v>14</v>
      </c>
      <c r="AJ139" s="174"/>
      <c r="AK139" s="174"/>
      <c r="AL139" s="174"/>
      <c r="AM139" s="174">
        <v>1</v>
      </c>
      <c r="AN139" s="174">
        <v>1</v>
      </c>
      <c r="AO139" s="174">
        <v>1</v>
      </c>
      <c r="AP139" s="174">
        <v>1</v>
      </c>
      <c r="AQ139" s="174"/>
      <c r="AR139" s="174"/>
      <c r="AS139" s="174"/>
      <c r="AT139" s="174"/>
      <c r="AU139" s="174"/>
      <c r="AV139" s="174"/>
      <c r="AW139" s="174">
        <f t="shared" si="21"/>
        <v>57</v>
      </c>
      <c r="AX139" s="174">
        <v>2457.6666666666665</v>
      </c>
      <c r="AY139" s="204"/>
      <c r="AZ139" s="204"/>
      <c r="BA139" s="204"/>
    </row>
    <row r="140" spans="1:53" x14ac:dyDescent="0.25">
      <c r="A140" s="175" t="s">
        <v>221</v>
      </c>
      <c r="B140" s="174">
        <v>1</v>
      </c>
      <c r="C140" s="174"/>
      <c r="D140" s="174">
        <v>6</v>
      </c>
      <c r="E140" s="174"/>
      <c r="F140" s="174"/>
      <c r="G140" s="174"/>
      <c r="H140" s="174">
        <v>6</v>
      </c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>
        <f t="shared" si="20"/>
        <v>6</v>
      </c>
      <c r="Z140" s="174">
        <v>1</v>
      </c>
      <c r="AA140" s="174"/>
      <c r="AB140" s="174">
        <v>6</v>
      </c>
      <c r="AC140" s="174"/>
      <c r="AD140" s="174"/>
      <c r="AE140" s="174"/>
      <c r="AF140" s="174">
        <v>6</v>
      </c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>
        <f t="shared" si="21"/>
        <v>6</v>
      </c>
      <c r="AX140" s="174">
        <v>677.47</v>
      </c>
      <c r="AY140" s="204"/>
      <c r="AZ140" s="204"/>
      <c r="BA140" s="204"/>
    </row>
    <row r="141" spans="1:53" x14ac:dyDescent="0.25">
      <c r="A141" s="175" t="s">
        <v>222</v>
      </c>
      <c r="B141" s="174">
        <v>4</v>
      </c>
      <c r="C141" s="174"/>
      <c r="D141" s="174">
        <v>23</v>
      </c>
      <c r="E141" s="174"/>
      <c r="F141" s="174"/>
      <c r="G141" s="174"/>
      <c r="H141" s="174">
        <v>12</v>
      </c>
      <c r="I141" s="174"/>
      <c r="J141" s="174"/>
      <c r="K141" s="174"/>
      <c r="L141" s="174"/>
      <c r="M141" s="174"/>
      <c r="N141" s="174">
        <v>8</v>
      </c>
      <c r="O141" s="174"/>
      <c r="P141" s="174"/>
      <c r="Q141" s="174"/>
      <c r="R141" s="174">
        <v>3</v>
      </c>
      <c r="S141" s="174"/>
      <c r="T141" s="174"/>
      <c r="U141" s="174"/>
      <c r="V141" s="174"/>
      <c r="W141" s="174"/>
      <c r="X141" s="174"/>
      <c r="Y141" s="174">
        <f t="shared" si="20"/>
        <v>23</v>
      </c>
      <c r="Z141" s="174">
        <v>4</v>
      </c>
      <c r="AA141" s="174"/>
      <c r="AB141" s="174">
        <v>21</v>
      </c>
      <c r="AC141" s="174"/>
      <c r="AD141" s="174"/>
      <c r="AE141" s="174"/>
      <c r="AF141" s="174">
        <v>10</v>
      </c>
      <c r="AG141" s="174"/>
      <c r="AH141" s="174"/>
      <c r="AI141" s="174"/>
      <c r="AJ141" s="174"/>
      <c r="AK141" s="174"/>
      <c r="AL141" s="174">
        <v>8</v>
      </c>
      <c r="AM141" s="174"/>
      <c r="AN141" s="174"/>
      <c r="AO141" s="174"/>
      <c r="AP141" s="174">
        <v>3</v>
      </c>
      <c r="AQ141" s="174"/>
      <c r="AR141" s="174"/>
      <c r="AS141" s="174"/>
      <c r="AT141" s="174"/>
      <c r="AU141" s="174"/>
      <c r="AV141" s="174"/>
      <c r="AW141" s="174">
        <f t="shared" si="21"/>
        <v>21</v>
      </c>
      <c r="AX141" s="174">
        <v>3436.6666666666665</v>
      </c>
      <c r="AY141" s="204"/>
      <c r="AZ141" s="204"/>
      <c r="BA141" s="204"/>
    </row>
    <row r="142" spans="1:53" x14ac:dyDescent="0.25">
      <c r="A142" s="175" t="s">
        <v>223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204"/>
      <c r="AZ142" s="204"/>
      <c r="BA142" s="204"/>
    </row>
    <row r="143" spans="1:53" x14ac:dyDescent="0.25">
      <c r="A143" s="175" t="s">
        <v>224</v>
      </c>
      <c r="B143" s="174">
        <v>2</v>
      </c>
      <c r="C143" s="174">
        <v>1</v>
      </c>
      <c r="D143" s="174">
        <v>3</v>
      </c>
      <c r="E143" s="174">
        <v>1</v>
      </c>
      <c r="F143" s="174">
        <v>2</v>
      </c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>
        <v>1</v>
      </c>
      <c r="W143" s="174"/>
      <c r="X143" s="174"/>
      <c r="Y143" s="174">
        <f t="shared" si="20"/>
        <v>3</v>
      </c>
      <c r="Z143" s="174">
        <v>1</v>
      </c>
      <c r="AA143" s="174">
        <v>1</v>
      </c>
      <c r="AB143" s="174">
        <v>1</v>
      </c>
      <c r="AC143" s="174">
        <v>1</v>
      </c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>
        <v>1</v>
      </c>
      <c r="AU143" s="174"/>
      <c r="AV143" s="174"/>
      <c r="AW143" s="174">
        <f t="shared" si="21"/>
        <v>1</v>
      </c>
      <c r="AX143" s="174">
        <v>1200</v>
      </c>
      <c r="AY143" s="204"/>
      <c r="AZ143" s="204"/>
      <c r="BA143" s="204"/>
    </row>
    <row r="144" spans="1:53" x14ac:dyDescent="0.25">
      <c r="A144" s="175" t="s">
        <v>225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204"/>
      <c r="AZ144" s="204"/>
      <c r="BA144" s="204"/>
    </row>
    <row r="145" spans="1:53" x14ac:dyDescent="0.25">
      <c r="A145" s="175" t="s">
        <v>226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204"/>
      <c r="AZ145" s="204"/>
      <c r="BA145" s="204"/>
    </row>
    <row r="146" spans="1:53" x14ac:dyDescent="0.25">
      <c r="A146" s="175" t="s">
        <v>227</v>
      </c>
      <c r="B146" s="174">
        <v>1</v>
      </c>
      <c r="C146" s="174"/>
      <c r="D146" s="174">
        <v>1</v>
      </c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>
        <v>1</v>
      </c>
      <c r="S146" s="174"/>
      <c r="T146" s="174"/>
      <c r="U146" s="174"/>
      <c r="V146" s="174"/>
      <c r="W146" s="174"/>
      <c r="X146" s="174"/>
      <c r="Y146" s="174">
        <f t="shared" si="20"/>
        <v>1</v>
      </c>
      <c r="Z146" s="174">
        <v>1</v>
      </c>
      <c r="AA146" s="174"/>
      <c r="AB146" s="174">
        <v>1</v>
      </c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>
        <v>1</v>
      </c>
      <c r="AQ146" s="174"/>
      <c r="AR146" s="174"/>
      <c r="AS146" s="174"/>
      <c r="AT146" s="174"/>
      <c r="AU146" s="174"/>
      <c r="AV146" s="174"/>
      <c r="AW146" s="174">
        <f t="shared" si="21"/>
        <v>1</v>
      </c>
      <c r="AX146" s="174">
        <v>5800</v>
      </c>
      <c r="AY146" s="204"/>
      <c r="AZ146" s="204"/>
      <c r="BA146" s="204"/>
    </row>
    <row r="147" spans="1:53" x14ac:dyDescent="0.25">
      <c r="A147" s="175" t="s">
        <v>228</v>
      </c>
      <c r="B147" s="174">
        <v>8</v>
      </c>
      <c r="C147" s="174"/>
      <c r="D147" s="174">
        <v>14</v>
      </c>
      <c r="E147" s="174"/>
      <c r="F147" s="174"/>
      <c r="G147" s="174"/>
      <c r="H147" s="174"/>
      <c r="I147" s="174"/>
      <c r="J147" s="174"/>
      <c r="K147" s="174">
        <v>12</v>
      </c>
      <c r="L147" s="174"/>
      <c r="M147" s="174">
        <v>2</v>
      </c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>
        <f t="shared" si="20"/>
        <v>14</v>
      </c>
      <c r="Z147" s="174">
        <v>5</v>
      </c>
      <c r="AA147" s="174"/>
      <c r="AB147" s="174">
        <v>8</v>
      </c>
      <c r="AC147" s="174"/>
      <c r="AD147" s="174"/>
      <c r="AE147" s="174"/>
      <c r="AF147" s="174"/>
      <c r="AG147" s="174"/>
      <c r="AH147" s="174"/>
      <c r="AI147" s="174">
        <v>6</v>
      </c>
      <c r="AJ147" s="174"/>
      <c r="AK147" s="174">
        <v>2</v>
      </c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>
        <f t="shared" si="21"/>
        <v>8</v>
      </c>
      <c r="AX147" s="174">
        <v>1920</v>
      </c>
      <c r="AY147" s="204"/>
      <c r="AZ147" s="204"/>
      <c r="BA147" s="204"/>
    </row>
    <row r="148" spans="1:53" x14ac:dyDescent="0.25">
      <c r="A148" s="175" t="s">
        <v>229</v>
      </c>
      <c r="B148" s="174">
        <v>5</v>
      </c>
      <c r="C148" s="174">
        <v>2</v>
      </c>
      <c r="D148" s="174">
        <v>10</v>
      </c>
      <c r="E148" s="174">
        <v>2</v>
      </c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>
        <v>8</v>
      </c>
      <c r="S148" s="174">
        <v>2</v>
      </c>
      <c r="T148" s="174"/>
      <c r="U148" s="174"/>
      <c r="V148" s="174"/>
      <c r="W148" s="174"/>
      <c r="X148" s="174"/>
      <c r="Y148" s="174">
        <f t="shared" si="20"/>
        <v>10</v>
      </c>
      <c r="Z148" s="174">
        <v>5</v>
      </c>
      <c r="AA148" s="174">
        <v>2</v>
      </c>
      <c r="AB148" s="174">
        <v>10</v>
      </c>
      <c r="AC148" s="174">
        <v>2</v>
      </c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>
        <v>8</v>
      </c>
      <c r="AQ148" s="174">
        <v>2</v>
      </c>
      <c r="AR148" s="174"/>
      <c r="AS148" s="174"/>
      <c r="AT148" s="174"/>
      <c r="AU148" s="174"/>
      <c r="AV148" s="174"/>
      <c r="AW148" s="174">
        <f t="shared" si="21"/>
        <v>10</v>
      </c>
      <c r="AX148" s="174">
        <v>2767.65</v>
      </c>
      <c r="AY148" s="204"/>
      <c r="AZ148" s="204"/>
      <c r="BA148" s="204"/>
    </row>
    <row r="149" spans="1:53" x14ac:dyDescent="0.25">
      <c r="A149" s="175" t="s">
        <v>230</v>
      </c>
      <c r="B149" s="174">
        <v>2</v>
      </c>
      <c r="C149" s="174"/>
      <c r="D149" s="174">
        <v>7</v>
      </c>
      <c r="E149" s="174"/>
      <c r="F149" s="174"/>
      <c r="G149" s="174"/>
      <c r="H149" s="174"/>
      <c r="I149" s="174"/>
      <c r="J149" s="174"/>
      <c r="K149" s="174"/>
      <c r="L149" s="174"/>
      <c r="M149" s="174"/>
      <c r="N149" s="174">
        <v>3</v>
      </c>
      <c r="O149" s="174"/>
      <c r="P149" s="174"/>
      <c r="Q149" s="174"/>
      <c r="R149" s="174"/>
      <c r="S149" s="174"/>
      <c r="T149" s="174"/>
      <c r="U149" s="174"/>
      <c r="V149" s="174"/>
      <c r="W149" s="174"/>
      <c r="X149" s="174">
        <v>4</v>
      </c>
      <c r="Y149" s="174">
        <f t="shared" si="20"/>
        <v>7</v>
      </c>
      <c r="Z149" s="174">
        <v>1</v>
      </c>
      <c r="AA149" s="174"/>
      <c r="AB149" s="174">
        <v>3</v>
      </c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>
        <v>3</v>
      </c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>
        <f t="shared" si="21"/>
        <v>3</v>
      </c>
      <c r="AX149" s="174">
        <v>1024</v>
      </c>
      <c r="AY149" s="204"/>
      <c r="AZ149" s="204"/>
      <c r="BA149" s="204"/>
    </row>
    <row r="150" spans="1:53" x14ac:dyDescent="0.25">
      <c r="A150" s="175" t="s">
        <v>231</v>
      </c>
      <c r="B150" s="174">
        <v>1</v>
      </c>
      <c r="C150" s="174"/>
      <c r="D150" s="174">
        <v>1</v>
      </c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>
        <v>1</v>
      </c>
      <c r="Y150" s="174">
        <f t="shared" si="20"/>
        <v>1</v>
      </c>
      <c r="Z150" s="174">
        <v>1</v>
      </c>
      <c r="AA150" s="174"/>
      <c r="AB150" s="174">
        <v>1</v>
      </c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>
        <v>1</v>
      </c>
      <c r="AW150" s="174">
        <f t="shared" si="21"/>
        <v>1</v>
      </c>
      <c r="AX150" s="174">
        <v>2500</v>
      </c>
      <c r="AY150" s="204"/>
      <c r="AZ150" s="204"/>
      <c r="BA150" s="204"/>
    </row>
    <row r="151" spans="1:53" x14ac:dyDescent="0.25">
      <c r="A151" s="175" t="s">
        <v>232</v>
      </c>
      <c r="B151" s="174">
        <v>4</v>
      </c>
      <c r="C151" s="174">
        <v>2</v>
      </c>
      <c r="D151" s="174">
        <v>5</v>
      </c>
      <c r="E151" s="174">
        <v>2</v>
      </c>
      <c r="F151" s="174"/>
      <c r="G151" s="174"/>
      <c r="H151" s="174"/>
      <c r="I151" s="174"/>
      <c r="J151" s="174"/>
      <c r="K151" s="174"/>
      <c r="L151" s="174"/>
      <c r="M151" s="174"/>
      <c r="N151" s="174">
        <v>1</v>
      </c>
      <c r="O151" s="174"/>
      <c r="P151" s="174"/>
      <c r="Q151" s="174"/>
      <c r="R151" s="174">
        <v>2</v>
      </c>
      <c r="S151" s="174"/>
      <c r="T151" s="174"/>
      <c r="U151" s="174"/>
      <c r="V151" s="174"/>
      <c r="W151" s="174">
        <v>2</v>
      </c>
      <c r="X151" s="174"/>
      <c r="Y151" s="174">
        <f t="shared" si="20"/>
        <v>5</v>
      </c>
      <c r="Z151" s="174">
        <v>4</v>
      </c>
      <c r="AA151" s="174">
        <v>2</v>
      </c>
      <c r="AB151" s="174">
        <v>5</v>
      </c>
      <c r="AC151" s="174">
        <v>2</v>
      </c>
      <c r="AD151" s="174"/>
      <c r="AE151" s="174"/>
      <c r="AF151" s="174"/>
      <c r="AG151" s="174"/>
      <c r="AH151" s="174"/>
      <c r="AI151" s="174"/>
      <c r="AJ151" s="174"/>
      <c r="AK151" s="174"/>
      <c r="AL151" s="174">
        <v>1</v>
      </c>
      <c r="AM151" s="174"/>
      <c r="AN151" s="174"/>
      <c r="AO151" s="174"/>
      <c r="AP151" s="174">
        <v>2</v>
      </c>
      <c r="AQ151" s="174"/>
      <c r="AR151" s="174"/>
      <c r="AS151" s="174"/>
      <c r="AT151" s="174"/>
      <c r="AU151" s="174">
        <v>2</v>
      </c>
      <c r="AV151" s="174"/>
      <c r="AW151" s="174">
        <f t="shared" si="21"/>
        <v>5</v>
      </c>
      <c r="AX151" s="174">
        <v>2700</v>
      </c>
      <c r="AY151" s="204"/>
      <c r="AZ151" s="204"/>
      <c r="BA151" s="204"/>
    </row>
    <row r="152" spans="1:53" x14ac:dyDescent="0.25">
      <c r="A152" s="175" t="s">
        <v>233</v>
      </c>
      <c r="B152" s="174">
        <v>3</v>
      </c>
      <c r="C152" s="174"/>
      <c r="D152" s="174">
        <v>7</v>
      </c>
      <c r="E152" s="174"/>
      <c r="F152" s="174"/>
      <c r="G152" s="174"/>
      <c r="H152" s="174">
        <v>7</v>
      </c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>
        <f t="shared" si="20"/>
        <v>7</v>
      </c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204"/>
      <c r="AZ152" s="204"/>
      <c r="BA152" s="204"/>
    </row>
    <row r="153" spans="1:53" x14ac:dyDescent="0.25">
      <c r="A153" s="175" t="s">
        <v>234</v>
      </c>
      <c r="B153" s="174">
        <v>1</v>
      </c>
      <c r="C153" s="174"/>
      <c r="D153" s="174">
        <v>4</v>
      </c>
      <c r="E153" s="174"/>
      <c r="F153" s="174"/>
      <c r="G153" s="174"/>
      <c r="H153" s="174">
        <v>4</v>
      </c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>
        <f t="shared" si="20"/>
        <v>4</v>
      </c>
      <c r="Z153" s="174">
        <v>1</v>
      </c>
      <c r="AA153" s="174"/>
      <c r="AB153" s="174">
        <v>4</v>
      </c>
      <c r="AC153" s="174"/>
      <c r="AD153" s="174"/>
      <c r="AE153" s="174"/>
      <c r="AF153" s="174">
        <v>4</v>
      </c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>
        <f t="shared" si="21"/>
        <v>4</v>
      </c>
      <c r="AX153" s="174">
        <v>3150</v>
      </c>
      <c r="AY153" s="204"/>
      <c r="AZ153" s="204"/>
      <c r="BA153" s="204"/>
    </row>
    <row r="154" spans="1:53" x14ac:dyDescent="0.25">
      <c r="A154" s="175" t="s">
        <v>235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204"/>
      <c r="AZ154" s="204"/>
      <c r="BA154" s="204"/>
    </row>
    <row r="155" spans="1:53" x14ac:dyDescent="0.25">
      <c r="A155" s="175" t="s">
        <v>236</v>
      </c>
      <c r="B155" s="174">
        <v>12</v>
      </c>
      <c r="C155" s="174"/>
      <c r="D155" s="174">
        <v>32</v>
      </c>
      <c r="E155" s="174"/>
      <c r="F155" s="174"/>
      <c r="G155" s="174"/>
      <c r="H155" s="174">
        <v>20</v>
      </c>
      <c r="I155" s="174"/>
      <c r="J155" s="174">
        <v>1</v>
      </c>
      <c r="K155" s="174"/>
      <c r="L155" s="174">
        <v>3</v>
      </c>
      <c r="M155" s="174">
        <v>7</v>
      </c>
      <c r="N155" s="174"/>
      <c r="O155" s="174"/>
      <c r="P155" s="174"/>
      <c r="Q155" s="174"/>
      <c r="R155" s="174"/>
      <c r="S155" s="174">
        <v>1</v>
      </c>
      <c r="T155" s="174"/>
      <c r="U155" s="174"/>
      <c r="V155" s="174"/>
      <c r="W155" s="174"/>
      <c r="X155" s="174"/>
      <c r="Y155" s="174">
        <f t="shared" si="20"/>
        <v>32</v>
      </c>
      <c r="Z155" s="174">
        <v>8</v>
      </c>
      <c r="AA155" s="174"/>
      <c r="AB155" s="174">
        <v>26</v>
      </c>
      <c r="AC155" s="174"/>
      <c r="AD155" s="174"/>
      <c r="AE155" s="174"/>
      <c r="AF155" s="174">
        <v>16</v>
      </c>
      <c r="AG155" s="174"/>
      <c r="AH155" s="174">
        <v>1</v>
      </c>
      <c r="AI155" s="174"/>
      <c r="AJ155" s="174">
        <v>3</v>
      </c>
      <c r="AK155" s="174">
        <v>5</v>
      </c>
      <c r="AL155" s="174"/>
      <c r="AM155" s="174"/>
      <c r="AN155" s="174"/>
      <c r="AO155" s="174"/>
      <c r="AP155" s="174"/>
      <c r="AQ155" s="174">
        <v>1</v>
      </c>
      <c r="AR155" s="174"/>
      <c r="AS155" s="174"/>
      <c r="AT155" s="174"/>
      <c r="AU155" s="174"/>
      <c r="AV155" s="174"/>
      <c r="AW155" s="174">
        <f t="shared" si="21"/>
        <v>26</v>
      </c>
      <c r="AX155" s="174">
        <v>1368.25</v>
      </c>
      <c r="AY155" s="204"/>
      <c r="AZ155" s="204"/>
      <c r="BA155" s="204"/>
    </row>
    <row r="156" spans="1:53" x14ac:dyDescent="0.25">
      <c r="A156" s="175" t="s">
        <v>237</v>
      </c>
      <c r="B156" s="174">
        <v>3</v>
      </c>
      <c r="C156" s="174"/>
      <c r="D156" s="174">
        <v>18</v>
      </c>
      <c r="E156" s="174"/>
      <c r="F156" s="174"/>
      <c r="G156" s="174"/>
      <c r="H156" s="174">
        <v>16</v>
      </c>
      <c r="I156" s="174"/>
      <c r="J156" s="174"/>
      <c r="K156" s="174"/>
      <c r="L156" s="174">
        <v>1</v>
      </c>
      <c r="M156" s="174"/>
      <c r="N156" s="174"/>
      <c r="O156" s="174"/>
      <c r="P156" s="174"/>
      <c r="Q156" s="174"/>
      <c r="R156" s="174"/>
      <c r="S156" s="174"/>
      <c r="T156" s="174"/>
      <c r="U156" s="174">
        <v>1</v>
      </c>
      <c r="V156" s="174"/>
      <c r="W156" s="174"/>
      <c r="X156" s="174"/>
      <c r="Y156" s="174">
        <f t="shared" si="20"/>
        <v>18</v>
      </c>
      <c r="Z156" s="174">
        <v>2</v>
      </c>
      <c r="AA156" s="174"/>
      <c r="AB156" s="174">
        <v>17</v>
      </c>
      <c r="AC156" s="174"/>
      <c r="AD156" s="174"/>
      <c r="AE156" s="174"/>
      <c r="AF156" s="174">
        <v>16</v>
      </c>
      <c r="AG156" s="174"/>
      <c r="AH156" s="174"/>
      <c r="AI156" s="174"/>
      <c r="AJ156" s="174">
        <v>1</v>
      </c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>
        <f t="shared" si="21"/>
        <v>17</v>
      </c>
      <c r="AX156" s="174">
        <v>1275</v>
      </c>
      <c r="AY156" s="204"/>
      <c r="AZ156" s="204"/>
      <c r="BA156" s="204"/>
    </row>
    <row r="157" spans="1:53" x14ac:dyDescent="0.25">
      <c r="A157" s="175" t="s">
        <v>238</v>
      </c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204"/>
      <c r="AZ157" s="204"/>
      <c r="BA157" s="204"/>
    </row>
    <row r="158" spans="1:53" x14ac:dyDescent="0.25">
      <c r="A158" s="175" t="s">
        <v>239</v>
      </c>
      <c r="B158" s="174">
        <v>1</v>
      </c>
      <c r="C158" s="174"/>
      <c r="D158" s="174">
        <v>6</v>
      </c>
      <c r="E158" s="174"/>
      <c r="F158" s="174"/>
      <c r="G158" s="174"/>
      <c r="H158" s="174">
        <v>6</v>
      </c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>
        <f t="shared" ref="Y158:Y198" si="22">SUM(F158:X158)</f>
        <v>6</v>
      </c>
      <c r="Z158" s="174">
        <v>1</v>
      </c>
      <c r="AA158" s="174"/>
      <c r="AB158" s="174">
        <v>6</v>
      </c>
      <c r="AC158" s="174"/>
      <c r="AD158" s="174"/>
      <c r="AE158" s="174"/>
      <c r="AF158" s="174">
        <v>6</v>
      </c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>
        <f t="shared" ref="AW158:AW198" si="23">SUM(AD158:AV158)</f>
        <v>6</v>
      </c>
      <c r="AX158" s="174">
        <v>880</v>
      </c>
      <c r="AY158" s="204"/>
      <c r="AZ158" s="204"/>
      <c r="BA158" s="204"/>
    </row>
    <row r="159" spans="1:53" x14ac:dyDescent="0.25">
      <c r="A159" s="175" t="s">
        <v>240</v>
      </c>
      <c r="B159" s="174">
        <v>4</v>
      </c>
      <c r="C159" s="174"/>
      <c r="D159" s="174">
        <v>4</v>
      </c>
      <c r="E159" s="174"/>
      <c r="F159" s="174"/>
      <c r="G159" s="174"/>
      <c r="H159" s="174"/>
      <c r="I159" s="174"/>
      <c r="J159" s="174"/>
      <c r="K159" s="174">
        <v>2</v>
      </c>
      <c r="L159" s="174"/>
      <c r="M159" s="174"/>
      <c r="N159" s="174"/>
      <c r="O159" s="174"/>
      <c r="P159" s="174"/>
      <c r="Q159" s="174"/>
      <c r="R159" s="174">
        <v>2</v>
      </c>
      <c r="S159" s="174"/>
      <c r="T159" s="174"/>
      <c r="U159" s="174"/>
      <c r="V159" s="174"/>
      <c r="W159" s="174"/>
      <c r="X159" s="174"/>
      <c r="Y159" s="174">
        <f t="shared" si="22"/>
        <v>4</v>
      </c>
      <c r="Z159" s="174">
        <v>4</v>
      </c>
      <c r="AA159" s="174"/>
      <c r="AB159" s="174">
        <v>4</v>
      </c>
      <c r="AC159" s="174"/>
      <c r="AD159" s="174"/>
      <c r="AE159" s="174"/>
      <c r="AF159" s="174"/>
      <c r="AG159" s="174"/>
      <c r="AH159" s="174"/>
      <c r="AI159" s="174">
        <v>2</v>
      </c>
      <c r="AJ159" s="174"/>
      <c r="AK159" s="174"/>
      <c r="AL159" s="174"/>
      <c r="AM159" s="174"/>
      <c r="AN159" s="174"/>
      <c r="AO159" s="174"/>
      <c r="AP159" s="174">
        <v>2</v>
      </c>
      <c r="AQ159" s="174"/>
      <c r="AR159" s="174"/>
      <c r="AS159" s="174"/>
      <c r="AT159" s="174"/>
      <c r="AU159" s="174"/>
      <c r="AV159" s="174"/>
      <c r="AW159" s="174">
        <f t="shared" si="23"/>
        <v>4</v>
      </c>
      <c r="AX159" s="174">
        <v>526.66666666666663</v>
      </c>
      <c r="AY159" s="204"/>
      <c r="AZ159" s="204"/>
      <c r="BA159" s="204"/>
    </row>
    <row r="160" spans="1:53" x14ac:dyDescent="0.25">
      <c r="A160" s="175" t="s">
        <v>241</v>
      </c>
      <c r="B160" s="174">
        <v>3</v>
      </c>
      <c r="C160" s="174"/>
      <c r="D160" s="174">
        <v>10</v>
      </c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>
        <v>10</v>
      </c>
      <c r="S160" s="174"/>
      <c r="T160" s="174"/>
      <c r="U160" s="174"/>
      <c r="V160" s="174"/>
      <c r="W160" s="174"/>
      <c r="X160" s="174"/>
      <c r="Y160" s="174">
        <f t="shared" si="22"/>
        <v>10</v>
      </c>
      <c r="Z160" s="174">
        <v>3</v>
      </c>
      <c r="AA160" s="174"/>
      <c r="AB160" s="174">
        <v>9</v>
      </c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>
        <v>9</v>
      </c>
      <c r="AQ160" s="174"/>
      <c r="AR160" s="174"/>
      <c r="AS160" s="174"/>
      <c r="AT160" s="174"/>
      <c r="AU160" s="174"/>
      <c r="AV160" s="174"/>
      <c r="AW160" s="174">
        <f t="shared" si="23"/>
        <v>9</v>
      </c>
      <c r="AX160" s="174">
        <v>2990</v>
      </c>
      <c r="AY160" s="204"/>
      <c r="AZ160" s="204"/>
      <c r="BA160" s="204"/>
    </row>
    <row r="161" spans="1:53" x14ac:dyDescent="0.25">
      <c r="A161" s="175" t="s">
        <v>242</v>
      </c>
      <c r="B161" s="174">
        <v>7</v>
      </c>
      <c r="C161" s="174"/>
      <c r="D161" s="174">
        <v>34</v>
      </c>
      <c r="E161" s="174"/>
      <c r="F161" s="174"/>
      <c r="G161" s="174"/>
      <c r="H161" s="174">
        <v>33</v>
      </c>
      <c r="I161" s="174"/>
      <c r="J161" s="174"/>
      <c r="K161" s="174"/>
      <c r="L161" s="174">
        <v>1</v>
      </c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>
        <f t="shared" si="22"/>
        <v>34</v>
      </c>
      <c r="Z161" s="174">
        <v>3</v>
      </c>
      <c r="AA161" s="174"/>
      <c r="AB161" s="174">
        <v>16</v>
      </c>
      <c r="AC161" s="174"/>
      <c r="AD161" s="174"/>
      <c r="AE161" s="174"/>
      <c r="AF161" s="174">
        <v>15</v>
      </c>
      <c r="AG161" s="174"/>
      <c r="AH161" s="174"/>
      <c r="AI161" s="174"/>
      <c r="AJ161" s="174">
        <v>1</v>
      </c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>
        <f t="shared" si="23"/>
        <v>16</v>
      </c>
      <c r="AX161" s="174">
        <v>1732.1333333333332</v>
      </c>
      <c r="AY161" s="204"/>
      <c r="AZ161" s="204"/>
      <c r="BA161" s="204"/>
    </row>
    <row r="162" spans="1:53" x14ac:dyDescent="0.25">
      <c r="A162" s="175" t="s">
        <v>243</v>
      </c>
      <c r="B162" s="174">
        <v>1</v>
      </c>
      <c r="C162" s="174"/>
      <c r="D162" s="174">
        <v>9</v>
      </c>
      <c r="E162" s="174"/>
      <c r="F162" s="174"/>
      <c r="G162" s="174"/>
      <c r="H162" s="174">
        <v>9</v>
      </c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>
        <f t="shared" si="22"/>
        <v>9</v>
      </c>
      <c r="Z162" s="174">
        <v>1</v>
      </c>
      <c r="AA162" s="174"/>
      <c r="AB162" s="174">
        <v>8</v>
      </c>
      <c r="AC162" s="174"/>
      <c r="AD162" s="174"/>
      <c r="AE162" s="174"/>
      <c r="AF162" s="174">
        <v>8</v>
      </c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>
        <f t="shared" si="23"/>
        <v>8</v>
      </c>
      <c r="AX162" s="174">
        <v>1812</v>
      </c>
      <c r="AY162" s="204"/>
      <c r="AZ162" s="204"/>
      <c r="BA162" s="204"/>
    </row>
    <row r="163" spans="1:53" x14ac:dyDescent="0.25">
      <c r="A163" s="175" t="s">
        <v>244</v>
      </c>
      <c r="B163" s="174">
        <v>2</v>
      </c>
      <c r="C163" s="174"/>
      <c r="D163" s="174">
        <v>3</v>
      </c>
      <c r="E163" s="174"/>
      <c r="F163" s="174"/>
      <c r="G163" s="174"/>
      <c r="H163" s="174">
        <v>3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>
        <f t="shared" si="22"/>
        <v>3</v>
      </c>
      <c r="Z163" s="174">
        <v>2</v>
      </c>
      <c r="AA163" s="174"/>
      <c r="AB163" s="174">
        <v>3</v>
      </c>
      <c r="AC163" s="174"/>
      <c r="AD163" s="174"/>
      <c r="AE163" s="174"/>
      <c r="AF163" s="174">
        <v>3</v>
      </c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>
        <f t="shared" si="23"/>
        <v>3</v>
      </c>
      <c r="AX163" s="174">
        <v>952</v>
      </c>
      <c r="AY163" s="204"/>
      <c r="AZ163" s="204"/>
      <c r="BA163" s="204"/>
    </row>
    <row r="164" spans="1:53" x14ac:dyDescent="0.25">
      <c r="A164" s="175" t="s">
        <v>245</v>
      </c>
      <c r="B164" s="174">
        <v>4</v>
      </c>
      <c r="C164" s="174"/>
      <c r="D164" s="174">
        <v>32</v>
      </c>
      <c r="E164" s="174"/>
      <c r="F164" s="174"/>
      <c r="G164" s="174"/>
      <c r="H164" s="174">
        <v>32</v>
      </c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>
        <f t="shared" si="22"/>
        <v>32</v>
      </c>
      <c r="Z164" s="174">
        <v>4</v>
      </c>
      <c r="AA164" s="174"/>
      <c r="AB164" s="174">
        <v>32</v>
      </c>
      <c r="AC164" s="174"/>
      <c r="AD164" s="174"/>
      <c r="AE164" s="174"/>
      <c r="AF164" s="174">
        <v>32</v>
      </c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>
        <f t="shared" si="23"/>
        <v>32</v>
      </c>
      <c r="AX164" s="174">
        <v>925.33333333333337</v>
      </c>
      <c r="AY164" s="204"/>
      <c r="AZ164" s="204"/>
      <c r="BA164" s="204"/>
    </row>
    <row r="165" spans="1:53" x14ac:dyDescent="0.25">
      <c r="A165" s="175" t="s">
        <v>246</v>
      </c>
      <c r="B165" s="174">
        <v>1</v>
      </c>
      <c r="C165" s="174"/>
      <c r="D165" s="174">
        <v>47</v>
      </c>
      <c r="E165" s="174"/>
      <c r="F165" s="174"/>
      <c r="G165" s="174"/>
      <c r="H165" s="174">
        <v>47</v>
      </c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>
        <f t="shared" si="22"/>
        <v>47</v>
      </c>
      <c r="Z165" s="174">
        <v>1</v>
      </c>
      <c r="AA165" s="174"/>
      <c r="AB165" s="174">
        <v>37</v>
      </c>
      <c r="AC165" s="174"/>
      <c r="AD165" s="174"/>
      <c r="AE165" s="174"/>
      <c r="AF165" s="174">
        <v>37</v>
      </c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>
        <f t="shared" si="23"/>
        <v>37</v>
      </c>
      <c r="AX165" s="174">
        <v>296</v>
      </c>
      <c r="AY165" s="204"/>
      <c r="AZ165" s="204"/>
      <c r="BA165" s="204"/>
    </row>
    <row r="166" spans="1:53" x14ac:dyDescent="0.25">
      <c r="A166" s="175" t="s">
        <v>247</v>
      </c>
      <c r="B166" s="174">
        <v>4</v>
      </c>
      <c r="C166" s="174"/>
      <c r="D166" s="174">
        <v>6</v>
      </c>
      <c r="E166" s="174"/>
      <c r="F166" s="174"/>
      <c r="G166" s="174"/>
      <c r="H166" s="174">
        <v>4</v>
      </c>
      <c r="I166" s="174"/>
      <c r="J166" s="174"/>
      <c r="K166" s="174"/>
      <c r="L166" s="174">
        <v>2</v>
      </c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>
        <f t="shared" si="22"/>
        <v>6</v>
      </c>
      <c r="Z166" s="174">
        <v>2</v>
      </c>
      <c r="AA166" s="174"/>
      <c r="AB166" s="174">
        <v>4</v>
      </c>
      <c r="AC166" s="174"/>
      <c r="AD166" s="174"/>
      <c r="AE166" s="174"/>
      <c r="AF166" s="174">
        <v>2</v>
      </c>
      <c r="AG166" s="174"/>
      <c r="AH166" s="174"/>
      <c r="AI166" s="174"/>
      <c r="AJ166" s="174">
        <v>2</v>
      </c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>
        <f t="shared" si="23"/>
        <v>4</v>
      </c>
      <c r="AX166" s="174">
        <v>6400</v>
      </c>
      <c r="AY166" s="204"/>
      <c r="AZ166" s="204"/>
      <c r="BA166" s="204"/>
    </row>
    <row r="167" spans="1:53" x14ac:dyDescent="0.25">
      <c r="A167" s="175" t="s">
        <v>248</v>
      </c>
      <c r="B167" s="174">
        <v>4</v>
      </c>
      <c r="C167" s="174"/>
      <c r="D167" s="174">
        <v>7</v>
      </c>
      <c r="E167" s="174"/>
      <c r="F167" s="174"/>
      <c r="G167" s="174"/>
      <c r="H167" s="174"/>
      <c r="I167" s="174"/>
      <c r="J167" s="174"/>
      <c r="K167" s="174"/>
      <c r="L167" s="174">
        <v>6</v>
      </c>
      <c r="M167" s="174"/>
      <c r="N167" s="174"/>
      <c r="O167" s="174"/>
      <c r="P167" s="174"/>
      <c r="Q167" s="174"/>
      <c r="R167" s="174"/>
      <c r="S167" s="174">
        <v>1</v>
      </c>
      <c r="T167" s="174"/>
      <c r="U167" s="174"/>
      <c r="V167" s="174"/>
      <c r="W167" s="174"/>
      <c r="X167" s="174"/>
      <c r="Y167" s="174">
        <f t="shared" si="22"/>
        <v>7</v>
      </c>
      <c r="Z167" s="174">
        <v>4</v>
      </c>
      <c r="AA167" s="174"/>
      <c r="AB167" s="174">
        <v>7</v>
      </c>
      <c r="AC167" s="174"/>
      <c r="AD167" s="174"/>
      <c r="AE167" s="174"/>
      <c r="AF167" s="174"/>
      <c r="AG167" s="174"/>
      <c r="AH167" s="174"/>
      <c r="AI167" s="174"/>
      <c r="AJ167" s="174">
        <v>6</v>
      </c>
      <c r="AK167" s="174"/>
      <c r="AL167" s="174"/>
      <c r="AM167" s="174"/>
      <c r="AN167" s="174"/>
      <c r="AO167" s="174"/>
      <c r="AP167" s="174"/>
      <c r="AQ167" s="174">
        <v>1</v>
      </c>
      <c r="AR167" s="174"/>
      <c r="AS167" s="174"/>
      <c r="AT167" s="174"/>
      <c r="AU167" s="174"/>
      <c r="AV167" s="174"/>
      <c r="AW167" s="174">
        <f t="shared" si="23"/>
        <v>7</v>
      </c>
      <c r="AX167" s="174">
        <v>3990</v>
      </c>
      <c r="AY167" s="204"/>
      <c r="AZ167" s="204"/>
      <c r="BA167" s="204"/>
    </row>
    <row r="168" spans="1:53" x14ac:dyDescent="0.25">
      <c r="A168" s="175" t="s">
        <v>249</v>
      </c>
      <c r="B168" s="174">
        <v>1</v>
      </c>
      <c r="C168" s="174"/>
      <c r="D168" s="174">
        <v>1</v>
      </c>
      <c r="E168" s="174"/>
      <c r="F168" s="174"/>
      <c r="G168" s="174"/>
      <c r="H168" s="174">
        <v>1</v>
      </c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>
        <f t="shared" si="22"/>
        <v>1</v>
      </c>
      <c r="Z168" s="174">
        <v>1</v>
      </c>
      <c r="AA168" s="174"/>
      <c r="AB168" s="174">
        <v>1</v>
      </c>
      <c r="AC168" s="174"/>
      <c r="AD168" s="174"/>
      <c r="AE168" s="174"/>
      <c r="AF168" s="174">
        <v>1</v>
      </c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>
        <f t="shared" si="23"/>
        <v>1</v>
      </c>
      <c r="AX168" s="174">
        <v>3840</v>
      </c>
      <c r="AY168" s="204"/>
      <c r="AZ168" s="204"/>
      <c r="BA168" s="204"/>
    </row>
    <row r="169" spans="1:53" x14ac:dyDescent="0.25">
      <c r="A169" s="175" t="s">
        <v>250</v>
      </c>
      <c r="B169" s="174">
        <v>2</v>
      </c>
      <c r="C169" s="174"/>
      <c r="D169" s="174">
        <v>5</v>
      </c>
      <c r="E169" s="174"/>
      <c r="F169" s="174"/>
      <c r="G169" s="174"/>
      <c r="H169" s="174">
        <v>5</v>
      </c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>
        <f t="shared" si="22"/>
        <v>5</v>
      </c>
      <c r="Z169" s="174">
        <v>2</v>
      </c>
      <c r="AA169" s="174"/>
      <c r="AB169" s="174">
        <v>5</v>
      </c>
      <c r="AC169" s="174"/>
      <c r="AD169" s="174"/>
      <c r="AE169" s="174"/>
      <c r="AF169" s="174">
        <v>5</v>
      </c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>
        <f t="shared" si="23"/>
        <v>5</v>
      </c>
      <c r="AX169" s="174">
        <v>2160</v>
      </c>
      <c r="AY169" s="204"/>
      <c r="AZ169" s="204"/>
      <c r="BA169" s="204"/>
    </row>
    <row r="170" spans="1:53" x14ac:dyDescent="0.25">
      <c r="A170" s="175" t="s">
        <v>251</v>
      </c>
      <c r="B170" s="174">
        <v>1</v>
      </c>
      <c r="C170" s="174"/>
      <c r="D170" s="174">
        <v>1</v>
      </c>
      <c r="E170" s="174"/>
      <c r="F170" s="174"/>
      <c r="G170" s="174"/>
      <c r="H170" s="174"/>
      <c r="I170" s="174"/>
      <c r="J170" s="174"/>
      <c r="K170" s="174"/>
      <c r="L170" s="174"/>
      <c r="M170" s="174">
        <v>1</v>
      </c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>
        <f t="shared" si="22"/>
        <v>1</v>
      </c>
      <c r="Z170" s="174">
        <v>1</v>
      </c>
      <c r="AA170" s="174"/>
      <c r="AB170" s="174">
        <v>1</v>
      </c>
      <c r="AC170" s="174"/>
      <c r="AD170" s="174"/>
      <c r="AE170" s="174"/>
      <c r="AF170" s="174"/>
      <c r="AG170" s="174"/>
      <c r="AH170" s="174"/>
      <c r="AI170" s="174"/>
      <c r="AJ170" s="174"/>
      <c r="AK170" s="174">
        <v>1</v>
      </c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>
        <f t="shared" si="23"/>
        <v>1</v>
      </c>
      <c r="AX170" s="174">
        <v>2631.2</v>
      </c>
      <c r="AY170" s="204"/>
      <c r="AZ170" s="204"/>
      <c r="BA170" s="204"/>
    </row>
    <row r="171" spans="1:53" x14ac:dyDescent="0.25">
      <c r="A171" s="175" t="s">
        <v>252</v>
      </c>
      <c r="B171" s="174">
        <v>3</v>
      </c>
      <c r="C171" s="174"/>
      <c r="D171" s="174">
        <v>7</v>
      </c>
      <c r="E171" s="174"/>
      <c r="F171" s="174"/>
      <c r="G171" s="174"/>
      <c r="H171" s="174">
        <v>5</v>
      </c>
      <c r="I171" s="174"/>
      <c r="J171" s="174"/>
      <c r="K171" s="174"/>
      <c r="L171" s="174">
        <v>1</v>
      </c>
      <c r="M171" s="174"/>
      <c r="N171" s="174"/>
      <c r="O171" s="174"/>
      <c r="P171" s="174"/>
      <c r="Q171" s="174"/>
      <c r="R171" s="174"/>
      <c r="S171" s="174">
        <v>1</v>
      </c>
      <c r="T171" s="174"/>
      <c r="U171" s="174"/>
      <c r="V171" s="174"/>
      <c r="W171" s="174"/>
      <c r="X171" s="174"/>
      <c r="Y171" s="174">
        <f t="shared" si="22"/>
        <v>7</v>
      </c>
      <c r="Z171" s="174">
        <v>1</v>
      </c>
      <c r="AA171" s="174"/>
      <c r="AB171" s="174">
        <v>1</v>
      </c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>
        <v>1</v>
      </c>
      <c r="AR171" s="174"/>
      <c r="AS171" s="174"/>
      <c r="AT171" s="174"/>
      <c r="AU171" s="174"/>
      <c r="AV171" s="174"/>
      <c r="AW171" s="174">
        <f t="shared" si="23"/>
        <v>1</v>
      </c>
      <c r="AX171" s="174">
        <v>1190</v>
      </c>
      <c r="AY171" s="204"/>
      <c r="AZ171" s="204"/>
      <c r="BA171" s="204"/>
    </row>
    <row r="172" spans="1:53" x14ac:dyDescent="0.25">
      <c r="A172" s="175" t="s">
        <v>253</v>
      </c>
      <c r="B172" s="174">
        <v>1</v>
      </c>
      <c r="C172" s="174"/>
      <c r="D172" s="174">
        <v>2</v>
      </c>
      <c r="E172" s="174"/>
      <c r="F172" s="174"/>
      <c r="G172" s="174"/>
      <c r="H172" s="174">
        <v>2</v>
      </c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>
        <f t="shared" si="22"/>
        <v>2</v>
      </c>
      <c r="Z172" s="174">
        <v>1</v>
      </c>
      <c r="AA172" s="174"/>
      <c r="AB172" s="174">
        <v>2</v>
      </c>
      <c r="AC172" s="174"/>
      <c r="AD172" s="174"/>
      <c r="AE172" s="174"/>
      <c r="AF172" s="174">
        <v>2</v>
      </c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>
        <f t="shared" si="23"/>
        <v>2</v>
      </c>
      <c r="AX172" s="174">
        <v>1000</v>
      </c>
      <c r="AY172" s="204"/>
      <c r="AZ172" s="204"/>
      <c r="BA172" s="204"/>
    </row>
    <row r="173" spans="1:53" x14ac:dyDescent="0.25">
      <c r="A173" s="175" t="s">
        <v>254</v>
      </c>
      <c r="B173" s="174">
        <v>3</v>
      </c>
      <c r="C173" s="174"/>
      <c r="D173" s="174">
        <v>3</v>
      </c>
      <c r="E173" s="174"/>
      <c r="F173" s="174"/>
      <c r="G173" s="174"/>
      <c r="H173" s="174">
        <v>1</v>
      </c>
      <c r="I173" s="174"/>
      <c r="J173" s="174"/>
      <c r="K173" s="174"/>
      <c r="L173" s="174">
        <v>2</v>
      </c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>
        <f t="shared" si="22"/>
        <v>3</v>
      </c>
      <c r="Z173" s="174">
        <v>3</v>
      </c>
      <c r="AA173" s="174"/>
      <c r="AB173" s="174">
        <v>3</v>
      </c>
      <c r="AC173" s="174"/>
      <c r="AD173" s="174"/>
      <c r="AE173" s="174"/>
      <c r="AF173" s="174">
        <v>1</v>
      </c>
      <c r="AG173" s="174"/>
      <c r="AH173" s="174"/>
      <c r="AI173" s="174"/>
      <c r="AJ173" s="174">
        <v>2</v>
      </c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>
        <f t="shared" si="23"/>
        <v>3</v>
      </c>
      <c r="AX173" s="174">
        <v>3631.06</v>
      </c>
      <c r="AY173" s="204"/>
      <c r="AZ173" s="204"/>
      <c r="BA173" s="204"/>
    </row>
    <row r="174" spans="1:53" x14ac:dyDescent="0.25">
      <c r="A174" s="175" t="s">
        <v>255</v>
      </c>
      <c r="B174" s="174">
        <v>13</v>
      </c>
      <c r="C174" s="174">
        <v>1</v>
      </c>
      <c r="D174" s="174">
        <v>25</v>
      </c>
      <c r="E174" s="174">
        <v>2</v>
      </c>
      <c r="F174" s="174"/>
      <c r="G174" s="174"/>
      <c r="H174" s="174">
        <v>2</v>
      </c>
      <c r="I174" s="174"/>
      <c r="J174" s="174"/>
      <c r="K174" s="174">
        <v>3</v>
      </c>
      <c r="L174" s="174">
        <v>9</v>
      </c>
      <c r="M174" s="174">
        <v>1</v>
      </c>
      <c r="N174" s="174"/>
      <c r="O174" s="174"/>
      <c r="P174" s="174">
        <v>1</v>
      </c>
      <c r="Q174" s="174">
        <v>7</v>
      </c>
      <c r="R174" s="174"/>
      <c r="S174" s="174"/>
      <c r="T174" s="174"/>
      <c r="U174" s="174">
        <v>2</v>
      </c>
      <c r="V174" s="174"/>
      <c r="W174" s="174"/>
      <c r="X174" s="174"/>
      <c r="Y174" s="174">
        <f t="shared" si="22"/>
        <v>25</v>
      </c>
      <c r="Z174" s="174">
        <v>12</v>
      </c>
      <c r="AA174" s="174">
        <v>1</v>
      </c>
      <c r="AB174" s="174">
        <v>20</v>
      </c>
      <c r="AC174" s="174">
        <v>2</v>
      </c>
      <c r="AD174" s="174"/>
      <c r="AE174" s="174"/>
      <c r="AF174" s="174">
        <v>2</v>
      </c>
      <c r="AG174" s="174"/>
      <c r="AH174" s="174"/>
      <c r="AI174" s="174">
        <v>2</v>
      </c>
      <c r="AJ174" s="174">
        <v>6</v>
      </c>
      <c r="AK174" s="174"/>
      <c r="AL174" s="174"/>
      <c r="AM174" s="174"/>
      <c r="AN174" s="174">
        <v>1</v>
      </c>
      <c r="AO174" s="174">
        <v>7</v>
      </c>
      <c r="AP174" s="174"/>
      <c r="AQ174" s="174"/>
      <c r="AR174" s="174"/>
      <c r="AS174" s="174">
        <v>2</v>
      </c>
      <c r="AT174" s="174"/>
      <c r="AU174" s="174"/>
      <c r="AV174" s="174"/>
      <c r="AW174" s="174">
        <f t="shared" si="23"/>
        <v>20</v>
      </c>
      <c r="AX174" s="174">
        <v>1901.7377777777776</v>
      </c>
      <c r="AY174" s="204"/>
      <c r="AZ174" s="204"/>
      <c r="BA174" s="204"/>
    </row>
    <row r="175" spans="1:53" x14ac:dyDescent="0.25">
      <c r="A175" s="175" t="s">
        <v>256</v>
      </c>
      <c r="B175" s="174">
        <v>1</v>
      </c>
      <c r="C175" s="174"/>
      <c r="D175" s="174">
        <v>5</v>
      </c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>
        <v>5</v>
      </c>
      <c r="T175" s="174"/>
      <c r="U175" s="174"/>
      <c r="V175" s="174"/>
      <c r="W175" s="174"/>
      <c r="X175" s="174"/>
      <c r="Y175" s="174">
        <f t="shared" si="22"/>
        <v>5</v>
      </c>
      <c r="Z175" s="174">
        <v>1</v>
      </c>
      <c r="AA175" s="174"/>
      <c r="AB175" s="174">
        <v>4</v>
      </c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>
        <v>4</v>
      </c>
      <c r="AR175" s="174"/>
      <c r="AS175" s="174"/>
      <c r="AT175" s="174"/>
      <c r="AU175" s="174"/>
      <c r="AV175" s="174"/>
      <c r="AW175" s="174">
        <f t="shared" si="23"/>
        <v>4</v>
      </c>
      <c r="AX175" s="174">
        <v>2100</v>
      </c>
      <c r="AY175" s="204"/>
      <c r="AZ175" s="204"/>
      <c r="BA175" s="204"/>
    </row>
    <row r="176" spans="1:53" x14ac:dyDescent="0.25">
      <c r="A176" s="175" t="s">
        <v>257</v>
      </c>
      <c r="B176" s="174">
        <v>1</v>
      </c>
      <c r="C176" s="174"/>
      <c r="D176" s="174">
        <v>1</v>
      </c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>
        <v>1</v>
      </c>
      <c r="Y176" s="174">
        <f t="shared" si="22"/>
        <v>1</v>
      </c>
      <c r="Z176" s="174">
        <v>1</v>
      </c>
      <c r="AA176" s="174"/>
      <c r="AB176" s="174">
        <v>1</v>
      </c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>
        <v>1</v>
      </c>
      <c r="AW176" s="174">
        <f t="shared" si="23"/>
        <v>1</v>
      </c>
      <c r="AX176" s="174">
        <v>8440</v>
      </c>
      <c r="AY176" s="204"/>
      <c r="AZ176" s="204"/>
      <c r="BA176" s="204"/>
    </row>
    <row r="177" spans="1:53" x14ac:dyDescent="0.25">
      <c r="A177" s="175" t="s">
        <v>258</v>
      </c>
      <c r="B177" s="174">
        <v>10</v>
      </c>
      <c r="C177" s="174"/>
      <c r="D177" s="174">
        <v>56</v>
      </c>
      <c r="E177" s="174"/>
      <c r="F177" s="174"/>
      <c r="G177" s="174"/>
      <c r="H177" s="174"/>
      <c r="I177" s="174"/>
      <c r="J177" s="174">
        <v>56</v>
      </c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>
        <f t="shared" si="22"/>
        <v>56</v>
      </c>
      <c r="Z177" s="174">
        <v>8</v>
      </c>
      <c r="AA177" s="174"/>
      <c r="AB177" s="174">
        <v>37</v>
      </c>
      <c r="AC177" s="174"/>
      <c r="AD177" s="174"/>
      <c r="AE177" s="174"/>
      <c r="AF177" s="174"/>
      <c r="AG177" s="174"/>
      <c r="AH177" s="174">
        <v>37</v>
      </c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>
        <f t="shared" si="23"/>
        <v>37</v>
      </c>
      <c r="AX177" s="174">
        <v>679.5</v>
      </c>
      <c r="AY177" s="204"/>
      <c r="AZ177" s="204"/>
      <c r="BA177" s="204"/>
    </row>
    <row r="178" spans="1:53" x14ac:dyDescent="0.25">
      <c r="A178" s="173" t="s">
        <v>44</v>
      </c>
      <c r="B178" s="174">
        <f t="shared" ref="B178:X178" si="24">SUM(B179:B180)</f>
        <v>6</v>
      </c>
      <c r="C178" s="174"/>
      <c r="D178" s="174">
        <f t="shared" si="24"/>
        <v>6</v>
      </c>
      <c r="E178" s="174"/>
      <c r="F178" s="174">
        <f t="shared" si="24"/>
        <v>0</v>
      </c>
      <c r="G178" s="174">
        <f t="shared" si="24"/>
        <v>0</v>
      </c>
      <c r="H178" s="174">
        <f t="shared" si="24"/>
        <v>2</v>
      </c>
      <c r="I178" s="174">
        <f t="shared" si="24"/>
        <v>0</v>
      </c>
      <c r="J178" s="174">
        <f t="shared" si="24"/>
        <v>0</v>
      </c>
      <c r="K178" s="174">
        <f t="shared" si="24"/>
        <v>1</v>
      </c>
      <c r="L178" s="174">
        <f t="shared" si="24"/>
        <v>0</v>
      </c>
      <c r="M178" s="174">
        <f t="shared" si="24"/>
        <v>0</v>
      </c>
      <c r="N178" s="174">
        <f t="shared" si="24"/>
        <v>0</v>
      </c>
      <c r="O178" s="174">
        <f t="shared" si="24"/>
        <v>0</v>
      </c>
      <c r="P178" s="174">
        <f t="shared" si="24"/>
        <v>0</v>
      </c>
      <c r="Q178" s="174">
        <f t="shared" si="24"/>
        <v>0</v>
      </c>
      <c r="R178" s="174">
        <f t="shared" si="24"/>
        <v>1</v>
      </c>
      <c r="S178" s="174">
        <f t="shared" si="24"/>
        <v>0</v>
      </c>
      <c r="T178" s="174">
        <f t="shared" si="24"/>
        <v>0</v>
      </c>
      <c r="U178" s="174">
        <f t="shared" si="24"/>
        <v>0</v>
      </c>
      <c r="V178" s="174">
        <f t="shared" si="24"/>
        <v>2</v>
      </c>
      <c r="W178" s="174">
        <f t="shared" si="24"/>
        <v>0</v>
      </c>
      <c r="X178" s="174">
        <f t="shared" si="24"/>
        <v>0</v>
      </c>
      <c r="Y178" s="174">
        <f t="shared" si="22"/>
        <v>6</v>
      </c>
      <c r="Z178" s="174">
        <f t="shared" ref="Z178:AV178" si="25">Z179+Z180</f>
        <v>5</v>
      </c>
      <c r="AA178" s="174"/>
      <c r="AB178" s="174">
        <f t="shared" si="25"/>
        <v>5</v>
      </c>
      <c r="AC178" s="174"/>
      <c r="AD178" s="174">
        <f t="shared" si="25"/>
        <v>0</v>
      </c>
      <c r="AE178" s="174">
        <f t="shared" si="25"/>
        <v>0</v>
      </c>
      <c r="AF178" s="174">
        <f t="shared" si="25"/>
        <v>2</v>
      </c>
      <c r="AG178" s="174">
        <f t="shared" si="25"/>
        <v>0</v>
      </c>
      <c r="AH178" s="174">
        <f t="shared" si="25"/>
        <v>0</v>
      </c>
      <c r="AI178" s="174">
        <f t="shared" si="25"/>
        <v>0</v>
      </c>
      <c r="AJ178" s="174">
        <f t="shared" si="25"/>
        <v>0</v>
      </c>
      <c r="AK178" s="174">
        <f t="shared" si="25"/>
        <v>0</v>
      </c>
      <c r="AL178" s="174">
        <f t="shared" si="25"/>
        <v>0</v>
      </c>
      <c r="AM178" s="174">
        <f t="shared" si="25"/>
        <v>0</v>
      </c>
      <c r="AN178" s="174">
        <f t="shared" si="25"/>
        <v>0</v>
      </c>
      <c r="AO178" s="174">
        <f t="shared" si="25"/>
        <v>0</v>
      </c>
      <c r="AP178" s="174">
        <f t="shared" si="25"/>
        <v>1</v>
      </c>
      <c r="AQ178" s="174">
        <f t="shared" si="25"/>
        <v>0</v>
      </c>
      <c r="AR178" s="174">
        <f t="shared" si="25"/>
        <v>0</v>
      </c>
      <c r="AS178" s="174">
        <f t="shared" si="25"/>
        <v>0</v>
      </c>
      <c r="AT178" s="174">
        <f t="shared" si="25"/>
        <v>2</v>
      </c>
      <c r="AU178" s="174">
        <f t="shared" si="25"/>
        <v>0</v>
      </c>
      <c r="AV178" s="174">
        <f t="shared" si="25"/>
        <v>0</v>
      </c>
      <c r="AW178" s="174">
        <f t="shared" si="23"/>
        <v>5</v>
      </c>
      <c r="AX178" s="174"/>
      <c r="AY178" s="184">
        <f>Z178*100/B178</f>
        <v>83.333333333333329</v>
      </c>
      <c r="AZ178" s="174">
        <f>B178-Z178</f>
        <v>1</v>
      </c>
      <c r="BA178" s="184">
        <f>AZ178*100/Z178</f>
        <v>20</v>
      </c>
    </row>
    <row r="179" spans="1:53" x14ac:dyDescent="0.25">
      <c r="A179" s="175" t="s">
        <v>128</v>
      </c>
      <c r="B179" s="174">
        <v>6</v>
      </c>
      <c r="C179" s="174"/>
      <c r="D179" s="174">
        <v>6</v>
      </c>
      <c r="E179" s="174"/>
      <c r="F179" s="174"/>
      <c r="G179" s="174"/>
      <c r="H179" s="174">
        <v>2</v>
      </c>
      <c r="I179" s="174"/>
      <c r="J179" s="174"/>
      <c r="K179" s="174">
        <v>1</v>
      </c>
      <c r="L179" s="174"/>
      <c r="M179" s="174"/>
      <c r="N179" s="174"/>
      <c r="O179" s="174"/>
      <c r="P179" s="174"/>
      <c r="Q179" s="174"/>
      <c r="R179" s="174">
        <v>1</v>
      </c>
      <c r="S179" s="174"/>
      <c r="T179" s="174"/>
      <c r="U179" s="174"/>
      <c r="V179" s="174">
        <v>2</v>
      </c>
      <c r="W179" s="174"/>
      <c r="X179" s="174"/>
      <c r="Y179" s="174">
        <f t="shared" si="22"/>
        <v>6</v>
      </c>
      <c r="Z179" s="174">
        <v>5</v>
      </c>
      <c r="AA179" s="174"/>
      <c r="AB179" s="174">
        <v>5</v>
      </c>
      <c r="AC179" s="174"/>
      <c r="AD179" s="174"/>
      <c r="AE179" s="174"/>
      <c r="AF179" s="174">
        <v>2</v>
      </c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>
        <v>1</v>
      </c>
      <c r="AQ179" s="174"/>
      <c r="AR179" s="174"/>
      <c r="AS179" s="174"/>
      <c r="AT179" s="174">
        <v>2</v>
      </c>
      <c r="AU179" s="174"/>
      <c r="AV179" s="174"/>
      <c r="AW179" s="174">
        <f t="shared" si="23"/>
        <v>5</v>
      </c>
      <c r="AX179" s="174">
        <v>5134.7333333333336</v>
      </c>
      <c r="AY179" s="204"/>
      <c r="AZ179" s="204"/>
      <c r="BA179" s="204"/>
    </row>
    <row r="180" spans="1:53" x14ac:dyDescent="0.25">
      <c r="A180" s="175" t="s">
        <v>129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204"/>
      <c r="AZ180" s="204"/>
      <c r="BA180" s="204"/>
    </row>
    <row r="181" spans="1:53" x14ac:dyDescent="0.25">
      <c r="A181" s="173" t="s">
        <v>45</v>
      </c>
      <c r="B181" s="174">
        <f t="shared" ref="B181:X181" si="26">B182+B183+B184+B185+B186+B187+B188+B189+B190+B191+B192+B193+B194</f>
        <v>158</v>
      </c>
      <c r="C181" s="174">
        <f t="shared" si="26"/>
        <v>110</v>
      </c>
      <c r="D181" s="174">
        <f t="shared" si="26"/>
        <v>697</v>
      </c>
      <c r="E181" s="174">
        <f t="shared" si="26"/>
        <v>476</v>
      </c>
      <c r="F181" s="174">
        <f t="shared" si="26"/>
        <v>0</v>
      </c>
      <c r="G181" s="174">
        <f t="shared" si="26"/>
        <v>0</v>
      </c>
      <c r="H181" s="174">
        <f t="shared" si="26"/>
        <v>0</v>
      </c>
      <c r="I181" s="174">
        <f t="shared" si="26"/>
        <v>0</v>
      </c>
      <c r="J181" s="174">
        <f t="shared" si="26"/>
        <v>0</v>
      </c>
      <c r="K181" s="174">
        <f t="shared" si="26"/>
        <v>0</v>
      </c>
      <c r="L181" s="174">
        <f t="shared" si="26"/>
        <v>0</v>
      </c>
      <c r="M181" s="174">
        <f t="shared" si="26"/>
        <v>0</v>
      </c>
      <c r="N181" s="174">
        <f t="shared" si="26"/>
        <v>0</v>
      </c>
      <c r="O181" s="174">
        <f t="shared" si="26"/>
        <v>0</v>
      </c>
      <c r="P181" s="174">
        <f t="shared" si="26"/>
        <v>0</v>
      </c>
      <c r="Q181" s="174">
        <f t="shared" si="26"/>
        <v>0</v>
      </c>
      <c r="R181" s="174">
        <f t="shared" si="26"/>
        <v>0</v>
      </c>
      <c r="S181" s="174">
        <f t="shared" si="26"/>
        <v>0</v>
      </c>
      <c r="T181" s="174">
        <f t="shared" si="26"/>
        <v>22</v>
      </c>
      <c r="U181" s="174">
        <f t="shared" si="26"/>
        <v>145</v>
      </c>
      <c r="V181" s="174">
        <f t="shared" si="26"/>
        <v>315</v>
      </c>
      <c r="W181" s="174">
        <f t="shared" si="26"/>
        <v>20</v>
      </c>
      <c r="X181" s="174">
        <f t="shared" si="26"/>
        <v>195</v>
      </c>
      <c r="Y181" s="174">
        <f t="shared" si="22"/>
        <v>697</v>
      </c>
      <c r="Z181" s="174">
        <f t="shared" ref="Z181:AV181" si="27">Z182+Z183+Z184+Z185+Z186+Z187+Z188+Z189+Z190+Z191+Z192+Z193+Z194</f>
        <v>128</v>
      </c>
      <c r="AA181" s="174">
        <f t="shared" si="27"/>
        <v>97</v>
      </c>
      <c r="AB181" s="174">
        <f t="shared" si="27"/>
        <v>606</v>
      </c>
      <c r="AC181" s="174">
        <f t="shared" si="27"/>
        <v>447</v>
      </c>
      <c r="AD181" s="174">
        <f t="shared" si="27"/>
        <v>0</v>
      </c>
      <c r="AE181" s="174">
        <f t="shared" si="27"/>
        <v>0</v>
      </c>
      <c r="AF181" s="174">
        <f t="shared" si="27"/>
        <v>0</v>
      </c>
      <c r="AG181" s="174">
        <f t="shared" si="27"/>
        <v>0</v>
      </c>
      <c r="AH181" s="174">
        <f t="shared" si="27"/>
        <v>0</v>
      </c>
      <c r="AI181" s="174">
        <f t="shared" si="27"/>
        <v>0</v>
      </c>
      <c r="AJ181" s="174">
        <f t="shared" si="27"/>
        <v>0</v>
      </c>
      <c r="AK181" s="174">
        <f t="shared" si="27"/>
        <v>0</v>
      </c>
      <c r="AL181" s="174">
        <f t="shared" si="27"/>
        <v>0</v>
      </c>
      <c r="AM181" s="174">
        <f t="shared" si="27"/>
        <v>0</v>
      </c>
      <c r="AN181" s="174">
        <f t="shared" si="27"/>
        <v>0</v>
      </c>
      <c r="AO181" s="174">
        <f t="shared" si="27"/>
        <v>0</v>
      </c>
      <c r="AP181" s="174">
        <f t="shared" si="27"/>
        <v>0</v>
      </c>
      <c r="AQ181" s="174">
        <f t="shared" si="27"/>
        <v>0</v>
      </c>
      <c r="AR181" s="174">
        <f t="shared" si="27"/>
        <v>20</v>
      </c>
      <c r="AS181" s="174">
        <f t="shared" si="27"/>
        <v>138</v>
      </c>
      <c r="AT181" s="174">
        <f t="shared" si="27"/>
        <v>304</v>
      </c>
      <c r="AU181" s="174">
        <f t="shared" si="27"/>
        <v>20</v>
      </c>
      <c r="AV181" s="174">
        <f t="shared" si="27"/>
        <v>124</v>
      </c>
      <c r="AW181" s="174">
        <f t="shared" si="23"/>
        <v>606</v>
      </c>
      <c r="AX181" s="174"/>
      <c r="AY181" s="184">
        <f>Z181*100/B181</f>
        <v>81.012658227848107</v>
      </c>
      <c r="AZ181" s="174">
        <f>B181-Z181</f>
        <v>30</v>
      </c>
      <c r="BA181" s="184">
        <f>AZ181*100/Z181</f>
        <v>23.4375</v>
      </c>
    </row>
    <row r="182" spans="1:53" x14ac:dyDescent="0.25">
      <c r="A182" s="175" t="s">
        <v>259</v>
      </c>
      <c r="B182" s="174">
        <v>88</v>
      </c>
      <c r="C182" s="174">
        <v>58</v>
      </c>
      <c r="D182" s="174">
        <v>362</v>
      </c>
      <c r="E182" s="174">
        <v>256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>
        <v>41</v>
      </c>
      <c r="V182" s="174">
        <v>208</v>
      </c>
      <c r="W182" s="174"/>
      <c r="X182" s="174">
        <v>113</v>
      </c>
      <c r="Y182" s="174">
        <f t="shared" si="22"/>
        <v>362</v>
      </c>
      <c r="Z182" s="174">
        <v>67</v>
      </c>
      <c r="AA182" s="174">
        <v>51</v>
      </c>
      <c r="AB182" s="174">
        <v>362</v>
      </c>
      <c r="AC182" s="174">
        <v>256</v>
      </c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>
        <v>57</v>
      </c>
      <c r="AT182" s="174">
        <v>206</v>
      </c>
      <c r="AU182" s="174"/>
      <c r="AV182" s="174">
        <v>99</v>
      </c>
      <c r="AW182" s="174">
        <f t="shared" si="23"/>
        <v>362</v>
      </c>
      <c r="AX182" s="174">
        <v>2465.461666666667</v>
      </c>
      <c r="AY182" s="204"/>
      <c r="AZ182" s="204"/>
      <c r="BA182" s="204"/>
    </row>
    <row r="183" spans="1:53" x14ac:dyDescent="0.25">
      <c r="A183" s="175" t="s">
        <v>260</v>
      </c>
      <c r="B183" s="174">
        <v>26</v>
      </c>
      <c r="C183" s="174">
        <v>15</v>
      </c>
      <c r="D183" s="174">
        <v>104</v>
      </c>
      <c r="E183" s="174">
        <v>52</v>
      </c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>
        <v>38</v>
      </c>
      <c r="V183" s="174">
        <v>26</v>
      </c>
      <c r="W183" s="174">
        <v>10</v>
      </c>
      <c r="X183" s="174">
        <v>30</v>
      </c>
      <c r="Y183" s="174">
        <f t="shared" si="22"/>
        <v>104</v>
      </c>
      <c r="Z183" s="174">
        <v>23</v>
      </c>
      <c r="AA183" s="174">
        <v>14</v>
      </c>
      <c r="AB183" s="174">
        <v>62</v>
      </c>
      <c r="AC183" s="174">
        <v>32</v>
      </c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>
        <v>16</v>
      </c>
      <c r="AT183" s="174">
        <v>23</v>
      </c>
      <c r="AU183" s="174">
        <v>10</v>
      </c>
      <c r="AV183" s="174">
        <v>13</v>
      </c>
      <c r="AW183" s="174">
        <f t="shared" si="23"/>
        <v>62</v>
      </c>
      <c r="AX183" s="174">
        <v>2436.1111111111113</v>
      </c>
      <c r="AY183" s="204"/>
      <c r="AZ183" s="204"/>
      <c r="BA183" s="204"/>
    </row>
    <row r="184" spans="1:53" x14ac:dyDescent="0.25">
      <c r="A184" s="175" t="s">
        <v>261</v>
      </c>
      <c r="B184" s="174">
        <v>6</v>
      </c>
      <c r="C184" s="174">
        <v>5</v>
      </c>
      <c r="D184" s="174">
        <v>24</v>
      </c>
      <c r="E184" s="174">
        <v>5</v>
      </c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>
        <v>5</v>
      </c>
      <c r="V184" s="174"/>
      <c r="W184" s="174"/>
      <c r="X184" s="174">
        <v>19</v>
      </c>
      <c r="Y184" s="174">
        <f t="shared" si="22"/>
        <v>24</v>
      </c>
      <c r="Z184" s="174">
        <v>5</v>
      </c>
      <c r="AA184" s="174">
        <v>5</v>
      </c>
      <c r="AB184" s="174">
        <v>5</v>
      </c>
      <c r="AC184" s="174">
        <v>5</v>
      </c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>
        <v>5</v>
      </c>
      <c r="AT184" s="174"/>
      <c r="AU184" s="174"/>
      <c r="AV184" s="174"/>
      <c r="AW184" s="174">
        <f t="shared" si="23"/>
        <v>5</v>
      </c>
      <c r="AX184" s="174">
        <v>612.79999999999995</v>
      </c>
      <c r="AY184" s="204"/>
      <c r="AZ184" s="204"/>
      <c r="BA184" s="204"/>
    </row>
    <row r="185" spans="1:53" x14ac:dyDescent="0.25">
      <c r="A185" s="175" t="s">
        <v>262</v>
      </c>
      <c r="B185" s="174">
        <v>2</v>
      </c>
      <c r="C185" s="174">
        <v>2</v>
      </c>
      <c r="D185" s="174">
        <v>22</v>
      </c>
      <c r="E185" s="174">
        <v>22</v>
      </c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>
        <v>22</v>
      </c>
      <c r="U185" s="174"/>
      <c r="V185" s="174"/>
      <c r="W185" s="174"/>
      <c r="X185" s="174"/>
      <c r="Y185" s="174">
        <f t="shared" si="22"/>
        <v>22</v>
      </c>
      <c r="Z185" s="174">
        <v>2</v>
      </c>
      <c r="AA185" s="174">
        <v>2</v>
      </c>
      <c r="AB185" s="174">
        <v>20</v>
      </c>
      <c r="AC185" s="174">
        <v>20</v>
      </c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>
        <v>20</v>
      </c>
      <c r="AS185" s="174"/>
      <c r="AT185" s="174"/>
      <c r="AU185" s="174"/>
      <c r="AV185" s="174"/>
      <c r="AW185" s="174">
        <f t="shared" si="23"/>
        <v>20</v>
      </c>
      <c r="AX185" s="174">
        <v>642.4</v>
      </c>
      <c r="AY185" s="204"/>
      <c r="AZ185" s="204"/>
      <c r="BA185" s="204"/>
    </row>
    <row r="186" spans="1:53" x14ac:dyDescent="0.25">
      <c r="A186" s="175" t="s">
        <v>263</v>
      </c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204"/>
      <c r="AZ186" s="204"/>
      <c r="BA186" s="204"/>
    </row>
    <row r="187" spans="1:53" x14ac:dyDescent="0.25">
      <c r="A187" s="175" t="s">
        <v>264</v>
      </c>
      <c r="B187" s="174">
        <v>3</v>
      </c>
      <c r="C187" s="174">
        <v>1</v>
      </c>
      <c r="D187" s="174">
        <v>20</v>
      </c>
      <c r="E187" s="174">
        <v>1</v>
      </c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>
        <v>1</v>
      </c>
      <c r="W187" s="174">
        <v>10</v>
      </c>
      <c r="X187" s="174">
        <v>9</v>
      </c>
      <c r="Y187" s="174">
        <f t="shared" si="22"/>
        <v>20</v>
      </c>
      <c r="Z187" s="174">
        <v>3</v>
      </c>
      <c r="AA187" s="174">
        <v>1</v>
      </c>
      <c r="AB187" s="174">
        <v>20</v>
      </c>
      <c r="AC187" s="174">
        <v>1</v>
      </c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>
        <v>1</v>
      </c>
      <c r="AU187" s="174">
        <v>10</v>
      </c>
      <c r="AV187" s="174">
        <v>9</v>
      </c>
      <c r="AW187" s="174">
        <f t="shared" si="23"/>
        <v>20</v>
      </c>
      <c r="AX187" s="174">
        <v>2381.8666666666668</v>
      </c>
      <c r="AY187" s="204"/>
      <c r="AZ187" s="204"/>
      <c r="BA187" s="204"/>
    </row>
    <row r="188" spans="1:53" x14ac:dyDescent="0.25">
      <c r="A188" s="175" t="s">
        <v>265</v>
      </c>
      <c r="B188" s="174">
        <v>5</v>
      </c>
      <c r="C188" s="174">
        <v>3</v>
      </c>
      <c r="D188" s="174">
        <v>6</v>
      </c>
      <c r="E188" s="174">
        <v>4</v>
      </c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>
        <v>2</v>
      </c>
      <c r="V188" s="174">
        <v>2</v>
      </c>
      <c r="W188" s="174"/>
      <c r="X188" s="174">
        <v>2</v>
      </c>
      <c r="Y188" s="174">
        <f t="shared" si="22"/>
        <v>6</v>
      </c>
      <c r="Z188" s="174">
        <v>3</v>
      </c>
      <c r="AA188" s="174">
        <v>2</v>
      </c>
      <c r="AB188" s="174">
        <v>4</v>
      </c>
      <c r="AC188" s="174">
        <v>3</v>
      </c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>
        <v>1</v>
      </c>
      <c r="AT188" s="174">
        <v>2</v>
      </c>
      <c r="AU188" s="174"/>
      <c r="AV188" s="174">
        <v>1</v>
      </c>
      <c r="AW188" s="174">
        <f t="shared" si="23"/>
        <v>4</v>
      </c>
      <c r="AX188" s="174">
        <v>2306.6666666666665</v>
      </c>
      <c r="AY188" s="204"/>
      <c r="AZ188" s="204"/>
      <c r="BA188" s="204"/>
    </row>
    <row r="189" spans="1:53" x14ac:dyDescent="0.25">
      <c r="A189" s="175" t="s">
        <v>266</v>
      </c>
      <c r="B189" s="174">
        <v>10</v>
      </c>
      <c r="C189" s="174">
        <v>6</v>
      </c>
      <c r="D189" s="174">
        <v>31</v>
      </c>
      <c r="E189" s="174">
        <v>8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>
        <v>9</v>
      </c>
      <c r="V189" s="174"/>
      <c r="W189" s="174"/>
      <c r="X189" s="174">
        <v>22</v>
      </c>
      <c r="Y189" s="174">
        <f t="shared" si="22"/>
        <v>31</v>
      </c>
      <c r="Z189" s="174">
        <v>9</v>
      </c>
      <c r="AA189" s="174">
        <v>6</v>
      </c>
      <c r="AB189" s="174">
        <v>11</v>
      </c>
      <c r="AC189" s="174">
        <v>8</v>
      </c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>
        <v>9</v>
      </c>
      <c r="AT189" s="174"/>
      <c r="AU189" s="174"/>
      <c r="AV189" s="174">
        <v>2</v>
      </c>
      <c r="AW189" s="174">
        <f t="shared" si="23"/>
        <v>11</v>
      </c>
      <c r="AX189" s="174">
        <v>3547.5</v>
      </c>
      <c r="AY189" s="204"/>
      <c r="AZ189" s="204"/>
      <c r="BA189" s="204"/>
    </row>
    <row r="190" spans="1:53" x14ac:dyDescent="0.25">
      <c r="A190" s="175" t="s">
        <v>267</v>
      </c>
      <c r="B190" s="174">
        <v>3</v>
      </c>
      <c r="C190" s="174">
        <v>3</v>
      </c>
      <c r="D190" s="174">
        <v>7</v>
      </c>
      <c r="E190" s="174">
        <v>7</v>
      </c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>
        <v>7</v>
      </c>
      <c r="V190" s="174"/>
      <c r="W190" s="174"/>
      <c r="X190" s="174"/>
      <c r="Y190" s="174">
        <f t="shared" si="22"/>
        <v>7</v>
      </c>
      <c r="Z190" s="174">
        <v>3</v>
      </c>
      <c r="AA190" s="174">
        <v>3</v>
      </c>
      <c r="AB190" s="174">
        <v>7</v>
      </c>
      <c r="AC190" s="174">
        <v>7</v>
      </c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>
        <v>7</v>
      </c>
      <c r="AT190" s="174"/>
      <c r="AU190" s="174"/>
      <c r="AV190" s="174"/>
      <c r="AW190" s="174">
        <f t="shared" si="23"/>
        <v>7</v>
      </c>
      <c r="AX190" s="174">
        <v>2653.3333333333335</v>
      </c>
      <c r="AY190" s="204"/>
      <c r="AZ190" s="204"/>
      <c r="BA190" s="204"/>
    </row>
    <row r="191" spans="1:53" x14ac:dyDescent="0.25">
      <c r="A191" s="175" t="s">
        <v>268</v>
      </c>
      <c r="B191" s="174">
        <v>2</v>
      </c>
      <c r="C191" s="174">
        <v>2</v>
      </c>
      <c r="D191" s="174">
        <v>8</v>
      </c>
      <c r="E191" s="174">
        <v>8</v>
      </c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>
        <v>8</v>
      </c>
      <c r="V191" s="174"/>
      <c r="W191" s="174"/>
      <c r="X191" s="174"/>
      <c r="Y191" s="174">
        <f t="shared" si="22"/>
        <v>8</v>
      </c>
      <c r="Z191" s="174">
        <v>2</v>
      </c>
      <c r="AA191" s="174">
        <v>2</v>
      </c>
      <c r="AB191" s="174">
        <v>8</v>
      </c>
      <c r="AC191" s="174">
        <v>8</v>
      </c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>
        <v>8</v>
      </c>
      <c r="AT191" s="174"/>
      <c r="AU191" s="174"/>
      <c r="AV191" s="174"/>
      <c r="AW191" s="174">
        <f t="shared" si="23"/>
        <v>8</v>
      </c>
      <c r="AX191" s="174">
        <v>3120</v>
      </c>
      <c r="AY191" s="204"/>
      <c r="AZ191" s="204"/>
      <c r="BA191" s="204"/>
    </row>
    <row r="192" spans="1:53" x14ac:dyDescent="0.25">
      <c r="A192" s="175" t="s">
        <v>269</v>
      </c>
      <c r="B192" s="174">
        <v>3</v>
      </c>
      <c r="C192" s="174">
        <v>3</v>
      </c>
      <c r="D192" s="174">
        <v>31</v>
      </c>
      <c r="E192" s="174">
        <v>31</v>
      </c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>
        <v>27</v>
      </c>
      <c r="V192" s="174">
        <v>4</v>
      </c>
      <c r="W192" s="174"/>
      <c r="X192" s="174"/>
      <c r="Y192" s="174">
        <f t="shared" si="22"/>
        <v>31</v>
      </c>
      <c r="Z192" s="174">
        <v>3</v>
      </c>
      <c r="AA192" s="174">
        <v>3</v>
      </c>
      <c r="AB192" s="174">
        <v>31</v>
      </c>
      <c r="AC192" s="174">
        <v>31</v>
      </c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>
        <v>27</v>
      </c>
      <c r="AT192" s="174">
        <v>4</v>
      </c>
      <c r="AU192" s="174"/>
      <c r="AV192" s="174"/>
      <c r="AW192" s="174">
        <f t="shared" si="23"/>
        <v>31</v>
      </c>
      <c r="AX192" s="174">
        <v>551.11</v>
      </c>
      <c r="AY192" s="204"/>
      <c r="AZ192" s="204"/>
      <c r="BA192" s="204"/>
    </row>
    <row r="193" spans="1:53" x14ac:dyDescent="0.25">
      <c r="A193" s="175" t="s">
        <v>270</v>
      </c>
      <c r="B193" s="174">
        <v>4</v>
      </c>
      <c r="C193" s="174">
        <v>4</v>
      </c>
      <c r="D193" s="174">
        <v>8</v>
      </c>
      <c r="E193" s="174">
        <v>8</v>
      </c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>
        <v>1</v>
      </c>
      <c r="V193" s="174">
        <v>7</v>
      </c>
      <c r="W193" s="174"/>
      <c r="X193" s="174"/>
      <c r="Y193" s="174">
        <f t="shared" si="22"/>
        <v>8</v>
      </c>
      <c r="Z193" s="174">
        <v>2</v>
      </c>
      <c r="AA193" s="174">
        <v>2</v>
      </c>
      <c r="AB193" s="174">
        <v>2</v>
      </c>
      <c r="AC193" s="174">
        <v>2</v>
      </c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>
        <v>1</v>
      </c>
      <c r="AT193" s="174">
        <v>1</v>
      </c>
      <c r="AU193" s="174"/>
      <c r="AV193" s="174"/>
      <c r="AW193" s="174">
        <f t="shared" si="23"/>
        <v>2</v>
      </c>
      <c r="AX193" s="174">
        <v>4690</v>
      </c>
      <c r="AY193" s="204"/>
      <c r="AZ193" s="204"/>
      <c r="BA193" s="204"/>
    </row>
    <row r="194" spans="1:53" x14ac:dyDescent="0.25">
      <c r="A194" s="175" t="s">
        <v>271</v>
      </c>
      <c r="B194" s="174">
        <v>6</v>
      </c>
      <c r="C194" s="174">
        <v>8</v>
      </c>
      <c r="D194" s="174">
        <v>74</v>
      </c>
      <c r="E194" s="174">
        <v>74</v>
      </c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>
        <v>7</v>
      </c>
      <c r="V194" s="174">
        <v>67</v>
      </c>
      <c r="W194" s="174"/>
      <c r="X194" s="174"/>
      <c r="Y194" s="174">
        <f t="shared" si="22"/>
        <v>74</v>
      </c>
      <c r="Z194" s="174">
        <v>6</v>
      </c>
      <c r="AA194" s="174">
        <v>6</v>
      </c>
      <c r="AB194" s="174">
        <v>74</v>
      </c>
      <c r="AC194" s="174">
        <v>74</v>
      </c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>
        <v>7</v>
      </c>
      <c r="AT194" s="174">
        <v>67</v>
      </c>
      <c r="AU194" s="174"/>
      <c r="AV194" s="174"/>
      <c r="AW194" s="174">
        <f t="shared" si="23"/>
        <v>74</v>
      </c>
      <c r="AX194" s="174">
        <v>1219.3333333333333</v>
      </c>
      <c r="AY194" s="204"/>
      <c r="AZ194" s="204"/>
      <c r="BA194" s="204"/>
    </row>
    <row r="195" spans="1:53" x14ac:dyDescent="0.25">
      <c r="A195" s="173" t="s">
        <v>46</v>
      </c>
      <c r="B195" s="174">
        <f t="shared" ref="B195:X195" si="28">SUM(B196:B217)</f>
        <v>66</v>
      </c>
      <c r="C195" s="174">
        <f t="shared" si="28"/>
        <v>48</v>
      </c>
      <c r="D195" s="174">
        <f t="shared" si="28"/>
        <v>263</v>
      </c>
      <c r="E195" s="174">
        <f t="shared" si="28"/>
        <v>80</v>
      </c>
      <c r="F195" s="174">
        <f t="shared" si="28"/>
        <v>0</v>
      </c>
      <c r="G195" s="174">
        <f t="shared" si="28"/>
        <v>0</v>
      </c>
      <c r="H195" s="174">
        <f t="shared" si="28"/>
        <v>1</v>
      </c>
      <c r="I195" s="174">
        <f t="shared" si="28"/>
        <v>0</v>
      </c>
      <c r="J195" s="174">
        <f t="shared" si="28"/>
        <v>0</v>
      </c>
      <c r="K195" s="174">
        <f t="shared" si="28"/>
        <v>0</v>
      </c>
      <c r="L195" s="174">
        <f t="shared" si="28"/>
        <v>0</v>
      </c>
      <c r="M195" s="174">
        <f t="shared" si="28"/>
        <v>0</v>
      </c>
      <c r="N195" s="174">
        <f t="shared" si="28"/>
        <v>0</v>
      </c>
      <c r="O195" s="174">
        <f t="shared" si="28"/>
        <v>0</v>
      </c>
      <c r="P195" s="174">
        <f t="shared" si="28"/>
        <v>0</v>
      </c>
      <c r="Q195" s="174">
        <f t="shared" si="28"/>
        <v>0</v>
      </c>
      <c r="R195" s="174">
        <f t="shared" si="28"/>
        <v>1</v>
      </c>
      <c r="S195" s="174">
        <f t="shared" si="28"/>
        <v>1</v>
      </c>
      <c r="T195" s="174">
        <f t="shared" si="28"/>
        <v>2</v>
      </c>
      <c r="U195" s="174">
        <f t="shared" si="28"/>
        <v>50</v>
      </c>
      <c r="V195" s="174">
        <f t="shared" si="28"/>
        <v>198</v>
      </c>
      <c r="W195" s="174">
        <f t="shared" si="28"/>
        <v>0</v>
      </c>
      <c r="X195" s="174">
        <f t="shared" si="28"/>
        <v>10</v>
      </c>
      <c r="Y195" s="174">
        <f t="shared" si="22"/>
        <v>263</v>
      </c>
      <c r="Z195" s="174">
        <f t="shared" ref="Z195:AV195" si="29">SUM(Z196:Z217)</f>
        <v>51</v>
      </c>
      <c r="AA195" s="174">
        <f t="shared" si="29"/>
        <v>43</v>
      </c>
      <c r="AB195" s="174">
        <f t="shared" si="29"/>
        <v>248</v>
      </c>
      <c r="AC195" s="174">
        <f t="shared" si="29"/>
        <v>73</v>
      </c>
      <c r="AD195" s="174">
        <f t="shared" si="29"/>
        <v>0</v>
      </c>
      <c r="AE195" s="174">
        <f t="shared" si="29"/>
        <v>0</v>
      </c>
      <c r="AF195" s="174">
        <f t="shared" si="29"/>
        <v>0</v>
      </c>
      <c r="AG195" s="174">
        <f t="shared" si="29"/>
        <v>0</v>
      </c>
      <c r="AH195" s="174">
        <f t="shared" si="29"/>
        <v>0</v>
      </c>
      <c r="AI195" s="174">
        <f t="shared" si="29"/>
        <v>0</v>
      </c>
      <c r="AJ195" s="174">
        <f t="shared" si="29"/>
        <v>0</v>
      </c>
      <c r="AK195" s="174">
        <f t="shared" si="29"/>
        <v>0</v>
      </c>
      <c r="AL195" s="174">
        <f t="shared" si="29"/>
        <v>0</v>
      </c>
      <c r="AM195" s="174">
        <f t="shared" si="29"/>
        <v>0</v>
      </c>
      <c r="AN195" s="174">
        <f t="shared" si="29"/>
        <v>0</v>
      </c>
      <c r="AO195" s="174">
        <f t="shared" si="29"/>
        <v>0</v>
      </c>
      <c r="AP195" s="174">
        <f t="shared" si="29"/>
        <v>1</v>
      </c>
      <c r="AQ195" s="174">
        <f t="shared" si="29"/>
        <v>0</v>
      </c>
      <c r="AR195" s="174">
        <f t="shared" si="29"/>
        <v>0</v>
      </c>
      <c r="AS195" s="174">
        <f t="shared" si="29"/>
        <v>50</v>
      </c>
      <c r="AT195" s="174">
        <f t="shared" si="29"/>
        <v>188</v>
      </c>
      <c r="AU195" s="174">
        <f t="shared" si="29"/>
        <v>0</v>
      </c>
      <c r="AV195" s="174">
        <f t="shared" si="29"/>
        <v>9</v>
      </c>
      <c r="AW195" s="174">
        <f t="shared" si="23"/>
        <v>248</v>
      </c>
      <c r="AX195" s="174"/>
      <c r="AY195" s="184">
        <f>Z195*100/B195</f>
        <v>77.272727272727266</v>
      </c>
      <c r="AZ195" s="174">
        <f>B195-Z195</f>
        <v>15</v>
      </c>
      <c r="BA195" s="184">
        <f>AZ195*100/Z195</f>
        <v>29.411764705882351</v>
      </c>
    </row>
    <row r="196" spans="1:53" x14ac:dyDescent="0.25">
      <c r="A196" s="175" t="s">
        <v>115</v>
      </c>
      <c r="B196" s="174">
        <v>17</v>
      </c>
      <c r="C196" s="174">
        <v>10</v>
      </c>
      <c r="D196" s="174">
        <v>202</v>
      </c>
      <c r="E196" s="174">
        <v>32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>
        <v>15</v>
      </c>
      <c r="V196" s="174">
        <v>185</v>
      </c>
      <c r="W196" s="174"/>
      <c r="X196" s="174">
        <v>2</v>
      </c>
      <c r="Y196" s="174">
        <f t="shared" si="22"/>
        <v>202</v>
      </c>
      <c r="Z196" s="174">
        <v>13</v>
      </c>
      <c r="AA196" s="174">
        <v>10</v>
      </c>
      <c r="AB196" s="174">
        <v>202</v>
      </c>
      <c r="AC196" s="174">
        <v>32</v>
      </c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>
        <v>24</v>
      </c>
      <c r="AT196" s="174">
        <v>176</v>
      </c>
      <c r="AU196" s="174"/>
      <c r="AV196" s="174">
        <v>2</v>
      </c>
      <c r="AW196" s="174">
        <f t="shared" si="23"/>
        <v>202</v>
      </c>
      <c r="AX196" s="174">
        <v>2113.8608333333336</v>
      </c>
      <c r="AY196" s="204"/>
      <c r="AZ196" s="204"/>
      <c r="BA196" s="204"/>
    </row>
    <row r="197" spans="1:53" x14ac:dyDescent="0.25">
      <c r="A197" s="175" t="s">
        <v>116</v>
      </c>
      <c r="B197" s="174">
        <v>7</v>
      </c>
      <c r="C197" s="174">
        <v>7</v>
      </c>
      <c r="D197" s="174">
        <v>7</v>
      </c>
      <c r="E197" s="174">
        <v>7</v>
      </c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>
        <v>1</v>
      </c>
      <c r="T197" s="174">
        <v>1</v>
      </c>
      <c r="U197" s="174">
        <v>3</v>
      </c>
      <c r="V197" s="174">
        <v>2</v>
      </c>
      <c r="W197" s="174"/>
      <c r="X197" s="174"/>
      <c r="Y197" s="174">
        <f t="shared" si="22"/>
        <v>7</v>
      </c>
      <c r="Z197" s="174">
        <v>5</v>
      </c>
      <c r="AA197" s="174">
        <v>5</v>
      </c>
      <c r="AB197" s="174">
        <v>5</v>
      </c>
      <c r="AC197" s="174">
        <v>5</v>
      </c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>
        <v>3</v>
      </c>
      <c r="AT197" s="174">
        <v>2</v>
      </c>
      <c r="AU197" s="174"/>
      <c r="AV197" s="174"/>
      <c r="AW197" s="174">
        <f t="shared" si="23"/>
        <v>5</v>
      </c>
      <c r="AX197" s="174">
        <v>2106.6666666666665</v>
      </c>
      <c r="AY197" s="204"/>
      <c r="AZ197" s="204"/>
      <c r="BA197" s="204"/>
    </row>
    <row r="198" spans="1:53" x14ac:dyDescent="0.25">
      <c r="A198" s="175" t="s">
        <v>59</v>
      </c>
      <c r="B198" s="174">
        <v>1</v>
      </c>
      <c r="C198" s="174">
        <v>1</v>
      </c>
      <c r="D198" s="174">
        <v>1</v>
      </c>
      <c r="E198" s="174">
        <v>1</v>
      </c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>
        <v>1</v>
      </c>
      <c r="V198" s="174"/>
      <c r="W198" s="174"/>
      <c r="X198" s="174"/>
      <c r="Y198" s="174">
        <f t="shared" si="22"/>
        <v>1</v>
      </c>
      <c r="Z198" s="174">
        <v>1</v>
      </c>
      <c r="AA198" s="174">
        <v>1</v>
      </c>
      <c r="AB198" s="174">
        <v>1</v>
      </c>
      <c r="AC198" s="174">
        <v>1</v>
      </c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>
        <v>1</v>
      </c>
      <c r="AT198" s="174"/>
      <c r="AU198" s="174"/>
      <c r="AV198" s="174"/>
      <c r="AW198" s="174">
        <f t="shared" si="23"/>
        <v>1</v>
      </c>
      <c r="AX198" s="174">
        <v>4000</v>
      </c>
      <c r="AY198" s="204"/>
      <c r="AZ198" s="204"/>
      <c r="BA198" s="204"/>
    </row>
    <row r="199" spans="1:53" x14ac:dyDescent="0.25">
      <c r="A199" s="175" t="s">
        <v>60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204"/>
      <c r="AZ199" s="204"/>
      <c r="BA199" s="204"/>
    </row>
    <row r="200" spans="1:53" x14ac:dyDescent="0.25">
      <c r="A200" s="175" t="s">
        <v>117</v>
      </c>
      <c r="B200" s="174">
        <v>2</v>
      </c>
      <c r="C200" s="174">
        <v>2</v>
      </c>
      <c r="D200" s="174">
        <v>2</v>
      </c>
      <c r="E200" s="174">
        <v>2</v>
      </c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>
        <v>2</v>
      </c>
      <c r="V200" s="174"/>
      <c r="W200" s="174"/>
      <c r="X200" s="174"/>
      <c r="Y200" s="174">
        <f t="shared" ref="Y200:Y217" si="30">SUM(F200:X200)</f>
        <v>2</v>
      </c>
      <c r="Z200" s="174">
        <v>2</v>
      </c>
      <c r="AA200" s="174">
        <v>2</v>
      </c>
      <c r="AB200" s="174">
        <v>2</v>
      </c>
      <c r="AC200" s="174">
        <v>2</v>
      </c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>
        <v>2</v>
      </c>
      <c r="AT200" s="174"/>
      <c r="AU200" s="174"/>
      <c r="AV200" s="174"/>
      <c r="AW200" s="174">
        <f t="shared" ref="AW200:AW217" si="31">SUM(AD200:AV200)</f>
        <v>2</v>
      </c>
      <c r="AX200" s="174">
        <v>2723.5</v>
      </c>
      <c r="AY200" s="204"/>
      <c r="AZ200" s="204"/>
      <c r="BA200" s="204"/>
    </row>
    <row r="201" spans="1:53" x14ac:dyDescent="0.25">
      <c r="A201" s="175" t="s">
        <v>118</v>
      </c>
      <c r="B201" s="174">
        <v>1</v>
      </c>
      <c r="C201" s="174">
        <v>1</v>
      </c>
      <c r="D201" s="174">
        <v>1</v>
      </c>
      <c r="E201" s="174">
        <v>1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>
        <v>1</v>
      </c>
      <c r="V201" s="174"/>
      <c r="W201" s="174"/>
      <c r="X201" s="174"/>
      <c r="Y201" s="174">
        <f t="shared" si="30"/>
        <v>1</v>
      </c>
      <c r="Z201" s="174">
        <v>1</v>
      </c>
      <c r="AA201" s="174">
        <v>1</v>
      </c>
      <c r="AB201" s="174">
        <v>1</v>
      </c>
      <c r="AC201" s="174">
        <v>1</v>
      </c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>
        <v>1</v>
      </c>
      <c r="AT201" s="174"/>
      <c r="AU201" s="174"/>
      <c r="AV201" s="174"/>
      <c r="AW201" s="174">
        <f t="shared" si="31"/>
        <v>1</v>
      </c>
      <c r="AX201" s="174">
        <v>2600</v>
      </c>
      <c r="AY201" s="204"/>
      <c r="AZ201" s="204"/>
      <c r="BA201" s="204"/>
    </row>
    <row r="202" spans="1:53" x14ac:dyDescent="0.25">
      <c r="A202" s="175" t="s">
        <v>119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204"/>
      <c r="AZ202" s="204"/>
      <c r="BA202" s="204"/>
    </row>
    <row r="203" spans="1:53" x14ac:dyDescent="0.25">
      <c r="A203" s="175" t="s">
        <v>120</v>
      </c>
      <c r="B203" s="174">
        <v>2</v>
      </c>
      <c r="C203" s="174">
        <v>1</v>
      </c>
      <c r="D203" s="174">
        <v>2</v>
      </c>
      <c r="E203" s="174">
        <v>1</v>
      </c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>
        <v>1</v>
      </c>
      <c r="V203" s="174"/>
      <c r="W203" s="174"/>
      <c r="X203" s="174">
        <v>1</v>
      </c>
      <c r="Y203" s="174">
        <f t="shared" si="30"/>
        <v>2</v>
      </c>
      <c r="Z203" s="174">
        <v>2</v>
      </c>
      <c r="AA203" s="174">
        <v>1</v>
      </c>
      <c r="AB203" s="174">
        <v>2</v>
      </c>
      <c r="AC203" s="174">
        <v>1</v>
      </c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>
        <v>1</v>
      </c>
      <c r="AT203" s="174"/>
      <c r="AU203" s="174"/>
      <c r="AV203" s="174">
        <v>1</v>
      </c>
      <c r="AW203" s="174">
        <f t="shared" si="31"/>
        <v>2</v>
      </c>
      <c r="AX203" s="174">
        <v>2280</v>
      </c>
      <c r="AY203" s="204"/>
      <c r="AZ203" s="204"/>
      <c r="BA203" s="204"/>
    </row>
    <row r="204" spans="1:53" x14ac:dyDescent="0.25">
      <c r="A204" s="217" t="s">
        <v>121</v>
      </c>
      <c r="B204" s="174">
        <v>1</v>
      </c>
      <c r="C204" s="174">
        <v>1</v>
      </c>
      <c r="D204" s="174">
        <v>2</v>
      </c>
      <c r="E204" s="174">
        <v>2</v>
      </c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>
        <v>2</v>
      </c>
      <c r="V204" s="174"/>
      <c r="W204" s="174"/>
      <c r="X204" s="174"/>
      <c r="Y204" s="174">
        <f t="shared" si="30"/>
        <v>2</v>
      </c>
      <c r="Z204" s="174">
        <v>1</v>
      </c>
      <c r="AA204" s="174">
        <v>1</v>
      </c>
      <c r="AB204" s="174">
        <v>2</v>
      </c>
      <c r="AC204" s="174">
        <v>2</v>
      </c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>
        <v>2</v>
      </c>
      <c r="AT204" s="174"/>
      <c r="AU204" s="174"/>
      <c r="AV204" s="174"/>
      <c r="AW204" s="174">
        <f t="shared" si="31"/>
        <v>2</v>
      </c>
      <c r="AX204" s="174">
        <v>1320</v>
      </c>
      <c r="AY204" s="204"/>
      <c r="AZ204" s="204"/>
      <c r="BA204" s="204"/>
    </row>
    <row r="205" spans="1:53" x14ac:dyDescent="0.25">
      <c r="A205" s="217" t="s">
        <v>122</v>
      </c>
      <c r="B205" s="174">
        <v>5</v>
      </c>
      <c r="C205" s="174">
        <v>2</v>
      </c>
      <c r="D205" s="174">
        <v>7</v>
      </c>
      <c r="E205" s="174">
        <v>2</v>
      </c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>
        <v>1</v>
      </c>
      <c r="V205" s="174">
        <v>1</v>
      </c>
      <c r="W205" s="174"/>
      <c r="X205" s="174">
        <v>5</v>
      </c>
      <c r="Y205" s="174">
        <f t="shared" si="30"/>
        <v>7</v>
      </c>
      <c r="Z205" s="174">
        <v>3</v>
      </c>
      <c r="AA205" s="174">
        <v>1</v>
      </c>
      <c r="AB205" s="174">
        <v>3</v>
      </c>
      <c r="AC205" s="174">
        <v>1</v>
      </c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>
        <v>1</v>
      </c>
      <c r="AT205" s="174"/>
      <c r="AU205" s="174"/>
      <c r="AV205" s="174">
        <v>2</v>
      </c>
      <c r="AW205" s="174">
        <f t="shared" si="31"/>
        <v>3</v>
      </c>
      <c r="AX205" s="174">
        <v>1600</v>
      </c>
      <c r="AY205" s="204"/>
      <c r="AZ205" s="204"/>
      <c r="BA205" s="204"/>
    </row>
    <row r="206" spans="1:53" x14ac:dyDescent="0.25">
      <c r="A206" s="217" t="s">
        <v>123</v>
      </c>
      <c r="B206" s="174">
        <v>3</v>
      </c>
      <c r="C206" s="174">
        <v>3</v>
      </c>
      <c r="D206" s="174">
        <v>5</v>
      </c>
      <c r="E206" s="174">
        <v>5</v>
      </c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>
        <v>5</v>
      </c>
      <c r="V206" s="174"/>
      <c r="W206" s="174"/>
      <c r="X206" s="174"/>
      <c r="Y206" s="174">
        <f t="shared" si="30"/>
        <v>5</v>
      </c>
      <c r="Z206" s="174">
        <v>3</v>
      </c>
      <c r="AA206" s="174">
        <v>3</v>
      </c>
      <c r="AB206" s="174">
        <v>5</v>
      </c>
      <c r="AC206" s="174">
        <v>5</v>
      </c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>
        <v>5</v>
      </c>
      <c r="AT206" s="174"/>
      <c r="AU206" s="174"/>
      <c r="AV206" s="174"/>
      <c r="AW206" s="174">
        <f t="shared" si="31"/>
        <v>5</v>
      </c>
      <c r="AX206" s="174">
        <v>5333.33</v>
      </c>
      <c r="AY206" s="204"/>
      <c r="AZ206" s="204"/>
      <c r="BA206" s="204"/>
    </row>
    <row r="207" spans="1:53" x14ac:dyDescent="0.25">
      <c r="A207" s="175" t="s">
        <v>61</v>
      </c>
      <c r="B207" s="174">
        <v>1</v>
      </c>
      <c r="C207" s="174">
        <v>1</v>
      </c>
      <c r="D207" s="174">
        <v>2</v>
      </c>
      <c r="E207" s="174">
        <v>2</v>
      </c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>
        <v>2</v>
      </c>
      <c r="W207" s="174"/>
      <c r="X207" s="174"/>
      <c r="Y207" s="174">
        <f t="shared" si="30"/>
        <v>2</v>
      </c>
      <c r="Z207" s="174">
        <v>1</v>
      </c>
      <c r="AA207" s="174">
        <v>1</v>
      </c>
      <c r="AB207" s="174">
        <v>2</v>
      </c>
      <c r="AC207" s="174">
        <v>2</v>
      </c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>
        <v>2</v>
      </c>
      <c r="AU207" s="174"/>
      <c r="AV207" s="174"/>
      <c r="AW207" s="174">
        <f t="shared" si="31"/>
        <v>2</v>
      </c>
      <c r="AX207" s="174">
        <v>2880</v>
      </c>
      <c r="AY207" s="204"/>
      <c r="AZ207" s="204"/>
      <c r="BA207" s="204"/>
    </row>
    <row r="208" spans="1:53" x14ac:dyDescent="0.25">
      <c r="A208" s="175" t="s">
        <v>62</v>
      </c>
      <c r="B208" s="174">
        <v>7</v>
      </c>
      <c r="C208" s="174">
        <v>4</v>
      </c>
      <c r="D208" s="174">
        <v>11</v>
      </c>
      <c r="E208" s="174">
        <v>8</v>
      </c>
      <c r="F208" s="174"/>
      <c r="G208" s="174"/>
      <c r="H208" s="174">
        <v>1</v>
      </c>
      <c r="I208" s="174"/>
      <c r="J208" s="174"/>
      <c r="K208" s="174"/>
      <c r="L208" s="174"/>
      <c r="M208" s="174"/>
      <c r="N208" s="174"/>
      <c r="O208" s="174"/>
      <c r="P208" s="174"/>
      <c r="Q208" s="174"/>
      <c r="R208" s="174">
        <v>1</v>
      </c>
      <c r="S208" s="174"/>
      <c r="T208" s="174">
        <v>1</v>
      </c>
      <c r="U208" s="174">
        <v>5</v>
      </c>
      <c r="V208" s="174">
        <v>1</v>
      </c>
      <c r="W208" s="174"/>
      <c r="X208" s="174">
        <v>2</v>
      </c>
      <c r="Y208" s="174">
        <f t="shared" si="30"/>
        <v>11</v>
      </c>
      <c r="Z208" s="174">
        <v>3</v>
      </c>
      <c r="AA208" s="174">
        <v>3</v>
      </c>
      <c r="AB208" s="174">
        <v>7</v>
      </c>
      <c r="AC208" s="174">
        <v>7</v>
      </c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>
        <v>3</v>
      </c>
      <c r="AU208" s="174"/>
      <c r="AV208" s="174">
        <v>4</v>
      </c>
      <c r="AW208" s="174">
        <f t="shared" si="31"/>
        <v>7</v>
      </c>
      <c r="AX208" s="174">
        <v>1653.3333333333333</v>
      </c>
      <c r="AY208" s="204"/>
      <c r="AZ208" s="204"/>
      <c r="BA208" s="204"/>
    </row>
    <row r="209" spans="1:53" x14ac:dyDescent="0.25">
      <c r="A209" s="175" t="s">
        <v>63</v>
      </c>
      <c r="B209" s="174">
        <v>5</v>
      </c>
      <c r="C209" s="174">
        <v>5</v>
      </c>
      <c r="D209" s="174">
        <v>5</v>
      </c>
      <c r="E209" s="174">
        <v>5</v>
      </c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>
        <v>4</v>
      </c>
      <c r="V209" s="174">
        <v>1</v>
      </c>
      <c r="W209" s="174"/>
      <c r="X209" s="174"/>
      <c r="Y209" s="174">
        <f t="shared" si="30"/>
        <v>5</v>
      </c>
      <c r="Z209" s="174">
        <v>5</v>
      </c>
      <c r="AA209" s="174">
        <v>5</v>
      </c>
      <c r="AB209" s="174">
        <v>5</v>
      </c>
      <c r="AC209" s="174">
        <v>5</v>
      </c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>
        <v>4</v>
      </c>
      <c r="AT209" s="174">
        <v>1</v>
      </c>
      <c r="AU209" s="174"/>
      <c r="AV209" s="174"/>
      <c r="AW209" s="174">
        <f t="shared" si="31"/>
        <v>5</v>
      </c>
      <c r="AX209" s="174">
        <v>3120</v>
      </c>
      <c r="AY209" s="204"/>
      <c r="AZ209" s="204"/>
      <c r="BA209" s="204"/>
    </row>
    <row r="210" spans="1:53" x14ac:dyDescent="0.25">
      <c r="A210" s="175" t="s">
        <v>64</v>
      </c>
      <c r="B210" s="174">
        <v>2</v>
      </c>
      <c r="C210" s="174">
        <v>1</v>
      </c>
      <c r="D210" s="174">
        <v>2</v>
      </c>
      <c r="E210" s="174">
        <v>1</v>
      </c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>
        <v>2</v>
      </c>
      <c r="V210" s="174"/>
      <c r="W210" s="174"/>
      <c r="X210" s="174"/>
      <c r="Y210" s="174">
        <f t="shared" si="30"/>
        <v>2</v>
      </c>
      <c r="Z210" s="174">
        <v>2</v>
      </c>
      <c r="AA210" s="174">
        <v>1</v>
      </c>
      <c r="AB210" s="174">
        <v>2</v>
      </c>
      <c r="AC210" s="174">
        <v>1</v>
      </c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>
        <v>2</v>
      </c>
      <c r="AT210" s="174"/>
      <c r="AU210" s="174"/>
      <c r="AV210" s="174"/>
      <c r="AW210" s="174">
        <f t="shared" si="31"/>
        <v>2</v>
      </c>
      <c r="AX210" s="174">
        <v>2599.5</v>
      </c>
      <c r="AY210" s="204"/>
      <c r="AZ210" s="204"/>
      <c r="BA210" s="204"/>
    </row>
    <row r="211" spans="1:53" x14ac:dyDescent="0.25">
      <c r="A211" s="175" t="s">
        <v>65</v>
      </c>
      <c r="B211" s="174">
        <v>1</v>
      </c>
      <c r="C211" s="174"/>
      <c r="D211" s="174">
        <v>1</v>
      </c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>
        <v>1</v>
      </c>
      <c r="V211" s="174"/>
      <c r="W211" s="174"/>
      <c r="X211" s="174"/>
      <c r="Y211" s="174">
        <f t="shared" si="30"/>
        <v>1</v>
      </c>
      <c r="Z211" s="174">
        <v>1</v>
      </c>
      <c r="AA211" s="174"/>
      <c r="AB211" s="174">
        <v>1</v>
      </c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>
        <v>1</v>
      </c>
      <c r="AT211" s="174"/>
      <c r="AU211" s="174"/>
      <c r="AV211" s="174"/>
      <c r="AW211" s="174">
        <f t="shared" si="31"/>
        <v>1</v>
      </c>
      <c r="AX211" s="174">
        <v>4536</v>
      </c>
      <c r="AY211" s="204"/>
      <c r="AZ211" s="204"/>
      <c r="BA211" s="204"/>
    </row>
    <row r="212" spans="1:53" x14ac:dyDescent="0.25">
      <c r="A212" s="175" t="s">
        <v>66</v>
      </c>
      <c r="B212" s="174">
        <v>1</v>
      </c>
      <c r="C212" s="174">
        <v>1</v>
      </c>
      <c r="D212" s="174">
        <v>1</v>
      </c>
      <c r="E212" s="174">
        <v>1</v>
      </c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>
        <v>1</v>
      </c>
      <c r="V212" s="174"/>
      <c r="W212" s="174"/>
      <c r="X212" s="174"/>
      <c r="Y212" s="174">
        <f t="shared" si="30"/>
        <v>1</v>
      </c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204"/>
      <c r="AZ212" s="204"/>
      <c r="BA212" s="204"/>
    </row>
    <row r="213" spans="1:53" x14ac:dyDescent="0.25">
      <c r="A213" s="175" t="s">
        <v>67</v>
      </c>
      <c r="B213" s="174">
        <v>2</v>
      </c>
      <c r="C213" s="174"/>
      <c r="D213" s="174">
        <v>2</v>
      </c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>
        <v>2</v>
      </c>
      <c r="V213" s="174"/>
      <c r="W213" s="174"/>
      <c r="X213" s="174"/>
      <c r="Y213" s="174">
        <f t="shared" si="30"/>
        <v>2</v>
      </c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204"/>
      <c r="AZ213" s="204"/>
      <c r="BA213" s="204"/>
    </row>
    <row r="214" spans="1:53" x14ac:dyDescent="0.25">
      <c r="A214" s="175" t="s">
        <v>68</v>
      </c>
      <c r="B214" s="174">
        <v>2</v>
      </c>
      <c r="C214" s="174">
        <v>2</v>
      </c>
      <c r="D214" s="174">
        <v>4</v>
      </c>
      <c r="E214" s="174">
        <v>4</v>
      </c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>
        <v>4</v>
      </c>
      <c r="W214" s="174"/>
      <c r="X214" s="174"/>
      <c r="Y214" s="174">
        <f t="shared" si="30"/>
        <v>4</v>
      </c>
      <c r="Z214" s="174">
        <v>2</v>
      </c>
      <c r="AA214" s="174">
        <v>2</v>
      </c>
      <c r="AB214" s="174">
        <v>2</v>
      </c>
      <c r="AC214" s="174">
        <v>2</v>
      </c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>
        <v>2</v>
      </c>
      <c r="AU214" s="174"/>
      <c r="AV214" s="174"/>
      <c r="AW214" s="174">
        <f t="shared" si="31"/>
        <v>2</v>
      </c>
      <c r="AX214" s="174">
        <v>2400</v>
      </c>
      <c r="AY214" s="204"/>
      <c r="AZ214" s="204"/>
      <c r="BA214" s="204"/>
    </row>
    <row r="215" spans="1:53" x14ac:dyDescent="0.25">
      <c r="A215" s="175" t="s">
        <v>69</v>
      </c>
      <c r="B215" s="174">
        <v>1</v>
      </c>
      <c r="C215" s="174">
        <v>1</v>
      </c>
      <c r="D215" s="174">
        <v>1</v>
      </c>
      <c r="E215" s="174">
        <v>1</v>
      </c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>
        <v>1</v>
      </c>
      <c r="W215" s="174"/>
      <c r="X215" s="174"/>
      <c r="Y215" s="174">
        <f t="shared" si="30"/>
        <v>1</v>
      </c>
      <c r="Z215" s="174">
        <v>1</v>
      </c>
      <c r="AA215" s="174">
        <v>1</v>
      </c>
      <c r="AB215" s="174">
        <v>1</v>
      </c>
      <c r="AC215" s="174">
        <v>1</v>
      </c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>
        <v>1</v>
      </c>
      <c r="AU215" s="174"/>
      <c r="AV215" s="174"/>
      <c r="AW215" s="174">
        <f t="shared" si="31"/>
        <v>1</v>
      </c>
      <c r="AX215" s="174">
        <v>3120</v>
      </c>
      <c r="AY215" s="204"/>
      <c r="AZ215" s="204"/>
      <c r="BA215" s="204"/>
    </row>
    <row r="216" spans="1:53" x14ac:dyDescent="0.25">
      <c r="A216" s="175" t="s">
        <v>70</v>
      </c>
      <c r="B216" s="174">
        <v>3</v>
      </c>
      <c r="C216" s="174">
        <v>3</v>
      </c>
      <c r="D216" s="174">
        <v>3</v>
      </c>
      <c r="E216" s="174">
        <v>3</v>
      </c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>
        <v>3</v>
      </c>
      <c r="V216" s="174"/>
      <c r="W216" s="174"/>
      <c r="X216" s="174"/>
      <c r="Y216" s="174">
        <f t="shared" si="30"/>
        <v>3</v>
      </c>
      <c r="Z216" s="174">
        <v>3</v>
      </c>
      <c r="AA216" s="174">
        <v>3</v>
      </c>
      <c r="AB216" s="174">
        <v>3</v>
      </c>
      <c r="AC216" s="174">
        <v>3</v>
      </c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>
        <v>1</v>
      </c>
      <c r="AQ216" s="174"/>
      <c r="AR216" s="174"/>
      <c r="AS216" s="174">
        <v>2</v>
      </c>
      <c r="AT216" s="174"/>
      <c r="AU216" s="174"/>
      <c r="AV216" s="174"/>
      <c r="AW216" s="174">
        <f t="shared" si="31"/>
        <v>3</v>
      </c>
      <c r="AX216" s="174">
        <v>2720</v>
      </c>
      <c r="AY216" s="204"/>
      <c r="AZ216" s="204"/>
      <c r="BA216" s="204"/>
    </row>
    <row r="217" spans="1:53" x14ac:dyDescent="0.25">
      <c r="A217" s="175" t="s">
        <v>71</v>
      </c>
      <c r="B217" s="174">
        <v>2</v>
      </c>
      <c r="C217" s="174">
        <v>2</v>
      </c>
      <c r="D217" s="174">
        <v>2</v>
      </c>
      <c r="E217" s="174">
        <v>2</v>
      </c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>
        <v>1</v>
      </c>
      <c r="V217" s="174">
        <v>1</v>
      </c>
      <c r="W217" s="174"/>
      <c r="X217" s="174"/>
      <c r="Y217" s="174">
        <f t="shared" si="30"/>
        <v>2</v>
      </c>
      <c r="Z217" s="174">
        <v>2</v>
      </c>
      <c r="AA217" s="174">
        <v>2</v>
      </c>
      <c r="AB217" s="174">
        <v>2</v>
      </c>
      <c r="AC217" s="174">
        <v>2</v>
      </c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>
        <v>1</v>
      </c>
      <c r="AT217" s="174">
        <v>1</v>
      </c>
      <c r="AU217" s="174"/>
      <c r="AV217" s="174"/>
      <c r="AW217" s="174">
        <f t="shared" si="31"/>
        <v>2</v>
      </c>
      <c r="AX217" s="174">
        <v>2564</v>
      </c>
      <c r="AY217" s="204"/>
      <c r="AZ217" s="204"/>
      <c r="BA217" s="204"/>
    </row>
    <row r="218" spans="1:53" x14ac:dyDescent="0.25">
      <c r="A218" s="175" t="s">
        <v>72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204"/>
      <c r="AZ218" s="204"/>
      <c r="BA218" s="204"/>
    </row>
    <row r="219" spans="1:53" x14ac:dyDescent="0.25">
      <c r="A219" s="175" t="s">
        <v>73</v>
      </c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204"/>
      <c r="AZ219" s="204"/>
      <c r="BA219" s="204"/>
    </row>
    <row r="220" spans="1:53" x14ac:dyDescent="0.25">
      <c r="A220" s="175" t="s">
        <v>74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204"/>
      <c r="AZ220" s="204"/>
      <c r="BA220" s="204"/>
    </row>
    <row r="221" spans="1:53" x14ac:dyDescent="0.25">
      <c r="A221" s="175" t="s">
        <v>75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204"/>
      <c r="AZ221" s="204"/>
      <c r="BA221" s="204"/>
    </row>
    <row r="222" spans="1:53" x14ac:dyDescent="0.25">
      <c r="A222" s="175" t="s">
        <v>76</v>
      </c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204"/>
      <c r="AZ222" s="204"/>
      <c r="BA222" s="204"/>
    </row>
    <row r="223" spans="1:53" x14ac:dyDescent="0.25">
      <c r="A223" s="173" t="s">
        <v>47</v>
      </c>
      <c r="B223" s="174">
        <f t="shared" ref="B223:X223" si="32">SUM(B224:B230)</f>
        <v>106</v>
      </c>
      <c r="C223" s="174">
        <f t="shared" si="32"/>
        <v>8</v>
      </c>
      <c r="D223" s="174">
        <f t="shared" si="32"/>
        <v>137</v>
      </c>
      <c r="E223" s="174">
        <f t="shared" si="32"/>
        <v>29</v>
      </c>
      <c r="F223" s="174">
        <f t="shared" si="32"/>
        <v>0</v>
      </c>
      <c r="G223" s="174">
        <f t="shared" si="32"/>
        <v>2</v>
      </c>
      <c r="H223" s="174">
        <f t="shared" si="32"/>
        <v>9</v>
      </c>
      <c r="I223" s="174">
        <f t="shared" si="32"/>
        <v>0</v>
      </c>
      <c r="J223" s="174">
        <f t="shared" si="32"/>
        <v>4</v>
      </c>
      <c r="K223" s="174">
        <f t="shared" si="32"/>
        <v>10</v>
      </c>
      <c r="L223" s="174">
        <f t="shared" si="32"/>
        <v>46</v>
      </c>
      <c r="M223" s="174">
        <f t="shared" si="32"/>
        <v>26</v>
      </c>
      <c r="N223" s="174">
        <f t="shared" si="32"/>
        <v>3</v>
      </c>
      <c r="O223" s="174">
        <f t="shared" si="32"/>
        <v>0</v>
      </c>
      <c r="P223" s="174">
        <f t="shared" si="32"/>
        <v>0</v>
      </c>
      <c r="Q223" s="174">
        <f t="shared" si="32"/>
        <v>0</v>
      </c>
      <c r="R223" s="174">
        <f t="shared" si="32"/>
        <v>1</v>
      </c>
      <c r="S223" s="174">
        <f t="shared" si="32"/>
        <v>5</v>
      </c>
      <c r="T223" s="174">
        <f t="shared" si="32"/>
        <v>2</v>
      </c>
      <c r="U223" s="174">
        <f t="shared" si="32"/>
        <v>4</v>
      </c>
      <c r="V223" s="174">
        <f t="shared" si="32"/>
        <v>25</v>
      </c>
      <c r="W223" s="174">
        <f t="shared" si="32"/>
        <v>0</v>
      </c>
      <c r="X223" s="174">
        <f t="shared" si="32"/>
        <v>0</v>
      </c>
      <c r="Y223" s="174">
        <f t="shared" ref="Y223:Y246" si="33">SUM(F223:X223)</f>
        <v>137</v>
      </c>
      <c r="Z223" s="174">
        <f t="shared" ref="Z223:AV223" si="34">SUM(Z224:Z230)</f>
        <v>87</v>
      </c>
      <c r="AA223" s="174">
        <f t="shared" si="34"/>
        <v>8</v>
      </c>
      <c r="AB223" s="174">
        <f t="shared" si="34"/>
        <v>125</v>
      </c>
      <c r="AC223" s="174">
        <f t="shared" si="34"/>
        <v>29</v>
      </c>
      <c r="AD223" s="174">
        <f t="shared" si="34"/>
        <v>0</v>
      </c>
      <c r="AE223" s="174">
        <f t="shared" si="34"/>
        <v>2</v>
      </c>
      <c r="AF223" s="174">
        <f t="shared" si="34"/>
        <v>14</v>
      </c>
      <c r="AG223" s="174">
        <f t="shared" si="34"/>
        <v>0</v>
      </c>
      <c r="AH223" s="174">
        <f t="shared" si="34"/>
        <v>6</v>
      </c>
      <c r="AI223" s="174">
        <f t="shared" si="34"/>
        <v>16</v>
      </c>
      <c r="AJ223" s="174">
        <f t="shared" si="34"/>
        <v>29</v>
      </c>
      <c r="AK223" s="174">
        <f t="shared" si="34"/>
        <v>19</v>
      </c>
      <c r="AL223" s="174">
        <f t="shared" si="34"/>
        <v>3</v>
      </c>
      <c r="AM223" s="174">
        <f t="shared" si="34"/>
        <v>0</v>
      </c>
      <c r="AN223" s="174">
        <f t="shared" si="34"/>
        <v>0</v>
      </c>
      <c r="AO223" s="174">
        <f t="shared" si="34"/>
        <v>0</v>
      </c>
      <c r="AP223" s="174">
        <f t="shared" si="34"/>
        <v>1</v>
      </c>
      <c r="AQ223" s="174">
        <f t="shared" si="34"/>
        <v>5</v>
      </c>
      <c r="AR223" s="174">
        <f t="shared" si="34"/>
        <v>2</v>
      </c>
      <c r="AS223" s="174">
        <f t="shared" si="34"/>
        <v>3</v>
      </c>
      <c r="AT223" s="174">
        <f t="shared" si="34"/>
        <v>25</v>
      </c>
      <c r="AU223" s="174">
        <f t="shared" si="34"/>
        <v>0</v>
      </c>
      <c r="AV223" s="174">
        <f t="shared" si="34"/>
        <v>0</v>
      </c>
      <c r="AW223" s="174">
        <f t="shared" ref="AW223:AW247" si="35">SUM(AD223:AV223)</f>
        <v>125</v>
      </c>
      <c r="AX223" s="174"/>
      <c r="AY223" s="184">
        <f>Z223*100/B223</f>
        <v>82.075471698113205</v>
      </c>
      <c r="AZ223" s="174">
        <f>B223-Z223</f>
        <v>19</v>
      </c>
      <c r="BA223" s="184">
        <f>AZ223*100/Z223</f>
        <v>21.839080459770116</v>
      </c>
    </row>
    <row r="224" spans="1:53" x14ac:dyDescent="0.25">
      <c r="A224" s="175" t="s">
        <v>48</v>
      </c>
      <c r="B224" s="174">
        <v>1</v>
      </c>
      <c r="C224" s="174"/>
      <c r="D224" s="174">
        <v>1</v>
      </c>
      <c r="E224" s="174"/>
      <c r="F224" s="174"/>
      <c r="G224" s="174"/>
      <c r="H224" s="174"/>
      <c r="I224" s="174"/>
      <c r="J224" s="174"/>
      <c r="K224" s="174">
        <v>1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>
        <f t="shared" si="33"/>
        <v>1</v>
      </c>
      <c r="Z224" s="174">
        <v>1</v>
      </c>
      <c r="AA224" s="174"/>
      <c r="AB224" s="174">
        <v>1</v>
      </c>
      <c r="AC224" s="174"/>
      <c r="AD224" s="174"/>
      <c r="AE224" s="174"/>
      <c r="AF224" s="174"/>
      <c r="AG224" s="174"/>
      <c r="AH224" s="174"/>
      <c r="AI224" s="174">
        <v>1</v>
      </c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>
        <f t="shared" si="35"/>
        <v>1</v>
      </c>
      <c r="AX224" s="174">
        <v>1200</v>
      </c>
      <c r="AY224" s="204"/>
      <c r="AZ224" s="204"/>
      <c r="BA224" s="204"/>
    </row>
    <row r="225" spans="1:53" x14ac:dyDescent="0.25">
      <c r="A225" s="175" t="s">
        <v>49</v>
      </c>
      <c r="B225" s="174">
        <v>11</v>
      </c>
      <c r="C225" s="174">
        <v>1</v>
      </c>
      <c r="D225" s="174">
        <v>11</v>
      </c>
      <c r="E225" s="174">
        <v>1</v>
      </c>
      <c r="F225" s="174"/>
      <c r="G225" s="174"/>
      <c r="H225" s="174"/>
      <c r="I225" s="174"/>
      <c r="J225" s="174"/>
      <c r="K225" s="174">
        <v>1</v>
      </c>
      <c r="L225" s="174">
        <v>1</v>
      </c>
      <c r="M225" s="174">
        <v>5</v>
      </c>
      <c r="N225" s="174"/>
      <c r="O225" s="174"/>
      <c r="P225" s="174"/>
      <c r="Q225" s="174"/>
      <c r="R225" s="174"/>
      <c r="S225" s="174"/>
      <c r="T225" s="174">
        <v>1</v>
      </c>
      <c r="U225" s="174"/>
      <c r="V225" s="174">
        <v>3</v>
      </c>
      <c r="W225" s="174"/>
      <c r="X225" s="174"/>
      <c r="Y225" s="174">
        <f t="shared" si="33"/>
        <v>11</v>
      </c>
      <c r="Z225" s="174">
        <v>10</v>
      </c>
      <c r="AA225" s="174">
        <v>1</v>
      </c>
      <c r="AB225" s="174">
        <v>10</v>
      </c>
      <c r="AC225" s="174">
        <v>1</v>
      </c>
      <c r="AD225" s="174"/>
      <c r="AE225" s="174"/>
      <c r="AF225" s="174"/>
      <c r="AG225" s="174"/>
      <c r="AH225" s="174"/>
      <c r="AI225" s="174">
        <v>1</v>
      </c>
      <c r="AJ225" s="174">
        <v>1</v>
      </c>
      <c r="AK225" s="174">
        <v>4</v>
      </c>
      <c r="AL225" s="174"/>
      <c r="AM225" s="174"/>
      <c r="AN225" s="174"/>
      <c r="AO225" s="174"/>
      <c r="AP225" s="174"/>
      <c r="AQ225" s="174"/>
      <c r="AR225" s="174">
        <v>1</v>
      </c>
      <c r="AS225" s="174"/>
      <c r="AT225" s="174">
        <v>3</v>
      </c>
      <c r="AU225" s="174"/>
      <c r="AV225" s="174"/>
      <c r="AW225" s="174">
        <f t="shared" si="35"/>
        <v>10</v>
      </c>
      <c r="AX225" s="174">
        <v>5222.75</v>
      </c>
      <c r="AY225" s="204"/>
      <c r="AZ225" s="204"/>
      <c r="BA225" s="204"/>
    </row>
    <row r="226" spans="1:53" x14ac:dyDescent="0.25">
      <c r="A226" s="175" t="s">
        <v>50</v>
      </c>
      <c r="B226" s="174">
        <v>86</v>
      </c>
      <c r="C226" s="174">
        <v>6</v>
      </c>
      <c r="D226" s="174">
        <v>96</v>
      </c>
      <c r="E226" s="174">
        <v>27</v>
      </c>
      <c r="F226" s="174"/>
      <c r="G226" s="174">
        <v>2</v>
      </c>
      <c r="H226" s="174">
        <v>9</v>
      </c>
      <c r="I226" s="174"/>
      <c r="J226" s="174">
        <v>2</v>
      </c>
      <c r="K226" s="174">
        <v>8</v>
      </c>
      <c r="L226" s="174">
        <v>32</v>
      </c>
      <c r="M226" s="174">
        <v>13</v>
      </c>
      <c r="N226" s="174"/>
      <c r="O226" s="174"/>
      <c r="P226" s="174"/>
      <c r="Q226" s="174"/>
      <c r="R226" s="174">
        <v>1</v>
      </c>
      <c r="S226" s="174">
        <v>5</v>
      </c>
      <c r="T226" s="174"/>
      <c r="U226" s="174">
        <v>2</v>
      </c>
      <c r="V226" s="174">
        <v>22</v>
      </c>
      <c r="W226" s="174"/>
      <c r="X226" s="174"/>
      <c r="Y226" s="174">
        <f t="shared" si="33"/>
        <v>96</v>
      </c>
      <c r="Z226" s="174">
        <v>69</v>
      </c>
      <c r="AA226" s="174">
        <v>6</v>
      </c>
      <c r="AB226" s="174">
        <v>96</v>
      </c>
      <c r="AC226" s="174">
        <v>27</v>
      </c>
      <c r="AD226" s="174"/>
      <c r="AE226" s="174">
        <v>2</v>
      </c>
      <c r="AF226" s="174">
        <v>14</v>
      </c>
      <c r="AG226" s="174"/>
      <c r="AH226" s="174">
        <v>4</v>
      </c>
      <c r="AI226" s="174">
        <v>14</v>
      </c>
      <c r="AJ226" s="174">
        <v>26</v>
      </c>
      <c r="AK226" s="174">
        <v>7</v>
      </c>
      <c r="AL226" s="174"/>
      <c r="AM226" s="174"/>
      <c r="AN226" s="174"/>
      <c r="AO226" s="174"/>
      <c r="AP226" s="174">
        <v>1</v>
      </c>
      <c r="AQ226" s="174">
        <v>5</v>
      </c>
      <c r="AR226" s="174"/>
      <c r="AS226" s="174">
        <v>1</v>
      </c>
      <c r="AT226" s="174">
        <v>22</v>
      </c>
      <c r="AU226" s="174"/>
      <c r="AV226" s="174"/>
      <c r="AW226" s="174">
        <f t="shared" si="35"/>
        <v>96</v>
      </c>
      <c r="AX226" s="174">
        <v>3342.1934999999999</v>
      </c>
      <c r="AY226" s="204"/>
      <c r="AZ226" s="204"/>
      <c r="BA226" s="204"/>
    </row>
    <row r="227" spans="1:53" x14ac:dyDescent="0.25">
      <c r="A227" s="175" t="s">
        <v>51</v>
      </c>
      <c r="B227" s="174">
        <v>1</v>
      </c>
      <c r="C227" s="174"/>
      <c r="D227" s="174">
        <v>2</v>
      </c>
      <c r="E227" s="174"/>
      <c r="F227" s="174"/>
      <c r="G227" s="174"/>
      <c r="H227" s="174"/>
      <c r="I227" s="174"/>
      <c r="J227" s="174"/>
      <c r="K227" s="174"/>
      <c r="L227" s="174">
        <v>2</v>
      </c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>
        <f t="shared" si="33"/>
        <v>2</v>
      </c>
      <c r="Z227" s="174">
        <v>1</v>
      </c>
      <c r="AA227" s="174"/>
      <c r="AB227" s="174">
        <v>2</v>
      </c>
      <c r="AC227" s="174"/>
      <c r="AD227" s="174"/>
      <c r="AE227" s="174"/>
      <c r="AF227" s="174"/>
      <c r="AG227" s="174"/>
      <c r="AH227" s="174"/>
      <c r="AI227" s="174"/>
      <c r="AJ227" s="174">
        <v>2</v>
      </c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>
        <f t="shared" si="35"/>
        <v>2</v>
      </c>
      <c r="AX227" s="174">
        <v>400</v>
      </c>
      <c r="AY227" s="204"/>
      <c r="AZ227" s="204"/>
      <c r="BA227" s="204"/>
    </row>
    <row r="228" spans="1:53" x14ac:dyDescent="0.25">
      <c r="A228" s="175" t="s">
        <v>52</v>
      </c>
      <c r="B228" s="174">
        <v>3</v>
      </c>
      <c r="C228" s="174"/>
      <c r="D228" s="174">
        <v>16</v>
      </c>
      <c r="E228" s="174"/>
      <c r="F228" s="174"/>
      <c r="G228" s="174"/>
      <c r="H228" s="174"/>
      <c r="I228" s="174"/>
      <c r="J228" s="174"/>
      <c r="K228" s="174"/>
      <c r="L228" s="174">
        <v>11</v>
      </c>
      <c r="M228" s="174"/>
      <c r="N228" s="174">
        <v>3</v>
      </c>
      <c r="O228" s="174"/>
      <c r="P228" s="174"/>
      <c r="Q228" s="174"/>
      <c r="R228" s="174"/>
      <c r="S228" s="174"/>
      <c r="T228" s="174"/>
      <c r="U228" s="174">
        <v>2</v>
      </c>
      <c r="V228" s="174"/>
      <c r="W228" s="174"/>
      <c r="X228" s="174"/>
      <c r="Y228" s="174">
        <f t="shared" si="33"/>
        <v>16</v>
      </c>
      <c r="Z228" s="174">
        <v>2</v>
      </c>
      <c r="AA228" s="174"/>
      <c r="AB228" s="174">
        <v>5</v>
      </c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>
        <v>3</v>
      </c>
      <c r="AM228" s="174"/>
      <c r="AN228" s="174"/>
      <c r="AO228" s="174"/>
      <c r="AP228" s="174"/>
      <c r="AQ228" s="174"/>
      <c r="AR228" s="174"/>
      <c r="AS228" s="174">
        <v>2</v>
      </c>
      <c r="AT228" s="174"/>
      <c r="AU228" s="174"/>
      <c r="AV228" s="174"/>
      <c r="AW228" s="174">
        <f t="shared" si="35"/>
        <v>5</v>
      </c>
      <c r="AX228" s="174">
        <v>2160</v>
      </c>
      <c r="AY228" s="204"/>
      <c r="AZ228" s="204"/>
      <c r="BA228" s="204"/>
    </row>
    <row r="229" spans="1:53" x14ac:dyDescent="0.25">
      <c r="A229" s="175" t="s">
        <v>53</v>
      </c>
      <c r="B229" s="174">
        <v>1</v>
      </c>
      <c r="C229" s="174"/>
      <c r="D229" s="174">
        <v>4</v>
      </c>
      <c r="E229" s="174"/>
      <c r="F229" s="174"/>
      <c r="G229" s="174"/>
      <c r="H229" s="174"/>
      <c r="I229" s="174"/>
      <c r="J229" s="174"/>
      <c r="K229" s="174"/>
      <c r="L229" s="174"/>
      <c r="M229" s="174">
        <v>4</v>
      </c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>
        <f t="shared" si="33"/>
        <v>4</v>
      </c>
      <c r="Z229" s="174">
        <v>1</v>
      </c>
      <c r="AA229" s="174"/>
      <c r="AB229" s="174">
        <v>4</v>
      </c>
      <c r="AC229" s="174"/>
      <c r="AD229" s="174"/>
      <c r="AE229" s="174"/>
      <c r="AF229" s="174"/>
      <c r="AG229" s="174"/>
      <c r="AH229" s="174"/>
      <c r="AI229" s="174"/>
      <c r="AJ229" s="174"/>
      <c r="AK229" s="174">
        <v>4</v>
      </c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>
        <f t="shared" si="35"/>
        <v>4</v>
      </c>
      <c r="AX229" s="174">
        <v>1955</v>
      </c>
      <c r="AY229" s="204"/>
      <c r="AZ229" s="204"/>
      <c r="BA229" s="204"/>
    </row>
    <row r="230" spans="1:53" x14ac:dyDescent="0.25">
      <c r="A230" s="175" t="s">
        <v>54</v>
      </c>
      <c r="B230" s="174">
        <v>3</v>
      </c>
      <c r="C230" s="174">
        <v>1</v>
      </c>
      <c r="D230" s="174">
        <v>7</v>
      </c>
      <c r="E230" s="174">
        <v>1</v>
      </c>
      <c r="F230" s="174"/>
      <c r="G230" s="174"/>
      <c r="H230" s="174"/>
      <c r="I230" s="174"/>
      <c r="J230" s="174">
        <v>2</v>
      </c>
      <c r="K230" s="174"/>
      <c r="L230" s="174"/>
      <c r="M230" s="174">
        <v>4</v>
      </c>
      <c r="N230" s="174"/>
      <c r="O230" s="174"/>
      <c r="P230" s="174"/>
      <c r="Q230" s="174"/>
      <c r="R230" s="174"/>
      <c r="S230" s="174"/>
      <c r="T230" s="174">
        <v>1</v>
      </c>
      <c r="U230" s="174"/>
      <c r="V230" s="174"/>
      <c r="W230" s="174"/>
      <c r="X230" s="174"/>
      <c r="Y230" s="174">
        <f t="shared" si="33"/>
        <v>7</v>
      </c>
      <c r="Z230" s="174">
        <v>3</v>
      </c>
      <c r="AA230" s="174">
        <v>1</v>
      </c>
      <c r="AB230" s="174">
        <v>7</v>
      </c>
      <c r="AC230" s="174">
        <v>1</v>
      </c>
      <c r="AD230" s="174"/>
      <c r="AE230" s="174"/>
      <c r="AF230" s="174"/>
      <c r="AG230" s="174"/>
      <c r="AH230" s="174">
        <v>2</v>
      </c>
      <c r="AI230" s="174"/>
      <c r="AJ230" s="174"/>
      <c r="AK230" s="174">
        <v>4</v>
      </c>
      <c r="AL230" s="174"/>
      <c r="AM230" s="174"/>
      <c r="AN230" s="174"/>
      <c r="AO230" s="174"/>
      <c r="AP230" s="174"/>
      <c r="AQ230" s="174"/>
      <c r="AR230" s="174">
        <v>1</v>
      </c>
      <c r="AS230" s="174"/>
      <c r="AT230" s="174"/>
      <c r="AU230" s="174"/>
      <c r="AV230" s="174"/>
      <c r="AW230" s="174">
        <f t="shared" si="35"/>
        <v>7</v>
      </c>
      <c r="AX230" s="174">
        <v>1416.6666666666667</v>
      </c>
      <c r="AY230" s="204"/>
      <c r="AZ230" s="204"/>
      <c r="BA230" s="204"/>
    </row>
    <row r="231" spans="1:53" x14ac:dyDescent="0.25">
      <c r="A231" s="173" t="s">
        <v>55</v>
      </c>
      <c r="B231" s="174">
        <f t="shared" ref="B231:X231" si="36">B232+B233+B234+B235+B236+B237+B238+B239+B240+B241+B242+B243+B244+B245+B246</f>
        <v>377</v>
      </c>
      <c r="C231" s="174">
        <f t="shared" si="36"/>
        <v>85</v>
      </c>
      <c r="D231" s="174">
        <f t="shared" si="36"/>
        <v>517</v>
      </c>
      <c r="E231" s="174">
        <f t="shared" si="36"/>
        <v>168</v>
      </c>
      <c r="F231" s="174">
        <f t="shared" si="36"/>
        <v>2</v>
      </c>
      <c r="G231" s="174">
        <f t="shared" si="36"/>
        <v>0</v>
      </c>
      <c r="H231" s="174">
        <f t="shared" si="36"/>
        <v>60</v>
      </c>
      <c r="I231" s="174">
        <f t="shared" si="36"/>
        <v>7</v>
      </c>
      <c r="J231" s="174">
        <f t="shared" si="36"/>
        <v>11</v>
      </c>
      <c r="K231" s="174">
        <f t="shared" si="36"/>
        <v>14</v>
      </c>
      <c r="L231" s="174">
        <f t="shared" si="36"/>
        <v>25</v>
      </c>
      <c r="M231" s="174">
        <f t="shared" si="36"/>
        <v>10</v>
      </c>
      <c r="N231" s="174">
        <f t="shared" si="36"/>
        <v>5</v>
      </c>
      <c r="O231" s="174">
        <f t="shared" si="36"/>
        <v>13</v>
      </c>
      <c r="P231" s="174">
        <f t="shared" si="36"/>
        <v>5</v>
      </c>
      <c r="Q231" s="174">
        <f t="shared" si="36"/>
        <v>9</v>
      </c>
      <c r="R231" s="174">
        <f t="shared" si="36"/>
        <v>169</v>
      </c>
      <c r="S231" s="174">
        <f t="shared" si="36"/>
        <v>6</v>
      </c>
      <c r="T231" s="174">
        <f t="shared" si="36"/>
        <v>84</v>
      </c>
      <c r="U231" s="174">
        <f t="shared" si="36"/>
        <v>7</v>
      </c>
      <c r="V231" s="174">
        <f t="shared" si="36"/>
        <v>71</v>
      </c>
      <c r="W231" s="174">
        <f t="shared" si="36"/>
        <v>7</v>
      </c>
      <c r="X231" s="174">
        <f t="shared" si="36"/>
        <v>12</v>
      </c>
      <c r="Y231" s="174">
        <f t="shared" si="33"/>
        <v>517</v>
      </c>
      <c r="Z231" s="174">
        <f t="shared" ref="Z231:AV231" si="37">Z232+Z233+Z234+Z235+Z236+Z237+Z238+Z239+Z240+Z241+Z242+Z243+Z244+Z245+Z246</f>
        <v>265</v>
      </c>
      <c r="AA231" s="174">
        <f t="shared" si="37"/>
        <v>70</v>
      </c>
      <c r="AB231" s="174">
        <f t="shared" si="37"/>
        <v>448</v>
      </c>
      <c r="AC231" s="174">
        <f t="shared" si="37"/>
        <v>153</v>
      </c>
      <c r="AD231" s="174">
        <f t="shared" si="37"/>
        <v>2</v>
      </c>
      <c r="AE231" s="174">
        <f t="shared" si="37"/>
        <v>0</v>
      </c>
      <c r="AF231" s="174">
        <f t="shared" si="37"/>
        <v>58</v>
      </c>
      <c r="AG231" s="174">
        <f t="shared" si="37"/>
        <v>7</v>
      </c>
      <c r="AH231" s="174">
        <f t="shared" si="37"/>
        <v>7</v>
      </c>
      <c r="AI231" s="174">
        <f t="shared" si="37"/>
        <v>10</v>
      </c>
      <c r="AJ231" s="174">
        <f t="shared" si="37"/>
        <v>26</v>
      </c>
      <c r="AK231" s="174">
        <f t="shared" si="37"/>
        <v>7</v>
      </c>
      <c r="AL231" s="174">
        <f t="shared" si="37"/>
        <v>2</v>
      </c>
      <c r="AM231" s="174">
        <f t="shared" si="37"/>
        <v>14</v>
      </c>
      <c r="AN231" s="174">
        <f t="shared" si="37"/>
        <v>5</v>
      </c>
      <c r="AO231" s="174">
        <f t="shared" si="37"/>
        <v>7</v>
      </c>
      <c r="AP231" s="174">
        <f t="shared" si="37"/>
        <v>139</v>
      </c>
      <c r="AQ231" s="174">
        <f t="shared" si="37"/>
        <v>2</v>
      </c>
      <c r="AR231" s="174">
        <f t="shared" si="37"/>
        <v>80</v>
      </c>
      <c r="AS231" s="174">
        <f t="shared" si="37"/>
        <v>6</v>
      </c>
      <c r="AT231" s="174">
        <f t="shared" si="37"/>
        <v>61</v>
      </c>
      <c r="AU231" s="174">
        <f t="shared" si="37"/>
        <v>6</v>
      </c>
      <c r="AV231" s="174">
        <f t="shared" si="37"/>
        <v>9</v>
      </c>
      <c r="AW231" s="174">
        <f t="shared" si="35"/>
        <v>448</v>
      </c>
      <c r="AX231" s="174"/>
      <c r="AY231" s="184">
        <f>Z231*100/B231</f>
        <v>70.291777188328908</v>
      </c>
      <c r="AZ231" s="174">
        <f>B231-Z231</f>
        <v>112</v>
      </c>
      <c r="BA231" s="184">
        <f>AZ231*100/Z231</f>
        <v>42.264150943396224</v>
      </c>
    </row>
    <row r="232" spans="1:53" x14ac:dyDescent="0.25">
      <c r="A232" s="175" t="s">
        <v>124</v>
      </c>
      <c r="B232" s="174">
        <v>171</v>
      </c>
      <c r="C232" s="174">
        <v>18</v>
      </c>
      <c r="D232" s="174">
        <v>201</v>
      </c>
      <c r="E232" s="174">
        <v>18</v>
      </c>
      <c r="F232" s="174">
        <v>2</v>
      </c>
      <c r="G232" s="174"/>
      <c r="H232" s="174">
        <v>21</v>
      </c>
      <c r="I232" s="174">
        <v>2</v>
      </c>
      <c r="J232" s="174">
        <v>8</v>
      </c>
      <c r="K232" s="174">
        <v>4</v>
      </c>
      <c r="L232" s="174">
        <v>11</v>
      </c>
      <c r="M232" s="174">
        <v>5</v>
      </c>
      <c r="N232" s="174"/>
      <c r="O232" s="174">
        <v>5</v>
      </c>
      <c r="P232" s="174">
        <v>4</v>
      </c>
      <c r="Q232" s="174">
        <v>6</v>
      </c>
      <c r="R232" s="174">
        <v>119</v>
      </c>
      <c r="S232" s="174">
        <v>1</v>
      </c>
      <c r="T232" s="174">
        <v>5</v>
      </c>
      <c r="U232" s="174"/>
      <c r="V232" s="174">
        <v>6</v>
      </c>
      <c r="W232" s="174">
        <v>1</v>
      </c>
      <c r="X232" s="174">
        <v>1</v>
      </c>
      <c r="Y232" s="174">
        <f t="shared" si="33"/>
        <v>201</v>
      </c>
      <c r="Z232" s="174">
        <v>110</v>
      </c>
      <c r="AA232" s="174">
        <v>11</v>
      </c>
      <c r="AB232" s="174">
        <v>162</v>
      </c>
      <c r="AC232" s="174">
        <v>14</v>
      </c>
      <c r="AD232" s="174">
        <v>2</v>
      </c>
      <c r="AE232" s="174"/>
      <c r="AF232" s="174">
        <v>30</v>
      </c>
      <c r="AG232" s="174">
        <v>2</v>
      </c>
      <c r="AH232" s="174">
        <v>3</v>
      </c>
      <c r="AI232" s="174">
        <v>4</v>
      </c>
      <c r="AJ232" s="174">
        <v>8</v>
      </c>
      <c r="AK232" s="174"/>
      <c r="AL232" s="174"/>
      <c r="AM232" s="174">
        <v>6</v>
      </c>
      <c r="AN232" s="174">
        <v>4</v>
      </c>
      <c r="AO232" s="174">
        <v>2</v>
      </c>
      <c r="AP232" s="174">
        <v>91</v>
      </c>
      <c r="AQ232" s="174"/>
      <c r="AR232" s="174">
        <v>7</v>
      </c>
      <c r="AS232" s="174"/>
      <c r="AT232" s="174">
        <v>1</v>
      </c>
      <c r="AU232" s="174">
        <v>1</v>
      </c>
      <c r="AV232" s="174">
        <v>1</v>
      </c>
      <c r="AW232" s="174">
        <f t="shared" si="35"/>
        <v>162</v>
      </c>
      <c r="AX232" s="174">
        <v>1891.4040740740743</v>
      </c>
      <c r="AY232" s="204"/>
      <c r="AZ232" s="204"/>
      <c r="BA232" s="204"/>
    </row>
    <row r="233" spans="1:53" x14ac:dyDescent="0.25">
      <c r="A233" s="175" t="s">
        <v>125</v>
      </c>
      <c r="B233" s="174">
        <v>13</v>
      </c>
      <c r="C233" s="174">
        <v>13</v>
      </c>
      <c r="D233" s="174">
        <v>47</v>
      </c>
      <c r="E233" s="174">
        <v>47</v>
      </c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>
        <v>1</v>
      </c>
      <c r="S233" s="174"/>
      <c r="T233" s="174">
        <v>32</v>
      </c>
      <c r="U233" s="174">
        <v>4</v>
      </c>
      <c r="V233" s="174">
        <v>10</v>
      </c>
      <c r="W233" s="174"/>
      <c r="X233" s="174"/>
      <c r="Y233" s="174">
        <f t="shared" si="33"/>
        <v>47</v>
      </c>
      <c r="Z233" s="174">
        <v>13</v>
      </c>
      <c r="AA233" s="174">
        <v>13</v>
      </c>
      <c r="AB233" s="174">
        <v>39</v>
      </c>
      <c r="AC233" s="174">
        <v>39</v>
      </c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>
        <v>1</v>
      </c>
      <c r="AQ233" s="174"/>
      <c r="AR233" s="174">
        <v>28</v>
      </c>
      <c r="AS233" s="174">
        <v>4</v>
      </c>
      <c r="AT233" s="174">
        <v>6</v>
      </c>
      <c r="AU233" s="174"/>
      <c r="AV233" s="174"/>
      <c r="AW233" s="174">
        <f t="shared" si="35"/>
        <v>39</v>
      </c>
      <c r="AX233" s="174">
        <v>1124.5</v>
      </c>
      <c r="AY233" s="204"/>
      <c r="AZ233" s="204"/>
      <c r="BA233" s="204"/>
    </row>
    <row r="234" spans="1:53" x14ac:dyDescent="0.25">
      <c r="A234" s="175" t="s">
        <v>126</v>
      </c>
      <c r="B234" s="174">
        <v>61</v>
      </c>
      <c r="C234" s="174">
        <v>5</v>
      </c>
      <c r="D234" s="174">
        <v>77</v>
      </c>
      <c r="E234" s="174">
        <v>6</v>
      </c>
      <c r="F234" s="174"/>
      <c r="G234" s="174"/>
      <c r="H234" s="174">
        <v>9</v>
      </c>
      <c r="I234" s="174"/>
      <c r="J234" s="174"/>
      <c r="K234" s="174">
        <v>5</v>
      </c>
      <c r="L234" s="174">
        <v>8</v>
      </c>
      <c r="M234" s="174">
        <v>2</v>
      </c>
      <c r="N234" s="174">
        <v>2</v>
      </c>
      <c r="O234" s="174">
        <v>6</v>
      </c>
      <c r="P234" s="174">
        <v>1</v>
      </c>
      <c r="Q234" s="174"/>
      <c r="R234" s="174">
        <v>34</v>
      </c>
      <c r="S234" s="174">
        <v>2</v>
      </c>
      <c r="T234" s="174">
        <v>3</v>
      </c>
      <c r="U234" s="174">
        <v>1</v>
      </c>
      <c r="V234" s="174">
        <v>2</v>
      </c>
      <c r="W234" s="174">
        <v>1</v>
      </c>
      <c r="X234" s="174">
        <v>1</v>
      </c>
      <c r="Y234" s="174">
        <f t="shared" si="33"/>
        <v>77</v>
      </c>
      <c r="Z234" s="174">
        <v>47</v>
      </c>
      <c r="AA234" s="174">
        <v>3</v>
      </c>
      <c r="AB234" s="174">
        <v>71</v>
      </c>
      <c r="AC234" s="174">
        <v>4</v>
      </c>
      <c r="AD234" s="174"/>
      <c r="AE234" s="174"/>
      <c r="AF234" s="174">
        <v>13</v>
      </c>
      <c r="AG234" s="174"/>
      <c r="AH234" s="174"/>
      <c r="AI234" s="174">
        <v>2</v>
      </c>
      <c r="AJ234" s="174">
        <v>11</v>
      </c>
      <c r="AK234" s="174">
        <v>2</v>
      </c>
      <c r="AL234" s="174">
        <v>1</v>
      </c>
      <c r="AM234" s="174">
        <v>6</v>
      </c>
      <c r="AN234" s="174">
        <v>1</v>
      </c>
      <c r="AO234" s="174"/>
      <c r="AP234" s="174">
        <v>30</v>
      </c>
      <c r="AQ234" s="174">
        <v>1</v>
      </c>
      <c r="AR234" s="174">
        <v>2</v>
      </c>
      <c r="AS234" s="174"/>
      <c r="AT234" s="174">
        <v>1</v>
      </c>
      <c r="AU234" s="174">
        <v>1</v>
      </c>
      <c r="AV234" s="174"/>
      <c r="AW234" s="174">
        <f t="shared" si="35"/>
        <v>71</v>
      </c>
      <c r="AX234" s="174">
        <v>1747.6384615384613</v>
      </c>
      <c r="AY234" s="204"/>
      <c r="AZ234" s="204"/>
      <c r="BA234" s="204"/>
    </row>
    <row r="235" spans="1:53" x14ac:dyDescent="0.25">
      <c r="A235" s="175" t="s">
        <v>127</v>
      </c>
      <c r="B235" s="174">
        <v>40</v>
      </c>
      <c r="C235" s="174">
        <v>40</v>
      </c>
      <c r="D235" s="174">
        <v>85</v>
      </c>
      <c r="E235" s="174">
        <v>85</v>
      </c>
      <c r="F235" s="174"/>
      <c r="G235" s="174"/>
      <c r="H235" s="174"/>
      <c r="I235" s="174"/>
      <c r="J235" s="174">
        <v>1</v>
      </c>
      <c r="K235" s="174"/>
      <c r="L235" s="174"/>
      <c r="M235" s="174"/>
      <c r="N235" s="174"/>
      <c r="O235" s="174"/>
      <c r="P235" s="174"/>
      <c r="Q235" s="174"/>
      <c r="R235" s="174">
        <v>1</v>
      </c>
      <c r="S235" s="174"/>
      <c r="T235" s="174">
        <v>42</v>
      </c>
      <c r="U235" s="174">
        <v>2</v>
      </c>
      <c r="V235" s="174">
        <v>35</v>
      </c>
      <c r="W235" s="174">
        <v>4</v>
      </c>
      <c r="X235" s="174"/>
      <c r="Y235" s="174">
        <f t="shared" si="33"/>
        <v>85</v>
      </c>
      <c r="Z235" s="174">
        <v>35</v>
      </c>
      <c r="AA235" s="174">
        <v>35</v>
      </c>
      <c r="AB235" s="174">
        <v>85</v>
      </c>
      <c r="AC235" s="174">
        <v>85</v>
      </c>
      <c r="AD235" s="174"/>
      <c r="AE235" s="174"/>
      <c r="AF235" s="174"/>
      <c r="AG235" s="174"/>
      <c r="AH235" s="174">
        <v>1</v>
      </c>
      <c r="AI235" s="174"/>
      <c r="AJ235" s="174"/>
      <c r="AK235" s="174"/>
      <c r="AL235" s="174"/>
      <c r="AM235" s="174"/>
      <c r="AN235" s="174"/>
      <c r="AO235" s="174"/>
      <c r="AP235" s="174">
        <v>2</v>
      </c>
      <c r="AQ235" s="174"/>
      <c r="AR235" s="174">
        <v>42</v>
      </c>
      <c r="AS235" s="174">
        <v>2</v>
      </c>
      <c r="AT235" s="174">
        <v>35</v>
      </c>
      <c r="AU235" s="174">
        <v>3</v>
      </c>
      <c r="AV235" s="174"/>
      <c r="AW235" s="174">
        <f t="shared" si="35"/>
        <v>85</v>
      </c>
      <c r="AX235" s="174">
        <v>1010.08</v>
      </c>
      <c r="AY235" s="204"/>
      <c r="AZ235" s="204"/>
      <c r="BA235" s="204"/>
    </row>
    <row r="236" spans="1:53" x14ac:dyDescent="0.25">
      <c r="A236" s="175" t="s">
        <v>103</v>
      </c>
      <c r="B236" s="174">
        <v>13</v>
      </c>
      <c r="C236" s="174"/>
      <c r="D236" s="174">
        <v>17</v>
      </c>
      <c r="E236" s="174"/>
      <c r="F236" s="174"/>
      <c r="G236" s="174"/>
      <c r="H236" s="174">
        <v>6</v>
      </c>
      <c r="I236" s="174"/>
      <c r="J236" s="174">
        <v>1</v>
      </c>
      <c r="K236" s="174"/>
      <c r="L236" s="174"/>
      <c r="M236" s="174"/>
      <c r="N236" s="174"/>
      <c r="O236" s="174">
        <v>1</v>
      </c>
      <c r="P236" s="174"/>
      <c r="Q236" s="174"/>
      <c r="R236" s="174">
        <v>7</v>
      </c>
      <c r="S236" s="174">
        <v>1</v>
      </c>
      <c r="T236" s="174">
        <v>1</v>
      </c>
      <c r="U236" s="174"/>
      <c r="V236" s="174"/>
      <c r="W236" s="174"/>
      <c r="X236" s="174"/>
      <c r="Y236" s="174">
        <f t="shared" si="33"/>
        <v>17</v>
      </c>
      <c r="Z236" s="174">
        <v>10</v>
      </c>
      <c r="AA236" s="174"/>
      <c r="AB236" s="174">
        <v>13</v>
      </c>
      <c r="AC236" s="174"/>
      <c r="AD236" s="174"/>
      <c r="AE236" s="174"/>
      <c r="AF236" s="174">
        <v>4</v>
      </c>
      <c r="AG236" s="174"/>
      <c r="AH236" s="174">
        <v>1</v>
      </c>
      <c r="AI236" s="174"/>
      <c r="AJ236" s="174"/>
      <c r="AK236" s="174"/>
      <c r="AL236" s="174"/>
      <c r="AM236" s="174">
        <v>1</v>
      </c>
      <c r="AN236" s="174"/>
      <c r="AO236" s="174"/>
      <c r="AP236" s="174">
        <v>7</v>
      </c>
      <c r="AQ236" s="174"/>
      <c r="AR236" s="174"/>
      <c r="AS236" s="174"/>
      <c r="AT236" s="174"/>
      <c r="AU236" s="174"/>
      <c r="AV236" s="174"/>
      <c r="AW236" s="174">
        <f t="shared" si="35"/>
        <v>13</v>
      </c>
      <c r="AX236" s="174">
        <v>2704.9555555555553</v>
      </c>
      <c r="AY236" s="204"/>
      <c r="AZ236" s="204"/>
      <c r="BA236" s="204"/>
    </row>
    <row r="237" spans="1:53" x14ac:dyDescent="0.25">
      <c r="A237" s="175" t="s">
        <v>104</v>
      </c>
      <c r="B237" s="174">
        <v>5</v>
      </c>
      <c r="C237" s="174"/>
      <c r="D237" s="174">
        <v>6</v>
      </c>
      <c r="E237" s="174"/>
      <c r="F237" s="174"/>
      <c r="G237" s="174"/>
      <c r="H237" s="174">
        <v>3</v>
      </c>
      <c r="I237" s="174"/>
      <c r="J237" s="174"/>
      <c r="K237" s="174"/>
      <c r="L237" s="174">
        <v>3</v>
      </c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>
        <f t="shared" si="33"/>
        <v>6</v>
      </c>
      <c r="Z237" s="174">
        <v>4</v>
      </c>
      <c r="AA237" s="174"/>
      <c r="AB237" s="174">
        <v>5</v>
      </c>
      <c r="AC237" s="174"/>
      <c r="AD237" s="174"/>
      <c r="AE237" s="174"/>
      <c r="AF237" s="174">
        <v>2</v>
      </c>
      <c r="AG237" s="174"/>
      <c r="AH237" s="174"/>
      <c r="AI237" s="174"/>
      <c r="AJ237" s="174">
        <v>3</v>
      </c>
      <c r="AK237" s="174"/>
      <c r="AL237" s="174"/>
      <c r="AM237" s="174"/>
      <c r="AN237" s="174"/>
      <c r="AO237" s="174"/>
      <c r="AP237" s="174"/>
      <c r="AQ237" s="174"/>
      <c r="AR237" s="174"/>
      <c r="AS237" s="174"/>
      <c r="AT237" s="174"/>
      <c r="AU237" s="174"/>
      <c r="AV237" s="174"/>
      <c r="AW237" s="174">
        <f t="shared" si="35"/>
        <v>5</v>
      </c>
      <c r="AX237" s="174">
        <v>2061.3333333333335</v>
      </c>
      <c r="AY237" s="204"/>
      <c r="AZ237" s="204"/>
      <c r="BA237" s="204"/>
    </row>
    <row r="238" spans="1:53" x14ac:dyDescent="0.25">
      <c r="A238" s="175" t="s">
        <v>105</v>
      </c>
      <c r="B238" s="174">
        <v>1</v>
      </c>
      <c r="C238" s="174"/>
      <c r="D238" s="174">
        <v>1</v>
      </c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>
        <v>1</v>
      </c>
      <c r="P238" s="174"/>
      <c r="Q238" s="174"/>
      <c r="R238" s="174"/>
      <c r="S238" s="174"/>
      <c r="T238" s="174"/>
      <c r="U238" s="174"/>
      <c r="V238" s="174"/>
      <c r="W238" s="174"/>
      <c r="X238" s="174"/>
      <c r="Y238" s="174">
        <f t="shared" si="33"/>
        <v>1</v>
      </c>
      <c r="Z238" s="174">
        <v>1</v>
      </c>
      <c r="AA238" s="174"/>
      <c r="AB238" s="174">
        <v>1</v>
      </c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>
        <v>1</v>
      </c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>
        <f t="shared" si="35"/>
        <v>1</v>
      </c>
      <c r="AX238" s="174">
        <v>2017</v>
      </c>
      <c r="AY238" s="204"/>
      <c r="AZ238" s="204"/>
      <c r="BA238" s="204"/>
    </row>
    <row r="239" spans="1:53" x14ac:dyDescent="0.25">
      <c r="A239" s="175" t="s">
        <v>106</v>
      </c>
      <c r="B239" s="174">
        <v>59</v>
      </c>
      <c r="C239" s="174">
        <v>6</v>
      </c>
      <c r="D239" s="174">
        <v>63</v>
      </c>
      <c r="E239" s="174">
        <v>9</v>
      </c>
      <c r="F239" s="174"/>
      <c r="G239" s="174"/>
      <c r="H239" s="174">
        <v>14</v>
      </c>
      <c r="I239" s="174">
        <v>1</v>
      </c>
      <c r="J239" s="174">
        <v>1</v>
      </c>
      <c r="K239" s="174">
        <v>5</v>
      </c>
      <c r="L239" s="174">
        <v>3</v>
      </c>
      <c r="M239" s="174">
        <v>2</v>
      </c>
      <c r="N239" s="174">
        <v>3</v>
      </c>
      <c r="O239" s="174"/>
      <c r="P239" s="174"/>
      <c r="Q239" s="174">
        <v>3</v>
      </c>
      <c r="R239" s="174">
        <v>4</v>
      </c>
      <c r="S239" s="174">
        <v>2</v>
      </c>
      <c r="T239" s="174"/>
      <c r="U239" s="174"/>
      <c r="V239" s="174">
        <v>16</v>
      </c>
      <c r="W239" s="174">
        <v>1</v>
      </c>
      <c r="X239" s="174">
        <v>8</v>
      </c>
      <c r="Y239" s="174">
        <f t="shared" si="33"/>
        <v>63</v>
      </c>
      <c r="Z239" s="174">
        <v>35</v>
      </c>
      <c r="AA239" s="174">
        <v>6</v>
      </c>
      <c r="AB239" s="174">
        <v>56</v>
      </c>
      <c r="AC239" s="174">
        <v>9</v>
      </c>
      <c r="AD239" s="174"/>
      <c r="AE239" s="174"/>
      <c r="AF239" s="174">
        <v>3</v>
      </c>
      <c r="AG239" s="174">
        <v>1</v>
      </c>
      <c r="AH239" s="174">
        <v>2</v>
      </c>
      <c r="AI239" s="174">
        <v>4</v>
      </c>
      <c r="AJ239" s="174">
        <v>4</v>
      </c>
      <c r="AK239" s="174">
        <v>5</v>
      </c>
      <c r="AL239" s="174">
        <v>1</v>
      </c>
      <c r="AM239" s="174"/>
      <c r="AN239" s="174"/>
      <c r="AO239" s="174">
        <v>5</v>
      </c>
      <c r="AP239" s="174">
        <v>6</v>
      </c>
      <c r="AQ239" s="174">
        <v>1</v>
      </c>
      <c r="AR239" s="174"/>
      <c r="AS239" s="174"/>
      <c r="AT239" s="174">
        <v>17</v>
      </c>
      <c r="AU239" s="174">
        <v>1</v>
      </c>
      <c r="AV239" s="174">
        <v>6</v>
      </c>
      <c r="AW239" s="174">
        <f t="shared" si="35"/>
        <v>56</v>
      </c>
      <c r="AX239" s="174">
        <v>2167.2838709677421</v>
      </c>
      <c r="AY239" s="204"/>
      <c r="AZ239" s="204"/>
      <c r="BA239" s="204"/>
    </row>
    <row r="240" spans="1:53" x14ac:dyDescent="0.25">
      <c r="A240" s="175" t="s">
        <v>107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204"/>
      <c r="AZ240" s="204"/>
      <c r="BA240" s="204"/>
    </row>
    <row r="241" spans="1:53" x14ac:dyDescent="0.25">
      <c r="A241" s="175" t="s">
        <v>108</v>
      </c>
      <c r="B241" s="174">
        <v>3</v>
      </c>
      <c r="C241" s="174"/>
      <c r="D241" s="174">
        <v>4</v>
      </c>
      <c r="E241" s="174"/>
      <c r="F241" s="174"/>
      <c r="G241" s="174"/>
      <c r="H241" s="174">
        <v>1</v>
      </c>
      <c r="I241" s="174"/>
      <c r="J241" s="174"/>
      <c r="K241" s="174"/>
      <c r="L241" s="174"/>
      <c r="M241" s="174"/>
      <c r="N241" s="174"/>
      <c r="O241" s="174"/>
      <c r="P241" s="174"/>
      <c r="Q241" s="174"/>
      <c r="R241" s="174">
        <v>3</v>
      </c>
      <c r="S241" s="174"/>
      <c r="T241" s="174"/>
      <c r="U241" s="174"/>
      <c r="V241" s="174"/>
      <c r="W241" s="174"/>
      <c r="X241" s="174"/>
      <c r="Y241" s="174">
        <f t="shared" si="33"/>
        <v>4</v>
      </c>
      <c r="Z241" s="174">
        <v>1</v>
      </c>
      <c r="AA241" s="174"/>
      <c r="AB241" s="174">
        <v>2</v>
      </c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>
        <v>2</v>
      </c>
      <c r="AQ241" s="174"/>
      <c r="AR241" s="174"/>
      <c r="AS241" s="174"/>
      <c r="AT241" s="174"/>
      <c r="AU241" s="174"/>
      <c r="AV241" s="174"/>
      <c r="AW241" s="174">
        <f t="shared" si="35"/>
        <v>2</v>
      </c>
      <c r="AX241" s="174">
        <v>490</v>
      </c>
      <c r="AY241" s="204"/>
      <c r="AZ241" s="204"/>
      <c r="BA241" s="204"/>
    </row>
    <row r="242" spans="1:53" x14ac:dyDescent="0.25">
      <c r="A242" s="175" t="s">
        <v>109</v>
      </c>
      <c r="B242" s="174">
        <v>1</v>
      </c>
      <c r="C242" s="174"/>
      <c r="D242" s="174">
        <v>1</v>
      </c>
      <c r="E242" s="174"/>
      <c r="F242" s="174"/>
      <c r="G242" s="174"/>
      <c r="H242" s="174"/>
      <c r="I242" s="174"/>
      <c r="J242" s="174"/>
      <c r="K242" s="174"/>
      <c r="L242" s="174"/>
      <c r="M242" s="174">
        <v>1</v>
      </c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>
        <f t="shared" si="33"/>
        <v>1</v>
      </c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204"/>
      <c r="AZ242" s="204"/>
      <c r="BA242" s="204"/>
    </row>
    <row r="243" spans="1:53" x14ac:dyDescent="0.25">
      <c r="A243" s="175" t="s">
        <v>110</v>
      </c>
      <c r="B243" s="174">
        <v>2</v>
      </c>
      <c r="C243" s="174">
        <v>1</v>
      </c>
      <c r="D243" s="174">
        <v>3</v>
      </c>
      <c r="E243" s="174">
        <v>1</v>
      </c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>
        <v>1</v>
      </c>
      <c r="W243" s="174"/>
      <c r="X243" s="174">
        <v>2</v>
      </c>
      <c r="Y243" s="174">
        <f t="shared" si="33"/>
        <v>3</v>
      </c>
      <c r="Z243" s="174">
        <v>1</v>
      </c>
      <c r="AA243" s="174"/>
      <c r="AB243" s="174">
        <v>2</v>
      </c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74"/>
      <c r="AS243" s="174"/>
      <c r="AT243" s="174"/>
      <c r="AU243" s="174"/>
      <c r="AV243" s="174">
        <v>2</v>
      </c>
      <c r="AW243" s="174">
        <f t="shared" si="35"/>
        <v>2</v>
      </c>
      <c r="AX243" s="174">
        <v>256</v>
      </c>
      <c r="AY243" s="204"/>
      <c r="AZ243" s="204"/>
      <c r="BA243" s="204"/>
    </row>
    <row r="244" spans="1:53" x14ac:dyDescent="0.25">
      <c r="A244" s="175" t="s">
        <v>111</v>
      </c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174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174"/>
      <c r="AX244" s="174"/>
      <c r="AY244" s="204"/>
      <c r="AZ244" s="204"/>
      <c r="BA244" s="204"/>
    </row>
    <row r="245" spans="1:53" x14ac:dyDescent="0.25">
      <c r="A245" s="175" t="s">
        <v>112</v>
      </c>
      <c r="B245" s="218">
        <v>6</v>
      </c>
      <c r="C245" s="218"/>
      <c r="D245" s="218">
        <v>10</v>
      </c>
      <c r="E245" s="218"/>
      <c r="F245" s="218"/>
      <c r="G245" s="218"/>
      <c r="H245" s="218">
        <v>6</v>
      </c>
      <c r="I245" s="218">
        <v>4</v>
      </c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174">
        <f t="shared" si="33"/>
        <v>10</v>
      </c>
      <c r="Z245" s="218">
        <v>6</v>
      </c>
      <c r="AA245" s="218"/>
      <c r="AB245" s="218">
        <v>10</v>
      </c>
      <c r="AC245" s="218"/>
      <c r="AD245" s="218"/>
      <c r="AE245" s="218"/>
      <c r="AF245" s="218">
        <v>6</v>
      </c>
      <c r="AG245" s="218">
        <v>4</v>
      </c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174">
        <f t="shared" si="35"/>
        <v>10</v>
      </c>
      <c r="AX245" s="174">
        <v>476</v>
      </c>
      <c r="AY245" s="204"/>
      <c r="AZ245" s="204"/>
      <c r="BA245" s="204"/>
    </row>
    <row r="246" spans="1:53" x14ac:dyDescent="0.25">
      <c r="A246" s="175" t="s">
        <v>113</v>
      </c>
      <c r="B246" s="218">
        <v>2</v>
      </c>
      <c r="C246" s="218">
        <v>2</v>
      </c>
      <c r="D246" s="218">
        <v>2</v>
      </c>
      <c r="E246" s="218">
        <v>2</v>
      </c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>
        <v>1</v>
      </c>
      <c r="U246" s="218"/>
      <c r="V246" s="218">
        <v>1</v>
      </c>
      <c r="W246" s="218"/>
      <c r="X246" s="218"/>
      <c r="Y246" s="174">
        <f t="shared" si="33"/>
        <v>2</v>
      </c>
      <c r="Z246" s="218">
        <v>2</v>
      </c>
      <c r="AA246" s="218">
        <v>2</v>
      </c>
      <c r="AB246" s="218">
        <v>2</v>
      </c>
      <c r="AC246" s="218">
        <v>2</v>
      </c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>
        <v>1</v>
      </c>
      <c r="AS246" s="218"/>
      <c r="AT246" s="218">
        <v>1</v>
      </c>
      <c r="AU246" s="218"/>
      <c r="AV246" s="218"/>
      <c r="AW246" s="174">
        <f t="shared" si="35"/>
        <v>2</v>
      </c>
      <c r="AX246" s="174">
        <v>218</v>
      </c>
      <c r="AY246" s="204"/>
      <c r="AZ246" s="204"/>
      <c r="BA246" s="204"/>
    </row>
    <row r="247" spans="1:53" s="219" customFormat="1" x14ac:dyDescent="0.25">
      <c r="A247" s="177" t="s">
        <v>56</v>
      </c>
      <c r="B247" s="113">
        <f t="shared" ref="B247:AV247" si="38">B6+B26+B44+B63+B73+B94+B178+B181+B195+B223+B231</f>
        <v>3229</v>
      </c>
      <c r="C247" s="113">
        <f t="shared" si="38"/>
        <v>602</v>
      </c>
      <c r="D247" s="113">
        <f t="shared" si="38"/>
        <v>10864</v>
      </c>
      <c r="E247" s="113">
        <f t="shared" si="38"/>
        <v>2252</v>
      </c>
      <c r="F247" s="113">
        <f t="shared" si="38"/>
        <v>5</v>
      </c>
      <c r="G247" s="113">
        <f t="shared" si="38"/>
        <v>16</v>
      </c>
      <c r="H247" s="113">
        <f t="shared" si="38"/>
        <v>3584</v>
      </c>
      <c r="I247" s="113">
        <f t="shared" si="38"/>
        <v>10</v>
      </c>
      <c r="J247" s="113">
        <f t="shared" si="38"/>
        <v>208</v>
      </c>
      <c r="K247" s="113">
        <f t="shared" si="38"/>
        <v>463</v>
      </c>
      <c r="L247" s="113">
        <f t="shared" si="38"/>
        <v>743</v>
      </c>
      <c r="M247" s="113">
        <f t="shared" si="38"/>
        <v>123</v>
      </c>
      <c r="N247" s="113">
        <f t="shared" si="38"/>
        <v>588</v>
      </c>
      <c r="O247" s="113">
        <f t="shared" si="38"/>
        <v>78</v>
      </c>
      <c r="P247" s="113">
        <f t="shared" si="38"/>
        <v>27</v>
      </c>
      <c r="Q247" s="113">
        <f t="shared" si="38"/>
        <v>23</v>
      </c>
      <c r="R247" s="113">
        <f t="shared" si="38"/>
        <v>300</v>
      </c>
      <c r="S247" s="113">
        <f t="shared" si="38"/>
        <v>58</v>
      </c>
      <c r="T247" s="113">
        <f t="shared" si="38"/>
        <v>265</v>
      </c>
      <c r="U247" s="113">
        <f t="shared" si="38"/>
        <v>323</v>
      </c>
      <c r="V247" s="113">
        <f t="shared" si="38"/>
        <v>3039</v>
      </c>
      <c r="W247" s="113">
        <f t="shared" si="38"/>
        <v>97</v>
      </c>
      <c r="X247" s="113">
        <f t="shared" si="38"/>
        <v>914</v>
      </c>
      <c r="Y247" s="113">
        <f t="shared" si="38"/>
        <v>10864</v>
      </c>
      <c r="Z247" s="113">
        <f t="shared" si="38"/>
        <v>2612</v>
      </c>
      <c r="AA247" s="113">
        <f t="shared" si="38"/>
        <v>467</v>
      </c>
      <c r="AB247" s="113">
        <f t="shared" si="38"/>
        <v>8496</v>
      </c>
      <c r="AC247" s="113">
        <f t="shared" si="38"/>
        <v>2038</v>
      </c>
      <c r="AD247" s="113">
        <f t="shared" si="38"/>
        <v>2</v>
      </c>
      <c r="AE247" s="113">
        <f t="shared" si="38"/>
        <v>15</v>
      </c>
      <c r="AF247" s="113">
        <f t="shared" si="38"/>
        <v>2811</v>
      </c>
      <c r="AG247" s="113">
        <f t="shared" si="38"/>
        <v>10</v>
      </c>
      <c r="AH247" s="113">
        <f t="shared" si="38"/>
        <v>168</v>
      </c>
      <c r="AI247" s="113">
        <f t="shared" si="38"/>
        <v>330</v>
      </c>
      <c r="AJ247" s="113">
        <f t="shared" si="38"/>
        <v>440</v>
      </c>
      <c r="AK247" s="113">
        <f t="shared" si="38"/>
        <v>79</v>
      </c>
      <c r="AL247" s="113">
        <f t="shared" si="38"/>
        <v>404</v>
      </c>
      <c r="AM247" s="113">
        <f t="shared" si="38"/>
        <v>70</v>
      </c>
      <c r="AN247" s="113">
        <f t="shared" si="38"/>
        <v>15</v>
      </c>
      <c r="AO247" s="113">
        <f t="shared" si="38"/>
        <v>17</v>
      </c>
      <c r="AP247" s="113">
        <f t="shared" si="38"/>
        <v>214</v>
      </c>
      <c r="AQ247" s="113">
        <f t="shared" si="38"/>
        <v>38</v>
      </c>
      <c r="AR247" s="113">
        <f t="shared" si="38"/>
        <v>179</v>
      </c>
      <c r="AS247" s="113">
        <f t="shared" si="38"/>
        <v>277</v>
      </c>
      <c r="AT247" s="113">
        <f t="shared" si="38"/>
        <v>2846</v>
      </c>
      <c r="AU247" s="113">
        <f t="shared" si="38"/>
        <v>63</v>
      </c>
      <c r="AV247" s="113">
        <f t="shared" si="38"/>
        <v>518</v>
      </c>
      <c r="AW247" s="113">
        <f t="shared" si="35"/>
        <v>8496</v>
      </c>
      <c r="AX247" s="113">
        <v>2622</v>
      </c>
      <c r="AY247" s="184">
        <f>Z247*100/B247</f>
        <v>80.891917002167858</v>
      </c>
      <c r="AZ247" s="174">
        <f>B247-Z247</f>
        <v>617</v>
      </c>
      <c r="BA247" s="184">
        <f>AZ247*100/Z247</f>
        <v>23.621745788667688</v>
      </c>
    </row>
    <row r="248" spans="1:53" x14ac:dyDescent="0.25">
      <c r="AY248" s="112"/>
      <c r="BA248" s="112"/>
    </row>
    <row r="251" spans="1:53" x14ac:dyDescent="0.25">
      <c r="A251" s="188"/>
    </row>
  </sheetData>
  <autoFilter ref="A5:BA248" xr:uid="{00000000-0009-0000-0000-000001000000}"/>
  <mergeCells count="5">
    <mergeCell ref="A3:A5"/>
    <mergeCell ref="AD4:AV4"/>
    <mergeCell ref="B3:C4"/>
    <mergeCell ref="D3:E4"/>
    <mergeCell ref="F3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57"/>
  <sheetViews>
    <sheetView topLeftCell="A5" workbookViewId="0">
      <pane ySplit="1" topLeftCell="A6" activePane="bottomLeft" state="frozen"/>
      <selection activeCell="A5" sqref="A5"/>
      <selection pane="bottomLeft" activeCell="F17" sqref="F17"/>
    </sheetView>
  </sheetViews>
  <sheetFormatPr defaultRowHeight="15" x14ac:dyDescent="0.25"/>
  <cols>
    <col min="1" max="1" width="56.140625" style="142" customWidth="1"/>
    <col min="2" max="2" width="15.5703125" style="112" customWidth="1"/>
    <col min="3" max="4" width="10.7109375" style="112" customWidth="1"/>
    <col min="5" max="5" width="11.5703125" style="112" customWidth="1"/>
    <col min="6" max="7" width="4.7109375" style="112" customWidth="1"/>
    <col min="8" max="8" width="5.42578125" style="112" customWidth="1"/>
    <col min="9" max="21" width="4.7109375" style="112" customWidth="1"/>
    <col min="22" max="22" width="5.42578125" style="112" customWidth="1"/>
    <col min="23" max="23" width="4.7109375" style="112" customWidth="1"/>
    <col min="24" max="24" width="4.140625" style="112" customWidth="1"/>
    <col min="25" max="25" width="6.42578125" style="112" customWidth="1"/>
    <col min="26" max="26" width="9.140625" style="112" customWidth="1"/>
    <col min="27" max="27" width="6.5703125" style="112" customWidth="1"/>
    <col min="28" max="28" width="10.42578125" style="112" customWidth="1"/>
    <col min="29" max="29" width="6.28515625" style="112" customWidth="1"/>
    <col min="30" max="30" width="6.7109375" style="112" customWidth="1"/>
    <col min="31" max="31" width="4.28515625" style="112" customWidth="1"/>
    <col min="32" max="32" width="5.42578125" style="112" customWidth="1"/>
    <col min="33" max="33" width="5" style="112" customWidth="1"/>
    <col min="34" max="34" width="5.28515625" style="112" customWidth="1"/>
    <col min="35" max="35" width="4.28515625" style="112" customWidth="1"/>
    <col min="36" max="49" width="6.7109375" style="112" customWidth="1"/>
    <col min="50" max="50" width="29.85546875" style="112" bestFit="1" customWidth="1"/>
    <col min="51" max="51" width="23.42578125" style="179" customWidth="1"/>
    <col min="52" max="52" width="20.85546875" style="112" customWidth="1"/>
    <col min="53" max="53" width="18.85546875" style="179" customWidth="1"/>
    <col min="54" max="97" width="8.85546875" style="142" customWidth="1"/>
    <col min="98" max="98" width="9.140625" style="142" customWidth="1"/>
    <col min="99" max="16384" width="9.140625" style="142"/>
  </cols>
  <sheetData>
    <row r="1" spans="1:53" customFormat="1" hidden="1" x14ac:dyDescent="0.25">
      <c r="B1" s="1"/>
      <c r="C1" s="1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"/>
      <c r="AA1" s="1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1"/>
      <c r="AY1" s="1"/>
      <c r="AZ1" s="1"/>
      <c r="BA1" s="1"/>
    </row>
    <row r="2" spans="1:53" customFormat="1" hidden="1" x14ac:dyDescent="0.25">
      <c r="B2" s="1"/>
      <c r="C2" s="1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"/>
      <c r="AA2" s="1"/>
      <c r="AB2" s="59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1"/>
      <c r="AY2" s="1"/>
      <c r="AZ2" s="1"/>
      <c r="BA2" s="1"/>
    </row>
    <row r="3" spans="1:53" customFormat="1" ht="17.45" hidden="1" customHeight="1" x14ac:dyDescent="0.25">
      <c r="A3" s="114">
        <v>2020</v>
      </c>
      <c r="B3" s="3" t="s">
        <v>0</v>
      </c>
      <c r="C3" s="3"/>
      <c r="D3" s="57" t="s">
        <v>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" t="s">
        <v>2</v>
      </c>
      <c r="AA3" s="5"/>
      <c r="AB3" s="57" t="s">
        <v>3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6"/>
      <c r="AY3" s="111"/>
      <c r="AZ3" s="111"/>
      <c r="BA3" s="111"/>
    </row>
    <row r="4" spans="1:53" customFormat="1" ht="14.45" hidden="1" customHeight="1" x14ac:dyDescent="0.25">
      <c r="A4" s="114"/>
      <c r="B4" s="3"/>
      <c r="C4" s="3"/>
      <c r="D4" s="57"/>
      <c r="E4" s="57"/>
      <c r="F4" s="57" t="s">
        <v>4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"/>
      <c r="AA4" s="5"/>
      <c r="AB4" s="57"/>
      <c r="AC4" s="57"/>
      <c r="AD4" s="116" t="s">
        <v>4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8"/>
      <c r="AW4" s="57"/>
      <c r="AX4" s="6"/>
      <c r="AY4" s="111"/>
      <c r="AZ4" s="111"/>
      <c r="BA4" s="111"/>
    </row>
    <row r="5" spans="1:53" ht="60" x14ac:dyDescent="0.25">
      <c r="A5" s="115"/>
      <c r="B5" s="174" t="s">
        <v>5</v>
      </c>
      <c r="C5" s="199" t="s">
        <v>6</v>
      </c>
      <c r="D5" s="174" t="s">
        <v>7</v>
      </c>
      <c r="E5" s="174" t="s">
        <v>6</v>
      </c>
      <c r="F5" s="174" t="s">
        <v>8</v>
      </c>
      <c r="G5" s="174" t="s">
        <v>9</v>
      </c>
      <c r="H5" s="174" t="s">
        <v>10</v>
      </c>
      <c r="I5" s="174" t="s">
        <v>11</v>
      </c>
      <c r="J5" s="174" t="s">
        <v>12</v>
      </c>
      <c r="K5" s="174" t="s">
        <v>13</v>
      </c>
      <c r="L5" s="174" t="s">
        <v>14</v>
      </c>
      <c r="M5" s="174" t="s">
        <v>15</v>
      </c>
      <c r="N5" s="174" t="s">
        <v>16</v>
      </c>
      <c r="O5" s="174" t="s">
        <v>17</v>
      </c>
      <c r="P5" s="174" t="s">
        <v>18</v>
      </c>
      <c r="Q5" s="174" t="s">
        <v>19</v>
      </c>
      <c r="R5" s="174" t="s">
        <v>20</v>
      </c>
      <c r="S5" s="174" t="s">
        <v>21</v>
      </c>
      <c r="T5" s="174" t="s">
        <v>22</v>
      </c>
      <c r="U5" s="174" t="s">
        <v>23</v>
      </c>
      <c r="V5" s="174" t="s">
        <v>24</v>
      </c>
      <c r="W5" s="174" t="s">
        <v>25</v>
      </c>
      <c r="X5" s="174" t="s">
        <v>26</v>
      </c>
      <c r="Y5" s="174"/>
      <c r="Z5" s="174" t="s">
        <v>5</v>
      </c>
      <c r="AA5" s="174" t="s">
        <v>27</v>
      </c>
      <c r="AB5" s="174" t="s">
        <v>7</v>
      </c>
      <c r="AC5" s="174" t="s">
        <v>6</v>
      </c>
      <c r="AD5" s="174" t="s">
        <v>8</v>
      </c>
      <c r="AE5" s="174" t="s">
        <v>9</v>
      </c>
      <c r="AF5" s="174" t="s">
        <v>10</v>
      </c>
      <c r="AG5" s="174" t="s">
        <v>11</v>
      </c>
      <c r="AH5" s="174" t="s">
        <v>12</v>
      </c>
      <c r="AI5" s="174" t="s">
        <v>13</v>
      </c>
      <c r="AJ5" s="174" t="s">
        <v>14</v>
      </c>
      <c r="AK5" s="174" t="s">
        <v>15</v>
      </c>
      <c r="AL5" s="174" t="s">
        <v>16</v>
      </c>
      <c r="AM5" s="174" t="s">
        <v>17</v>
      </c>
      <c r="AN5" s="174" t="s">
        <v>18</v>
      </c>
      <c r="AO5" s="174" t="s">
        <v>19</v>
      </c>
      <c r="AP5" s="174" t="s">
        <v>20</v>
      </c>
      <c r="AQ5" s="174" t="s">
        <v>21</v>
      </c>
      <c r="AR5" s="174" t="s">
        <v>22</v>
      </c>
      <c r="AS5" s="174" t="s">
        <v>23</v>
      </c>
      <c r="AT5" s="174" t="s">
        <v>24</v>
      </c>
      <c r="AU5" s="174" t="s">
        <v>25</v>
      </c>
      <c r="AV5" s="174" t="s">
        <v>26</v>
      </c>
      <c r="AW5" s="174"/>
      <c r="AX5" s="221" t="s">
        <v>28</v>
      </c>
      <c r="AY5" s="213" t="s">
        <v>277</v>
      </c>
      <c r="AZ5" s="222" t="s">
        <v>278</v>
      </c>
      <c r="BA5" s="213" t="s">
        <v>279</v>
      </c>
    </row>
    <row r="6" spans="1:53" x14ac:dyDescent="0.25">
      <c r="A6" s="173" t="s">
        <v>29</v>
      </c>
      <c r="B6" s="174">
        <f>B7+B8+B9+B10+B11+B12+B13+B14+B15+B16+B17+B18+B19+B20+B21+B22+B23+B24+B25</f>
        <v>198</v>
      </c>
      <c r="C6" s="174">
        <f>C7+C8+C9+C10+C11+C12+C13+C14+C15+C16+C17+C18+C19+C20+C21+C22+C23+C24+C25</f>
        <v>130</v>
      </c>
      <c r="D6" s="174">
        <f>D7+D8+D9+D10+D11+D12+D13+D14+D15+D16+D17+D18+D19+D20+D21+D22+D23+D24+D25</f>
        <v>954</v>
      </c>
      <c r="E6" s="174">
        <f>E7+E8+E9+E10+E11+E12+E13+E14+E15+E16+E17+E18+E19+E20+E21+E22+E23+E24+E25</f>
        <v>454</v>
      </c>
      <c r="F6" s="174"/>
      <c r="G6" s="174"/>
      <c r="H6" s="174">
        <f>H7+H8+H9+H10+H11+H12+H13+H14+H15+H16+H17+H18+H19+H20+H21+H22+H23+H24+H25</f>
        <v>35</v>
      </c>
      <c r="I6" s="174"/>
      <c r="J6" s="174">
        <f>J7+J8+J9+J10+J11+J12+J13+J14+J15+J16+J17+J18+J19+J20+J21+J22+J23+J24+J25</f>
        <v>50</v>
      </c>
      <c r="K6" s="174"/>
      <c r="L6" s="174">
        <f>L7+L8+L9+L10+L11+L12+L13+L14+L15+L16+L17+L18+L19+L20+L21+L22+L23+L24+L25</f>
        <v>1</v>
      </c>
      <c r="M6" s="174">
        <f>M7+M8+M9+M10+M11+M12+M13+M14+M15+M16+M17+M18+M19+M20+M21+M22+M23+M24+M25</f>
        <v>1</v>
      </c>
      <c r="N6" s="174"/>
      <c r="O6" s="174"/>
      <c r="P6" s="174"/>
      <c r="Q6" s="174">
        <f>Q7+Q8+Q9+Q10+Q11+Q12+Q13+Q14+Q15+Q16+Q17+Q18+Q19+Q20+Q21+Q22+Q23+Q24+Q25</f>
        <v>176</v>
      </c>
      <c r="R6" s="174">
        <f>R7+R8+R9+R10+R11+R12+R13+R14+R15+R16+R17+R18+R19+R20+R21+R22+R23+R24+R25</f>
        <v>29</v>
      </c>
      <c r="S6" s="174"/>
      <c r="T6" s="174">
        <f>T7+T8+T9+T10+T11+T12+T13+T14+T15+T16+T17+T18+T19+T20+T21+T22+T23+T24+T25</f>
        <v>131</v>
      </c>
      <c r="U6" s="174"/>
      <c r="V6" s="174">
        <f>V7+V8+V9+V10+V11+V12+V13+V14+V15+V16+V17+V18+V19+V20+V21+V22+V23+V24+V25</f>
        <v>499</v>
      </c>
      <c r="W6" s="174">
        <f>W7+W8+W9+W10+W11+W12+W13+W14+W15+W16+W17+W18+W19+W20+W21+W22+W23+W24+W25</f>
        <v>7</v>
      </c>
      <c r="X6" s="174">
        <f>X7+X8+X9+X10+X11+X12+X13+X14+X15+X16+X17+X18+X19+X20+X21+X22+X23+X24+X25</f>
        <v>25</v>
      </c>
      <c r="Y6" s="174">
        <f t="shared" ref="Y6" si="0">SUM(F6:X6)</f>
        <v>954</v>
      </c>
      <c r="Z6" s="174">
        <f t="shared" ref="Z6:AV6" si="1">SUM(Z7:Z25)</f>
        <v>146</v>
      </c>
      <c r="AA6" s="174">
        <f t="shared" si="1"/>
        <v>89</v>
      </c>
      <c r="AB6" s="174">
        <f t="shared" si="1"/>
        <v>373</v>
      </c>
      <c r="AC6" s="174">
        <f t="shared" si="1"/>
        <v>252</v>
      </c>
      <c r="AD6" s="174">
        <f t="shared" si="1"/>
        <v>0</v>
      </c>
      <c r="AE6" s="174">
        <f t="shared" si="1"/>
        <v>0</v>
      </c>
      <c r="AF6" s="174">
        <f t="shared" si="1"/>
        <v>28</v>
      </c>
      <c r="AG6" s="174">
        <f t="shared" si="1"/>
        <v>0</v>
      </c>
      <c r="AH6" s="174">
        <f t="shared" si="1"/>
        <v>0</v>
      </c>
      <c r="AI6" s="174">
        <f t="shared" si="1"/>
        <v>0</v>
      </c>
      <c r="AJ6" s="174">
        <f t="shared" si="1"/>
        <v>1</v>
      </c>
      <c r="AK6" s="174">
        <f t="shared" si="1"/>
        <v>0</v>
      </c>
      <c r="AL6" s="174">
        <f t="shared" si="1"/>
        <v>0</v>
      </c>
      <c r="AM6" s="174">
        <f t="shared" si="1"/>
        <v>0</v>
      </c>
      <c r="AN6" s="174">
        <f t="shared" si="1"/>
        <v>0</v>
      </c>
      <c r="AO6" s="174">
        <f t="shared" si="1"/>
        <v>16</v>
      </c>
      <c r="AP6" s="174">
        <f t="shared" si="1"/>
        <v>15</v>
      </c>
      <c r="AQ6" s="174">
        <f t="shared" si="1"/>
        <v>0</v>
      </c>
      <c r="AR6" s="174">
        <f t="shared" si="1"/>
        <v>70</v>
      </c>
      <c r="AS6" s="174">
        <f t="shared" si="1"/>
        <v>0</v>
      </c>
      <c r="AT6" s="174">
        <f t="shared" si="1"/>
        <v>213</v>
      </c>
      <c r="AU6" s="174">
        <f t="shared" si="1"/>
        <v>7</v>
      </c>
      <c r="AV6" s="174">
        <f t="shared" si="1"/>
        <v>23</v>
      </c>
      <c r="AW6" s="174">
        <f t="shared" ref="AW6" si="2">SUM(AD6:AV6)</f>
        <v>373</v>
      </c>
      <c r="AY6" s="184">
        <f>Z6*100/B6</f>
        <v>73.737373737373744</v>
      </c>
      <c r="AZ6" s="174">
        <f>B6-Z6</f>
        <v>52</v>
      </c>
      <c r="BA6" s="184">
        <f>AZ6*100/B6</f>
        <v>26.262626262626263</v>
      </c>
    </row>
    <row r="7" spans="1:53" x14ac:dyDescent="0.25">
      <c r="A7" s="175" t="s">
        <v>151</v>
      </c>
      <c r="B7" s="174">
        <v>59</v>
      </c>
      <c r="C7" s="174">
        <v>49</v>
      </c>
      <c r="D7" s="174">
        <v>566</v>
      </c>
      <c r="E7" s="174">
        <v>189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>
        <v>176</v>
      </c>
      <c r="R7" s="174"/>
      <c r="S7" s="174"/>
      <c r="T7" s="174">
        <v>4</v>
      </c>
      <c r="U7" s="174"/>
      <c r="V7" s="174">
        <v>362</v>
      </c>
      <c r="W7" s="174"/>
      <c r="X7" s="174">
        <v>24</v>
      </c>
      <c r="Y7" s="174">
        <f t="shared" ref="Y7:Y17" si="3">SUM(F7:X7)</f>
        <v>566</v>
      </c>
      <c r="Z7" s="174">
        <v>43</v>
      </c>
      <c r="AA7" s="174">
        <v>23</v>
      </c>
      <c r="AB7" s="174">
        <v>153</v>
      </c>
      <c r="AC7" s="174">
        <v>91</v>
      </c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>
        <v>16</v>
      </c>
      <c r="AP7" s="174"/>
      <c r="AQ7" s="174"/>
      <c r="AR7" s="174">
        <v>2</v>
      </c>
      <c r="AS7" s="174"/>
      <c r="AT7" s="174">
        <v>112</v>
      </c>
      <c r="AU7" s="174"/>
      <c r="AV7" s="174">
        <v>23</v>
      </c>
      <c r="AW7" s="174">
        <f t="shared" ref="AW7:AW17" si="4">SUM(AD7:AV7)</f>
        <v>153</v>
      </c>
      <c r="AX7" s="174">
        <v>1017.63</v>
      </c>
      <c r="AY7" s="204"/>
      <c r="AZ7" s="204"/>
      <c r="BA7" s="204"/>
    </row>
    <row r="8" spans="1:53" x14ac:dyDescent="0.25">
      <c r="A8" s="175" t="s">
        <v>152</v>
      </c>
      <c r="B8" s="174">
        <v>1</v>
      </c>
      <c r="C8" s="174">
        <v>1</v>
      </c>
      <c r="D8" s="174">
        <v>1</v>
      </c>
      <c r="E8" s="174">
        <v>1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>
        <v>1</v>
      </c>
      <c r="U8" s="174"/>
      <c r="V8" s="174"/>
      <c r="W8" s="174"/>
      <c r="X8" s="174"/>
      <c r="Y8" s="174">
        <f t="shared" si="3"/>
        <v>1</v>
      </c>
      <c r="Z8" s="174">
        <v>1</v>
      </c>
      <c r="AA8" s="174">
        <v>1</v>
      </c>
      <c r="AB8" s="174">
        <v>1</v>
      </c>
      <c r="AC8" s="174">
        <v>1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>
        <v>1</v>
      </c>
      <c r="AS8" s="174"/>
      <c r="AT8" s="174"/>
      <c r="AU8" s="174"/>
      <c r="AV8" s="174"/>
      <c r="AW8" s="174">
        <f t="shared" si="4"/>
        <v>1</v>
      </c>
      <c r="AX8" s="174">
        <v>224</v>
      </c>
      <c r="AY8" s="204"/>
      <c r="AZ8" s="204"/>
      <c r="BA8" s="204"/>
    </row>
    <row r="9" spans="1:53" x14ac:dyDescent="0.25">
      <c r="A9" s="175" t="s">
        <v>153</v>
      </c>
      <c r="B9" s="174">
        <v>10</v>
      </c>
      <c r="C9" s="174">
        <v>9</v>
      </c>
      <c r="D9" s="174">
        <v>13</v>
      </c>
      <c r="E9" s="174">
        <v>12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>
        <v>1</v>
      </c>
      <c r="S9" s="174"/>
      <c r="T9" s="174">
        <v>5</v>
      </c>
      <c r="U9" s="174"/>
      <c r="V9" s="174">
        <v>6</v>
      </c>
      <c r="W9" s="174"/>
      <c r="X9" s="174">
        <v>1</v>
      </c>
      <c r="Y9" s="174">
        <f t="shared" si="3"/>
        <v>13</v>
      </c>
      <c r="Z9" s="174">
        <v>8</v>
      </c>
      <c r="AA9" s="174">
        <v>8</v>
      </c>
      <c r="AB9" s="174">
        <v>10</v>
      </c>
      <c r="AC9" s="174">
        <v>10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>
        <v>1</v>
      </c>
      <c r="AQ9" s="174"/>
      <c r="AR9" s="174">
        <v>5</v>
      </c>
      <c r="AS9" s="174"/>
      <c r="AT9" s="174">
        <v>4</v>
      </c>
      <c r="AU9" s="174"/>
      <c r="AV9" s="174"/>
      <c r="AW9" s="174">
        <f t="shared" si="4"/>
        <v>10</v>
      </c>
      <c r="AX9" s="174">
        <v>1115.99</v>
      </c>
      <c r="AY9" s="204"/>
      <c r="AZ9" s="204"/>
      <c r="BA9" s="204"/>
    </row>
    <row r="10" spans="1:53" x14ac:dyDescent="0.25">
      <c r="A10" s="175" t="s">
        <v>154</v>
      </c>
      <c r="B10" s="174">
        <v>36</v>
      </c>
      <c r="C10" s="174">
        <v>19</v>
      </c>
      <c r="D10" s="174">
        <v>71</v>
      </c>
      <c r="E10" s="174">
        <v>52</v>
      </c>
      <c r="F10" s="174"/>
      <c r="G10" s="174"/>
      <c r="H10" s="174">
        <v>6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>
        <v>19</v>
      </c>
      <c r="S10" s="174"/>
      <c r="T10" s="174">
        <v>6</v>
      </c>
      <c r="U10" s="174"/>
      <c r="V10" s="174">
        <v>35</v>
      </c>
      <c r="W10" s="174">
        <v>5</v>
      </c>
      <c r="X10" s="174"/>
      <c r="Y10" s="174">
        <f t="shared" si="3"/>
        <v>71</v>
      </c>
      <c r="Z10" s="174">
        <v>25</v>
      </c>
      <c r="AA10" s="174">
        <v>16</v>
      </c>
      <c r="AB10" s="174">
        <v>28</v>
      </c>
      <c r="AC10" s="174">
        <v>22</v>
      </c>
      <c r="AD10" s="174"/>
      <c r="AE10" s="174"/>
      <c r="AF10" s="174">
        <v>5</v>
      </c>
      <c r="AG10" s="174"/>
      <c r="AH10" s="174"/>
      <c r="AI10" s="174"/>
      <c r="AJ10" s="174"/>
      <c r="AK10" s="174"/>
      <c r="AL10" s="174"/>
      <c r="AM10" s="174"/>
      <c r="AN10" s="174"/>
      <c r="AO10" s="174"/>
      <c r="AP10" s="174">
        <v>7</v>
      </c>
      <c r="AQ10" s="174"/>
      <c r="AR10" s="174">
        <v>4</v>
      </c>
      <c r="AS10" s="174"/>
      <c r="AT10" s="174">
        <v>7</v>
      </c>
      <c r="AU10" s="174">
        <v>5</v>
      </c>
      <c r="AV10" s="174"/>
      <c r="AW10" s="174">
        <f t="shared" si="4"/>
        <v>28</v>
      </c>
      <c r="AX10" s="174">
        <v>661.09</v>
      </c>
      <c r="AY10" s="204"/>
      <c r="AZ10" s="204"/>
      <c r="BA10" s="204"/>
    </row>
    <row r="11" spans="1:53" x14ac:dyDescent="0.25">
      <c r="A11" s="175" t="s">
        <v>155</v>
      </c>
      <c r="B11" s="174">
        <v>2</v>
      </c>
      <c r="C11" s="174"/>
      <c r="D11" s="174">
        <v>2</v>
      </c>
      <c r="E11" s="174"/>
      <c r="F11" s="174"/>
      <c r="G11" s="174"/>
      <c r="H11" s="174">
        <v>1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>
        <v>1</v>
      </c>
      <c r="S11" s="174"/>
      <c r="T11" s="174"/>
      <c r="U11" s="174"/>
      <c r="V11" s="174"/>
      <c r="W11" s="174"/>
      <c r="X11" s="174"/>
      <c r="Y11" s="174">
        <f t="shared" si="3"/>
        <v>2</v>
      </c>
      <c r="Z11" s="174">
        <v>2</v>
      </c>
      <c r="AA11" s="174"/>
      <c r="AB11" s="174">
        <v>2</v>
      </c>
      <c r="AC11" s="174"/>
      <c r="AD11" s="174"/>
      <c r="AE11" s="174"/>
      <c r="AF11" s="174">
        <v>1</v>
      </c>
      <c r="AG11" s="174"/>
      <c r="AH11" s="174"/>
      <c r="AI11" s="174"/>
      <c r="AJ11" s="174"/>
      <c r="AK11" s="174"/>
      <c r="AL11" s="174"/>
      <c r="AM11" s="174"/>
      <c r="AN11" s="174"/>
      <c r="AO11" s="174"/>
      <c r="AP11" s="174">
        <v>1</v>
      </c>
      <c r="AQ11" s="174"/>
      <c r="AR11" s="174"/>
      <c r="AS11" s="174"/>
      <c r="AT11" s="174"/>
      <c r="AU11" s="174"/>
      <c r="AV11" s="174"/>
      <c r="AW11" s="174">
        <f t="shared" si="4"/>
        <v>2</v>
      </c>
      <c r="AX11" s="174">
        <v>2610</v>
      </c>
      <c r="AY11" s="204"/>
      <c r="AZ11" s="204"/>
      <c r="BA11" s="204"/>
    </row>
    <row r="12" spans="1:53" x14ac:dyDescent="0.25">
      <c r="A12" s="175" t="s">
        <v>156</v>
      </c>
      <c r="B12" s="174">
        <v>6</v>
      </c>
      <c r="C12" s="174">
        <v>5</v>
      </c>
      <c r="D12" s="174">
        <v>8</v>
      </c>
      <c r="E12" s="174">
        <v>7</v>
      </c>
      <c r="F12" s="174"/>
      <c r="G12" s="174"/>
      <c r="H12" s="174"/>
      <c r="I12" s="174"/>
      <c r="J12" s="174"/>
      <c r="K12" s="174"/>
      <c r="L12" s="174">
        <v>1</v>
      </c>
      <c r="M12" s="174"/>
      <c r="N12" s="174"/>
      <c r="O12" s="174"/>
      <c r="P12" s="174"/>
      <c r="Q12" s="174"/>
      <c r="R12" s="174">
        <v>5</v>
      </c>
      <c r="S12" s="174"/>
      <c r="T12" s="174"/>
      <c r="U12" s="174"/>
      <c r="V12" s="174">
        <v>1</v>
      </c>
      <c r="W12" s="174">
        <v>1</v>
      </c>
      <c r="X12" s="174"/>
      <c r="Y12" s="174">
        <f t="shared" si="3"/>
        <v>8</v>
      </c>
      <c r="Z12" s="174">
        <v>3</v>
      </c>
      <c r="AA12" s="174">
        <v>2</v>
      </c>
      <c r="AB12" s="174">
        <v>3</v>
      </c>
      <c r="AC12" s="174">
        <v>2</v>
      </c>
      <c r="AD12" s="174"/>
      <c r="AE12" s="174"/>
      <c r="AF12" s="174"/>
      <c r="AG12" s="174"/>
      <c r="AH12" s="174"/>
      <c r="AI12" s="174"/>
      <c r="AJ12" s="174">
        <v>1</v>
      </c>
      <c r="AK12" s="174"/>
      <c r="AL12" s="174"/>
      <c r="AM12" s="174"/>
      <c r="AN12" s="174"/>
      <c r="AO12" s="174"/>
      <c r="AP12" s="174"/>
      <c r="AQ12" s="174"/>
      <c r="AR12" s="174"/>
      <c r="AS12" s="174"/>
      <c r="AT12" s="174">
        <v>1</v>
      </c>
      <c r="AU12" s="174">
        <v>1</v>
      </c>
      <c r="AV12" s="174"/>
      <c r="AW12" s="174">
        <f t="shared" si="4"/>
        <v>3</v>
      </c>
      <c r="AX12" s="174">
        <v>2436.67</v>
      </c>
      <c r="AY12" s="204"/>
      <c r="AZ12" s="204"/>
      <c r="BA12" s="204"/>
    </row>
    <row r="13" spans="1:53" x14ac:dyDescent="0.25">
      <c r="A13" s="175" t="s">
        <v>157</v>
      </c>
      <c r="B13" s="174">
        <v>6</v>
      </c>
      <c r="C13" s="174">
        <v>2</v>
      </c>
      <c r="D13" s="174">
        <v>53</v>
      </c>
      <c r="E13" s="174">
        <v>53</v>
      </c>
      <c r="F13" s="174"/>
      <c r="G13" s="174"/>
      <c r="H13" s="174"/>
      <c r="I13" s="174"/>
      <c r="J13" s="174"/>
      <c r="K13" s="174"/>
      <c r="L13" s="174"/>
      <c r="M13" s="174">
        <v>1</v>
      </c>
      <c r="N13" s="174"/>
      <c r="O13" s="174"/>
      <c r="P13" s="174"/>
      <c r="Q13" s="174"/>
      <c r="R13" s="174"/>
      <c r="S13" s="174"/>
      <c r="T13" s="174"/>
      <c r="U13" s="174"/>
      <c r="V13" s="174">
        <v>52</v>
      </c>
      <c r="W13" s="174"/>
      <c r="X13" s="174"/>
      <c r="Y13" s="174">
        <f t="shared" si="3"/>
        <v>53</v>
      </c>
      <c r="Z13" s="174">
        <v>1</v>
      </c>
      <c r="AA13" s="174">
        <v>1</v>
      </c>
      <c r="AB13" s="174">
        <v>52</v>
      </c>
      <c r="AC13" s="174">
        <v>52</v>
      </c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>
        <v>52</v>
      </c>
      <c r="AU13" s="174"/>
      <c r="AV13" s="174"/>
      <c r="AW13" s="174">
        <f t="shared" si="4"/>
        <v>52</v>
      </c>
      <c r="AX13" s="174">
        <v>400</v>
      </c>
      <c r="AY13" s="204"/>
      <c r="AZ13" s="204"/>
      <c r="BA13" s="204"/>
    </row>
    <row r="14" spans="1:53" x14ac:dyDescent="0.25">
      <c r="A14" s="175" t="s">
        <v>158</v>
      </c>
      <c r="B14" s="174">
        <v>2</v>
      </c>
      <c r="C14" s="174">
        <v>2</v>
      </c>
      <c r="D14" s="174">
        <v>37</v>
      </c>
      <c r="E14" s="174">
        <v>37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>
        <v>37</v>
      </c>
      <c r="U14" s="174"/>
      <c r="V14" s="174"/>
      <c r="W14" s="174"/>
      <c r="X14" s="174"/>
      <c r="Y14" s="174">
        <f t="shared" si="3"/>
        <v>37</v>
      </c>
      <c r="Z14" s="174">
        <v>8</v>
      </c>
      <c r="AA14" s="174">
        <v>8</v>
      </c>
      <c r="AB14" s="174">
        <v>10</v>
      </c>
      <c r="AC14" s="174">
        <v>10</v>
      </c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>
        <v>10</v>
      </c>
      <c r="AS14" s="174"/>
      <c r="AT14" s="174"/>
      <c r="AU14" s="174"/>
      <c r="AV14" s="174"/>
      <c r="AW14" s="174">
        <f t="shared" si="4"/>
        <v>10</v>
      </c>
      <c r="AX14" s="174">
        <v>350</v>
      </c>
      <c r="AY14" s="204"/>
      <c r="AZ14" s="204"/>
      <c r="BA14" s="204"/>
    </row>
    <row r="15" spans="1:53" x14ac:dyDescent="0.25">
      <c r="A15" s="175" t="s">
        <v>77</v>
      </c>
      <c r="B15" s="174">
        <v>3</v>
      </c>
      <c r="C15" s="174"/>
      <c r="D15" s="174">
        <v>9</v>
      </c>
      <c r="E15" s="174"/>
      <c r="F15" s="174"/>
      <c r="G15" s="174"/>
      <c r="H15" s="174">
        <v>9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>
        <f t="shared" si="3"/>
        <v>9</v>
      </c>
      <c r="Z15" s="174">
        <v>2</v>
      </c>
      <c r="AA15" s="174"/>
      <c r="AB15" s="174">
        <v>8</v>
      </c>
      <c r="AC15" s="174"/>
      <c r="AD15" s="174"/>
      <c r="AE15" s="174"/>
      <c r="AF15" s="174">
        <v>8</v>
      </c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>
        <f t="shared" si="4"/>
        <v>8</v>
      </c>
      <c r="AX15" s="174">
        <v>320</v>
      </c>
      <c r="AY15" s="204"/>
      <c r="AZ15" s="204"/>
      <c r="BA15" s="204"/>
    </row>
    <row r="16" spans="1:53" x14ac:dyDescent="0.25">
      <c r="A16" s="175" t="s">
        <v>78</v>
      </c>
      <c r="B16" s="174">
        <v>56</v>
      </c>
      <c r="C16" s="174">
        <v>40</v>
      </c>
      <c r="D16" s="174">
        <v>120</v>
      </c>
      <c r="E16" s="174">
        <v>100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>
        <v>2</v>
      </c>
      <c r="S16" s="174"/>
      <c r="T16" s="174">
        <v>77</v>
      </c>
      <c r="U16" s="174"/>
      <c r="V16" s="174">
        <v>41</v>
      </c>
      <c r="W16" s="174"/>
      <c r="X16" s="174"/>
      <c r="Y16" s="174">
        <f t="shared" si="3"/>
        <v>120</v>
      </c>
      <c r="Z16" s="174">
        <v>42</v>
      </c>
      <c r="AA16" s="174">
        <v>29</v>
      </c>
      <c r="AB16" s="174">
        <v>89</v>
      </c>
      <c r="AC16" s="174">
        <v>63</v>
      </c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>
        <v>5</v>
      </c>
      <c r="AQ16" s="174"/>
      <c r="AR16" s="174">
        <v>48</v>
      </c>
      <c r="AS16" s="174"/>
      <c r="AT16" s="174">
        <v>36</v>
      </c>
      <c r="AU16" s="174"/>
      <c r="AV16" s="174"/>
      <c r="AW16" s="174">
        <f t="shared" si="4"/>
        <v>89</v>
      </c>
      <c r="AX16" s="174">
        <v>1511.27</v>
      </c>
      <c r="AY16" s="204"/>
      <c r="AZ16" s="204"/>
      <c r="BA16" s="204"/>
    </row>
    <row r="17" spans="1:53" x14ac:dyDescent="0.25">
      <c r="A17" s="175" t="s">
        <v>79</v>
      </c>
      <c r="B17" s="174">
        <v>2</v>
      </c>
      <c r="C17" s="174">
        <v>2</v>
      </c>
      <c r="D17" s="174">
        <v>2</v>
      </c>
      <c r="E17" s="174">
        <v>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>
        <v>1</v>
      </c>
      <c r="U17" s="174"/>
      <c r="V17" s="174">
        <v>1</v>
      </c>
      <c r="W17" s="174"/>
      <c r="X17" s="174"/>
      <c r="Y17" s="174">
        <f t="shared" si="3"/>
        <v>2</v>
      </c>
      <c r="Z17" s="174">
        <v>1</v>
      </c>
      <c r="AA17" s="174">
        <v>1</v>
      </c>
      <c r="AB17" s="174">
        <v>1</v>
      </c>
      <c r="AC17" s="174">
        <v>1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>
        <v>1</v>
      </c>
      <c r="AU17" s="174"/>
      <c r="AV17" s="174"/>
      <c r="AW17" s="174">
        <f t="shared" si="4"/>
        <v>1</v>
      </c>
      <c r="AX17" s="174">
        <v>208</v>
      </c>
      <c r="AY17" s="204"/>
      <c r="AZ17" s="204"/>
      <c r="BA17" s="204"/>
    </row>
    <row r="18" spans="1:53" x14ac:dyDescent="0.25">
      <c r="A18" s="175" t="s">
        <v>80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204"/>
      <c r="AZ18" s="204"/>
      <c r="BA18" s="204"/>
    </row>
    <row r="19" spans="1:53" x14ac:dyDescent="0.25">
      <c r="A19" s="175" t="s">
        <v>81</v>
      </c>
      <c r="B19" s="174">
        <v>1</v>
      </c>
      <c r="C19" s="174"/>
      <c r="D19" s="174">
        <v>1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>
        <v>1</v>
      </c>
      <c r="X19" s="174"/>
      <c r="Y19" s="174">
        <f>SUM(F19:X19)</f>
        <v>1</v>
      </c>
      <c r="Z19" s="174">
        <v>1</v>
      </c>
      <c r="AA19" s="174"/>
      <c r="AB19" s="174">
        <v>1</v>
      </c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>
        <v>1</v>
      </c>
      <c r="AV19" s="174"/>
      <c r="AW19" s="174">
        <f>SUM(AD19:AV19)</f>
        <v>1</v>
      </c>
      <c r="AX19" s="174">
        <v>4000</v>
      </c>
      <c r="AY19" s="204"/>
      <c r="AZ19" s="204"/>
      <c r="BA19" s="204"/>
    </row>
    <row r="20" spans="1:53" x14ac:dyDescent="0.25">
      <c r="A20" s="175" t="s">
        <v>82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204"/>
      <c r="AZ20" s="204"/>
      <c r="BA20" s="204"/>
    </row>
    <row r="21" spans="1:53" x14ac:dyDescent="0.25">
      <c r="A21" s="175" t="s">
        <v>83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204"/>
      <c r="AZ21" s="204"/>
      <c r="BA21" s="204"/>
    </row>
    <row r="22" spans="1:53" x14ac:dyDescent="0.25">
      <c r="A22" s="175" t="s">
        <v>84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204"/>
      <c r="AZ22" s="204"/>
      <c r="BA22" s="204"/>
    </row>
    <row r="23" spans="1:53" x14ac:dyDescent="0.25">
      <c r="A23" s="175" t="s">
        <v>85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204"/>
      <c r="AZ23" s="204"/>
      <c r="BA23" s="204"/>
    </row>
    <row r="24" spans="1:53" x14ac:dyDescent="0.25">
      <c r="A24" s="175" t="s">
        <v>86</v>
      </c>
      <c r="B24" s="174">
        <v>6</v>
      </c>
      <c r="C24" s="174">
        <v>1</v>
      </c>
      <c r="D24" s="174">
        <v>54</v>
      </c>
      <c r="E24" s="174">
        <v>1</v>
      </c>
      <c r="F24" s="174"/>
      <c r="G24" s="174"/>
      <c r="H24" s="174">
        <v>3</v>
      </c>
      <c r="I24" s="174"/>
      <c r="J24" s="174">
        <v>50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>
        <v>1</v>
      </c>
      <c r="W24" s="174"/>
      <c r="X24" s="174"/>
      <c r="Y24" s="174">
        <f>SUM(F24:X24)</f>
        <v>54</v>
      </c>
      <c r="Z24" s="174">
        <v>6</v>
      </c>
      <c r="AA24" s="174"/>
      <c r="AB24" s="174">
        <v>3</v>
      </c>
      <c r="AC24" s="174"/>
      <c r="AD24" s="174"/>
      <c r="AE24" s="174"/>
      <c r="AF24" s="174">
        <v>3</v>
      </c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>
        <f t="shared" ref="AW24:AW30" si="5">SUM(AD24:AV24)</f>
        <v>3</v>
      </c>
      <c r="AX24" s="174">
        <v>1560.98</v>
      </c>
      <c r="AY24" s="204"/>
      <c r="AZ24" s="204"/>
      <c r="BA24" s="204"/>
    </row>
    <row r="25" spans="1:53" x14ac:dyDescent="0.25">
      <c r="A25" s="175" t="s">
        <v>87</v>
      </c>
      <c r="B25" s="174">
        <v>8</v>
      </c>
      <c r="C25" s="174"/>
      <c r="D25" s="174">
        <v>17</v>
      </c>
      <c r="E25" s="174"/>
      <c r="F25" s="174"/>
      <c r="G25" s="174"/>
      <c r="H25" s="174">
        <v>16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>
        <v>1</v>
      </c>
      <c r="S25" s="174"/>
      <c r="T25" s="174"/>
      <c r="U25" s="174"/>
      <c r="V25" s="174"/>
      <c r="W25" s="174"/>
      <c r="X25" s="174"/>
      <c r="Y25" s="174">
        <f>SUM(F25:X25)</f>
        <v>17</v>
      </c>
      <c r="Z25" s="174">
        <v>3</v>
      </c>
      <c r="AA25" s="174"/>
      <c r="AB25" s="174">
        <v>12</v>
      </c>
      <c r="AC25" s="174"/>
      <c r="AD25" s="174"/>
      <c r="AE25" s="174"/>
      <c r="AF25" s="174">
        <v>11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>
        <v>1</v>
      </c>
      <c r="AQ25" s="174"/>
      <c r="AR25" s="174"/>
      <c r="AS25" s="174"/>
      <c r="AT25" s="174"/>
      <c r="AU25" s="174"/>
      <c r="AV25" s="174"/>
      <c r="AW25" s="174">
        <f t="shared" si="5"/>
        <v>12</v>
      </c>
      <c r="AX25" s="174">
        <v>1944</v>
      </c>
      <c r="AY25" s="204"/>
      <c r="AZ25" s="204"/>
      <c r="BA25" s="204"/>
    </row>
    <row r="26" spans="1:53" x14ac:dyDescent="0.25">
      <c r="A26" s="173" t="s">
        <v>30</v>
      </c>
      <c r="B26" s="174">
        <f t="shared" ref="B26:AV26" si="6">B27+B28+B29+B30+B31+B32+B33+B34+B35+B36+B37+B38+B39+B40+B41+B42+B43</f>
        <v>629</v>
      </c>
      <c r="C26" s="174">
        <f t="shared" si="6"/>
        <v>113</v>
      </c>
      <c r="D26" s="174">
        <f t="shared" si="6"/>
        <v>1640</v>
      </c>
      <c r="E26" s="174">
        <f t="shared" si="6"/>
        <v>874</v>
      </c>
      <c r="F26" s="174">
        <f t="shared" si="6"/>
        <v>0</v>
      </c>
      <c r="G26" s="174">
        <f t="shared" si="6"/>
        <v>0</v>
      </c>
      <c r="H26" s="174">
        <f t="shared" si="6"/>
        <v>23</v>
      </c>
      <c r="I26" s="174">
        <f t="shared" si="6"/>
        <v>0</v>
      </c>
      <c r="J26" s="174">
        <f t="shared" si="6"/>
        <v>0</v>
      </c>
      <c r="K26" s="174">
        <f t="shared" si="6"/>
        <v>3</v>
      </c>
      <c r="L26" s="174">
        <f t="shared" si="6"/>
        <v>3</v>
      </c>
      <c r="M26" s="174">
        <f t="shared" si="6"/>
        <v>0</v>
      </c>
      <c r="N26" s="174">
        <f t="shared" si="6"/>
        <v>0</v>
      </c>
      <c r="O26" s="174">
        <f t="shared" si="6"/>
        <v>0</v>
      </c>
      <c r="P26" s="174">
        <f t="shared" si="6"/>
        <v>0</v>
      </c>
      <c r="Q26" s="174">
        <f t="shared" si="6"/>
        <v>0</v>
      </c>
      <c r="R26" s="174">
        <f t="shared" si="6"/>
        <v>0</v>
      </c>
      <c r="S26" s="174">
        <f t="shared" si="6"/>
        <v>0</v>
      </c>
      <c r="T26" s="174">
        <f t="shared" si="6"/>
        <v>0</v>
      </c>
      <c r="U26" s="174">
        <f t="shared" si="6"/>
        <v>0</v>
      </c>
      <c r="V26" s="174">
        <f t="shared" si="6"/>
        <v>1548</v>
      </c>
      <c r="W26" s="174">
        <f t="shared" si="6"/>
        <v>0</v>
      </c>
      <c r="X26" s="174">
        <f t="shared" si="6"/>
        <v>63</v>
      </c>
      <c r="Y26" s="174">
        <f t="shared" si="6"/>
        <v>1640</v>
      </c>
      <c r="Z26" s="174">
        <f t="shared" si="6"/>
        <v>454</v>
      </c>
      <c r="AA26" s="174">
        <f t="shared" si="6"/>
        <v>122</v>
      </c>
      <c r="AB26" s="174">
        <f t="shared" si="6"/>
        <v>1546</v>
      </c>
      <c r="AC26" s="174">
        <f t="shared" si="6"/>
        <v>904</v>
      </c>
      <c r="AD26" s="174">
        <f t="shared" si="6"/>
        <v>0</v>
      </c>
      <c r="AE26" s="174">
        <f t="shared" si="6"/>
        <v>0</v>
      </c>
      <c r="AF26" s="174">
        <f t="shared" si="6"/>
        <v>1</v>
      </c>
      <c r="AG26" s="174">
        <f t="shared" si="6"/>
        <v>0</v>
      </c>
      <c r="AH26" s="174">
        <f t="shared" si="6"/>
        <v>0</v>
      </c>
      <c r="AI26" s="174">
        <f t="shared" si="6"/>
        <v>3</v>
      </c>
      <c r="AJ26" s="174">
        <f t="shared" si="6"/>
        <v>3</v>
      </c>
      <c r="AK26" s="174">
        <f t="shared" si="6"/>
        <v>0</v>
      </c>
      <c r="AL26" s="174">
        <f t="shared" si="6"/>
        <v>0</v>
      </c>
      <c r="AM26" s="174">
        <f t="shared" si="6"/>
        <v>0</v>
      </c>
      <c r="AN26" s="174">
        <f t="shared" si="6"/>
        <v>0</v>
      </c>
      <c r="AO26" s="174">
        <f t="shared" si="6"/>
        <v>0</v>
      </c>
      <c r="AP26" s="174">
        <f t="shared" si="6"/>
        <v>0</v>
      </c>
      <c r="AQ26" s="174">
        <f t="shared" si="6"/>
        <v>0</v>
      </c>
      <c r="AR26" s="174">
        <f t="shared" si="6"/>
        <v>0</v>
      </c>
      <c r="AS26" s="174">
        <f t="shared" si="6"/>
        <v>15</v>
      </c>
      <c r="AT26" s="174">
        <f t="shared" si="6"/>
        <v>1484</v>
      </c>
      <c r="AU26" s="174">
        <f t="shared" si="6"/>
        <v>0</v>
      </c>
      <c r="AV26" s="174">
        <f t="shared" si="6"/>
        <v>40</v>
      </c>
      <c r="AW26" s="174">
        <f t="shared" si="5"/>
        <v>1546</v>
      </c>
      <c r="AX26" s="221"/>
      <c r="AY26" s="184">
        <f>Z26*100/B26</f>
        <v>72.17806041335453</v>
      </c>
      <c r="AZ26" s="174">
        <f>B26-Z26</f>
        <v>175</v>
      </c>
      <c r="BA26" s="184">
        <f>AZ26*100/B26</f>
        <v>27.82193958664547</v>
      </c>
    </row>
    <row r="27" spans="1:53" x14ac:dyDescent="0.25">
      <c r="A27" s="175" t="s">
        <v>150</v>
      </c>
      <c r="B27" s="174">
        <v>65</v>
      </c>
      <c r="C27" s="174">
        <v>19</v>
      </c>
      <c r="D27" s="174">
        <v>504</v>
      </c>
      <c r="E27" s="174">
        <v>306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>
        <v>501</v>
      </c>
      <c r="W27" s="174"/>
      <c r="X27" s="174">
        <v>3</v>
      </c>
      <c r="Y27" s="174">
        <f t="shared" ref="Y27:Y37" si="7">SUM(F27:X27)</f>
        <v>504</v>
      </c>
      <c r="Z27" s="174">
        <v>46</v>
      </c>
      <c r="AA27" s="174">
        <v>46</v>
      </c>
      <c r="AB27" s="174">
        <v>385</v>
      </c>
      <c r="AC27" s="174">
        <v>385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>
        <v>385</v>
      </c>
      <c r="AU27" s="174"/>
      <c r="AV27" s="174"/>
      <c r="AW27" s="174">
        <f t="shared" si="5"/>
        <v>385</v>
      </c>
      <c r="AX27" s="174">
        <v>679.29</v>
      </c>
      <c r="AY27" s="204"/>
      <c r="AZ27" s="204"/>
      <c r="BA27" s="204"/>
    </row>
    <row r="28" spans="1:53" x14ac:dyDescent="0.25">
      <c r="A28" s="175" t="s">
        <v>149</v>
      </c>
      <c r="B28" s="174">
        <v>3</v>
      </c>
      <c r="C28" s="174">
        <v>3</v>
      </c>
      <c r="D28" s="174">
        <v>49</v>
      </c>
      <c r="E28" s="174">
        <v>49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>
        <v>49</v>
      </c>
      <c r="W28" s="174"/>
      <c r="X28" s="174"/>
      <c r="Y28" s="174">
        <f t="shared" si="7"/>
        <v>49</v>
      </c>
      <c r="Z28" s="174">
        <v>5</v>
      </c>
      <c r="AA28" s="174">
        <v>5</v>
      </c>
      <c r="AB28" s="174">
        <v>63</v>
      </c>
      <c r="AC28" s="174">
        <v>63</v>
      </c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>
        <v>63</v>
      </c>
      <c r="AU28" s="174"/>
      <c r="AV28" s="174"/>
      <c r="AW28" s="174">
        <f t="shared" si="5"/>
        <v>63</v>
      </c>
      <c r="AX28" s="174">
        <v>826</v>
      </c>
      <c r="AY28" s="204"/>
      <c r="AZ28" s="204"/>
      <c r="BA28" s="204"/>
    </row>
    <row r="29" spans="1:53" x14ac:dyDescent="0.25">
      <c r="A29" s="175" t="s">
        <v>148</v>
      </c>
      <c r="B29" s="174">
        <v>1</v>
      </c>
      <c r="C29" s="174">
        <v>1</v>
      </c>
      <c r="D29" s="174">
        <v>27</v>
      </c>
      <c r="E29" s="174">
        <v>27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>
        <v>27</v>
      </c>
      <c r="W29" s="174"/>
      <c r="X29" s="174"/>
      <c r="Y29" s="174">
        <f t="shared" si="7"/>
        <v>27</v>
      </c>
      <c r="Z29" s="174">
        <v>1</v>
      </c>
      <c r="AA29" s="174">
        <v>1</v>
      </c>
      <c r="AB29" s="174">
        <v>27</v>
      </c>
      <c r="AC29" s="174">
        <v>27</v>
      </c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>
        <v>27</v>
      </c>
      <c r="AU29" s="174"/>
      <c r="AV29" s="174"/>
      <c r="AW29" s="174">
        <f t="shared" si="5"/>
        <v>27</v>
      </c>
      <c r="AX29" s="174">
        <v>3776.8</v>
      </c>
      <c r="AY29" s="204"/>
      <c r="AZ29" s="204"/>
      <c r="BA29" s="204"/>
    </row>
    <row r="30" spans="1:53" x14ac:dyDescent="0.25">
      <c r="A30" s="175" t="s">
        <v>147</v>
      </c>
      <c r="B30" s="174">
        <v>425</v>
      </c>
      <c r="C30" s="174">
        <v>55</v>
      </c>
      <c r="D30" s="174">
        <v>472</v>
      </c>
      <c r="E30" s="174">
        <v>228</v>
      </c>
      <c r="F30" s="174"/>
      <c r="G30" s="174"/>
      <c r="H30" s="174"/>
      <c r="I30" s="174"/>
      <c r="J30" s="174"/>
      <c r="K30" s="174">
        <v>3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>
        <v>424</v>
      </c>
      <c r="W30" s="174"/>
      <c r="X30" s="174">
        <v>45</v>
      </c>
      <c r="Y30" s="174">
        <f t="shared" si="7"/>
        <v>472</v>
      </c>
      <c r="Z30" s="174">
        <v>287</v>
      </c>
      <c r="AA30" s="174">
        <v>43</v>
      </c>
      <c r="AB30" s="174">
        <v>573</v>
      </c>
      <c r="AC30" s="174">
        <v>173</v>
      </c>
      <c r="AD30" s="174"/>
      <c r="AE30" s="174"/>
      <c r="AF30" s="174"/>
      <c r="AG30" s="174"/>
      <c r="AH30" s="174"/>
      <c r="AI30" s="174">
        <v>3</v>
      </c>
      <c r="AJ30" s="174"/>
      <c r="AK30" s="174"/>
      <c r="AL30" s="174"/>
      <c r="AM30" s="174"/>
      <c r="AN30" s="174"/>
      <c r="AO30" s="174"/>
      <c r="AP30" s="174"/>
      <c r="AQ30" s="174"/>
      <c r="AR30" s="174"/>
      <c r="AS30" s="174">
        <v>15</v>
      </c>
      <c r="AT30" s="174">
        <v>529</v>
      </c>
      <c r="AU30" s="174"/>
      <c r="AV30" s="174">
        <v>26</v>
      </c>
      <c r="AW30" s="174">
        <f t="shared" si="5"/>
        <v>573</v>
      </c>
      <c r="AX30" s="174">
        <v>3630.97</v>
      </c>
      <c r="AY30" s="204"/>
      <c r="AZ30" s="204"/>
      <c r="BA30" s="204"/>
    </row>
    <row r="31" spans="1:53" x14ac:dyDescent="0.25">
      <c r="A31" s="175" t="s">
        <v>146</v>
      </c>
      <c r="B31" s="174">
        <v>1</v>
      </c>
      <c r="C31" s="174"/>
      <c r="D31" s="174">
        <v>1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>
        <v>1</v>
      </c>
      <c r="W31" s="174"/>
      <c r="X31" s="174"/>
      <c r="Y31" s="174">
        <f t="shared" si="7"/>
        <v>1</v>
      </c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204"/>
      <c r="AZ31" s="204"/>
      <c r="BA31" s="204"/>
    </row>
    <row r="32" spans="1:53" x14ac:dyDescent="0.25">
      <c r="A32" s="175" t="s">
        <v>58</v>
      </c>
      <c r="B32" s="174">
        <v>5</v>
      </c>
      <c r="C32" s="174">
        <v>2</v>
      </c>
      <c r="D32" s="174">
        <v>88</v>
      </c>
      <c r="E32" s="174">
        <v>13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>
        <v>88</v>
      </c>
      <c r="W32" s="174"/>
      <c r="X32" s="174"/>
      <c r="Y32" s="174">
        <f t="shared" si="7"/>
        <v>88</v>
      </c>
      <c r="Z32" s="174">
        <v>5</v>
      </c>
      <c r="AA32" s="174">
        <v>2</v>
      </c>
      <c r="AB32" s="174">
        <v>88</v>
      </c>
      <c r="AC32" s="174">
        <v>13</v>
      </c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>
        <v>88</v>
      </c>
      <c r="AU32" s="174"/>
      <c r="AV32" s="174"/>
      <c r="AW32" s="174">
        <f t="shared" ref="AW32:AW37" si="8">SUM(AD32:AV32)</f>
        <v>88</v>
      </c>
      <c r="AX32" s="174">
        <v>714</v>
      </c>
      <c r="AY32" s="204"/>
      <c r="AZ32" s="204"/>
      <c r="BA32" s="204"/>
    </row>
    <row r="33" spans="1:53" x14ac:dyDescent="0.25">
      <c r="A33" s="175" t="s">
        <v>88</v>
      </c>
      <c r="B33" s="174">
        <v>5</v>
      </c>
      <c r="C33" s="174">
        <v>2</v>
      </c>
      <c r="D33" s="174">
        <v>35</v>
      </c>
      <c r="E33" s="174">
        <v>17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>
        <v>22</v>
      </c>
      <c r="W33" s="174"/>
      <c r="X33" s="174">
        <v>13</v>
      </c>
      <c r="Y33" s="174">
        <f t="shared" si="7"/>
        <v>35</v>
      </c>
      <c r="Z33" s="174">
        <v>4</v>
      </c>
      <c r="AA33" s="174">
        <v>2</v>
      </c>
      <c r="AB33" s="174">
        <v>27</v>
      </c>
      <c r="AC33" s="174">
        <v>17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>
        <v>14</v>
      </c>
      <c r="AU33" s="174"/>
      <c r="AV33" s="174">
        <v>13</v>
      </c>
      <c r="AW33" s="174">
        <f t="shared" si="8"/>
        <v>27</v>
      </c>
      <c r="AX33" s="174">
        <v>1706.43</v>
      </c>
      <c r="AY33" s="204"/>
      <c r="AZ33" s="204"/>
      <c r="BA33" s="204"/>
    </row>
    <row r="34" spans="1:53" x14ac:dyDescent="0.25">
      <c r="A34" s="175" t="s">
        <v>89</v>
      </c>
      <c r="B34" s="174">
        <v>4</v>
      </c>
      <c r="C34" s="174"/>
      <c r="D34" s="174">
        <v>40</v>
      </c>
      <c r="E34" s="174"/>
      <c r="F34" s="174"/>
      <c r="G34" s="174"/>
      <c r="H34" s="174"/>
      <c r="I34" s="174"/>
      <c r="J34" s="174"/>
      <c r="K34" s="174"/>
      <c r="L34" s="174">
        <v>2</v>
      </c>
      <c r="M34" s="174"/>
      <c r="N34" s="174"/>
      <c r="O34" s="174"/>
      <c r="P34" s="174"/>
      <c r="Q34" s="174"/>
      <c r="R34" s="174"/>
      <c r="S34" s="174"/>
      <c r="T34" s="174"/>
      <c r="U34" s="174"/>
      <c r="V34" s="174">
        <v>38</v>
      </c>
      <c r="W34" s="174"/>
      <c r="X34" s="174"/>
      <c r="Y34" s="174">
        <f t="shared" si="7"/>
        <v>40</v>
      </c>
      <c r="Z34" s="174">
        <v>3</v>
      </c>
      <c r="AA34" s="174"/>
      <c r="AB34" s="174">
        <v>30</v>
      </c>
      <c r="AC34" s="174"/>
      <c r="AD34" s="174"/>
      <c r="AE34" s="174"/>
      <c r="AF34" s="174"/>
      <c r="AG34" s="174"/>
      <c r="AH34" s="174"/>
      <c r="AI34" s="174"/>
      <c r="AJ34" s="174">
        <v>2</v>
      </c>
      <c r="AK34" s="174"/>
      <c r="AL34" s="174"/>
      <c r="AM34" s="174"/>
      <c r="AN34" s="174"/>
      <c r="AO34" s="174"/>
      <c r="AP34" s="174"/>
      <c r="AQ34" s="174"/>
      <c r="AR34" s="174"/>
      <c r="AS34" s="174"/>
      <c r="AT34" s="174">
        <v>28</v>
      </c>
      <c r="AU34" s="174"/>
      <c r="AV34" s="174"/>
      <c r="AW34" s="174">
        <f t="shared" si="8"/>
        <v>30</v>
      </c>
      <c r="AX34" s="174">
        <v>1986.13</v>
      </c>
      <c r="AY34" s="204"/>
      <c r="AZ34" s="204"/>
      <c r="BA34" s="204"/>
    </row>
    <row r="35" spans="1:53" x14ac:dyDescent="0.25">
      <c r="A35" s="175" t="s">
        <v>90</v>
      </c>
      <c r="B35" s="174">
        <v>65</v>
      </c>
      <c r="C35" s="174">
        <v>29</v>
      </c>
      <c r="D35" s="174">
        <v>262</v>
      </c>
      <c r="E35" s="174">
        <v>215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>
        <v>261</v>
      </c>
      <c r="W35" s="174"/>
      <c r="X35" s="174">
        <v>1</v>
      </c>
      <c r="Y35" s="174">
        <f t="shared" si="7"/>
        <v>262</v>
      </c>
      <c r="Z35" s="174">
        <v>44</v>
      </c>
      <c r="AA35" s="174">
        <v>21</v>
      </c>
      <c r="AB35" s="174">
        <v>236</v>
      </c>
      <c r="AC35" s="174">
        <v>207</v>
      </c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>
        <v>236</v>
      </c>
      <c r="AU35" s="174"/>
      <c r="AV35" s="174"/>
      <c r="AW35" s="174">
        <f t="shared" si="8"/>
        <v>236</v>
      </c>
      <c r="AX35" s="174">
        <v>1728.2</v>
      </c>
      <c r="AY35" s="204"/>
      <c r="AZ35" s="204"/>
      <c r="BA35" s="204"/>
    </row>
    <row r="36" spans="1:53" x14ac:dyDescent="0.25">
      <c r="A36" s="175" t="s">
        <v>91</v>
      </c>
      <c r="B36" s="174">
        <v>24</v>
      </c>
      <c r="C36" s="174"/>
      <c r="D36" s="174">
        <v>69</v>
      </c>
      <c r="E36" s="174"/>
      <c r="F36" s="174"/>
      <c r="G36" s="174"/>
      <c r="H36" s="174">
        <v>1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12">
        <v>68</v>
      </c>
      <c r="W36" s="174"/>
      <c r="X36" s="174"/>
      <c r="Y36" s="174">
        <f t="shared" si="7"/>
        <v>69</v>
      </c>
      <c r="Z36" s="174">
        <v>38</v>
      </c>
      <c r="AA36" s="174"/>
      <c r="AB36" s="174">
        <v>51</v>
      </c>
      <c r="AC36" s="174"/>
      <c r="AD36" s="174"/>
      <c r="AE36" s="174"/>
      <c r="AF36" s="174">
        <v>1</v>
      </c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>
        <v>50</v>
      </c>
      <c r="AU36" s="174"/>
      <c r="AV36" s="174"/>
      <c r="AW36" s="174">
        <f t="shared" si="8"/>
        <v>51</v>
      </c>
      <c r="AX36" s="221">
        <v>4788.12</v>
      </c>
      <c r="AY36" s="223"/>
      <c r="AZ36" s="223"/>
      <c r="BA36" s="223"/>
    </row>
    <row r="37" spans="1:53" x14ac:dyDescent="0.25">
      <c r="A37" s="175" t="s">
        <v>145</v>
      </c>
      <c r="B37" s="174">
        <v>4</v>
      </c>
      <c r="C37" s="174">
        <v>2</v>
      </c>
      <c r="D37" s="174">
        <v>75</v>
      </c>
      <c r="E37" s="174">
        <v>19</v>
      </c>
      <c r="F37" s="174"/>
      <c r="G37" s="174"/>
      <c r="H37" s="174">
        <v>22</v>
      </c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>
        <v>53</v>
      </c>
      <c r="W37" s="174"/>
      <c r="X37" s="174"/>
      <c r="Y37" s="174">
        <f t="shared" si="7"/>
        <v>75</v>
      </c>
      <c r="Z37" s="174">
        <v>3</v>
      </c>
      <c r="AA37" s="174">
        <v>2</v>
      </c>
      <c r="AB37" s="174">
        <v>53</v>
      </c>
      <c r="AC37" s="174">
        <v>19</v>
      </c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>
        <v>53</v>
      </c>
      <c r="AU37" s="174"/>
      <c r="AV37" s="174"/>
      <c r="AW37" s="174">
        <f t="shared" si="8"/>
        <v>53</v>
      </c>
      <c r="AX37" s="174">
        <v>82.55</v>
      </c>
      <c r="AY37" s="204"/>
      <c r="AZ37" s="204"/>
      <c r="BA37" s="204"/>
    </row>
    <row r="38" spans="1:53" x14ac:dyDescent="0.25">
      <c r="A38" s="175" t="s">
        <v>144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204"/>
      <c r="AZ38" s="204"/>
      <c r="BA38" s="204"/>
    </row>
    <row r="39" spans="1:53" x14ac:dyDescent="0.25">
      <c r="A39" s="175" t="s">
        <v>143</v>
      </c>
      <c r="B39" s="174">
        <v>1</v>
      </c>
      <c r="C39" s="174"/>
      <c r="D39" s="174">
        <v>1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>
        <v>1</v>
      </c>
      <c r="Y39" s="174">
        <f>SUM(F39:X39)</f>
        <v>1</v>
      </c>
      <c r="Z39" s="174">
        <v>6</v>
      </c>
      <c r="AA39" s="174"/>
      <c r="AB39" s="174">
        <v>1</v>
      </c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>
        <v>1</v>
      </c>
      <c r="AW39" s="174">
        <f>SUM(AD39:AV39)</f>
        <v>1</v>
      </c>
      <c r="AX39" s="174">
        <v>6300</v>
      </c>
      <c r="AY39" s="204"/>
      <c r="AZ39" s="204"/>
      <c r="BA39" s="204"/>
    </row>
    <row r="40" spans="1:53" x14ac:dyDescent="0.25">
      <c r="A40" s="175" t="s">
        <v>92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204"/>
      <c r="AZ40" s="204"/>
      <c r="BA40" s="204"/>
    </row>
    <row r="41" spans="1:53" x14ac:dyDescent="0.25">
      <c r="A41" s="175" t="s">
        <v>93</v>
      </c>
      <c r="B41" s="174">
        <v>1</v>
      </c>
      <c r="C41" s="174"/>
      <c r="D41" s="174">
        <v>1</v>
      </c>
      <c r="E41" s="174"/>
      <c r="F41" s="174"/>
      <c r="G41" s="174"/>
      <c r="H41" s="174"/>
      <c r="I41" s="174"/>
      <c r="J41" s="174"/>
      <c r="K41" s="174"/>
      <c r="L41" s="174">
        <v>1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>
        <f>SUM(F41:X41)</f>
        <v>1</v>
      </c>
      <c r="Z41" s="174">
        <v>1</v>
      </c>
      <c r="AA41" s="174"/>
      <c r="AB41" s="174">
        <v>1</v>
      </c>
      <c r="AC41" s="174"/>
      <c r="AD41" s="174"/>
      <c r="AE41" s="174"/>
      <c r="AF41" s="174"/>
      <c r="AG41" s="174"/>
      <c r="AH41" s="174"/>
      <c r="AI41" s="174"/>
      <c r="AJ41" s="174">
        <v>1</v>
      </c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>
        <f>SUM(AD41:AV41)</f>
        <v>1</v>
      </c>
      <c r="AX41" s="174">
        <v>2862.93</v>
      </c>
      <c r="AY41" s="204"/>
      <c r="AZ41" s="204"/>
      <c r="BA41" s="204"/>
    </row>
    <row r="42" spans="1:53" x14ac:dyDescent="0.25">
      <c r="A42" s="175" t="s">
        <v>94</v>
      </c>
      <c r="B42" s="174">
        <v>25</v>
      </c>
      <c r="C42" s="174"/>
      <c r="D42" s="174">
        <v>16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>
        <v>16</v>
      </c>
      <c r="W42" s="174"/>
      <c r="X42" s="174"/>
      <c r="Y42" s="174">
        <f>SUM(F42:X42)</f>
        <v>16</v>
      </c>
      <c r="Z42" s="174">
        <v>11</v>
      </c>
      <c r="AA42" s="174"/>
      <c r="AB42" s="174">
        <v>11</v>
      </c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>
        <v>11</v>
      </c>
      <c r="AU42" s="174"/>
      <c r="AV42" s="174"/>
      <c r="AW42" s="174">
        <f>SUM(AD42:AV42)</f>
        <v>11</v>
      </c>
      <c r="AX42" s="174">
        <v>4675</v>
      </c>
      <c r="AY42" s="204"/>
      <c r="AZ42" s="204"/>
      <c r="BA42" s="204"/>
    </row>
    <row r="43" spans="1:53" x14ac:dyDescent="0.25">
      <c r="A43" s="175" t="s">
        <v>95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204"/>
      <c r="AZ43" s="204"/>
      <c r="BA43" s="204"/>
    </row>
    <row r="44" spans="1:53" x14ac:dyDescent="0.25">
      <c r="A44" s="173" t="s">
        <v>31</v>
      </c>
      <c r="B44" s="174">
        <f t="shared" ref="B44:X44" si="9">SUM(B45:B62)</f>
        <v>161</v>
      </c>
      <c r="C44" s="174">
        <f t="shared" si="9"/>
        <v>5</v>
      </c>
      <c r="D44" s="174">
        <f t="shared" si="9"/>
        <v>581</v>
      </c>
      <c r="E44" s="174">
        <f t="shared" si="9"/>
        <v>52</v>
      </c>
      <c r="F44" s="174">
        <f t="shared" si="9"/>
        <v>0</v>
      </c>
      <c r="G44" s="174">
        <f t="shared" si="9"/>
        <v>0</v>
      </c>
      <c r="H44" s="174">
        <f t="shared" si="9"/>
        <v>253</v>
      </c>
      <c r="I44" s="174">
        <f t="shared" si="9"/>
        <v>2</v>
      </c>
      <c r="J44" s="174">
        <f t="shared" si="9"/>
        <v>26</v>
      </c>
      <c r="K44" s="174">
        <f t="shared" si="9"/>
        <v>7</v>
      </c>
      <c r="L44" s="174">
        <f t="shared" si="9"/>
        <v>68</v>
      </c>
      <c r="M44" s="174">
        <f t="shared" si="9"/>
        <v>0</v>
      </c>
      <c r="N44" s="174">
        <f t="shared" si="9"/>
        <v>50</v>
      </c>
      <c r="O44" s="174">
        <f t="shared" si="9"/>
        <v>31</v>
      </c>
      <c r="P44" s="174">
        <f t="shared" si="9"/>
        <v>36</v>
      </c>
      <c r="Q44" s="174">
        <f t="shared" si="9"/>
        <v>0</v>
      </c>
      <c r="R44" s="174">
        <f t="shared" si="9"/>
        <v>12</v>
      </c>
      <c r="S44" s="174">
        <f t="shared" si="9"/>
        <v>0</v>
      </c>
      <c r="T44" s="174">
        <f t="shared" si="9"/>
        <v>0</v>
      </c>
      <c r="U44" s="174">
        <f t="shared" si="9"/>
        <v>0</v>
      </c>
      <c r="V44" s="174">
        <f t="shared" si="9"/>
        <v>52</v>
      </c>
      <c r="W44" s="174">
        <f t="shared" si="9"/>
        <v>0</v>
      </c>
      <c r="X44" s="174">
        <f t="shared" si="9"/>
        <v>44</v>
      </c>
      <c r="Y44" s="174">
        <f t="shared" ref="Y44:Y50" si="10">SUM(F44:X44)</f>
        <v>581</v>
      </c>
      <c r="Z44" s="174">
        <f t="shared" ref="Z44:AV44" si="11">SUM(Z45:Z62)</f>
        <v>71</v>
      </c>
      <c r="AA44" s="174">
        <f t="shared" si="11"/>
        <v>3</v>
      </c>
      <c r="AB44" s="174">
        <f t="shared" si="11"/>
        <v>202</v>
      </c>
      <c r="AC44" s="174">
        <f t="shared" si="11"/>
        <v>3</v>
      </c>
      <c r="AD44" s="174">
        <f t="shared" si="11"/>
        <v>0</v>
      </c>
      <c r="AE44" s="174">
        <f t="shared" si="11"/>
        <v>0</v>
      </c>
      <c r="AF44" s="174">
        <f t="shared" si="11"/>
        <v>80</v>
      </c>
      <c r="AG44" s="174">
        <f t="shared" si="11"/>
        <v>2</v>
      </c>
      <c r="AH44" s="174">
        <f t="shared" si="11"/>
        <v>25</v>
      </c>
      <c r="AI44" s="174">
        <f t="shared" si="11"/>
        <v>6</v>
      </c>
      <c r="AJ44" s="174">
        <f t="shared" si="11"/>
        <v>15</v>
      </c>
      <c r="AK44" s="174">
        <f t="shared" si="11"/>
        <v>0</v>
      </c>
      <c r="AL44" s="174">
        <f t="shared" si="11"/>
        <v>23</v>
      </c>
      <c r="AM44" s="174">
        <f t="shared" si="11"/>
        <v>18</v>
      </c>
      <c r="AN44" s="174">
        <f t="shared" si="11"/>
        <v>26</v>
      </c>
      <c r="AO44" s="174">
        <f t="shared" si="11"/>
        <v>0</v>
      </c>
      <c r="AP44" s="174">
        <f t="shared" si="11"/>
        <v>0</v>
      </c>
      <c r="AQ44" s="174">
        <f t="shared" si="11"/>
        <v>0</v>
      </c>
      <c r="AR44" s="174">
        <f t="shared" si="11"/>
        <v>0</v>
      </c>
      <c r="AS44" s="174">
        <f t="shared" si="11"/>
        <v>0</v>
      </c>
      <c r="AT44" s="174">
        <f t="shared" si="11"/>
        <v>3</v>
      </c>
      <c r="AU44" s="174">
        <f t="shared" si="11"/>
        <v>0</v>
      </c>
      <c r="AV44" s="174">
        <f t="shared" si="11"/>
        <v>4</v>
      </c>
      <c r="AW44" s="174">
        <f t="shared" ref="AW44:AW50" si="12">SUM(AD44:AV44)</f>
        <v>202</v>
      </c>
      <c r="AX44" s="221"/>
      <c r="AY44" s="184">
        <f>Z44*100/B44</f>
        <v>44.099378881987576</v>
      </c>
      <c r="AZ44" s="174">
        <f>B44-Z44</f>
        <v>90</v>
      </c>
      <c r="BA44" s="184">
        <f>AZ44*100/B44</f>
        <v>55.900621118012424</v>
      </c>
    </row>
    <row r="45" spans="1:53" x14ac:dyDescent="0.25">
      <c r="A45" s="175" t="s">
        <v>142</v>
      </c>
      <c r="B45" s="174">
        <v>4</v>
      </c>
      <c r="C45" s="174"/>
      <c r="D45" s="174">
        <v>9</v>
      </c>
      <c r="E45" s="174"/>
      <c r="F45" s="174"/>
      <c r="G45" s="174"/>
      <c r="H45" s="174">
        <v>7</v>
      </c>
      <c r="I45" s="174">
        <v>2</v>
      </c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>
        <f t="shared" si="10"/>
        <v>9</v>
      </c>
      <c r="Z45" s="174">
        <v>2</v>
      </c>
      <c r="AA45" s="174"/>
      <c r="AB45" s="174">
        <v>6</v>
      </c>
      <c r="AC45" s="174"/>
      <c r="AD45" s="174"/>
      <c r="AE45" s="174"/>
      <c r="AF45" s="174">
        <v>4</v>
      </c>
      <c r="AG45" s="174">
        <v>2</v>
      </c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>
        <f t="shared" si="12"/>
        <v>6</v>
      </c>
      <c r="AX45" s="174">
        <v>2908</v>
      </c>
      <c r="AY45" s="204"/>
      <c r="AZ45" s="204"/>
      <c r="BA45" s="204"/>
    </row>
    <row r="46" spans="1:53" x14ac:dyDescent="0.25">
      <c r="A46" s="175" t="s">
        <v>141</v>
      </c>
      <c r="B46" s="174">
        <v>41</v>
      </c>
      <c r="C46" s="174"/>
      <c r="D46" s="174">
        <v>97</v>
      </c>
      <c r="E46" s="174"/>
      <c r="F46" s="174"/>
      <c r="G46" s="174"/>
      <c r="H46" s="174">
        <v>75</v>
      </c>
      <c r="I46" s="174"/>
      <c r="J46" s="174">
        <v>12</v>
      </c>
      <c r="K46" s="174"/>
      <c r="L46" s="174">
        <v>2</v>
      </c>
      <c r="M46" s="174"/>
      <c r="N46" s="174"/>
      <c r="O46" s="174">
        <v>7</v>
      </c>
      <c r="P46" s="174">
        <v>1</v>
      </c>
      <c r="Q46" s="174"/>
      <c r="R46" s="174"/>
      <c r="S46" s="174"/>
      <c r="T46" s="174"/>
      <c r="U46" s="174"/>
      <c r="V46" s="174"/>
      <c r="W46" s="174"/>
      <c r="X46" s="174"/>
      <c r="Y46" s="174">
        <f t="shared" si="10"/>
        <v>97</v>
      </c>
      <c r="Z46" s="174">
        <v>18</v>
      </c>
      <c r="AA46" s="174"/>
      <c r="AB46" s="174">
        <v>42</v>
      </c>
      <c r="AC46" s="174"/>
      <c r="AD46" s="174"/>
      <c r="AE46" s="174"/>
      <c r="AF46" s="174">
        <v>29</v>
      </c>
      <c r="AG46" s="174"/>
      <c r="AH46" s="174">
        <v>11</v>
      </c>
      <c r="AI46" s="174"/>
      <c r="AJ46" s="174">
        <v>1</v>
      </c>
      <c r="AK46" s="174"/>
      <c r="AL46" s="174"/>
      <c r="AM46" s="174"/>
      <c r="AN46" s="174">
        <v>1</v>
      </c>
      <c r="AO46" s="174"/>
      <c r="AP46" s="174"/>
      <c r="AQ46" s="174"/>
      <c r="AR46" s="174"/>
      <c r="AS46" s="174"/>
      <c r="AT46" s="174"/>
      <c r="AU46" s="174"/>
      <c r="AV46" s="174"/>
      <c r="AW46" s="174">
        <f t="shared" si="12"/>
        <v>42</v>
      </c>
      <c r="AX46" s="174">
        <v>5038.8100000000004</v>
      </c>
      <c r="AY46" s="204"/>
      <c r="AZ46" s="204"/>
      <c r="BA46" s="204"/>
    </row>
    <row r="47" spans="1:53" x14ac:dyDescent="0.25">
      <c r="A47" s="175" t="s">
        <v>140</v>
      </c>
      <c r="B47" s="174">
        <v>7</v>
      </c>
      <c r="C47" s="174"/>
      <c r="D47" s="174">
        <v>37</v>
      </c>
      <c r="E47" s="174"/>
      <c r="F47" s="174"/>
      <c r="G47" s="174"/>
      <c r="H47" s="174">
        <v>13</v>
      </c>
      <c r="I47" s="174"/>
      <c r="J47" s="174">
        <v>12</v>
      </c>
      <c r="K47" s="174"/>
      <c r="L47" s="174"/>
      <c r="M47" s="174"/>
      <c r="N47" s="174"/>
      <c r="O47" s="174"/>
      <c r="P47" s="174"/>
      <c r="Q47" s="174"/>
      <c r="R47" s="174">
        <v>12</v>
      </c>
      <c r="S47" s="174"/>
      <c r="T47" s="174"/>
      <c r="U47" s="174"/>
      <c r="V47" s="174"/>
      <c r="W47" s="174"/>
      <c r="X47" s="174"/>
      <c r="Y47" s="174">
        <f t="shared" si="10"/>
        <v>37</v>
      </c>
      <c r="Z47" s="174">
        <v>4</v>
      </c>
      <c r="AA47" s="174"/>
      <c r="AB47" s="174">
        <v>22</v>
      </c>
      <c r="AC47" s="174"/>
      <c r="AD47" s="174"/>
      <c r="AE47" s="174"/>
      <c r="AF47" s="174">
        <v>10</v>
      </c>
      <c r="AG47" s="174"/>
      <c r="AH47" s="174">
        <v>12</v>
      </c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>
        <f t="shared" si="12"/>
        <v>22</v>
      </c>
      <c r="AX47" s="174">
        <v>952.21</v>
      </c>
      <c r="AY47" s="204"/>
      <c r="AZ47" s="204"/>
      <c r="BA47" s="204"/>
    </row>
    <row r="48" spans="1:53" x14ac:dyDescent="0.25">
      <c r="A48" s="175" t="s">
        <v>139</v>
      </c>
      <c r="B48" s="174">
        <v>86</v>
      </c>
      <c r="C48" s="174"/>
      <c r="D48" s="174">
        <v>238</v>
      </c>
      <c r="E48" s="174"/>
      <c r="F48" s="174"/>
      <c r="G48" s="174"/>
      <c r="H48" s="174">
        <v>65</v>
      </c>
      <c r="I48" s="174"/>
      <c r="J48" s="174">
        <v>2</v>
      </c>
      <c r="K48" s="174">
        <v>7</v>
      </c>
      <c r="L48" s="174">
        <v>39</v>
      </c>
      <c r="M48" s="174"/>
      <c r="N48" s="174">
        <v>50</v>
      </c>
      <c r="O48" s="174">
        <v>24</v>
      </c>
      <c r="P48" s="174">
        <v>7</v>
      </c>
      <c r="Q48" s="174"/>
      <c r="R48" s="174"/>
      <c r="S48" s="174"/>
      <c r="T48" s="174"/>
      <c r="U48" s="174"/>
      <c r="V48" s="174"/>
      <c r="W48" s="174"/>
      <c r="X48" s="174">
        <v>44</v>
      </c>
      <c r="Y48" s="174">
        <f t="shared" si="10"/>
        <v>238</v>
      </c>
      <c r="Z48" s="174">
        <v>36</v>
      </c>
      <c r="AA48" s="174"/>
      <c r="AB48" s="174">
        <v>111</v>
      </c>
      <c r="AC48" s="174"/>
      <c r="AD48" s="174"/>
      <c r="AE48" s="174"/>
      <c r="AF48" s="174">
        <v>37</v>
      </c>
      <c r="AG48" s="174"/>
      <c r="AH48" s="174">
        <v>2</v>
      </c>
      <c r="AI48" s="174">
        <v>6</v>
      </c>
      <c r="AJ48" s="174">
        <v>14</v>
      </c>
      <c r="AK48" s="174"/>
      <c r="AL48" s="174">
        <v>23</v>
      </c>
      <c r="AM48" s="174">
        <v>18</v>
      </c>
      <c r="AN48" s="174">
        <v>7</v>
      </c>
      <c r="AO48" s="174"/>
      <c r="AP48" s="174"/>
      <c r="AQ48" s="174"/>
      <c r="AR48" s="174"/>
      <c r="AS48" s="174"/>
      <c r="AT48" s="174"/>
      <c r="AU48" s="174"/>
      <c r="AV48" s="174">
        <v>4</v>
      </c>
      <c r="AW48" s="174">
        <f t="shared" si="12"/>
        <v>111</v>
      </c>
      <c r="AX48" s="174">
        <v>1606.88</v>
      </c>
      <c r="AY48" s="204"/>
      <c r="AZ48" s="204"/>
      <c r="BA48" s="204"/>
    </row>
    <row r="49" spans="1:53" x14ac:dyDescent="0.25">
      <c r="A49" s="175" t="s">
        <v>138</v>
      </c>
      <c r="B49" s="174">
        <v>4</v>
      </c>
      <c r="C49" s="174">
        <v>4</v>
      </c>
      <c r="D49" s="174">
        <v>51</v>
      </c>
      <c r="E49" s="174">
        <v>51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>
        <v>51</v>
      </c>
      <c r="W49" s="174"/>
      <c r="X49" s="174"/>
      <c r="Y49" s="174">
        <f t="shared" si="10"/>
        <v>51</v>
      </c>
      <c r="Z49" s="174">
        <v>2</v>
      </c>
      <c r="AA49" s="174">
        <v>2</v>
      </c>
      <c r="AB49" s="174">
        <v>2</v>
      </c>
      <c r="AC49" s="174">
        <v>2</v>
      </c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>
        <v>2</v>
      </c>
      <c r="AU49" s="174"/>
      <c r="AV49" s="174"/>
      <c r="AW49" s="174">
        <f t="shared" si="12"/>
        <v>2</v>
      </c>
      <c r="AX49" s="174">
        <v>779.5</v>
      </c>
      <c r="AY49" s="204"/>
      <c r="AZ49" s="204"/>
      <c r="BA49" s="204"/>
    </row>
    <row r="50" spans="1:53" x14ac:dyDescent="0.25">
      <c r="A50" s="175" t="s">
        <v>137</v>
      </c>
      <c r="B50" s="174">
        <v>6</v>
      </c>
      <c r="C50" s="174">
        <v>1</v>
      </c>
      <c r="D50" s="174">
        <v>29</v>
      </c>
      <c r="E50" s="174">
        <v>1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>
        <v>28</v>
      </c>
      <c r="Q50" s="174"/>
      <c r="R50" s="174"/>
      <c r="S50" s="174"/>
      <c r="T50" s="174"/>
      <c r="U50" s="174"/>
      <c r="V50" s="174">
        <v>1</v>
      </c>
      <c r="W50" s="174"/>
      <c r="X50" s="174"/>
      <c r="Y50" s="174">
        <f t="shared" si="10"/>
        <v>29</v>
      </c>
      <c r="Z50" s="174">
        <v>9</v>
      </c>
      <c r="AA50" s="174">
        <v>1</v>
      </c>
      <c r="AB50" s="174">
        <v>19</v>
      </c>
      <c r="AC50" s="174">
        <v>1</v>
      </c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>
        <v>18</v>
      </c>
      <c r="AO50" s="174"/>
      <c r="AP50" s="174"/>
      <c r="AQ50" s="174"/>
      <c r="AR50" s="174"/>
      <c r="AS50" s="174"/>
      <c r="AT50" s="174">
        <v>1</v>
      </c>
      <c r="AU50" s="174"/>
      <c r="AV50" s="174"/>
      <c r="AW50" s="174">
        <f t="shared" si="12"/>
        <v>19</v>
      </c>
      <c r="AX50" s="174">
        <v>698.4</v>
      </c>
      <c r="AY50" s="204"/>
      <c r="AZ50" s="204"/>
      <c r="BA50" s="204"/>
    </row>
    <row r="51" spans="1:53" x14ac:dyDescent="0.25">
      <c r="A51" s="175" t="s">
        <v>136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204"/>
      <c r="AZ51" s="204"/>
      <c r="BA51" s="204"/>
    </row>
    <row r="52" spans="1:53" x14ac:dyDescent="0.25">
      <c r="A52" s="175" t="s">
        <v>135</v>
      </c>
      <c r="B52" s="174">
        <v>2</v>
      </c>
      <c r="C52" s="174"/>
      <c r="D52" s="174">
        <v>61</v>
      </c>
      <c r="E52" s="174"/>
      <c r="F52" s="174"/>
      <c r="G52" s="174"/>
      <c r="H52" s="174">
        <v>61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>
        <f>SUM(F52:X52)</f>
        <v>61</v>
      </c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204"/>
      <c r="AZ52" s="204"/>
      <c r="BA52" s="204"/>
    </row>
    <row r="53" spans="1:53" x14ac:dyDescent="0.25">
      <c r="A53" s="175" t="s">
        <v>134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204"/>
      <c r="AZ53" s="204"/>
      <c r="BA53" s="204"/>
    </row>
    <row r="54" spans="1:53" x14ac:dyDescent="0.25">
      <c r="A54" s="175" t="s">
        <v>32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204"/>
      <c r="AZ54" s="204"/>
      <c r="BA54" s="204"/>
    </row>
    <row r="55" spans="1:53" x14ac:dyDescent="0.25">
      <c r="A55" s="175" t="s">
        <v>33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204"/>
      <c r="AZ55" s="204"/>
      <c r="BA55" s="204"/>
    </row>
    <row r="56" spans="1:53" x14ac:dyDescent="0.25">
      <c r="A56" s="175" t="s">
        <v>34</v>
      </c>
      <c r="B56" s="174">
        <v>4</v>
      </c>
      <c r="C56" s="174"/>
      <c r="D56" s="174">
        <v>27</v>
      </c>
      <c r="E56" s="174"/>
      <c r="F56" s="174"/>
      <c r="G56" s="174"/>
      <c r="H56" s="174"/>
      <c r="I56" s="174"/>
      <c r="J56" s="174"/>
      <c r="K56" s="174"/>
      <c r="L56" s="174">
        <v>27</v>
      </c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>
        <f>SUM(F56:X56)</f>
        <v>27</v>
      </c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204"/>
      <c r="AZ56" s="204"/>
      <c r="BA56" s="204"/>
    </row>
    <row r="57" spans="1:53" x14ac:dyDescent="0.25">
      <c r="A57" s="175" t="s">
        <v>35</v>
      </c>
      <c r="B57" s="174">
        <v>2</v>
      </c>
      <c r="C57" s="174"/>
      <c r="D57" s="174">
        <v>15</v>
      </c>
      <c r="E57" s="174"/>
      <c r="F57" s="174"/>
      <c r="G57" s="174"/>
      <c r="H57" s="174">
        <v>15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>
        <f>SUM(F57:X57)</f>
        <v>15</v>
      </c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204"/>
      <c r="AZ57" s="204"/>
      <c r="BA57" s="204"/>
    </row>
    <row r="58" spans="1:53" x14ac:dyDescent="0.25">
      <c r="A58" s="175" t="s">
        <v>36</v>
      </c>
      <c r="B58" s="174">
        <v>3</v>
      </c>
      <c r="C58" s="174"/>
      <c r="D58" s="174">
        <v>3</v>
      </c>
      <c r="E58" s="174"/>
      <c r="F58" s="174"/>
      <c r="G58" s="174"/>
      <c r="H58" s="174">
        <v>3</v>
      </c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>
        <f>SUM(F58:X58)</f>
        <v>3</v>
      </c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204"/>
      <c r="AZ58" s="204"/>
      <c r="BA58" s="204"/>
    </row>
    <row r="59" spans="1:53" x14ac:dyDescent="0.25">
      <c r="A59" s="175" t="s">
        <v>37</v>
      </c>
      <c r="B59" s="174">
        <v>1</v>
      </c>
      <c r="C59" s="174"/>
      <c r="D59" s="174">
        <v>12</v>
      </c>
      <c r="E59" s="174"/>
      <c r="F59" s="174"/>
      <c r="G59" s="174"/>
      <c r="H59" s="174">
        <v>12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>
        <f>SUM(F59:X59)</f>
        <v>12</v>
      </c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204"/>
      <c r="AZ59" s="204"/>
      <c r="BA59" s="204"/>
    </row>
    <row r="60" spans="1:53" x14ac:dyDescent="0.25">
      <c r="A60" s="175" t="s">
        <v>38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204"/>
      <c r="AZ60" s="204"/>
      <c r="BA60" s="204"/>
    </row>
    <row r="61" spans="1:53" x14ac:dyDescent="0.25">
      <c r="A61" s="175" t="s">
        <v>39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204"/>
      <c r="AZ61" s="204"/>
      <c r="BA61" s="204"/>
    </row>
    <row r="62" spans="1:53" x14ac:dyDescent="0.25">
      <c r="A62" s="175" t="s">
        <v>40</v>
      </c>
      <c r="B62" s="174">
        <v>1</v>
      </c>
      <c r="C62" s="174"/>
      <c r="D62" s="174">
        <v>2</v>
      </c>
      <c r="E62" s="174"/>
      <c r="F62" s="174"/>
      <c r="G62" s="174"/>
      <c r="H62" s="174">
        <v>2</v>
      </c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>
        <f>SUM(F62:X62)</f>
        <v>2</v>
      </c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204"/>
      <c r="AZ62" s="204"/>
      <c r="BA62" s="204"/>
    </row>
    <row r="63" spans="1:53" x14ac:dyDescent="0.25">
      <c r="A63" s="173" t="s">
        <v>41</v>
      </c>
      <c r="B63" s="174">
        <f t="shared" ref="B63:X63" si="13">B64+B65+B66+B67+B68+B69++B70+B71+B72</f>
        <v>110</v>
      </c>
      <c r="C63" s="174">
        <f t="shared" si="13"/>
        <v>5</v>
      </c>
      <c r="D63" s="174">
        <f t="shared" si="13"/>
        <v>212</v>
      </c>
      <c r="E63" s="174">
        <f t="shared" si="13"/>
        <v>22</v>
      </c>
      <c r="F63" s="174">
        <f t="shared" si="13"/>
        <v>0</v>
      </c>
      <c r="G63" s="174">
        <f t="shared" si="13"/>
        <v>0</v>
      </c>
      <c r="H63" s="174">
        <f t="shared" si="13"/>
        <v>102</v>
      </c>
      <c r="I63" s="174">
        <f t="shared" si="13"/>
        <v>7</v>
      </c>
      <c r="J63" s="174">
        <f t="shared" si="13"/>
        <v>0</v>
      </c>
      <c r="K63" s="174">
        <f t="shared" si="13"/>
        <v>12</v>
      </c>
      <c r="L63" s="174">
        <f t="shared" si="13"/>
        <v>50</v>
      </c>
      <c r="M63" s="174">
        <f t="shared" si="13"/>
        <v>0</v>
      </c>
      <c r="N63" s="174">
        <f t="shared" si="13"/>
        <v>17</v>
      </c>
      <c r="O63" s="174">
        <f t="shared" si="13"/>
        <v>3</v>
      </c>
      <c r="P63" s="174">
        <f t="shared" si="13"/>
        <v>4</v>
      </c>
      <c r="Q63" s="174">
        <f t="shared" si="13"/>
        <v>0</v>
      </c>
      <c r="R63" s="174">
        <f t="shared" si="13"/>
        <v>5</v>
      </c>
      <c r="S63" s="174">
        <f t="shared" si="13"/>
        <v>0</v>
      </c>
      <c r="T63" s="174">
        <f t="shared" si="13"/>
        <v>1</v>
      </c>
      <c r="U63" s="174">
        <f t="shared" si="13"/>
        <v>1</v>
      </c>
      <c r="V63" s="174">
        <f t="shared" si="13"/>
        <v>2</v>
      </c>
      <c r="W63" s="174">
        <f t="shared" si="13"/>
        <v>1</v>
      </c>
      <c r="X63" s="174">
        <f t="shared" si="13"/>
        <v>7</v>
      </c>
      <c r="Y63" s="174">
        <f>SUM(F63:X63)</f>
        <v>212</v>
      </c>
      <c r="Z63" s="174">
        <f t="shared" ref="Z63:AV63" si="14">Z64+Z65+Z66+Z67+Z68+Z69+Z70+Z71+Z72</f>
        <v>44</v>
      </c>
      <c r="AA63" s="174">
        <f t="shared" si="14"/>
        <v>3</v>
      </c>
      <c r="AB63" s="174">
        <f t="shared" si="14"/>
        <v>132</v>
      </c>
      <c r="AC63" s="174">
        <f t="shared" si="14"/>
        <v>3</v>
      </c>
      <c r="AD63" s="174">
        <f t="shared" si="14"/>
        <v>0</v>
      </c>
      <c r="AE63" s="174">
        <f t="shared" si="14"/>
        <v>0</v>
      </c>
      <c r="AF63" s="174">
        <f t="shared" si="14"/>
        <v>69</v>
      </c>
      <c r="AG63" s="174">
        <f t="shared" si="14"/>
        <v>0</v>
      </c>
      <c r="AH63" s="174">
        <f t="shared" si="14"/>
        <v>0</v>
      </c>
      <c r="AI63" s="174">
        <f t="shared" si="14"/>
        <v>12</v>
      </c>
      <c r="AJ63" s="174">
        <f t="shared" si="14"/>
        <v>31</v>
      </c>
      <c r="AK63" s="174">
        <f t="shared" si="14"/>
        <v>0</v>
      </c>
      <c r="AL63" s="174">
        <f t="shared" si="14"/>
        <v>7</v>
      </c>
      <c r="AM63" s="174">
        <f t="shared" si="14"/>
        <v>2</v>
      </c>
      <c r="AN63" s="174">
        <f t="shared" si="14"/>
        <v>4</v>
      </c>
      <c r="AO63" s="174">
        <f t="shared" si="14"/>
        <v>0</v>
      </c>
      <c r="AP63" s="174">
        <f t="shared" si="14"/>
        <v>4</v>
      </c>
      <c r="AQ63" s="174">
        <f t="shared" si="14"/>
        <v>0</v>
      </c>
      <c r="AR63" s="174">
        <f t="shared" si="14"/>
        <v>1</v>
      </c>
      <c r="AS63" s="174">
        <f t="shared" si="14"/>
        <v>1</v>
      </c>
      <c r="AT63" s="174">
        <f t="shared" si="14"/>
        <v>0</v>
      </c>
      <c r="AU63" s="174">
        <f t="shared" si="14"/>
        <v>1</v>
      </c>
      <c r="AV63" s="174">
        <f t="shared" si="14"/>
        <v>0</v>
      </c>
      <c r="AW63" s="174">
        <f>SUM(AD63:AV63)</f>
        <v>132</v>
      </c>
      <c r="AX63" s="221"/>
      <c r="AY63" s="184">
        <f>Z63*100/B63</f>
        <v>40</v>
      </c>
      <c r="AZ63" s="174">
        <f>B63-Z63</f>
        <v>66</v>
      </c>
      <c r="BA63" s="184">
        <f>AZ63*100/B63</f>
        <v>60</v>
      </c>
    </row>
    <row r="64" spans="1:53" x14ac:dyDescent="0.25">
      <c r="A64" s="175" t="s">
        <v>133</v>
      </c>
      <c r="B64" s="174">
        <v>24</v>
      </c>
      <c r="C64" s="174">
        <v>1</v>
      </c>
      <c r="D64" s="174">
        <v>20</v>
      </c>
      <c r="E64" s="174">
        <v>1</v>
      </c>
      <c r="F64" s="174"/>
      <c r="G64" s="174"/>
      <c r="H64" s="174"/>
      <c r="I64" s="174"/>
      <c r="J64" s="174"/>
      <c r="K64" s="174"/>
      <c r="L64" s="174">
        <v>2</v>
      </c>
      <c r="M64" s="174"/>
      <c r="N64" s="174">
        <v>11</v>
      </c>
      <c r="O64" s="174"/>
      <c r="P64" s="174">
        <v>3</v>
      </c>
      <c r="Q64" s="174"/>
      <c r="R64" s="174">
        <v>3</v>
      </c>
      <c r="S64" s="174"/>
      <c r="T64" s="174"/>
      <c r="U64" s="174"/>
      <c r="V64" s="174"/>
      <c r="W64" s="174">
        <v>1</v>
      </c>
      <c r="X64" s="174"/>
      <c r="Y64" s="174">
        <f>SUM(F64:X64)</f>
        <v>20</v>
      </c>
      <c r="Z64" s="174">
        <v>9</v>
      </c>
      <c r="AA64" s="174">
        <v>1</v>
      </c>
      <c r="AB64" s="174">
        <v>14</v>
      </c>
      <c r="AC64" s="174">
        <v>1</v>
      </c>
      <c r="AD64" s="174"/>
      <c r="AE64" s="174"/>
      <c r="AF64" s="174"/>
      <c r="AG64" s="174"/>
      <c r="AH64" s="174"/>
      <c r="AI64" s="174"/>
      <c r="AJ64" s="174">
        <v>2</v>
      </c>
      <c r="AK64" s="174"/>
      <c r="AL64" s="174">
        <v>6</v>
      </c>
      <c r="AM64" s="174"/>
      <c r="AN64" s="174">
        <v>3</v>
      </c>
      <c r="AO64" s="174"/>
      <c r="AP64" s="174">
        <v>2</v>
      </c>
      <c r="AQ64" s="174"/>
      <c r="AR64" s="174"/>
      <c r="AS64" s="174"/>
      <c r="AT64" s="174"/>
      <c r="AU64" s="174">
        <v>1</v>
      </c>
      <c r="AV64" s="174"/>
      <c r="AW64" s="174">
        <f>SUM(AD64:AV64)</f>
        <v>14</v>
      </c>
      <c r="AX64" s="174">
        <v>2609.83</v>
      </c>
      <c r="AY64" s="204"/>
      <c r="AZ64" s="204"/>
      <c r="BA64" s="204"/>
    </row>
    <row r="65" spans="1:53" x14ac:dyDescent="0.25">
      <c r="A65" s="175" t="s">
        <v>96</v>
      </c>
      <c r="B65" s="174">
        <v>56</v>
      </c>
      <c r="C65" s="174"/>
      <c r="D65" s="174">
        <v>95</v>
      </c>
      <c r="E65" s="174"/>
      <c r="F65" s="174"/>
      <c r="G65" s="174"/>
      <c r="H65" s="174">
        <v>44</v>
      </c>
      <c r="I65" s="174"/>
      <c r="J65" s="174"/>
      <c r="K65" s="174">
        <v>6</v>
      </c>
      <c r="L65" s="174">
        <v>40</v>
      </c>
      <c r="M65" s="174"/>
      <c r="N65" s="174">
        <v>1</v>
      </c>
      <c r="O65" s="174">
        <v>1</v>
      </c>
      <c r="P65" s="174">
        <v>1</v>
      </c>
      <c r="Q65" s="174"/>
      <c r="R65" s="174">
        <v>2</v>
      </c>
      <c r="S65" s="174"/>
      <c r="T65" s="174"/>
      <c r="U65" s="174"/>
      <c r="V65" s="174"/>
      <c r="W65" s="174"/>
      <c r="X65" s="174"/>
      <c r="Y65" s="174">
        <f>SUM(F65:X65)</f>
        <v>95</v>
      </c>
      <c r="Z65" s="174">
        <v>19</v>
      </c>
      <c r="AA65" s="174"/>
      <c r="AB65" s="174">
        <v>63</v>
      </c>
      <c r="AC65" s="174"/>
      <c r="AD65" s="174"/>
      <c r="AE65" s="174"/>
      <c r="AF65" s="174">
        <v>30</v>
      </c>
      <c r="AG65" s="174"/>
      <c r="AH65" s="174"/>
      <c r="AI65" s="174">
        <v>6</v>
      </c>
      <c r="AJ65" s="174">
        <v>22</v>
      </c>
      <c r="AK65" s="174"/>
      <c r="AL65" s="174">
        <v>1</v>
      </c>
      <c r="AM65" s="174">
        <v>1</v>
      </c>
      <c r="AN65" s="174">
        <v>1</v>
      </c>
      <c r="AO65" s="174"/>
      <c r="AP65" s="174">
        <v>2</v>
      </c>
      <c r="AQ65" s="174"/>
      <c r="AR65" s="174"/>
      <c r="AS65" s="174"/>
      <c r="AT65" s="174"/>
      <c r="AU65" s="174"/>
      <c r="AV65" s="174"/>
      <c r="AW65" s="174">
        <f>SUM(AD65:AV65)</f>
        <v>63</v>
      </c>
      <c r="AX65" s="174">
        <v>4677.75</v>
      </c>
      <c r="AY65" s="204"/>
      <c r="AZ65" s="204"/>
      <c r="BA65" s="204"/>
    </row>
    <row r="66" spans="1:53" x14ac:dyDescent="0.25">
      <c r="A66" s="175" t="s">
        <v>97</v>
      </c>
      <c r="B66" s="174">
        <v>15</v>
      </c>
      <c r="C66" s="174">
        <v>4</v>
      </c>
      <c r="D66" s="174">
        <v>33</v>
      </c>
      <c r="E66" s="174">
        <v>21</v>
      </c>
      <c r="F66" s="174"/>
      <c r="G66" s="174"/>
      <c r="H66" s="174">
        <v>9</v>
      </c>
      <c r="I66" s="174">
        <v>7</v>
      </c>
      <c r="J66" s="174"/>
      <c r="K66" s="174">
        <v>6</v>
      </c>
      <c r="L66" s="174">
        <v>7</v>
      </c>
      <c r="M66" s="174"/>
      <c r="N66" s="174"/>
      <c r="O66" s="174"/>
      <c r="P66" s="174"/>
      <c r="Q66" s="174"/>
      <c r="R66" s="174"/>
      <c r="S66" s="174"/>
      <c r="T66" s="174">
        <v>1</v>
      </c>
      <c r="U66" s="174">
        <v>1</v>
      </c>
      <c r="V66" s="174">
        <v>2</v>
      </c>
      <c r="W66" s="174"/>
      <c r="X66" s="174"/>
      <c r="Y66" s="174">
        <f>SUM(F66:X66)</f>
        <v>33</v>
      </c>
      <c r="Z66" s="174">
        <v>9</v>
      </c>
      <c r="AA66" s="174">
        <v>2</v>
      </c>
      <c r="AB66" s="174">
        <v>15</v>
      </c>
      <c r="AC66" s="174">
        <v>2</v>
      </c>
      <c r="AD66" s="174"/>
      <c r="AE66" s="174"/>
      <c r="AF66" s="174"/>
      <c r="AG66" s="174"/>
      <c r="AH66" s="174"/>
      <c r="AI66" s="174">
        <v>6</v>
      </c>
      <c r="AJ66" s="174">
        <v>7</v>
      </c>
      <c r="AK66" s="174"/>
      <c r="AL66" s="174"/>
      <c r="AM66" s="174"/>
      <c r="AN66" s="174"/>
      <c r="AO66" s="174"/>
      <c r="AP66" s="174"/>
      <c r="AQ66" s="174"/>
      <c r="AR66" s="174">
        <v>1</v>
      </c>
      <c r="AS66" s="174">
        <v>1</v>
      </c>
      <c r="AT66" s="174"/>
      <c r="AU66" s="174"/>
      <c r="AV66" s="174"/>
      <c r="AW66" s="174">
        <f>SUM(AD66:AV66)</f>
        <v>15</v>
      </c>
      <c r="AX66" s="174">
        <v>2523.8000000000002</v>
      </c>
      <c r="AY66" s="204"/>
      <c r="AZ66" s="204"/>
      <c r="BA66" s="204"/>
    </row>
    <row r="67" spans="1:53" x14ac:dyDescent="0.25">
      <c r="A67" s="175" t="s">
        <v>98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204"/>
      <c r="AZ67" s="204"/>
      <c r="BA67" s="204"/>
    </row>
    <row r="68" spans="1:53" x14ac:dyDescent="0.25">
      <c r="A68" s="175" t="s">
        <v>99</v>
      </c>
      <c r="B68" s="174">
        <v>1</v>
      </c>
      <c r="C68" s="174"/>
      <c r="D68" s="174">
        <v>3</v>
      </c>
      <c r="E68" s="174"/>
      <c r="F68" s="174"/>
      <c r="G68" s="174"/>
      <c r="H68" s="174">
        <v>3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f>SUM(F68:X68)</f>
        <v>3</v>
      </c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204"/>
      <c r="AZ68" s="204"/>
      <c r="BA68" s="204"/>
    </row>
    <row r="69" spans="1:53" x14ac:dyDescent="0.25">
      <c r="A69" s="175" t="s">
        <v>100</v>
      </c>
      <c r="B69" s="174">
        <v>2</v>
      </c>
      <c r="C69" s="174"/>
      <c r="D69" s="174">
        <v>6</v>
      </c>
      <c r="E69" s="174"/>
      <c r="F69" s="174"/>
      <c r="G69" s="174"/>
      <c r="H69" s="174"/>
      <c r="I69" s="174"/>
      <c r="J69" s="174"/>
      <c r="K69" s="174"/>
      <c r="L69" s="174">
        <v>1</v>
      </c>
      <c r="M69" s="174"/>
      <c r="N69" s="174">
        <v>5</v>
      </c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>
        <f>SUM(F69:X69)</f>
        <v>6</v>
      </c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204"/>
      <c r="AZ69" s="204"/>
      <c r="BA69" s="204"/>
    </row>
    <row r="70" spans="1:53" x14ac:dyDescent="0.25">
      <c r="A70" s="175" t="s">
        <v>132</v>
      </c>
      <c r="B70" s="174">
        <v>10</v>
      </c>
      <c r="C70" s="174"/>
      <c r="D70" s="174">
        <v>47</v>
      </c>
      <c r="E70" s="174"/>
      <c r="F70" s="174"/>
      <c r="G70" s="174"/>
      <c r="H70" s="174">
        <v>45</v>
      </c>
      <c r="I70" s="174"/>
      <c r="J70" s="174"/>
      <c r="K70" s="174"/>
      <c r="L70" s="174"/>
      <c r="M70" s="174"/>
      <c r="N70" s="174"/>
      <c r="O70" s="174">
        <v>2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>
        <f>SUM(F70:X70)</f>
        <v>47</v>
      </c>
      <c r="Z70" s="174">
        <v>7</v>
      </c>
      <c r="AA70" s="174"/>
      <c r="AB70" s="174">
        <v>40</v>
      </c>
      <c r="AC70" s="174"/>
      <c r="AD70" s="174"/>
      <c r="AE70" s="174"/>
      <c r="AF70" s="174">
        <v>39</v>
      </c>
      <c r="AG70" s="174"/>
      <c r="AH70" s="174"/>
      <c r="AI70" s="174"/>
      <c r="AJ70" s="174"/>
      <c r="AK70" s="174"/>
      <c r="AL70" s="174"/>
      <c r="AM70" s="174">
        <v>1</v>
      </c>
      <c r="AN70" s="174"/>
      <c r="AO70" s="174"/>
      <c r="AP70" s="174"/>
      <c r="AQ70" s="174"/>
      <c r="AR70" s="174"/>
      <c r="AS70" s="174"/>
      <c r="AT70" s="174"/>
      <c r="AU70" s="174"/>
      <c r="AV70" s="174"/>
      <c r="AW70" s="174">
        <f>SUM(AD70:AV70)</f>
        <v>40</v>
      </c>
      <c r="AX70" s="174">
        <v>1358.33</v>
      </c>
      <c r="AY70" s="204"/>
      <c r="AZ70" s="204"/>
      <c r="BA70" s="204"/>
    </row>
    <row r="71" spans="1:53" x14ac:dyDescent="0.25">
      <c r="A71" s="175" t="s">
        <v>131</v>
      </c>
      <c r="B71" s="174">
        <v>2</v>
      </c>
      <c r="C71" s="174"/>
      <c r="D71" s="174">
        <v>8</v>
      </c>
      <c r="E71" s="174"/>
      <c r="F71" s="174"/>
      <c r="G71" s="174"/>
      <c r="H71" s="174">
        <v>1</v>
      </c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>
        <v>7</v>
      </c>
      <c r="Y71" s="174">
        <f>SUM(F71:X71)</f>
        <v>8</v>
      </c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204"/>
      <c r="AZ71" s="204"/>
      <c r="BA71" s="204"/>
    </row>
    <row r="72" spans="1:53" x14ac:dyDescent="0.25">
      <c r="A72" s="175" t="s">
        <v>130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204"/>
      <c r="AZ72" s="204"/>
      <c r="BA72" s="204"/>
    </row>
    <row r="73" spans="1:53" x14ac:dyDescent="0.25">
      <c r="A73" s="173" t="s">
        <v>42</v>
      </c>
      <c r="B73" s="174">
        <f t="shared" ref="B73:X73" si="15">SUM(B74:B92)</f>
        <v>280</v>
      </c>
      <c r="C73" s="174">
        <f t="shared" si="15"/>
        <v>53</v>
      </c>
      <c r="D73" s="174">
        <f t="shared" si="15"/>
        <v>722</v>
      </c>
      <c r="E73" s="174">
        <f t="shared" si="15"/>
        <v>233</v>
      </c>
      <c r="F73" s="174">
        <f t="shared" si="15"/>
        <v>0</v>
      </c>
      <c r="G73" s="174">
        <f t="shared" si="15"/>
        <v>0</v>
      </c>
      <c r="H73" s="174">
        <f t="shared" si="15"/>
        <v>160</v>
      </c>
      <c r="I73" s="174">
        <f t="shared" si="15"/>
        <v>5</v>
      </c>
      <c r="J73" s="174">
        <f t="shared" si="15"/>
        <v>5</v>
      </c>
      <c r="K73" s="174">
        <f t="shared" si="15"/>
        <v>11</v>
      </c>
      <c r="L73" s="174">
        <f t="shared" si="15"/>
        <v>87</v>
      </c>
      <c r="M73" s="174">
        <f t="shared" si="15"/>
        <v>2</v>
      </c>
      <c r="N73" s="174">
        <f t="shared" si="15"/>
        <v>52</v>
      </c>
      <c r="O73" s="174">
        <f t="shared" si="15"/>
        <v>53</v>
      </c>
      <c r="P73" s="174">
        <f t="shared" si="15"/>
        <v>2</v>
      </c>
      <c r="Q73" s="174">
        <f t="shared" si="15"/>
        <v>6</v>
      </c>
      <c r="R73" s="174">
        <f t="shared" si="15"/>
        <v>50</v>
      </c>
      <c r="S73" s="174">
        <f t="shared" si="15"/>
        <v>10</v>
      </c>
      <c r="T73" s="174">
        <f t="shared" si="15"/>
        <v>147</v>
      </c>
      <c r="U73" s="174">
        <f t="shared" si="15"/>
        <v>53</v>
      </c>
      <c r="V73" s="174">
        <f t="shared" si="15"/>
        <v>69</v>
      </c>
      <c r="W73" s="174">
        <f t="shared" si="15"/>
        <v>4</v>
      </c>
      <c r="X73" s="174">
        <f t="shared" si="15"/>
        <v>6</v>
      </c>
      <c r="Y73" s="174">
        <f>SUM(F73:X73)</f>
        <v>722</v>
      </c>
      <c r="Z73" s="174">
        <f t="shared" ref="Z73:AV73" si="16">SUM(Z74:Z93)</f>
        <v>234</v>
      </c>
      <c r="AA73" s="174">
        <f t="shared" si="16"/>
        <v>58</v>
      </c>
      <c r="AB73" s="174">
        <f t="shared" si="16"/>
        <v>506</v>
      </c>
      <c r="AC73" s="174">
        <f t="shared" si="16"/>
        <v>202</v>
      </c>
      <c r="AD73" s="174">
        <f t="shared" si="16"/>
        <v>0</v>
      </c>
      <c r="AE73" s="174">
        <f t="shared" si="16"/>
        <v>0</v>
      </c>
      <c r="AF73" s="174">
        <f t="shared" si="16"/>
        <v>76</v>
      </c>
      <c r="AG73" s="174">
        <f t="shared" si="16"/>
        <v>5</v>
      </c>
      <c r="AH73" s="174">
        <f t="shared" si="16"/>
        <v>5</v>
      </c>
      <c r="AI73" s="174">
        <f t="shared" si="16"/>
        <v>9</v>
      </c>
      <c r="AJ73" s="174">
        <f t="shared" si="16"/>
        <v>54</v>
      </c>
      <c r="AK73" s="174">
        <f t="shared" si="16"/>
        <v>2</v>
      </c>
      <c r="AL73" s="174">
        <f t="shared" si="16"/>
        <v>52</v>
      </c>
      <c r="AM73" s="174">
        <f t="shared" si="16"/>
        <v>36</v>
      </c>
      <c r="AN73" s="174">
        <f t="shared" si="16"/>
        <v>1</v>
      </c>
      <c r="AO73" s="174">
        <f t="shared" si="16"/>
        <v>5</v>
      </c>
      <c r="AP73" s="174">
        <f t="shared" si="16"/>
        <v>25</v>
      </c>
      <c r="AQ73" s="174">
        <f t="shared" si="16"/>
        <v>10</v>
      </c>
      <c r="AR73" s="174">
        <f t="shared" si="16"/>
        <v>144</v>
      </c>
      <c r="AS73" s="174">
        <f t="shared" si="16"/>
        <v>24</v>
      </c>
      <c r="AT73" s="174">
        <f t="shared" si="16"/>
        <v>50</v>
      </c>
      <c r="AU73" s="174">
        <f t="shared" si="16"/>
        <v>4</v>
      </c>
      <c r="AV73" s="174">
        <f t="shared" si="16"/>
        <v>4</v>
      </c>
      <c r="AW73" s="174">
        <f>SUM(AD73:AV73)</f>
        <v>506</v>
      </c>
      <c r="AX73" s="221"/>
      <c r="AY73" s="184">
        <f>Z73*100/B73</f>
        <v>83.571428571428569</v>
      </c>
      <c r="AZ73" s="174">
        <f>B73-Z73</f>
        <v>46</v>
      </c>
      <c r="BA73" s="184">
        <f>AZ73*100/B73</f>
        <v>16.428571428571427</v>
      </c>
    </row>
    <row r="74" spans="1:53" x14ac:dyDescent="0.25">
      <c r="A74" s="175" t="s">
        <v>171</v>
      </c>
      <c r="B74" s="174">
        <v>96</v>
      </c>
      <c r="C74" s="174">
        <v>19</v>
      </c>
      <c r="D74" s="174">
        <v>174</v>
      </c>
      <c r="E74" s="174">
        <v>26</v>
      </c>
      <c r="F74" s="174"/>
      <c r="G74" s="174"/>
      <c r="H74" s="174">
        <v>55</v>
      </c>
      <c r="I74" s="174"/>
      <c r="J74" s="174">
        <v>3</v>
      </c>
      <c r="K74" s="174">
        <v>10</v>
      </c>
      <c r="L74" s="174">
        <v>16</v>
      </c>
      <c r="M74" s="174"/>
      <c r="N74" s="174">
        <v>42</v>
      </c>
      <c r="O74" s="174">
        <v>1</v>
      </c>
      <c r="P74" s="174">
        <v>2</v>
      </c>
      <c r="Q74" s="174">
        <v>3</v>
      </c>
      <c r="R74" s="174">
        <v>14</v>
      </c>
      <c r="S74" s="174">
        <v>5</v>
      </c>
      <c r="T74" s="174">
        <v>6</v>
      </c>
      <c r="U74" s="174"/>
      <c r="V74" s="174">
        <v>17</v>
      </c>
      <c r="W74" s="174"/>
      <c r="X74" s="174"/>
      <c r="Y74" s="174">
        <f>SUM(F74:X74)</f>
        <v>174</v>
      </c>
      <c r="Z74" s="174">
        <v>58</v>
      </c>
      <c r="AA74" s="174">
        <v>15</v>
      </c>
      <c r="AB74" s="174">
        <v>118</v>
      </c>
      <c r="AC74" s="174">
        <v>22</v>
      </c>
      <c r="AD74" s="174"/>
      <c r="AE74" s="174"/>
      <c r="AF74" s="174">
        <v>21</v>
      </c>
      <c r="AG74" s="174"/>
      <c r="AH74" s="174">
        <v>3</v>
      </c>
      <c r="AI74" s="174">
        <v>9</v>
      </c>
      <c r="AJ74" s="174">
        <v>3</v>
      </c>
      <c r="AK74" s="174"/>
      <c r="AL74" s="174">
        <v>42</v>
      </c>
      <c r="AM74" s="174"/>
      <c r="AN74" s="174">
        <v>1</v>
      </c>
      <c r="AO74" s="174">
        <v>3</v>
      </c>
      <c r="AP74" s="174">
        <v>12</v>
      </c>
      <c r="AQ74" s="174">
        <v>5</v>
      </c>
      <c r="AR74" s="174">
        <v>6</v>
      </c>
      <c r="AS74" s="174"/>
      <c r="AT74" s="174">
        <v>13</v>
      </c>
      <c r="AU74" s="174"/>
      <c r="AV74" s="174"/>
      <c r="AW74" s="174">
        <f>SUM(AD74:AV74)</f>
        <v>118</v>
      </c>
      <c r="AX74" s="174">
        <v>2765.89</v>
      </c>
      <c r="AY74" s="204"/>
      <c r="AZ74" s="204"/>
      <c r="BA74" s="204"/>
    </row>
    <row r="75" spans="1:53" x14ac:dyDescent="0.25">
      <c r="A75" s="175" t="s">
        <v>172</v>
      </c>
      <c r="B75" s="174">
        <v>7</v>
      </c>
      <c r="C75" s="174"/>
      <c r="D75" s="174">
        <v>5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>
        <v>3</v>
      </c>
      <c r="O75" s="174"/>
      <c r="P75" s="174"/>
      <c r="Q75" s="174"/>
      <c r="R75" s="174">
        <v>2</v>
      </c>
      <c r="S75" s="174"/>
      <c r="T75" s="174"/>
      <c r="U75" s="174"/>
      <c r="V75" s="174"/>
      <c r="W75" s="174"/>
      <c r="X75" s="174"/>
      <c r="Y75" s="174">
        <f>SUM(F75:X75)</f>
        <v>5</v>
      </c>
      <c r="Z75" s="174">
        <v>2</v>
      </c>
      <c r="AA75" s="174"/>
      <c r="AB75" s="174">
        <v>4</v>
      </c>
      <c r="AC75" s="174"/>
      <c r="AD75" s="174"/>
      <c r="AE75" s="174"/>
      <c r="AF75" s="174"/>
      <c r="AG75" s="174"/>
      <c r="AH75" s="174"/>
      <c r="AI75" s="174"/>
      <c r="AJ75" s="174"/>
      <c r="AK75" s="174"/>
      <c r="AL75" s="174">
        <v>3</v>
      </c>
      <c r="AM75" s="174"/>
      <c r="AN75" s="174"/>
      <c r="AO75" s="174"/>
      <c r="AP75" s="174">
        <v>1</v>
      </c>
      <c r="AQ75" s="174"/>
      <c r="AR75" s="174"/>
      <c r="AS75" s="174"/>
      <c r="AT75" s="174"/>
      <c r="AU75" s="174"/>
      <c r="AV75" s="174"/>
      <c r="AW75" s="174">
        <f>SUM(AD75:AV75)</f>
        <v>4</v>
      </c>
      <c r="AX75" s="174">
        <v>2920</v>
      </c>
      <c r="AY75" s="204"/>
      <c r="AZ75" s="204"/>
      <c r="BA75" s="204"/>
    </row>
    <row r="76" spans="1:53" x14ac:dyDescent="0.25">
      <c r="A76" s="175" t="s">
        <v>173</v>
      </c>
      <c r="B76" s="174">
        <v>38</v>
      </c>
      <c r="C76" s="174">
        <v>3</v>
      </c>
      <c r="D76" s="174">
        <v>36</v>
      </c>
      <c r="E76" s="174">
        <v>3</v>
      </c>
      <c r="F76" s="174"/>
      <c r="G76" s="174"/>
      <c r="H76" s="174">
        <v>13</v>
      </c>
      <c r="I76" s="174">
        <v>2</v>
      </c>
      <c r="J76" s="174"/>
      <c r="K76" s="174"/>
      <c r="L76" s="174">
        <v>2</v>
      </c>
      <c r="M76" s="174"/>
      <c r="N76" s="174"/>
      <c r="O76" s="174">
        <v>16</v>
      </c>
      <c r="P76" s="174"/>
      <c r="Q76" s="174"/>
      <c r="R76" s="174"/>
      <c r="S76" s="174"/>
      <c r="T76" s="174">
        <v>2</v>
      </c>
      <c r="U76" s="174"/>
      <c r="V76" s="174">
        <v>1</v>
      </c>
      <c r="W76" s="174"/>
      <c r="X76" s="174"/>
      <c r="Y76" s="174">
        <f>SUM(F76:X76)</f>
        <v>36</v>
      </c>
      <c r="Z76" s="174">
        <v>18</v>
      </c>
      <c r="AA76" s="174">
        <v>3</v>
      </c>
      <c r="AB76" s="174">
        <v>15</v>
      </c>
      <c r="AC76" s="174">
        <v>3</v>
      </c>
      <c r="AD76" s="174"/>
      <c r="AE76" s="174"/>
      <c r="AF76" s="174">
        <v>1</v>
      </c>
      <c r="AG76" s="174">
        <v>2</v>
      </c>
      <c r="AH76" s="174"/>
      <c r="AI76" s="174"/>
      <c r="AJ76" s="174">
        <v>1</v>
      </c>
      <c r="AK76" s="174"/>
      <c r="AL76" s="174"/>
      <c r="AM76" s="174">
        <v>8</v>
      </c>
      <c r="AN76" s="174"/>
      <c r="AO76" s="174"/>
      <c r="AP76" s="174"/>
      <c r="AQ76" s="174"/>
      <c r="AR76" s="174">
        <v>2</v>
      </c>
      <c r="AS76" s="174"/>
      <c r="AT76" s="174">
        <v>1</v>
      </c>
      <c r="AU76" s="174"/>
      <c r="AV76" s="174"/>
      <c r="AW76" s="174">
        <f>SUM(AD76:AV76)</f>
        <v>15</v>
      </c>
      <c r="AX76" s="174">
        <v>3201.87</v>
      </c>
      <c r="AY76" s="204"/>
      <c r="AZ76" s="204"/>
      <c r="BA76" s="204"/>
    </row>
    <row r="77" spans="1:53" x14ac:dyDescent="0.25">
      <c r="A77" s="175" t="s">
        <v>174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204"/>
      <c r="AZ77" s="204"/>
      <c r="BA77" s="204"/>
    </row>
    <row r="78" spans="1:53" x14ac:dyDescent="0.25">
      <c r="A78" s="175" t="s">
        <v>175</v>
      </c>
      <c r="B78" s="174">
        <v>16</v>
      </c>
      <c r="C78" s="174"/>
      <c r="D78" s="174">
        <v>47</v>
      </c>
      <c r="E78" s="174"/>
      <c r="F78" s="174"/>
      <c r="G78" s="174"/>
      <c r="H78" s="174">
        <v>33</v>
      </c>
      <c r="I78" s="174">
        <v>3</v>
      </c>
      <c r="J78" s="174"/>
      <c r="K78" s="174"/>
      <c r="L78" s="174">
        <v>1</v>
      </c>
      <c r="M78" s="174"/>
      <c r="N78" s="174"/>
      <c r="O78" s="174"/>
      <c r="P78" s="174"/>
      <c r="Q78" s="174"/>
      <c r="R78" s="174">
        <v>10</v>
      </c>
      <c r="S78" s="174"/>
      <c r="T78" s="174"/>
      <c r="U78" s="174"/>
      <c r="V78" s="174"/>
      <c r="W78" s="174"/>
      <c r="X78" s="174"/>
      <c r="Y78" s="174">
        <f t="shared" ref="Y78:Y86" si="17">SUM(F78:X78)</f>
        <v>47</v>
      </c>
      <c r="Z78" s="174">
        <v>5</v>
      </c>
      <c r="AA78" s="174"/>
      <c r="AB78" s="174">
        <v>16</v>
      </c>
      <c r="AC78" s="174"/>
      <c r="AD78" s="174"/>
      <c r="AE78" s="174"/>
      <c r="AF78" s="174">
        <v>13</v>
      </c>
      <c r="AG78" s="174">
        <v>3</v>
      </c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>
        <f t="shared" ref="AW78:AW86" si="18">SUM(AD78:AV78)</f>
        <v>16</v>
      </c>
      <c r="AX78" s="174">
        <v>1732.88</v>
      </c>
      <c r="AY78" s="204"/>
      <c r="AZ78" s="204"/>
      <c r="BA78" s="204"/>
    </row>
    <row r="79" spans="1:53" x14ac:dyDescent="0.25">
      <c r="A79" s="175" t="s">
        <v>176</v>
      </c>
      <c r="B79" s="174">
        <v>6</v>
      </c>
      <c r="C79" s="174">
        <v>2</v>
      </c>
      <c r="D79" s="174">
        <v>25</v>
      </c>
      <c r="E79" s="174">
        <v>20</v>
      </c>
      <c r="F79" s="174"/>
      <c r="G79" s="174"/>
      <c r="H79" s="174"/>
      <c r="I79" s="174"/>
      <c r="J79" s="174"/>
      <c r="K79" s="174"/>
      <c r="L79" s="174">
        <v>2</v>
      </c>
      <c r="M79" s="174"/>
      <c r="N79" s="174"/>
      <c r="O79" s="174">
        <v>3</v>
      </c>
      <c r="P79" s="174"/>
      <c r="Q79" s="174"/>
      <c r="R79" s="174"/>
      <c r="S79" s="174"/>
      <c r="T79" s="174"/>
      <c r="U79" s="174">
        <v>20</v>
      </c>
      <c r="V79" s="174"/>
      <c r="W79" s="174"/>
      <c r="X79" s="174"/>
      <c r="Y79" s="174">
        <f t="shared" si="17"/>
        <v>25</v>
      </c>
      <c r="Z79" s="174">
        <v>4</v>
      </c>
      <c r="AA79" s="174">
        <v>1</v>
      </c>
      <c r="AB79" s="174">
        <v>12</v>
      </c>
      <c r="AC79" s="174">
        <v>9</v>
      </c>
      <c r="AD79" s="174"/>
      <c r="AE79" s="174"/>
      <c r="AF79" s="174"/>
      <c r="AG79" s="174"/>
      <c r="AH79" s="174"/>
      <c r="AI79" s="174"/>
      <c r="AJ79" s="174">
        <v>2</v>
      </c>
      <c r="AK79" s="174"/>
      <c r="AL79" s="174"/>
      <c r="AM79" s="174">
        <v>1</v>
      </c>
      <c r="AN79" s="174"/>
      <c r="AO79" s="174"/>
      <c r="AP79" s="174"/>
      <c r="AQ79" s="174"/>
      <c r="AR79" s="174"/>
      <c r="AS79" s="174">
        <v>9</v>
      </c>
      <c r="AT79" s="174"/>
      <c r="AU79" s="174"/>
      <c r="AV79" s="174"/>
      <c r="AW79" s="174">
        <f t="shared" si="18"/>
        <v>12</v>
      </c>
      <c r="AX79" s="174">
        <v>6128</v>
      </c>
      <c r="AY79" s="204"/>
      <c r="AZ79" s="204"/>
      <c r="BA79" s="204"/>
    </row>
    <row r="80" spans="1:53" x14ac:dyDescent="0.25">
      <c r="A80" s="175" t="s">
        <v>178</v>
      </c>
      <c r="B80" s="174">
        <v>33</v>
      </c>
      <c r="C80" s="174">
        <v>16</v>
      </c>
      <c r="D80" s="174">
        <v>175</v>
      </c>
      <c r="E80" s="174">
        <v>105</v>
      </c>
      <c r="F80" s="174"/>
      <c r="G80" s="174"/>
      <c r="H80" s="174">
        <v>17</v>
      </c>
      <c r="I80" s="174"/>
      <c r="J80" s="174">
        <v>2</v>
      </c>
      <c r="K80" s="174"/>
      <c r="L80" s="174">
        <v>26</v>
      </c>
      <c r="M80" s="174">
        <v>2</v>
      </c>
      <c r="N80" s="174"/>
      <c r="O80" s="174">
        <v>2</v>
      </c>
      <c r="P80" s="174"/>
      <c r="Q80" s="174"/>
      <c r="R80" s="174">
        <v>17</v>
      </c>
      <c r="S80" s="174"/>
      <c r="T80" s="174">
        <v>71</v>
      </c>
      <c r="U80" s="174"/>
      <c r="V80" s="174">
        <v>31</v>
      </c>
      <c r="W80" s="174">
        <v>2</v>
      </c>
      <c r="X80" s="174">
        <v>5</v>
      </c>
      <c r="Y80" s="174">
        <f t="shared" si="17"/>
        <v>175</v>
      </c>
      <c r="Z80" s="174">
        <v>37</v>
      </c>
      <c r="AA80" s="174">
        <v>25</v>
      </c>
      <c r="AB80" s="174">
        <v>127</v>
      </c>
      <c r="AC80" s="174">
        <v>90</v>
      </c>
      <c r="AD80" s="174"/>
      <c r="AE80" s="174"/>
      <c r="AF80" s="174">
        <v>4</v>
      </c>
      <c r="AG80" s="174"/>
      <c r="AH80" s="174">
        <v>2</v>
      </c>
      <c r="AI80" s="174"/>
      <c r="AJ80" s="174">
        <v>18</v>
      </c>
      <c r="AK80" s="174">
        <v>2</v>
      </c>
      <c r="AL80" s="174"/>
      <c r="AM80" s="174">
        <v>2</v>
      </c>
      <c r="AN80" s="174"/>
      <c r="AO80" s="174"/>
      <c r="AP80" s="174">
        <v>7</v>
      </c>
      <c r="AQ80" s="174"/>
      <c r="AR80" s="174">
        <v>71</v>
      </c>
      <c r="AS80" s="174"/>
      <c r="AT80" s="174">
        <v>16</v>
      </c>
      <c r="AU80" s="174">
        <v>2</v>
      </c>
      <c r="AV80" s="174">
        <v>3</v>
      </c>
      <c r="AW80" s="174">
        <f t="shared" si="18"/>
        <v>127</v>
      </c>
      <c r="AX80" s="174">
        <v>2036.85</v>
      </c>
      <c r="AY80" s="204"/>
      <c r="AZ80" s="204"/>
      <c r="BA80" s="204"/>
    </row>
    <row r="81" spans="1:53" x14ac:dyDescent="0.25">
      <c r="A81" s="175" t="s">
        <v>177</v>
      </c>
      <c r="B81" s="174">
        <v>14</v>
      </c>
      <c r="C81" s="174">
        <v>1</v>
      </c>
      <c r="D81" s="174">
        <v>52</v>
      </c>
      <c r="E81" s="174">
        <v>4</v>
      </c>
      <c r="F81" s="174"/>
      <c r="G81" s="174"/>
      <c r="H81" s="174">
        <v>11</v>
      </c>
      <c r="I81" s="174"/>
      <c r="J81" s="174"/>
      <c r="K81" s="174">
        <v>1</v>
      </c>
      <c r="L81" s="174"/>
      <c r="M81" s="174"/>
      <c r="N81" s="174">
        <v>2</v>
      </c>
      <c r="O81" s="174"/>
      <c r="P81" s="174"/>
      <c r="Q81" s="174"/>
      <c r="R81" s="174"/>
      <c r="S81" s="174"/>
      <c r="T81" s="174"/>
      <c r="U81" s="174">
        <v>23</v>
      </c>
      <c r="V81" s="174">
        <v>15</v>
      </c>
      <c r="W81" s="174"/>
      <c r="X81" s="174"/>
      <c r="Y81" s="174">
        <f t="shared" si="17"/>
        <v>52</v>
      </c>
      <c r="Z81" s="174">
        <v>15</v>
      </c>
      <c r="AA81" s="174">
        <v>1</v>
      </c>
      <c r="AB81" s="174">
        <v>34</v>
      </c>
      <c r="AC81" s="174">
        <v>4</v>
      </c>
      <c r="AD81" s="174"/>
      <c r="AE81" s="174"/>
      <c r="AF81" s="174">
        <v>6</v>
      </c>
      <c r="AG81" s="174"/>
      <c r="AH81" s="174"/>
      <c r="AI81" s="174"/>
      <c r="AJ81" s="174"/>
      <c r="AK81" s="174"/>
      <c r="AL81" s="174">
        <v>2</v>
      </c>
      <c r="AM81" s="174"/>
      <c r="AN81" s="174"/>
      <c r="AO81" s="174"/>
      <c r="AP81" s="174"/>
      <c r="AQ81" s="174"/>
      <c r="AR81" s="174"/>
      <c r="AS81" s="174">
        <v>11</v>
      </c>
      <c r="AT81" s="174">
        <v>15</v>
      </c>
      <c r="AU81" s="174"/>
      <c r="AV81" s="174"/>
      <c r="AW81" s="174">
        <f t="shared" si="18"/>
        <v>34</v>
      </c>
      <c r="AX81" s="174">
        <v>3375.56</v>
      </c>
      <c r="AY81" s="204"/>
      <c r="AZ81" s="204"/>
      <c r="BA81" s="204"/>
    </row>
    <row r="82" spans="1:53" x14ac:dyDescent="0.25">
      <c r="A82" s="175" t="s">
        <v>159</v>
      </c>
      <c r="B82" s="174">
        <v>6</v>
      </c>
      <c r="C82" s="174"/>
      <c r="D82" s="174">
        <v>9</v>
      </c>
      <c r="E82" s="174"/>
      <c r="F82" s="174"/>
      <c r="G82" s="174"/>
      <c r="H82" s="174"/>
      <c r="I82" s="174"/>
      <c r="J82" s="174"/>
      <c r="K82" s="174"/>
      <c r="L82" s="174">
        <v>4</v>
      </c>
      <c r="M82" s="174"/>
      <c r="N82" s="174"/>
      <c r="O82" s="174">
        <v>4</v>
      </c>
      <c r="P82" s="174"/>
      <c r="Q82" s="174"/>
      <c r="R82" s="174">
        <v>1</v>
      </c>
      <c r="S82" s="174"/>
      <c r="T82" s="174"/>
      <c r="U82" s="174"/>
      <c r="V82" s="174"/>
      <c r="W82" s="174"/>
      <c r="X82" s="174"/>
      <c r="Y82" s="174">
        <f t="shared" si="17"/>
        <v>9</v>
      </c>
      <c r="Z82" s="174">
        <v>3</v>
      </c>
      <c r="AA82" s="174"/>
      <c r="AB82" s="174">
        <v>4</v>
      </c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>
        <v>4</v>
      </c>
      <c r="AN82" s="174"/>
      <c r="AO82" s="174"/>
      <c r="AP82" s="174"/>
      <c r="AQ82" s="174"/>
      <c r="AR82" s="174"/>
      <c r="AS82" s="174"/>
      <c r="AT82" s="174"/>
      <c r="AU82" s="174"/>
      <c r="AV82" s="174"/>
      <c r="AW82" s="174">
        <f t="shared" si="18"/>
        <v>4</v>
      </c>
      <c r="AX82" s="174">
        <v>4893.22</v>
      </c>
      <c r="AY82" s="204"/>
      <c r="AZ82" s="204"/>
      <c r="BA82" s="204"/>
    </row>
    <row r="83" spans="1:53" x14ac:dyDescent="0.25">
      <c r="A83" s="175" t="s">
        <v>160</v>
      </c>
      <c r="B83" s="174">
        <v>5</v>
      </c>
      <c r="C83" s="174">
        <v>2</v>
      </c>
      <c r="D83" s="174">
        <v>14</v>
      </c>
      <c r="E83" s="174">
        <v>4</v>
      </c>
      <c r="F83" s="174"/>
      <c r="G83" s="174"/>
      <c r="H83" s="174">
        <v>2</v>
      </c>
      <c r="I83" s="174"/>
      <c r="J83" s="174"/>
      <c r="K83" s="174"/>
      <c r="L83" s="174"/>
      <c r="M83" s="174"/>
      <c r="N83" s="174">
        <v>3</v>
      </c>
      <c r="O83" s="174"/>
      <c r="P83" s="174"/>
      <c r="Q83" s="174"/>
      <c r="R83" s="174"/>
      <c r="S83" s="174">
        <v>5</v>
      </c>
      <c r="T83" s="174"/>
      <c r="U83" s="174"/>
      <c r="V83" s="174">
        <v>2</v>
      </c>
      <c r="W83" s="174">
        <v>2</v>
      </c>
      <c r="X83" s="174"/>
      <c r="Y83" s="174">
        <f t="shared" si="17"/>
        <v>14</v>
      </c>
      <c r="Z83" s="174">
        <v>5</v>
      </c>
      <c r="AA83" s="174">
        <v>2</v>
      </c>
      <c r="AB83" s="174">
        <v>14</v>
      </c>
      <c r="AC83" s="174">
        <v>4</v>
      </c>
      <c r="AD83" s="174"/>
      <c r="AE83" s="174"/>
      <c r="AF83" s="174">
        <v>2</v>
      </c>
      <c r="AG83" s="174"/>
      <c r="AH83" s="174"/>
      <c r="AI83" s="174"/>
      <c r="AJ83" s="174"/>
      <c r="AK83" s="174"/>
      <c r="AL83" s="174">
        <v>3</v>
      </c>
      <c r="AM83" s="174"/>
      <c r="AN83" s="174"/>
      <c r="AO83" s="174"/>
      <c r="AP83" s="174"/>
      <c r="AQ83" s="174">
        <v>5</v>
      </c>
      <c r="AR83" s="174"/>
      <c r="AS83" s="174"/>
      <c r="AT83" s="174">
        <v>2</v>
      </c>
      <c r="AU83" s="174">
        <v>2</v>
      </c>
      <c r="AV83" s="174"/>
      <c r="AW83" s="174">
        <f t="shared" si="18"/>
        <v>14</v>
      </c>
      <c r="AX83" s="174">
        <v>1355.2</v>
      </c>
      <c r="AY83" s="204"/>
      <c r="AZ83" s="204"/>
      <c r="BA83" s="204"/>
    </row>
    <row r="84" spans="1:53" x14ac:dyDescent="0.25">
      <c r="A84" s="175" t="s">
        <v>161</v>
      </c>
      <c r="B84" s="174">
        <v>1</v>
      </c>
      <c r="C84" s="174"/>
      <c r="D84" s="174">
        <v>6</v>
      </c>
      <c r="E84" s="174"/>
      <c r="F84" s="174"/>
      <c r="G84" s="174"/>
      <c r="H84" s="174">
        <v>6</v>
      </c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>
        <f t="shared" si="17"/>
        <v>6</v>
      </c>
      <c r="Z84" s="174">
        <v>1</v>
      </c>
      <c r="AA84" s="174"/>
      <c r="AB84" s="174">
        <v>6</v>
      </c>
      <c r="AC84" s="174"/>
      <c r="AD84" s="174"/>
      <c r="AE84" s="174"/>
      <c r="AF84" s="174">
        <v>6</v>
      </c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>
        <f t="shared" si="18"/>
        <v>6</v>
      </c>
      <c r="AX84" s="174">
        <v>3332</v>
      </c>
      <c r="AY84" s="204"/>
      <c r="AZ84" s="204"/>
      <c r="BA84" s="204"/>
    </row>
    <row r="85" spans="1:53" x14ac:dyDescent="0.25">
      <c r="A85" s="175" t="s">
        <v>162</v>
      </c>
      <c r="B85" s="174">
        <v>18</v>
      </c>
      <c r="C85" s="174">
        <v>8</v>
      </c>
      <c r="D85" s="174">
        <v>35</v>
      </c>
      <c r="E85" s="174">
        <v>13</v>
      </c>
      <c r="F85" s="174"/>
      <c r="G85" s="174"/>
      <c r="H85" s="174">
        <v>1</v>
      </c>
      <c r="I85" s="174"/>
      <c r="J85" s="174"/>
      <c r="K85" s="174"/>
      <c r="L85" s="174">
        <v>3</v>
      </c>
      <c r="M85" s="174"/>
      <c r="N85" s="174"/>
      <c r="O85" s="174">
        <v>1</v>
      </c>
      <c r="P85" s="174"/>
      <c r="Q85" s="174">
        <v>2</v>
      </c>
      <c r="R85" s="174">
        <v>5</v>
      </c>
      <c r="S85" s="174"/>
      <c r="T85" s="174">
        <v>10</v>
      </c>
      <c r="U85" s="174">
        <v>10</v>
      </c>
      <c r="V85" s="174">
        <v>3</v>
      </c>
      <c r="W85" s="174"/>
      <c r="X85" s="174"/>
      <c r="Y85" s="174">
        <f t="shared" si="17"/>
        <v>35</v>
      </c>
      <c r="Z85" s="174">
        <v>36</v>
      </c>
      <c r="AA85" s="174">
        <v>7</v>
      </c>
      <c r="AB85" s="174">
        <v>24</v>
      </c>
      <c r="AC85" s="174">
        <v>10</v>
      </c>
      <c r="AD85" s="174"/>
      <c r="AE85" s="174"/>
      <c r="AF85" s="174">
        <v>1</v>
      </c>
      <c r="AG85" s="174"/>
      <c r="AH85" s="174"/>
      <c r="AI85" s="174"/>
      <c r="AJ85" s="174">
        <v>3</v>
      </c>
      <c r="AK85" s="174"/>
      <c r="AL85" s="174"/>
      <c r="AM85" s="174">
        <v>1</v>
      </c>
      <c r="AN85" s="174"/>
      <c r="AO85" s="174">
        <v>2</v>
      </c>
      <c r="AP85" s="174">
        <v>5</v>
      </c>
      <c r="AQ85" s="174"/>
      <c r="AR85" s="174">
        <v>7</v>
      </c>
      <c r="AS85" s="174">
        <v>2</v>
      </c>
      <c r="AT85" s="174">
        <v>3</v>
      </c>
      <c r="AU85" s="174"/>
      <c r="AV85" s="174"/>
      <c r="AW85" s="174">
        <f t="shared" si="18"/>
        <v>24</v>
      </c>
      <c r="AX85" s="174">
        <v>3300.77</v>
      </c>
      <c r="AY85" s="204"/>
      <c r="AZ85" s="204"/>
      <c r="BA85" s="204"/>
    </row>
    <row r="86" spans="1:53" x14ac:dyDescent="0.25">
      <c r="A86" s="175" t="s">
        <v>163</v>
      </c>
      <c r="B86" s="174">
        <v>2</v>
      </c>
      <c r="C86" s="174"/>
      <c r="D86" s="174">
        <v>3</v>
      </c>
      <c r="E86" s="174"/>
      <c r="F86" s="174"/>
      <c r="G86" s="174"/>
      <c r="H86" s="174">
        <v>3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>
        <f t="shared" si="17"/>
        <v>3</v>
      </c>
      <c r="Z86" s="174">
        <v>2</v>
      </c>
      <c r="AA86" s="174"/>
      <c r="AB86" s="174">
        <v>3</v>
      </c>
      <c r="AC86" s="174"/>
      <c r="AD86" s="174"/>
      <c r="AE86" s="174"/>
      <c r="AF86" s="174">
        <v>3</v>
      </c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>
        <f t="shared" si="18"/>
        <v>3</v>
      </c>
      <c r="AX86" s="174">
        <v>4000</v>
      </c>
      <c r="AY86" s="204"/>
      <c r="AZ86" s="204"/>
      <c r="BA86" s="204"/>
    </row>
    <row r="87" spans="1:53" x14ac:dyDescent="0.25">
      <c r="A87" s="175" t="s">
        <v>164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204"/>
      <c r="AZ87" s="204"/>
      <c r="BA87" s="204"/>
    </row>
    <row r="88" spans="1:53" x14ac:dyDescent="0.25">
      <c r="A88" s="175" t="s">
        <v>165</v>
      </c>
      <c r="B88" s="174">
        <v>9</v>
      </c>
      <c r="C88" s="174"/>
      <c r="D88" s="174">
        <v>17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>
        <v>17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>
        <f t="shared" ref="Y88:Y97" si="19">SUM(F88:X88)</f>
        <v>17</v>
      </c>
      <c r="Z88" s="174">
        <v>8</v>
      </c>
      <c r="AA88" s="174"/>
      <c r="AB88" s="174">
        <v>12</v>
      </c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>
        <v>12</v>
      </c>
      <c r="AN88" s="174"/>
      <c r="AO88" s="174"/>
      <c r="AP88" s="174"/>
      <c r="AQ88" s="174"/>
      <c r="AR88" s="174"/>
      <c r="AS88" s="174"/>
      <c r="AT88" s="174"/>
      <c r="AU88" s="174"/>
      <c r="AV88" s="174"/>
      <c r="AW88" s="174">
        <f t="shared" ref="AW88:AW97" si="20">SUM(AD88:AV88)</f>
        <v>12</v>
      </c>
      <c r="AX88" s="174">
        <v>5587.5</v>
      </c>
      <c r="AY88" s="204"/>
      <c r="AZ88" s="204"/>
      <c r="BA88" s="204"/>
    </row>
    <row r="89" spans="1:53" x14ac:dyDescent="0.25">
      <c r="A89" s="175" t="s">
        <v>166</v>
      </c>
      <c r="B89" s="174">
        <v>16</v>
      </c>
      <c r="C89" s="174"/>
      <c r="D89" s="174">
        <v>21</v>
      </c>
      <c r="E89" s="174"/>
      <c r="F89" s="174"/>
      <c r="G89" s="174"/>
      <c r="H89" s="174"/>
      <c r="I89" s="174"/>
      <c r="J89" s="174"/>
      <c r="K89" s="174"/>
      <c r="L89" s="174">
        <v>18</v>
      </c>
      <c r="M89" s="174"/>
      <c r="N89" s="174"/>
      <c r="O89" s="174"/>
      <c r="P89" s="174"/>
      <c r="Q89" s="174">
        <v>1</v>
      </c>
      <c r="R89" s="174">
        <v>1</v>
      </c>
      <c r="S89" s="174"/>
      <c r="T89" s="174"/>
      <c r="U89" s="174"/>
      <c r="V89" s="174"/>
      <c r="W89" s="174"/>
      <c r="X89" s="174">
        <v>1</v>
      </c>
      <c r="Y89" s="174">
        <f t="shared" si="19"/>
        <v>21</v>
      </c>
      <c r="Z89" s="174">
        <v>25</v>
      </c>
      <c r="AA89" s="174"/>
      <c r="AB89" s="174">
        <v>14</v>
      </c>
      <c r="AC89" s="174"/>
      <c r="AD89" s="174"/>
      <c r="AE89" s="174"/>
      <c r="AF89" s="174"/>
      <c r="AG89" s="174"/>
      <c r="AH89" s="174"/>
      <c r="AI89" s="174"/>
      <c r="AJ89" s="174">
        <v>13</v>
      </c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>
        <v>1</v>
      </c>
      <c r="AW89" s="174">
        <f t="shared" si="20"/>
        <v>14</v>
      </c>
      <c r="AX89" s="174">
        <v>6164.91</v>
      </c>
      <c r="AY89" s="204"/>
      <c r="AZ89" s="204"/>
      <c r="BA89" s="204"/>
    </row>
    <row r="90" spans="1:53" x14ac:dyDescent="0.25">
      <c r="A90" s="175" t="s">
        <v>167</v>
      </c>
      <c r="B90" s="174">
        <v>5</v>
      </c>
      <c r="C90" s="174"/>
      <c r="D90" s="174">
        <v>7</v>
      </c>
      <c r="E90" s="174"/>
      <c r="F90" s="174"/>
      <c r="G90" s="174"/>
      <c r="H90" s="174"/>
      <c r="I90" s="174"/>
      <c r="J90" s="174"/>
      <c r="K90" s="174"/>
      <c r="L90" s="174">
        <v>5</v>
      </c>
      <c r="M90" s="174"/>
      <c r="N90" s="174">
        <v>2</v>
      </c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>
        <f t="shared" si="19"/>
        <v>7</v>
      </c>
      <c r="Z90" s="174">
        <v>5</v>
      </c>
      <c r="AA90" s="174"/>
      <c r="AB90" s="174">
        <v>7</v>
      </c>
      <c r="AC90" s="174"/>
      <c r="AD90" s="174"/>
      <c r="AE90" s="174"/>
      <c r="AF90" s="174"/>
      <c r="AG90" s="174"/>
      <c r="AH90" s="174"/>
      <c r="AI90" s="174"/>
      <c r="AJ90" s="174">
        <v>5</v>
      </c>
      <c r="AK90" s="174"/>
      <c r="AL90" s="174">
        <v>2</v>
      </c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>
        <f t="shared" si="20"/>
        <v>7</v>
      </c>
      <c r="AX90" s="174">
        <v>9500</v>
      </c>
      <c r="AY90" s="204"/>
      <c r="AZ90" s="204"/>
      <c r="BA90" s="204"/>
    </row>
    <row r="91" spans="1:53" x14ac:dyDescent="0.25">
      <c r="A91" s="175" t="s">
        <v>168</v>
      </c>
      <c r="B91" s="174">
        <v>4</v>
      </c>
      <c r="C91" s="174"/>
      <c r="D91" s="174">
        <v>19</v>
      </c>
      <c r="E91" s="174"/>
      <c r="F91" s="174"/>
      <c r="G91" s="174"/>
      <c r="H91" s="174">
        <v>19</v>
      </c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>
        <f t="shared" si="19"/>
        <v>19</v>
      </c>
      <c r="Z91" s="174">
        <v>4</v>
      </c>
      <c r="AA91" s="174"/>
      <c r="AB91" s="174">
        <v>19</v>
      </c>
      <c r="AC91" s="174"/>
      <c r="AD91" s="174"/>
      <c r="AE91" s="174"/>
      <c r="AF91" s="174">
        <v>19</v>
      </c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>
        <f t="shared" si="20"/>
        <v>19</v>
      </c>
      <c r="AX91" s="174">
        <v>2206.65</v>
      </c>
      <c r="AY91" s="204"/>
      <c r="AZ91" s="204"/>
      <c r="BA91" s="204"/>
    </row>
    <row r="92" spans="1:53" x14ac:dyDescent="0.25">
      <c r="A92" s="175" t="s">
        <v>169</v>
      </c>
      <c r="B92" s="174">
        <v>4</v>
      </c>
      <c r="C92" s="174">
        <v>2</v>
      </c>
      <c r="D92" s="174">
        <v>77</v>
      </c>
      <c r="E92" s="174">
        <v>58</v>
      </c>
      <c r="F92" s="174"/>
      <c r="G92" s="174"/>
      <c r="H92" s="174"/>
      <c r="I92" s="174"/>
      <c r="J92" s="174"/>
      <c r="K92" s="174"/>
      <c r="L92" s="174">
        <v>10</v>
      </c>
      <c r="M92" s="174"/>
      <c r="N92" s="174"/>
      <c r="O92" s="174">
        <v>9</v>
      </c>
      <c r="P92" s="174"/>
      <c r="Q92" s="174"/>
      <c r="R92" s="174"/>
      <c r="S92" s="174"/>
      <c r="T92" s="174">
        <v>58</v>
      </c>
      <c r="U92" s="174"/>
      <c r="V92" s="174"/>
      <c r="W92" s="174"/>
      <c r="X92" s="174"/>
      <c r="Y92" s="174">
        <f t="shared" si="19"/>
        <v>77</v>
      </c>
      <c r="Z92" s="174">
        <v>4</v>
      </c>
      <c r="AA92" s="174">
        <v>2</v>
      </c>
      <c r="AB92" s="174">
        <v>75</v>
      </c>
      <c r="AC92" s="174">
        <v>58</v>
      </c>
      <c r="AD92" s="174"/>
      <c r="AE92" s="174"/>
      <c r="AF92" s="174"/>
      <c r="AG92" s="174"/>
      <c r="AH92" s="174"/>
      <c r="AI92" s="174"/>
      <c r="AJ92" s="174">
        <v>9</v>
      </c>
      <c r="AK92" s="174"/>
      <c r="AL92" s="174"/>
      <c r="AM92" s="174">
        <v>8</v>
      </c>
      <c r="AN92" s="174"/>
      <c r="AO92" s="174"/>
      <c r="AP92" s="174"/>
      <c r="AQ92" s="174"/>
      <c r="AR92" s="174">
        <v>58</v>
      </c>
      <c r="AS92" s="174"/>
      <c r="AT92" s="174"/>
      <c r="AU92" s="174"/>
      <c r="AV92" s="174"/>
      <c r="AW92" s="174">
        <f t="shared" si="20"/>
        <v>75</v>
      </c>
      <c r="AX92" s="174">
        <v>1218.23</v>
      </c>
      <c r="AY92" s="204"/>
      <c r="AZ92" s="204"/>
      <c r="BA92" s="204"/>
    </row>
    <row r="93" spans="1:53" x14ac:dyDescent="0.25">
      <c r="A93" s="175" t="s">
        <v>170</v>
      </c>
      <c r="B93" s="174">
        <v>2</v>
      </c>
      <c r="C93" s="174">
        <v>2</v>
      </c>
      <c r="D93" s="174">
        <v>2</v>
      </c>
      <c r="E93" s="174">
        <v>2</v>
      </c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>
        <v>2</v>
      </c>
      <c r="V93" s="174"/>
      <c r="W93" s="174"/>
      <c r="X93" s="174"/>
      <c r="Y93" s="174">
        <f t="shared" si="19"/>
        <v>2</v>
      </c>
      <c r="Z93" s="174">
        <v>2</v>
      </c>
      <c r="AA93" s="174">
        <v>2</v>
      </c>
      <c r="AB93" s="174">
        <v>2</v>
      </c>
      <c r="AC93" s="174">
        <v>2</v>
      </c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>
        <v>2</v>
      </c>
      <c r="AT93" s="174"/>
      <c r="AU93" s="174"/>
      <c r="AV93" s="174"/>
      <c r="AW93" s="174">
        <f t="shared" si="20"/>
        <v>2</v>
      </c>
      <c r="AX93" s="174">
        <v>1419.4</v>
      </c>
      <c r="AY93" s="204"/>
      <c r="AZ93" s="204"/>
      <c r="BA93" s="204"/>
    </row>
    <row r="94" spans="1:53" x14ac:dyDescent="0.25">
      <c r="A94" s="173" t="s">
        <v>43</v>
      </c>
      <c r="B94" s="174">
        <f t="shared" ref="B94:X94" si="21">SUM(B95+B96+B97+B98+B99+B100+B101+B102+B103+B104+B105+B107+B106+B108+B109+B110+B111+B112+B113+B114+B115+B116+B117+B118+B119+B120+B121+B122+B123+B124+B125+B126+B127+B128+B129+B130+B131+B132+B133+B134+B135+B136+B137+B138+B139+B140+B141+B142+B144+B143+B145+B146+B147+B148+B149+B150+B151+B152+B153+B154+B155+B156+B157+B158+B159+B160+B161+B162+B163+B164+B165+B166+B167+B168+B169+B170+B171+B172+B173+B174+B175+B176+B177)</f>
        <v>1371</v>
      </c>
      <c r="C94" s="174">
        <f t="shared" si="21"/>
        <v>23</v>
      </c>
      <c r="D94" s="174">
        <f t="shared" si="21"/>
        <v>5037</v>
      </c>
      <c r="E94" s="174">
        <f t="shared" si="21"/>
        <v>55</v>
      </c>
      <c r="F94" s="174">
        <f t="shared" si="21"/>
        <v>31</v>
      </c>
      <c r="G94" s="174">
        <f t="shared" si="21"/>
        <v>5</v>
      </c>
      <c r="H94" s="174">
        <f t="shared" si="21"/>
        <v>2749</v>
      </c>
      <c r="I94" s="174">
        <f t="shared" si="21"/>
        <v>36</v>
      </c>
      <c r="J94" s="174">
        <f t="shared" si="21"/>
        <v>86</v>
      </c>
      <c r="K94" s="174">
        <f t="shared" si="21"/>
        <v>446</v>
      </c>
      <c r="L94" s="174">
        <f t="shared" si="21"/>
        <v>269</v>
      </c>
      <c r="M94" s="174">
        <f t="shared" si="21"/>
        <v>75</v>
      </c>
      <c r="N94" s="174">
        <f t="shared" si="21"/>
        <v>323</v>
      </c>
      <c r="O94" s="174">
        <f t="shared" si="21"/>
        <v>10</v>
      </c>
      <c r="P94" s="174">
        <f t="shared" si="21"/>
        <v>4</v>
      </c>
      <c r="Q94" s="174">
        <f t="shared" si="21"/>
        <v>63</v>
      </c>
      <c r="R94" s="174">
        <f t="shared" si="21"/>
        <v>53</v>
      </c>
      <c r="S94" s="174">
        <f t="shared" si="21"/>
        <v>119</v>
      </c>
      <c r="T94" s="174">
        <f t="shared" si="21"/>
        <v>8</v>
      </c>
      <c r="U94" s="174">
        <f t="shared" si="21"/>
        <v>53</v>
      </c>
      <c r="V94" s="174">
        <f t="shared" si="21"/>
        <v>18</v>
      </c>
      <c r="W94" s="174">
        <f t="shared" si="21"/>
        <v>4</v>
      </c>
      <c r="X94" s="174">
        <f t="shared" si="21"/>
        <v>685</v>
      </c>
      <c r="Y94" s="174">
        <f t="shared" si="19"/>
        <v>5037</v>
      </c>
      <c r="Z94" s="174">
        <f t="shared" ref="Z94:AV94" si="22">Z95+Z96+Z97+Z98+Z99+Z100+Z101+Z102+Z104+Z105+Z106+Z107+Z108+Z109+Z110+Z111+Z112+Z113+Z114+Z115+Z116+Z117+Z118+Z119+Z120+Z121+Z122+Z123+Z124+Z125+Z126+Z127+Z128+Z129+Z130+Z131+Z132+Z133+Z134+Z135+Z136+Z137+Z138+Z139+Z140+Z141+Z142+Z143+Z144+Z145+Z146+Z147+Z148+Z149+Z150+Z151+Z152+Z153+Z154+Z155+Z156+Z157+Z158+Z159+Z160+Z161+Z162+Z163+Z164+Z165+Z166+Z167+Z168+Z169+Z170+Z171+Z172+Z173+Z174+Z175+Z176+Z177</f>
        <v>1044</v>
      </c>
      <c r="AA94" s="174">
        <f t="shared" si="22"/>
        <v>16</v>
      </c>
      <c r="AB94" s="174">
        <f t="shared" si="22"/>
        <v>3520</v>
      </c>
      <c r="AC94" s="174">
        <f t="shared" si="22"/>
        <v>43</v>
      </c>
      <c r="AD94" s="174">
        <f t="shared" si="22"/>
        <v>52</v>
      </c>
      <c r="AE94" s="174">
        <f t="shared" si="22"/>
        <v>7</v>
      </c>
      <c r="AF94" s="174">
        <f t="shared" si="22"/>
        <v>1997</v>
      </c>
      <c r="AG94" s="174">
        <f t="shared" si="22"/>
        <v>34</v>
      </c>
      <c r="AH94" s="174">
        <f t="shared" si="22"/>
        <v>89</v>
      </c>
      <c r="AI94" s="174">
        <f t="shared" si="22"/>
        <v>301</v>
      </c>
      <c r="AJ94" s="174">
        <f t="shared" si="22"/>
        <v>158</v>
      </c>
      <c r="AK94" s="174">
        <f t="shared" si="22"/>
        <v>56</v>
      </c>
      <c r="AL94" s="174">
        <f t="shared" si="22"/>
        <v>161</v>
      </c>
      <c r="AM94" s="174">
        <f t="shared" si="22"/>
        <v>7</v>
      </c>
      <c r="AN94" s="174">
        <f t="shared" si="22"/>
        <v>52</v>
      </c>
      <c r="AO94" s="174">
        <f t="shared" si="22"/>
        <v>57</v>
      </c>
      <c r="AP94" s="174">
        <f t="shared" si="22"/>
        <v>33</v>
      </c>
      <c r="AQ94" s="174">
        <f t="shared" si="22"/>
        <v>56</v>
      </c>
      <c r="AR94" s="174">
        <f t="shared" si="22"/>
        <v>6</v>
      </c>
      <c r="AS94" s="174">
        <f t="shared" si="22"/>
        <v>45</v>
      </c>
      <c r="AT94" s="174">
        <f t="shared" si="22"/>
        <v>20</v>
      </c>
      <c r="AU94" s="174">
        <f t="shared" si="22"/>
        <v>2</v>
      </c>
      <c r="AV94" s="174">
        <f t="shared" si="22"/>
        <v>387</v>
      </c>
      <c r="AW94" s="174">
        <f t="shared" si="20"/>
        <v>3520</v>
      </c>
      <c r="AX94" s="221"/>
      <c r="AY94" s="184">
        <f>Z94*100/B94</f>
        <v>76.148796498905909</v>
      </c>
      <c r="AZ94" s="174">
        <f>B94-Z94</f>
        <v>327</v>
      </c>
      <c r="BA94" s="184">
        <f>AZ94*100/B94</f>
        <v>23.851203501094091</v>
      </c>
    </row>
    <row r="95" spans="1:53" x14ac:dyDescent="0.25">
      <c r="A95" s="175" t="s">
        <v>114</v>
      </c>
      <c r="B95" s="174">
        <v>125</v>
      </c>
      <c r="C95" s="174">
        <v>5</v>
      </c>
      <c r="D95" s="174">
        <v>377</v>
      </c>
      <c r="E95" s="174">
        <v>19</v>
      </c>
      <c r="F95" s="174"/>
      <c r="G95" s="174"/>
      <c r="H95" s="174">
        <v>14</v>
      </c>
      <c r="I95" s="174"/>
      <c r="J95" s="174"/>
      <c r="K95" s="174">
        <v>12</v>
      </c>
      <c r="L95" s="174">
        <v>10</v>
      </c>
      <c r="M95" s="174">
        <v>39</v>
      </c>
      <c r="N95" s="174">
        <v>223</v>
      </c>
      <c r="O95" s="174"/>
      <c r="P95" s="174"/>
      <c r="Q95" s="174"/>
      <c r="R95" s="174">
        <v>3</v>
      </c>
      <c r="S95" s="174">
        <v>34</v>
      </c>
      <c r="T95" s="174"/>
      <c r="U95" s="174">
        <v>19</v>
      </c>
      <c r="V95" s="174"/>
      <c r="W95" s="174"/>
      <c r="X95" s="174">
        <v>23</v>
      </c>
      <c r="Y95" s="174">
        <f t="shared" si="19"/>
        <v>377</v>
      </c>
      <c r="Z95" s="174">
        <v>65</v>
      </c>
      <c r="AA95" s="174">
        <v>2</v>
      </c>
      <c r="AB95" s="174">
        <v>186</v>
      </c>
      <c r="AC95" s="174">
        <v>16</v>
      </c>
      <c r="AD95" s="174"/>
      <c r="AE95" s="174"/>
      <c r="AF95" s="174">
        <v>5</v>
      </c>
      <c r="AG95" s="174"/>
      <c r="AH95" s="174"/>
      <c r="AI95" s="174">
        <v>4</v>
      </c>
      <c r="AJ95" s="174">
        <v>10</v>
      </c>
      <c r="AK95" s="174">
        <v>17</v>
      </c>
      <c r="AL95" s="174">
        <v>95</v>
      </c>
      <c r="AM95" s="174"/>
      <c r="AN95" s="174"/>
      <c r="AO95" s="174"/>
      <c r="AP95" s="174"/>
      <c r="AQ95" s="174">
        <v>29</v>
      </c>
      <c r="AR95" s="174"/>
      <c r="AS95" s="174">
        <v>16</v>
      </c>
      <c r="AT95" s="174"/>
      <c r="AU95" s="174"/>
      <c r="AV95" s="174">
        <v>10</v>
      </c>
      <c r="AW95" s="174">
        <f t="shared" si="20"/>
        <v>186</v>
      </c>
      <c r="AX95" s="174">
        <v>2577.5875000000001</v>
      </c>
      <c r="AY95" s="204"/>
      <c r="AZ95" s="204"/>
      <c r="BA95" s="204"/>
    </row>
    <row r="96" spans="1:53" x14ac:dyDescent="0.25">
      <c r="A96" s="175" t="s">
        <v>101</v>
      </c>
      <c r="B96" s="174">
        <v>33</v>
      </c>
      <c r="C96" s="174">
        <v>5</v>
      </c>
      <c r="D96" s="174">
        <v>113</v>
      </c>
      <c r="E96" s="174">
        <v>10</v>
      </c>
      <c r="F96" s="174"/>
      <c r="G96" s="174"/>
      <c r="H96" s="174">
        <v>7</v>
      </c>
      <c r="I96" s="174"/>
      <c r="J96" s="174"/>
      <c r="K96" s="174"/>
      <c r="L96" s="174">
        <v>11</v>
      </c>
      <c r="M96" s="174"/>
      <c r="N96" s="174">
        <v>80</v>
      </c>
      <c r="O96" s="174"/>
      <c r="P96" s="174"/>
      <c r="Q96" s="174"/>
      <c r="R96" s="174"/>
      <c r="S96" s="174"/>
      <c r="T96" s="174"/>
      <c r="U96" s="174">
        <v>1</v>
      </c>
      <c r="V96" s="174">
        <v>14</v>
      </c>
      <c r="W96" s="174"/>
      <c r="X96" s="174"/>
      <c r="Y96" s="174">
        <f t="shared" si="19"/>
        <v>113</v>
      </c>
      <c r="Z96" s="174">
        <v>39</v>
      </c>
      <c r="AA96" s="174">
        <v>2</v>
      </c>
      <c r="AB96" s="174">
        <v>83</v>
      </c>
      <c r="AC96" s="174">
        <v>2</v>
      </c>
      <c r="AD96" s="174"/>
      <c r="AE96" s="174"/>
      <c r="AF96" s="174">
        <v>6</v>
      </c>
      <c r="AG96" s="174"/>
      <c r="AH96" s="174"/>
      <c r="AI96" s="174"/>
      <c r="AJ96" s="174">
        <v>11</v>
      </c>
      <c r="AK96" s="174"/>
      <c r="AL96" s="174">
        <v>59</v>
      </c>
      <c r="AM96" s="174"/>
      <c r="AN96" s="174"/>
      <c r="AO96" s="174"/>
      <c r="AP96" s="174"/>
      <c r="AQ96" s="174"/>
      <c r="AR96" s="174"/>
      <c r="AS96" s="174">
        <v>1</v>
      </c>
      <c r="AT96" s="174">
        <v>6</v>
      </c>
      <c r="AU96" s="174"/>
      <c r="AV96" s="174"/>
      <c r="AW96" s="174">
        <f t="shared" si="20"/>
        <v>83</v>
      </c>
      <c r="AX96" s="174">
        <v>3360.913333333333</v>
      </c>
      <c r="AY96" s="204"/>
      <c r="AZ96" s="204"/>
      <c r="BA96" s="204"/>
    </row>
    <row r="97" spans="1:53" x14ac:dyDescent="0.25">
      <c r="A97" s="175" t="s">
        <v>102</v>
      </c>
      <c r="B97" s="174">
        <v>5</v>
      </c>
      <c r="C97" s="174"/>
      <c r="D97" s="174">
        <v>18</v>
      </c>
      <c r="E97" s="174"/>
      <c r="F97" s="174"/>
      <c r="G97" s="174"/>
      <c r="H97" s="174"/>
      <c r="I97" s="174"/>
      <c r="J97" s="174"/>
      <c r="K97" s="174">
        <v>3</v>
      </c>
      <c r="L97" s="174"/>
      <c r="M97" s="174"/>
      <c r="N97" s="174">
        <v>10</v>
      </c>
      <c r="O97" s="174"/>
      <c r="P97" s="174"/>
      <c r="Q97" s="174"/>
      <c r="R97" s="174"/>
      <c r="S97" s="174"/>
      <c r="T97" s="174"/>
      <c r="U97" s="174"/>
      <c r="V97" s="174"/>
      <c r="W97" s="174"/>
      <c r="X97" s="174">
        <v>5</v>
      </c>
      <c r="Y97" s="174">
        <f t="shared" si="19"/>
        <v>18</v>
      </c>
      <c r="Z97" s="174">
        <v>2</v>
      </c>
      <c r="AA97" s="174"/>
      <c r="AB97" s="174">
        <v>6</v>
      </c>
      <c r="AC97" s="174"/>
      <c r="AD97" s="174"/>
      <c r="AE97" s="174"/>
      <c r="AF97" s="174"/>
      <c r="AG97" s="174"/>
      <c r="AH97" s="174"/>
      <c r="AI97" s="174">
        <v>1</v>
      </c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>
        <v>5</v>
      </c>
      <c r="AW97" s="174">
        <f t="shared" si="20"/>
        <v>6</v>
      </c>
      <c r="AX97" s="174">
        <v>1440</v>
      </c>
      <c r="AY97" s="204"/>
      <c r="AZ97" s="204"/>
      <c r="BA97" s="204"/>
    </row>
    <row r="98" spans="1:53" x14ac:dyDescent="0.25">
      <c r="A98" s="175" t="s">
        <v>179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204"/>
      <c r="AZ98" s="204"/>
      <c r="BA98" s="204"/>
    </row>
    <row r="99" spans="1:53" x14ac:dyDescent="0.25">
      <c r="A99" s="175" t="s">
        <v>180</v>
      </c>
      <c r="B99" s="174">
        <v>11</v>
      </c>
      <c r="C99" s="174"/>
      <c r="D99" s="174">
        <v>45</v>
      </c>
      <c r="E99" s="174"/>
      <c r="F99" s="174"/>
      <c r="G99" s="174"/>
      <c r="H99" s="174"/>
      <c r="I99" s="174"/>
      <c r="J99" s="174"/>
      <c r="K99" s="174">
        <v>38</v>
      </c>
      <c r="L99" s="174">
        <v>6</v>
      </c>
      <c r="M99" s="174"/>
      <c r="N99" s="174"/>
      <c r="O99" s="174"/>
      <c r="P99" s="174"/>
      <c r="Q99" s="174"/>
      <c r="R99" s="174">
        <v>1</v>
      </c>
      <c r="S99" s="174"/>
      <c r="T99" s="174"/>
      <c r="U99" s="174"/>
      <c r="V99" s="174"/>
      <c r="W99" s="174"/>
      <c r="X99" s="174"/>
      <c r="Y99" s="174">
        <f t="shared" ref="Y99:Y105" si="23">SUM(F99:X99)</f>
        <v>45</v>
      </c>
      <c r="Z99" s="174">
        <v>15</v>
      </c>
      <c r="AA99" s="174"/>
      <c r="AB99" s="174">
        <v>27</v>
      </c>
      <c r="AC99" s="174"/>
      <c r="AD99" s="174"/>
      <c r="AE99" s="174"/>
      <c r="AF99" s="174"/>
      <c r="AG99" s="174"/>
      <c r="AH99" s="174">
        <v>2</v>
      </c>
      <c r="AI99" s="174">
        <v>25</v>
      </c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>
        <f t="shared" ref="AW99:AW105" si="24">SUM(AD99:AV99)</f>
        <v>27</v>
      </c>
      <c r="AX99" s="174">
        <v>3569.5699999999997</v>
      </c>
      <c r="AY99" s="204"/>
      <c r="AZ99" s="204"/>
      <c r="BA99" s="204"/>
    </row>
    <row r="100" spans="1:53" x14ac:dyDescent="0.25">
      <c r="A100" s="175" t="s">
        <v>181</v>
      </c>
      <c r="B100" s="174">
        <v>4</v>
      </c>
      <c r="C100" s="174">
        <v>1</v>
      </c>
      <c r="D100" s="174">
        <v>4</v>
      </c>
      <c r="E100" s="174">
        <v>1</v>
      </c>
      <c r="F100" s="174"/>
      <c r="G100" s="174"/>
      <c r="H100" s="174">
        <v>1</v>
      </c>
      <c r="I100" s="174"/>
      <c r="J100" s="174"/>
      <c r="K100" s="174">
        <v>1</v>
      </c>
      <c r="L100" s="174"/>
      <c r="M100" s="174"/>
      <c r="N100" s="174"/>
      <c r="O100" s="174"/>
      <c r="P100" s="174"/>
      <c r="Q100" s="174"/>
      <c r="R100" s="174"/>
      <c r="S100" s="174"/>
      <c r="T100" s="174">
        <v>1</v>
      </c>
      <c r="U100" s="174"/>
      <c r="V100" s="174"/>
      <c r="W100" s="174"/>
      <c r="X100" s="174">
        <v>1</v>
      </c>
      <c r="Y100" s="174">
        <f t="shared" si="23"/>
        <v>4</v>
      </c>
      <c r="Z100" s="174">
        <v>2</v>
      </c>
      <c r="AA100" s="174">
        <v>1</v>
      </c>
      <c r="AB100" s="174">
        <v>2</v>
      </c>
      <c r="AC100" s="174">
        <v>1</v>
      </c>
      <c r="AD100" s="174"/>
      <c r="AE100" s="174"/>
      <c r="AF100" s="174">
        <v>1</v>
      </c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>
        <v>1</v>
      </c>
      <c r="AS100" s="174"/>
      <c r="AT100" s="174"/>
      <c r="AU100" s="174"/>
      <c r="AV100" s="174"/>
      <c r="AW100" s="174">
        <f t="shared" si="24"/>
        <v>2</v>
      </c>
      <c r="AX100" s="174">
        <v>3944</v>
      </c>
      <c r="AY100" s="204"/>
      <c r="AZ100" s="204"/>
      <c r="BA100" s="204"/>
    </row>
    <row r="101" spans="1:53" x14ac:dyDescent="0.25">
      <c r="A101" s="175" t="s">
        <v>182</v>
      </c>
      <c r="B101" s="174">
        <v>8</v>
      </c>
      <c r="C101" s="174"/>
      <c r="D101" s="174">
        <v>23</v>
      </c>
      <c r="E101" s="174"/>
      <c r="F101" s="174"/>
      <c r="G101" s="174"/>
      <c r="H101" s="174">
        <v>5</v>
      </c>
      <c r="I101" s="174"/>
      <c r="J101" s="174"/>
      <c r="K101" s="174"/>
      <c r="L101" s="174"/>
      <c r="M101" s="174"/>
      <c r="N101" s="174"/>
      <c r="O101" s="174"/>
      <c r="P101" s="174"/>
      <c r="Q101" s="174">
        <v>8</v>
      </c>
      <c r="R101" s="174">
        <v>10</v>
      </c>
      <c r="S101" s="174"/>
      <c r="T101" s="174"/>
      <c r="U101" s="174"/>
      <c r="V101" s="174"/>
      <c r="W101" s="174"/>
      <c r="X101" s="174"/>
      <c r="Y101" s="174">
        <f t="shared" si="23"/>
        <v>23</v>
      </c>
      <c r="Z101" s="174">
        <v>5</v>
      </c>
      <c r="AA101" s="174"/>
      <c r="AB101" s="174">
        <v>14</v>
      </c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>
        <v>8</v>
      </c>
      <c r="AP101" s="174">
        <v>6</v>
      </c>
      <c r="AQ101" s="174"/>
      <c r="AR101" s="174"/>
      <c r="AS101" s="174"/>
      <c r="AT101" s="174"/>
      <c r="AU101" s="174"/>
      <c r="AV101" s="174"/>
      <c r="AW101" s="174">
        <f t="shared" si="24"/>
        <v>14</v>
      </c>
      <c r="AX101" s="174">
        <v>3437.16</v>
      </c>
      <c r="AY101" s="204"/>
      <c r="AZ101" s="204"/>
      <c r="BA101" s="204"/>
    </row>
    <row r="102" spans="1:53" x14ac:dyDescent="0.25">
      <c r="A102" s="175" t="s">
        <v>183</v>
      </c>
      <c r="B102" s="174">
        <v>4</v>
      </c>
      <c r="C102" s="174"/>
      <c r="D102" s="174">
        <v>19</v>
      </c>
      <c r="E102" s="174"/>
      <c r="F102" s="174"/>
      <c r="G102" s="174"/>
      <c r="H102" s="174">
        <v>17</v>
      </c>
      <c r="I102" s="174"/>
      <c r="J102" s="174"/>
      <c r="K102" s="174">
        <v>2</v>
      </c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>
        <f t="shared" si="23"/>
        <v>19</v>
      </c>
      <c r="Z102" s="174">
        <v>2</v>
      </c>
      <c r="AA102" s="174"/>
      <c r="AB102" s="174">
        <v>3</v>
      </c>
      <c r="AC102" s="174"/>
      <c r="AD102" s="174"/>
      <c r="AE102" s="174"/>
      <c r="AF102" s="174">
        <v>2</v>
      </c>
      <c r="AG102" s="174"/>
      <c r="AH102" s="174"/>
      <c r="AI102" s="174">
        <v>1</v>
      </c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>
        <f t="shared" si="24"/>
        <v>3</v>
      </c>
      <c r="AX102" s="174">
        <v>1141</v>
      </c>
      <c r="AY102" s="204"/>
      <c r="AZ102" s="204"/>
      <c r="BA102" s="204"/>
    </row>
    <row r="103" spans="1:53" x14ac:dyDescent="0.25">
      <c r="A103" s="175" t="s">
        <v>184</v>
      </c>
      <c r="B103" s="174">
        <v>1</v>
      </c>
      <c r="C103" s="174"/>
      <c r="D103" s="174">
        <v>4</v>
      </c>
      <c r="E103" s="174"/>
      <c r="F103" s="174"/>
      <c r="G103" s="174"/>
      <c r="H103" s="174"/>
      <c r="I103" s="174"/>
      <c r="J103" s="174"/>
      <c r="K103" s="174"/>
      <c r="L103" s="174">
        <v>4</v>
      </c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>
        <f t="shared" si="23"/>
        <v>4</v>
      </c>
      <c r="Z103" s="174">
        <v>1</v>
      </c>
      <c r="AA103" s="174"/>
      <c r="AB103" s="174">
        <v>4</v>
      </c>
      <c r="AC103" s="174"/>
      <c r="AD103" s="174"/>
      <c r="AE103" s="174"/>
      <c r="AF103" s="174"/>
      <c r="AG103" s="174"/>
      <c r="AH103" s="174"/>
      <c r="AI103" s="174"/>
      <c r="AJ103" s="174">
        <v>4</v>
      </c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>
        <f t="shared" si="24"/>
        <v>4</v>
      </c>
      <c r="AX103" s="174">
        <v>650</v>
      </c>
      <c r="AY103" s="204"/>
      <c r="AZ103" s="204"/>
      <c r="BA103" s="204"/>
    </row>
    <row r="104" spans="1:53" x14ac:dyDescent="0.25">
      <c r="A104" s="175" t="s">
        <v>185</v>
      </c>
      <c r="B104" s="174">
        <v>65</v>
      </c>
      <c r="C104" s="174">
        <v>2</v>
      </c>
      <c r="D104" s="174">
        <v>65</v>
      </c>
      <c r="E104" s="174">
        <v>3</v>
      </c>
      <c r="F104" s="174"/>
      <c r="G104" s="174">
        <v>1</v>
      </c>
      <c r="H104" s="174">
        <v>10</v>
      </c>
      <c r="I104" s="174"/>
      <c r="J104" s="174">
        <v>4</v>
      </c>
      <c r="K104" s="174">
        <v>35</v>
      </c>
      <c r="L104" s="174">
        <v>5</v>
      </c>
      <c r="M104" s="174">
        <v>1</v>
      </c>
      <c r="N104" s="174"/>
      <c r="O104" s="174"/>
      <c r="P104" s="174">
        <v>1</v>
      </c>
      <c r="Q104" s="174"/>
      <c r="R104" s="174"/>
      <c r="S104" s="174">
        <v>7</v>
      </c>
      <c r="T104" s="174">
        <v>1</v>
      </c>
      <c r="U104" s="174"/>
      <c r="V104" s="174"/>
      <c r="W104" s="174"/>
      <c r="X104" s="174"/>
      <c r="Y104" s="174">
        <f t="shared" si="23"/>
        <v>65</v>
      </c>
      <c r="Z104" s="174">
        <v>38</v>
      </c>
      <c r="AA104" s="174">
        <v>2</v>
      </c>
      <c r="AB104" s="174">
        <v>50</v>
      </c>
      <c r="AC104" s="174">
        <v>3</v>
      </c>
      <c r="AD104" s="174"/>
      <c r="AE104" s="174">
        <v>1</v>
      </c>
      <c r="AF104" s="174">
        <v>10</v>
      </c>
      <c r="AG104" s="174"/>
      <c r="AH104" s="174">
        <v>4</v>
      </c>
      <c r="AI104" s="174">
        <v>26</v>
      </c>
      <c r="AJ104" s="174"/>
      <c r="AK104" s="174">
        <v>1</v>
      </c>
      <c r="AL104" s="174"/>
      <c r="AM104" s="174"/>
      <c r="AN104" s="174">
        <v>1</v>
      </c>
      <c r="AO104" s="174"/>
      <c r="AP104" s="174"/>
      <c r="AQ104" s="174">
        <v>6</v>
      </c>
      <c r="AR104" s="174">
        <v>1</v>
      </c>
      <c r="AS104" s="174"/>
      <c r="AT104" s="174"/>
      <c r="AU104" s="174"/>
      <c r="AV104" s="174"/>
      <c r="AW104" s="174">
        <f t="shared" si="24"/>
        <v>50</v>
      </c>
      <c r="AX104" s="174">
        <v>2420.1111111111113</v>
      </c>
      <c r="AY104" s="204"/>
      <c r="AZ104" s="204"/>
      <c r="BA104" s="204"/>
    </row>
    <row r="105" spans="1:53" x14ac:dyDescent="0.25">
      <c r="A105" s="175" t="s">
        <v>186</v>
      </c>
      <c r="B105" s="174">
        <v>5</v>
      </c>
      <c r="C105" s="174"/>
      <c r="D105" s="174">
        <v>66</v>
      </c>
      <c r="E105" s="174"/>
      <c r="F105" s="174"/>
      <c r="G105" s="174"/>
      <c r="H105" s="174">
        <v>64</v>
      </c>
      <c r="I105" s="174"/>
      <c r="J105" s="174">
        <v>2</v>
      </c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>
        <f t="shared" si="23"/>
        <v>66</v>
      </c>
      <c r="Z105" s="174">
        <v>5</v>
      </c>
      <c r="AA105" s="174"/>
      <c r="AB105" s="174">
        <v>65</v>
      </c>
      <c r="AC105" s="174"/>
      <c r="AD105" s="174"/>
      <c r="AE105" s="174"/>
      <c r="AF105" s="174">
        <v>63</v>
      </c>
      <c r="AG105" s="174"/>
      <c r="AH105" s="174">
        <v>2</v>
      </c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>
        <f t="shared" si="24"/>
        <v>65</v>
      </c>
      <c r="AX105" s="174">
        <v>1087.1099999999999</v>
      </c>
      <c r="AY105" s="204"/>
      <c r="AZ105" s="204"/>
      <c r="BA105" s="204"/>
    </row>
    <row r="106" spans="1:53" x14ac:dyDescent="0.25">
      <c r="A106" s="175" t="s">
        <v>187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204"/>
      <c r="AZ106" s="204"/>
      <c r="BA106" s="204"/>
    </row>
    <row r="107" spans="1:53" x14ac:dyDescent="0.25">
      <c r="A107" s="175" t="s">
        <v>188</v>
      </c>
      <c r="B107" s="174">
        <v>212</v>
      </c>
      <c r="C107" s="174"/>
      <c r="D107" s="174">
        <v>292</v>
      </c>
      <c r="E107" s="174"/>
      <c r="F107" s="174"/>
      <c r="G107" s="174"/>
      <c r="H107" s="174"/>
      <c r="I107" s="174"/>
      <c r="J107" s="174"/>
      <c r="K107" s="174">
        <v>5</v>
      </c>
      <c r="L107" s="174">
        <v>5</v>
      </c>
      <c r="M107" s="174">
        <v>7</v>
      </c>
      <c r="N107" s="174"/>
      <c r="O107" s="174"/>
      <c r="P107" s="174"/>
      <c r="Q107" s="174"/>
      <c r="R107" s="174"/>
      <c r="S107" s="174"/>
      <c r="T107" s="174"/>
      <c r="U107" s="174">
        <v>1</v>
      </c>
      <c r="V107" s="174">
        <v>2</v>
      </c>
      <c r="W107" s="174">
        <v>2</v>
      </c>
      <c r="X107" s="174">
        <v>270</v>
      </c>
      <c r="Y107" s="174">
        <f t="shared" ref="Y107:Y113" si="25">SUM(F107:X107)</f>
        <v>292</v>
      </c>
      <c r="Z107" s="174">
        <v>119</v>
      </c>
      <c r="AA107" s="174"/>
      <c r="AB107" s="174">
        <v>168</v>
      </c>
      <c r="AC107" s="174"/>
      <c r="AD107" s="174"/>
      <c r="AE107" s="174"/>
      <c r="AF107" s="174"/>
      <c r="AG107" s="174"/>
      <c r="AH107" s="174"/>
      <c r="AI107" s="174">
        <v>3</v>
      </c>
      <c r="AJ107" s="174">
        <v>3</v>
      </c>
      <c r="AK107" s="174"/>
      <c r="AL107" s="174"/>
      <c r="AM107" s="174"/>
      <c r="AN107" s="174"/>
      <c r="AO107" s="174"/>
      <c r="AP107" s="174"/>
      <c r="AQ107" s="174"/>
      <c r="AR107" s="174"/>
      <c r="AS107" s="174">
        <v>1</v>
      </c>
      <c r="AT107" s="174">
        <v>12</v>
      </c>
      <c r="AU107" s="174"/>
      <c r="AV107" s="174">
        <v>149</v>
      </c>
      <c r="AW107" s="174">
        <f t="shared" ref="AW107:AW113" si="26">SUM(AD107:AV107)</f>
        <v>168</v>
      </c>
      <c r="AX107" s="174">
        <v>5012.7080000000005</v>
      </c>
      <c r="AY107" s="204"/>
      <c r="AZ107" s="204"/>
      <c r="BA107" s="204"/>
    </row>
    <row r="108" spans="1:53" x14ac:dyDescent="0.25">
      <c r="A108" s="175" t="s">
        <v>189</v>
      </c>
      <c r="B108" s="174">
        <v>47</v>
      </c>
      <c r="C108" s="174">
        <v>1</v>
      </c>
      <c r="D108" s="174">
        <v>454</v>
      </c>
      <c r="E108" s="174">
        <v>4</v>
      </c>
      <c r="F108" s="174"/>
      <c r="G108" s="174"/>
      <c r="H108" s="174">
        <v>376</v>
      </c>
      <c r="I108" s="174"/>
      <c r="J108" s="174">
        <v>1</v>
      </c>
      <c r="K108" s="174">
        <v>9</v>
      </c>
      <c r="L108" s="174">
        <v>13</v>
      </c>
      <c r="M108" s="174"/>
      <c r="N108" s="174"/>
      <c r="O108" s="174">
        <v>1</v>
      </c>
      <c r="P108" s="174"/>
      <c r="Q108" s="174">
        <v>4</v>
      </c>
      <c r="R108" s="174"/>
      <c r="S108" s="174">
        <v>50</v>
      </c>
      <c r="T108" s="174"/>
      <c r="U108" s="174"/>
      <c r="V108" s="174"/>
      <c r="W108" s="174"/>
      <c r="X108" s="174"/>
      <c r="Y108" s="174">
        <f t="shared" si="25"/>
        <v>454</v>
      </c>
      <c r="Z108" s="174">
        <v>32</v>
      </c>
      <c r="AA108" s="174">
        <v>1</v>
      </c>
      <c r="AB108" s="174">
        <v>252</v>
      </c>
      <c r="AC108" s="174">
        <v>4</v>
      </c>
      <c r="AD108" s="174"/>
      <c r="AE108" s="174"/>
      <c r="AF108" s="174">
        <v>232</v>
      </c>
      <c r="AG108" s="174"/>
      <c r="AH108" s="174">
        <v>1</v>
      </c>
      <c r="AI108" s="174">
        <v>7</v>
      </c>
      <c r="AJ108" s="174">
        <v>7</v>
      </c>
      <c r="AK108" s="174"/>
      <c r="AL108" s="174"/>
      <c r="AM108" s="174">
        <v>1</v>
      </c>
      <c r="AN108" s="174"/>
      <c r="AO108" s="174">
        <v>4</v>
      </c>
      <c r="AP108" s="174"/>
      <c r="AQ108" s="174"/>
      <c r="AR108" s="174"/>
      <c r="AS108" s="174"/>
      <c r="AT108" s="174"/>
      <c r="AU108" s="174"/>
      <c r="AV108" s="174"/>
      <c r="AW108" s="174">
        <f t="shared" si="26"/>
        <v>252</v>
      </c>
      <c r="AX108" s="174">
        <v>645.39347826086953</v>
      </c>
      <c r="AY108" s="204"/>
      <c r="AZ108" s="204"/>
      <c r="BA108" s="204"/>
    </row>
    <row r="109" spans="1:53" x14ac:dyDescent="0.25">
      <c r="A109" s="175" t="s">
        <v>190</v>
      </c>
      <c r="B109" s="174">
        <v>179</v>
      </c>
      <c r="C109" s="174">
        <v>1</v>
      </c>
      <c r="D109" s="174">
        <v>385</v>
      </c>
      <c r="E109" s="174">
        <v>4</v>
      </c>
      <c r="F109" s="174"/>
      <c r="G109" s="174"/>
      <c r="H109" s="174">
        <v>1</v>
      </c>
      <c r="I109" s="174"/>
      <c r="J109" s="174"/>
      <c r="K109" s="174">
        <v>4</v>
      </c>
      <c r="L109" s="174">
        <v>3</v>
      </c>
      <c r="M109" s="174">
        <v>1</v>
      </c>
      <c r="N109" s="174"/>
      <c r="O109" s="174">
        <v>1</v>
      </c>
      <c r="P109" s="174"/>
      <c r="Q109" s="174">
        <v>1</v>
      </c>
      <c r="R109" s="174"/>
      <c r="S109" s="174"/>
      <c r="T109" s="174"/>
      <c r="U109" s="174">
        <v>7</v>
      </c>
      <c r="V109" s="174"/>
      <c r="W109" s="174"/>
      <c r="X109" s="174">
        <v>367</v>
      </c>
      <c r="Y109" s="174">
        <f t="shared" si="25"/>
        <v>385</v>
      </c>
      <c r="Z109" s="174">
        <v>115</v>
      </c>
      <c r="AA109" s="174">
        <v>1</v>
      </c>
      <c r="AB109" s="174">
        <v>229</v>
      </c>
      <c r="AC109" s="174">
        <v>4</v>
      </c>
      <c r="AD109" s="174"/>
      <c r="AE109" s="174"/>
      <c r="AF109" s="174">
        <v>1</v>
      </c>
      <c r="AG109" s="174"/>
      <c r="AH109" s="174"/>
      <c r="AI109" s="174">
        <v>4</v>
      </c>
      <c r="AJ109" s="174"/>
      <c r="AK109" s="174"/>
      <c r="AL109" s="174"/>
      <c r="AM109" s="174">
        <v>1</v>
      </c>
      <c r="AN109" s="174"/>
      <c r="AO109" s="174">
        <v>1</v>
      </c>
      <c r="AP109" s="174"/>
      <c r="AQ109" s="174"/>
      <c r="AR109" s="174"/>
      <c r="AS109" s="174">
        <v>4</v>
      </c>
      <c r="AT109" s="174"/>
      <c r="AU109" s="174"/>
      <c r="AV109" s="174">
        <v>218</v>
      </c>
      <c r="AW109" s="174">
        <f t="shared" si="26"/>
        <v>229</v>
      </c>
      <c r="AX109" s="174">
        <v>4354.3548275862067</v>
      </c>
      <c r="AY109" s="204"/>
      <c r="AZ109" s="204"/>
      <c r="BA109" s="204"/>
    </row>
    <row r="110" spans="1:53" x14ac:dyDescent="0.25">
      <c r="A110" s="175" t="s">
        <v>191</v>
      </c>
      <c r="B110" s="174">
        <v>8</v>
      </c>
      <c r="C110" s="174"/>
      <c r="D110" s="174">
        <v>5</v>
      </c>
      <c r="E110" s="174"/>
      <c r="F110" s="174"/>
      <c r="G110" s="174"/>
      <c r="H110" s="174"/>
      <c r="I110" s="174"/>
      <c r="J110" s="174"/>
      <c r="K110" s="174">
        <v>5</v>
      </c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>
        <f t="shared" si="25"/>
        <v>5</v>
      </c>
      <c r="Z110" s="174">
        <v>2</v>
      </c>
      <c r="AA110" s="174"/>
      <c r="AB110" s="174">
        <v>5</v>
      </c>
      <c r="AC110" s="174"/>
      <c r="AD110" s="174"/>
      <c r="AE110" s="174"/>
      <c r="AF110" s="174"/>
      <c r="AG110" s="174"/>
      <c r="AH110" s="174"/>
      <c r="AI110" s="174">
        <v>5</v>
      </c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>
        <f t="shared" si="26"/>
        <v>5</v>
      </c>
      <c r="AX110" s="174">
        <v>2410</v>
      </c>
      <c r="AY110" s="204"/>
      <c r="AZ110" s="204"/>
      <c r="BA110" s="204"/>
    </row>
    <row r="111" spans="1:53" x14ac:dyDescent="0.25">
      <c r="A111" s="175" t="s">
        <v>192</v>
      </c>
      <c r="B111" s="174">
        <v>1</v>
      </c>
      <c r="C111" s="174"/>
      <c r="D111" s="174">
        <v>4</v>
      </c>
      <c r="E111" s="174"/>
      <c r="F111" s="174"/>
      <c r="G111" s="174"/>
      <c r="H111" s="174">
        <v>4</v>
      </c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>
        <f t="shared" si="25"/>
        <v>4</v>
      </c>
      <c r="Z111" s="174">
        <v>1</v>
      </c>
      <c r="AA111" s="174"/>
      <c r="AB111" s="174">
        <v>4</v>
      </c>
      <c r="AC111" s="174"/>
      <c r="AD111" s="174"/>
      <c r="AE111" s="174"/>
      <c r="AF111" s="174">
        <v>4</v>
      </c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>
        <f t="shared" si="26"/>
        <v>4</v>
      </c>
      <c r="AX111" s="174">
        <v>3600</v>
      </c>
      <c r="AY111" s="204"/>
      <c r="AZ111" s="204"/>
      <c r="BA111" s="204"/>
    </row>
    <row r="112" spans="1:53" x14ac:dyDescent="0.25">
      <c r="A112" s="175" t="s">
        <v>193</v>
      </c>
      <c r="B112" s="174">
        <v>12</v>
      </c>
      <c r="C112" s="174"/>
      <c r="D112" s="174">
        <v>88</v>
      </c>
      <c r="E112" s="174"/>
      <c r="F112" s="174"/>
      <c r="G112" s="174">
        <v>3</v>
      </c>
      <c r="H112" s="174">
        <v>73</v>
      </c>
      <c r="I112" s="174"/>
      <c r="J112" s="174">
        <v>3</v>
      </c>
      <c r="K112" s="174">
        <v>6</v>
      </c>
      <c r="L112" s="174">
        <v>2</v>
      </c>
      <c r="M112" s="174">
        <v>1</v>
      </c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>
        <f t="shared" si="25"/>
        <v>88</v>
      </c>
      <c r="Z112" s="174">
        <v>19</v>
      </c>
      <c r="AA112" s="174"/>
      <c r="AB112" s="174">
        <v>60</v>
      </c>
      <c r="AC112" s="174"/>
      <c r="AD112" s="174"/>
      <c r="AE112" s="174">
        <v>1</v>
      </c>
      <c r="AF112" s="174">
        <v>55</v>
      </c>
      <c r="AG112" s="174"/>
      <c r="AH112" s="174">
        <v>2</v>
      </c>
      <c r="AI112" s="174">
        <v>2</v>
      </c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>
        <f t="shared" si="26"/>
        <v>60</v>
      </c>
      <c r="AX112" s="174">
        <v>787.29714285714283</v>
      </c>
      <c r="AY112" s="204"/>
      <c r="AZ112" s="204"/>
      <c r="BA112" s="204"/>
    </row>
    <row r="113" spans="1:56" x14ac:dyDescent="0.25">
      <c r="A113" s="175" t="s">
        <v>194</v>
      </c>
      <c r="B113" s="174">
        <v>263</v>
      </c>
      <c r="C113" s="174"/>
      <c r="D113" s="174">
        <v>1452</v>
      </c>
      <c r="E113" s="174"/>
      <c r="F113" s="174">
        <v>16</v>
      </c>
      <c r="G113" s="174"/>
      <c r="H113" s="174">
        <v>1263</v>
      </c>
      <c r="I113" s="174">
        <v>18</v>
      </c>
      <c r="J113" s="174">
        <v>3</v>
      </c>
      <c r="K113" s="174">
        <v>112</v>
      </c>
      <c r="L113" s="174">
        <v>23</v>
      </c>
      <c r="M113" s="174">
        <v>2</v>
      </c>
      <c r="N113" s="174"/>
      <c r="O113" s="174"/>
      <c r="P113" s="174"/>
      <c r="Q113" s="174"/>
      <c r="R113" s="174">
        <v>9</v>
      </c>
      <c r="S113" s="174"/>
      <c r="T113" s="174"/>
      <c r="U113" s="174">
        <v>6</v>
      </c>
      <c r="V113" s="174"/>
      <c r="W113" s="174"/>
      <c r="X113" s="174"/>
      <c r="Y113" s="174">
        <f t="shared" si="25"/>
        <v>1452</v>
      </c>
      <c r="Z113" s="174">
        <v>256</v>
      </c>
      <c r="AA113" s="174"/>
      <c r="AB113" s="174">
        <v>1084</v>
      </c>
      <c r="AC113" s="174"/>
      <c r="AD113" s="174">
        <v>16</v>
      </c>
      <c r="AE113" s="174"/>
      <c r="AF113" s="174">
        <v>930</v>
      </c>
      <c r="AG113" s="174">
        <v>15</v>
      </c>
      <c r="AH113" s="174">
        <v>3</v>
      </c>
      <c r="AI113" s="174">
        <v>106</v>
      </c>
      <c r="AJ113" s="174">
        <v>1</v>
      </c>
      <c r="AK113" s="174">
        <v>1</v>
      </c>
      <c r="AL113" s="174"/>
      <c r="AM113" s="174"/>
      <c r="AN113" s="174"/>
      <c r="AO113" s="174"/>
      <c r="AP113" s="174">
        <v>6</v>
      </c>
      <c r="AQ113" s="174"/>
      <c r="AR113" s="174"/>
      <c r="AS113" s="174">
        <v>6</v>
      </c>
      <c r="AT113" s="174"/>
      <c r="AU113" s="174"/>
      <c r="AV113" s="174"/>
      <c r="AW113" s="174">
        <f t="shared" si="26"/>
        <v>1084</v>
      </c>
      <c r="AX113" s="174">
        <v>1884.1436956521736</v>
      </c>
      <c r="AY113" s="204"/>
      <c r="AZ113" s="204"/>
      <c r="BA113" s="204"/>
      <c r="BB113" s="142">
        <v>1631.2</v>
      </c>
      <c r="BC113" s="142">
        <v>1600</v>
      </c>
      <c r="BD113" s="142">
        <v>1320</v>
      </c>
    </row>
    <row r="114" spans="1:56" x14ac:dyDescent="0.25">
      <c r="A114" s="175" t="s">
        <v>195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204"/>
      <c r="AZ114" s="204"/>
      <c r="BA114" s="204"/>
    </row>
    <row r="115" spans="1:56" x14ac:dyDescent="0.25">
      <c r="A115" s="175" t="s">
        <v>196</v>
      </c>
      <c r="B115" s="174">
        <v>29</v>
      </c>
      <c r="C115" s="174"/>
      <c r="D115" s="174">
        <v>127</v>
      </c>
      <c r="E115" s="174"/>
      <c r="F115" s="174"/>
      <c r="G115" s="174"/>
      <c r="H115" s="174">
        <v>119</v>
      </c>
      <c r="I115" s="174"/>
      <c r="J115" s="174">
        <v>8</v>
      </c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>
        <f t="shared" ref="Y115:Y122" si="27">SUM(F115:X115)</f>
        <v>127</v>
      </c>
      <c r="Z115" s="174">
        <v>13</v>
      </c>
      <c r="AA115" s="174"/>
      <c r="AB115" s="174">
        <v>80</v>
      </c>
      <c r="AC115" s="174"/>
      <c r="AD115" s="174"/>
      <c r="AE115" s="174"/>
      <c r="AF115" s="174">
        <v>74</v>
      </c>
      <c r="AG115" s="174"/>
      <c r="AH115" s="174">
        <v>6</v>
      </c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>
        <f>SUM(AD115:AV115)</f>
        <v>80</v>
      </c>
      <c r="AX115" s="174">
        <v>1808.6666666666667</v>
      </c>
      <c r="AY115" s="204"/>
      <c r="AZ115" s="204"/>
      <c r="BA115" s="204"/>
    </row>
    <row r="116" spans="1:56" x14ac:dyDescent="0.25">
      <c r="A116" s="175" t="s">
        <v>197</v>
      </c>
      <c r="B116" s="174">
        <v>2</v>
      </c>
      <c r="C116" s="174">
        <v>1</v>
      </c>
      <c r="D116" s="174">
        <v>2</v>
      </c>
      <c r="E116" s="174">
        <v>1</v>
      </c>
      <c r="F116" s="174"/>
      <c r="G116" s="174"/>
      <c r="H116" s="174"/>
      <c r="I116" s="174"/>
      <c r="J116" s="174"/>
      <c r="K116" s="174"/>
      <c r="L116" s="174"/>
      <c r="M116" s="174">
        <v>1</v>
      </c>
      <c r="N116" s="174"/>
      <c r="O116" s="174"/>
      <c r="P116" s="174"/>
      <c r="Q116" s="174"/>
      <c r="R116" s="174">
        <v>1</v>
      </c>
      <c r="S116" s="174"/>
      <c r="T116" s="174"/>
      <c r="U116" s="174"/>
      <c r="V116" s="174"/>
      <c r="W116" s="174"/>
      <c r="X116" s="174"/>
      <c r="Y116" s="174">
        <f t="shared" si="27"/>
        <v>2</v>
      </c>
      <c r="Z116" s="174">
        <v>2</v>
      </c>
      <c r="AA116" s="174">
        <v>1</v>
      </c>
      <c r="AB116" s="174">
        <v>2</v>
      </c>
      <c r="AC116" s="174">
        <v>1</v>
      </c>
      <c r="AD116" s="174"/>
      <c r="AE116" s="174"/>
      <c r="AF116" s="174"/>
      <c r="AG116" s="174"/>
      <c r="AH116" s="174"/>
      <c r="AI116" s="174"/>
      <c r="AJ116" s="174"/>
      <c r="AK116" s="174">
        <v>1</v>
      </c>
      <c r="AL116" s="174"/>
      <c r="AM116" s="174"/>
      <c r="AN116" s="174"/>
      <c r="AO116" s="174"/>
      <c r="AP116" s="174">
        <v>1</v>
      </c>
      <c r="AQ116" s="174"/>
      <c r="AR116" s="174"/>
      <c r="AS116" s="174"/>
      <c r="AT116" s="174"/>
      <c r="AU116" s="174"/>
      <c r="AV116" s="174"/>
      <c r="AW116" s="174">
        <f>SUM(AD116:AV116)</f>
        <v>2</v>
      </c>
      <c r="AX116" s="174">
        <v>2700</v>
      </c>
      <c r="AY116" s="204"/>
      <c r="AZ116" s="204"/>
      <c r="BA116" s="204"/>
    </row>
    <row r="117" spans="1:56" x14ac:dyDescent="0.25">
      <c r="A117" s="175" t="s">
        <v>198</v>
      </c>
      <c r="B117" s="174">
        <v>56</v>
      </c>
      <c r="C117" s="174">
        <v>1</v>
      </c>
      <c r="D117" s="174">
        <v>160</v>
      </c>
      <c r="E117" s="174">
        <v>4</v>
      </c>
      <c r="F117" s="174"/>
      <c r="G117" s="174"/>
      <c r="H117" s="174"/>
      <c r="I117" s="174"/>
      <c r="J117" s="174">
        <v>3</v>
      </c>
      <c r="K117" s="174">
        <v>7</v>
      </c>
      <c r="L117" s="174">
        <v>133</v>
      </c>
      <c r="M117" s="174">
        <v>6</v>
      </c>
      <c r="N117" s="174"/>
      <c r="O117" s="174"/>
      <c r="P117" s="174"/>
      <c r="Q117" s="174"/>
      <c r="R117" s="174">
        <v>2</v>
      </c>
      <c r="S117" s="174"/>
      <c r="T117" s="174"/>
      <c r="U117" s="174">
        <v>9</v>
      </c>
      <c r="V117" s="174"/>
      <c r="W117" s="174"/>
      <c r="X117" s="174"/>
      <c r="Y117" s="174">
        <f t="shared" si="27"/>
        <v>160</v>
      </c>
      <c r="Z117" s="174">
        <v>45</v>
      </c>
      <c r="AA117" s="174">
        <v>1</v>
      </c>
      <c r="AB117" s="174">
        <v>124</v>
      </c>
      <c r="AC117" s="174">
        <v>4</v>
      </c>
      <c r="AD117" s="174"/>
      <c r="AE117" s="174"/>
      <c r="AF117" s="174"/>
      <c r="AG117" s="174"/>
      <c r="AH117" s="174">
        <v>5</v>
      </c>
      <c r="AI117" s="174">
        <v>6</v>
      </c>
      <c r="AJ117" s="174">
        <v>95</v>
      </c>
      <c r="AK117" s="174">
        <v>8</v>
      </c>
      <c r="AL117" s="174"/>
      <c r="AM117" s="174"/>
      <c r="AN117" s="174"/>
      <c r="AO117" s="174"/>
      <c r="AP117" s="174">
        <v>2</v>
      </c>
      <c r="AQ117" s="174"/>
      <c r="AR117" s="174">
        <v>4</v>
      </c>
      <c r="AS117" s="174">
        <v>4</v>
      </c>
      <c r="AT117" s="174"/>
      <c r="AU117" s="174"/>
      <c r="AV117" s="174"/>
      <c r="AW117" s="174">
        <f>SUM(AD117:AV117)</f>
        <v>124</v>
      </c>
      <c r="AX117" s="174">
        <v>4270.6715000000004</v>
      </c>
      <c r="AY117" s="204"/>
      <c r="AZ117" s="204"/>
      <c r="BA117" s="204"/>
    </row>
    <row r="118" spans="1:56" x14ac:dyDescent="0.25">
      <c r="A118" s="175" t="s">
        <v>199</v>
      </c>
      <c r="B118" s="174">
        <v>3</v>
      </c>
      <c r="C118" s="174"/>
      <c r="D118" s="174">
        <v>3</v>
      </c>
      <c r="E118" s="174"/>
      <c r="F118" s="174"/>
      <c r="G118" s="174"/>
      <c r="H118" s="174">
        <v>1</v>
      </c>
      <c r="I118" s="174"/>
      <c r="J118" s="174"/>
      <c r="K118" s="174">
        <v>2</v>
      </c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>
        <f t="shared" si="27"/>
        <v>3</v>
      </c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204"/>
      <c r="AZ118" s="204"/>
      <c r="BA118" s="204"/>
    </row>
    <row r="119" spans="1:56" x14ac:dyDescent="0.25">
      <c r="A119" s="175" t="s">
        <v>200</v>
      </c>
      <c r="B119" s="174">
        <v>10</v>
      </c>
      <c r="C119" s="174"/>
      <c r="D119" s="174">
        <v>62</v>
      </c>
      <c r="E119" s="174"/>
      <c r="F119" s="174"/>
      <c r="G119" s="174"/>
      <c r="H119" s="174"/>
      <c r="I119" s="174"/>
      <c r="J119" s="174"/>
      <c r="K119" s="174">
        <v>62</v>
      </c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>
        <f t="shared" si="27"/>
        <v>62</v>
      </c>
      <c r="Z119" s="174">
        <v>9</v>
      </c>
      <c r="AA119" s="174"/>
      <c r="AB119" s="174">
        <v>49</v>
      </c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>
        <v>49</v>
      </c>
      <c r="AO119" s="174"/>
      <c r="AP119" s="174"/>
      <c r="AQ119" s="174"/>
      <c r="AR119" s="174"/>
      <c r="AS119" s="174"/>
      <c r="AT119" s="174"/>
      <c r="AU119" s="174"/>
      <c r="AV119" s="174"/>
      <c r="AW119" s="174">
        <f>SUM(AD119:AV119)</f>
        <v>49</v>
      </c>
      <c r="AX119" s="174">
        <v>66.22</v>
      </c>
      <c r="AY119" s="204"/>
      <c r="AZ119" s="204"/>
      <c r="BA119" s="204"/>
    </row>
    <row r="120" spans="1:56" x14ac:dyDescent="0.25">
      <c r="A120" s="175" t="s">
        <v>201</v>
      </c>
      <c r="B120" s="174">
        <v>14</v>
      </c>
      <c r="C120" s="174">
        <v>1</v>
      </c>
      <c r="D120" s="174">
        <v>73</v>
      </c>
      <c r="E120" s="174">
        <v>1</v>
      </c>
      <c r="F120" s="174"/>
      <c r="G120" s="174"/>
      <c r="H120" s="174">
        <v>70</v>
      </c>
      <c r="I120" s="174"/>
      <c r="J120" s="174"/>
      <c r="K120" s="174">
        <v>2</v>
      </c>
      <c r="L120" s="174"/>
      <c r="M120" s="174"/>
      <c r="N120" s="174">
        <v>1</v>
      </c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>
        <f t="shared" si="27"/>
        <v>73</v>
      </c>
      <c r="Z120" s="174">
        <v>9</v>
      </c>
      <c r="AA120" s="174"/>
      <c r="AB120" s="174">
        <v>57</v>
      </c>
      <c r="AC120" s="174"/>
      <c r="AD120" s="174">
        <v>15</v>
      </c>
      <c r="AE120" s="174"/>
      <c r="AF120" s="174">
        <v>41</v>
      </c>
      <c r="AG120" s="174"/>
      <c r="AH120" s="174"/>
      <c r="AI120" s="174">
        <v>1</v>
      </c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>
        <f>SUM(AD120:AV120)</f>
        <v>57</v>
      </c>
      <c r="AX120" s="174">
        <v>1618.6666666666667</v>
      </c>
      <c r="AY120" s="204"/>
      <c r="AZ120" s="204"/>
      <c r="BA120" s="204"/>
    </row>
    <row r="121" spans="1:56" x14ac:dyDescent="0.25">
      <c r="A121" s="175" t="s">
        <v>202</v>
      </c>
      <c r="B121" s="174">
        <v>2</v>
      </c>
      <c r="C121" s="174"/>
      <c r="D121" s="174">
        <v>3</v>
      </c>
      <c r="E121" s="174"/>
      <c r="F121" s="174"/>
      <c r="G121" s="174"/>
      <c r="H121" s="174">
        <v>1</v>
      </c>
      <c r="I121" s="174"/>
      <c r="J121" s="174"/>
      <c r="K121" s="174"/>
      <c r="L121" s="174"/>
      <c r="M121" s="174"/>
      <c r="N121" s="174"/>
      <c r="O121" s="174"/>
      <c r="P121" s="174"/>
      <c r="Q121" s="174"/>
      <c r="R121" s="174">
        <v>2</v>
      </c>
      <c r="S121" s="174"/>
      <c r="T121" s="174"/>
      <c r="U121" s="174"/>
      <c r="V121" s="174"/>
      <c r="W121" s="174"/>
      <c r="X121" s="174"/>
      <c r="Y121" s="174">
        <f t="shared" si="27"/>
        <v>3</v>
      </c>
      <c r="Z121" s="174">
        <v>2</v>
      </c>
      <c r="AA121" s="174"/>
      <c r="AB121" s="174">
        <v>3</v>
      </c>
      <c r="AC121" s="174"/>
      <c r="AD121" s="174"/>
      <c r="AE121" s="174"/>
      <c r="AF121" s="174">
        <v>1</v>
      </c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>
        <v>2</v>
      </c>
      <c r="AQ121" s="174"/>
      <c r="AR121" s="174"/>
      <c r="AS121" s="174"/>
      <c r="AT121" s="174"/>
      <c r="AU121" s="174"/>
      <c r="AV121" s="174"/>
      <c r="AW121" s="174">
        <f>SUM(AD121:AV121)</f>
        <v>3</v>
      </c>
      <c r="AX121" s="174">
        <v>4076</v>
      </c>
      <c r="AY121" s="204"/>
      <c r="AZ121" s="204"/>
      <c r="BA121" s="204"/>
    </row>
    <row r="122" spans="1:56" x14ac:dyDescent="0.25">
      <c r="A122" s="175" t="s">
        <v>203</v>
      </c>
      <c r="B122" s="174">
        <v>1</v>
      </c>
      <c r="C122" s="174"/>
      <c r="D122" s="174">
        <v>3</v>
      </c>
      <c r="E122" s="174"/>
      <c r="F122" s="174"/>
      <c r="G122" s="174"/>
      <c r="H122" s="174">
        <v>3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>
        <f t="shared" si="27"/>
        <v>3</v>
      </c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204"/>
      <c r="AZ122" s="204"/>
      <c r="BA122" s="204"/>
    </row>
    <row r="123" spans="1:56" x14ac:dyDescent="0.25">
      <c r="A123" s="175" t="s">
        <v>204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204"/>
      <c r="AZ123" s="204"/>
      <c r="BA123" s="204"/>
    </row>
    <row r="124" spans="1:56" x14ac:dyDescent="0.25">
      <c r="A124" s="175" t="s">
        <v>205</v>
      </c>
      <c r="B124" s="174">
        <v>3</v>
      </c>
      <c r="C124" s="174"/>
      <c r="D124" s="174">
        <v>36</v>
      </c>
      <c r="E124" s="174"/>
      <c r="F124" s="174"/>
      <c r="G124" s="174"/>
      <c r="H124" s="174">
        <v>36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>
        <f>SUM(F124:X124)</f>
        <v>36</v>
      </c>
      <c r="Z124" s="174">
        <v>3</v>
      </c>
      <c r="AA124" s="174"/>
      <c r="AB124" s="174">
        <v>8</v>
      </c>
      <c r="AC124" s="174"/>
      <c r="AD124" s="174"/>
      <c r="AE124" s="174"/>
      <c r="AF124" s="174">
        <v>8</v>
      </c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>
        <f>SUM(AD124:AV124)</f>
        <v>8</v>
      </c>
      <c r="AX124" s="174">
        <v>2090</v>
      </c>
      <c r="AY124" s="204"/>
      <c r="AZ124" s="204"/>
      <c r="BA124" s="204"/>
    </row>
    <row r="125" spans="1:56" x14ac:dyDescent="0.25">
      <c r="A125" s="175" t="s">
        <v>206</v>
      </c>
      <c r="B125" s="174">
        <v>3</v>
      </c>
      <c r="C125" s="174"/>
      <c r="D125" s="174">
        <v>27</v>
      </c>
      <c r="E125" s="174"/>
      <c r="F125" s="174"/>
      <c r="G125" s="174"/>
      <c r="H125" s="174">
        <v>27</v>
      </c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>
        <f>SUM(F125:X125)</f>
        <v>27</v>
      </c>
      <c r="Z125" s="174">
        <v>3</v>
      </c>
      <c r="AA125" s="174"/>
      <c r="AB125" s="174">
        <v>26</v>
      </c>
      <c r="AC125" s="174"/>
      <c r="AD125" s="174"/>
      <c r="AE125" s="174"/>
      <c r="AF125" s="174">
        <v>26</v>
      </c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>
        <f>SUM(AD125:AV125)</f>
        <v>26</v>
      </c>
      <c r="AX125" s="174">
        <v>1212.2</v>
      </c>
      <c r="AY125" s="204"/>
      <c r="AZ125" s="204"/>
      <c r="BA125" s="204"/>
    </row>
    <row r="126" spans="1:56" x14ac:dyDescent="0.25">
      <c r="A126" s="175" t="s">
        <v>207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204"/>
      <c r="AZ126" s="204"/>
      <c r="BA126" s="204"/>
    </row>
    <row r="127" spans="1:56" x14ac:dyDescent="0.25">
      <c r="A127" s="175" t="s">
        <v>208</v>
      </c>
      <c r="B127" s="174">
        <v>5</v>
      </c>
      <c r="C127" s="174"/>
      <c r="D127" s="174">
        <v>34</v>
      </c>
      <c r="E127" s="174"/>
      <c r="F127" s="174"/>
      <c r="G127" s="174"/>
      <c r="H127" s="174">
        <v>34</v>
      </c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>
        <f t="shared" ref="Y127:Y133" si="28">SUM(F127:X127)</f>
        <v>34</v>
      </c>
      <c r="Z127" s="174">
        <v>1</v>
      </c>
      <c r="AA127" s="174"/>
      <c r="AB127" s="174">
        <v>13</v>
      </c>
      <c r="AC127" s="174"/>
      <c r="AD127" s="174"/>
      <c r="AE127" s="174"/>
      <c r="AF127" s="174">
        <v>13</v>
      </c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>
        <f t="shared" ref="AW127:AW133" si="29">SUM(AD127:AV127)</f>
        <v>13</v>
      </c>
      <c r="AX127" s="174">
        <v>804.8</v>
      </c>
      <c r="AY127" s="204"/>
      <c r="AZ127" s="204"/>
      <c r="BA127" s="204"/>
    </row>
    <row r="128" spans="1:56" x14ac:dyDescent="0.25">
      <c r="A128" s="175" t="s">
        <v>209</v>
      </c>
      <c r="B128" s="174">
        <v>13</v>
      </c>
      <c r="C128" s="174"/>
      <c r="D128" s="174">
        <v>214</v>
      </c>
      <c r="E128" s="174"/>
      <c r="F128" s="174"/>
      <c r="G128" s="174"/>
      <c r="H128" s="174">
        <v>212</v>
      </c>
      <c r="I128" s="174"/>
      <c r="J128" s="174"/>
      <c r="K128" s="174"/>
      <c r="L128" s="174">
        <v>2</v>
      </c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>
        <f t="shared" si="28"/>
        <v>214</v>
      </c>
      <c r="Z128" s="174">
        <v>10</v>
      </c>
      <c r="AA128" s="174"/>
      <c r="AB128" s="174">
        <v>176</v>
      </c>
      <c r="AC128" s="174"/>
      <c r="AD128" s="174"/>
      <c r="AE128" s="174"/>
      <c r="AF128" s="174">
        <v>175</v>
      </c>
      <c r="AG128" s="174"/>
      <c r="AH128" s="174"/>
      <c r="AI128" s="174"/>
      <c r="AJ128" s="174">
        <v>1</v>
      </c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>
        <f t="shared" si="29"/>
        <v>176</v>
      </c>
      <c r="AX128" s="174">
        <v>519.91374999999994</v>
      </c>
      <c r="AY128" s="204"/>
      <c r="AZ128" s="204"/>
      <c r="BA128" s="204"/>
    </row>
    <row r="129" spans="1:53" x14ac:dyDescent="0.25">
      <c r="A129" s="175" t="s">
        <v>210</v>
      </c>
      <c r="B129" s="174">
        <v>2</v>
      </c>
      <c r="C129" s="174"/>
      <c r="D129" s="174">
        <v>17</v>
      </c>
      <c r="E129" s="174"/>
      <c r="F129" s="174"/>
      <c r="G129" s="174"/>
      <c r="H129" s="174">
        <v>15</v>
      </c>
      <c r="I129" s="174"/>
      <c r="J129" s="174">
        <v>2</v>
      </c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>
        <f t="shared" si="28"/>
        <v>17</v>
      </c>
      <c r="Z129" s="174">
        <v>2</v>
      </c>
      <c r="AA129" s="174"/>
      <c r="AB129" s="174">
        <v>16</v>
      </c>
      <c r="AC129" s="174"/>
      <c r="AD129" s="174"/>
      <c r="AE129" s="174"/>
      <c r="AF129" s="174">
        <v>14</v>
      </c>
      <c r="AG129" s="174"/>
      <c r="AH129" s="174">
        <v>2</v>
      </c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>
        <f t="shared" si="29"/>
        <v>16</v>
      </c>
      <c r="AX129" s="174">
        <v>520</v>
      </c>
      <c r="AY129" s="204"/>
      <c r="AZ129" s="204"/>
      <c r="BA129" s="204"/>
    </row>
    <row r="130" spans="1:53" x14ac:dyDescent="0.25">
      <c r="A130" s="175" t="s">
        <v>211</v>
      </c>
      <c r="B130" s="174">
        <v>3</v>
      </c>
      <c r="C130" s="174"/>
      <c r="D130" s="174">
        <v>11</v>
      </c>
      <c r="E130" s="174"/>
      <c r="F130" s="174"/>
      <c r="G130" s="174"/>
      <c r="H130" s="174">
        <v>9</v>
      </c>
      <c r="I130" s="174"/>
      <c r="J130" s="174"/>
      <c r="K130" s="174">
        <v>2</v>
      </c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>
        <f t="shared" si="28"/>
        <v>11</v>
      </c>
      <c r="Z130" s="174">
        <v>3</v>
      </c>
      <c r="AA130" s="174"/>
      <c r="AB130" s="174">
        <v>11</v>
      </c>
      <c r="AC130" s="174"/>
      <c r="AD130" s="174"/>
      <c r="AE130" s="174"/>
      <c r="AF130" s="174">
        <v>9</v>
      </c>
      <c r="AG130" s="174"/>
      <c r="AH130" s="174"/>
      <c r="AI130" s="174">
        <v>2</v>
      </c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>
        <f t="shared" si="29"/>
        <v>11</v>
      </c>
      <c r="AX130" s="174">
        <v>1560</v>
      </c>
      <c r="AY130" s="204"/>
      <c r="AZ130" s="204"/>
      <c r="BA130" s="204"/>
    </row>
    <row r="131" spans="1:53" x14ac:dyDescent="0.25">
      <c r="A131" s="175" t="s">
        <v>212</v>
      </c>
      <c r="B131" s="174">
        <v>16</v>
      </c>
      <c r="C131" s="174">
        <v>1</v>
      </c>
      <c r="D131" s="174">
        <v>70</v>
      </c>
      <c r="E131" s="174">
        <v>2</v>
      </c>
      <c r="F131" s="174">
        <v>10</v>
      </c>
      <c r="G131" s="174">
        <v>1</v>
      </c>
      <c r="H131" s="174">
        <v>34</v>
      </c>
      <c r="I131" s="174">
        <v>15</v>
      </c>
      <c r="J131" s="174"/>
      <c r="K131" s="174">
        <v>8</v>
      </c>
      <c r="L131" s="174"/>
      <c r="M131" s="174"/>
      <c r="N131" s="174"/>
      <c r="O131" s="174"/>
      <c r="P131" s="174"/>
      <c r="Q131" s="174">
        <v>2</v>
      </c>
      <c r="R131" s="174"/>
      <c r="S131" s="174"/>
      <c r="T131" s="174"/>
      <c r="U131" s="174"/>
      <c r="V131" s="174"/>
      <c r="W131" s="174"/>
      <c r="X131" s="174"/>
      <c r="Y131" s="174">
        <f t="shared" si="28"/>
        <v>70</v>
      </c>
      <c r="Z131" s="174">
        <v>24</v>
      </c>
      <c r="AA131" s="174">
        <v>1</v>
      </c>
      <c r="AB131" s="174">
        <v>66</v>
      </c>
      <c r="AC131" s="174">
        <v>2</v>
      </c>
      <c r="AD131" s="174">
        <v>16</v>
      </c>
      <c r="AE131" s="174">
        <v>5</v>
      </c>
      <c r="AF131" s="174">
        <v>19</v>
      </c>
      <c r="AG131" s="174">
        <v>16</v>
      </c>
      <c r="AH131" s="174"/>
      <c r="AI131" s="174">
        <v>8</v>
      </c>
      <c r="AJ131" s="174"/>
      <c r="AK131" s="174"/>
      <c r="AL131" s="174"/>
      <c r="AM131" s="174"/>
      <c r="AN131" s="174"/>
      <c r="AO131" s="174">
        <v>2</v>
      </c>
      <c r="AP131" s="174"/>
      <c r="AQ131" s="174"/>
      <c r="AR131" s="174"/>
      <c r="AS131" s="174"/>
      <c r="AT131" s="174"/>
      <c r="AU131" s="174"/>
      <c r="AV131" s="174"/>
      <c r="AW131" s="174">
        <f t="shared" si="29"/>
        <v>66</v>
      </c>
      <c r="AX131" s="174">
        <v>1046.0999999999999</v>
      </c>
      <c r="AY131" s="204"/>
      <c r="AZ131" s="204"/>
      <c r="BA131" s="204"/>
    </row>
    <row r="132" spans="1:53" x14ac:dyDescent="0.25">
      <c r="A132" s="175" t="s">
        <v>213</v>
      </c>
      <c r="B132" s="174">
        <v>5</v>
      </c>
      <c r="C132" s="174"/>
      <c r="D132" s="174">
        <v>14</v>
      </c>
      <c r="E132" s="174"/>
      <c r="F132" s="174">
        <v>5</v>
      </c>
      <c r="G132" s="174"/>
      <c r="H132" s="174"/>
      <c r="I132" s="174"/>
      <c r="J132" s="174"/>
      <c r="K132" s="174"/>
      <c r="L132" s="174">
        <v>1</v>
      </c>
      <c r="M132" s="174"/>
      <c r="N132" s="174">
        <v>6</v>
      </c>
      <c r="O132" s="174"/>
      <c r="P132" s="174"/>
      <c r="Q132" s="174"/>
      <c r="R132" s="174"/>
      <c r="S132" s="174">
        <v>2</v>
      </c>
      <c r="T132" s="174"/>
      <c r="U132" s="174"/>
      <c r="V132" s="174"/>
      <c r="W132" s="174"/>
      <c r="X132" s="174"/>
      <c r="Y132" s="174">
        <f t="shared" si="28"/>
        <v>14</v>
      </c>
      <c r="Z132" s="174">
        <v>5</v>
      </c>
      <c r="AA132" s="174"/>
      <c r="AB132" s="174">
        <v>14</v>
      </c>
      <c r="AC132" s="174"/>
      <c r="AD132" s="174">
        <v>5</v>
      </c>
      <c r="AE132" s="174"/>
      <c r="AF132" s="174"/>
      <c r="AG132" s="174"/>
      <c r="AH132" s="174"/>
      <c r="AI132" s="174"/>
      <c r="AJ132" s="174">
        <v>1</v>
      </c>
      <c r="AK132" s="174"/>
      <c r="AL132" s="174">
        <v>6</v>
      </c>
      <c r="AM132" s="174"/>
      <c r="AN132" s="174"/>
      <c r="AO132" s="174"/>
      <c r="AP132" s="174"/>
      <c r="AQ132" s="174">
        <v>2</v>
      </c>
      <c r="AR132" s="174"/>
      <c r="AS132" s="174"/>
      <c r="AT132" s="174"/>
      <c r="AU132" s="174"/>
      <c r="AV132" s="174"/>
      <c r="AW132" s="174">
        <f t="shared" si="29"/>
        <v>14</v>
      </c>
      <c r="AX132" s="174">
        <v>1956.75</v>
      </c>
      <c r="AY132" s="204"/>
      <c r="AZ132" s="204"/>
      <c r="BA132" s="204"/>
    </row>
    <row r="133" spans="1:53" x14ac:dyDescent="0.25">
      <c r="A133" s="175" t="s">
        <v>214</v>
      </c>
      <c r="B133" s="174">
        <v>6</v>
      </c>
      <c r="C133" s="174"/>
      <c r="D133" s="174">
        <v>63</v>
      </c>
      <c r="E133" s="174"/>
      <c r="F133" s="174"/>
      <c r="G133" s="174"/>
      <c r="H133" s="174">
        <v>42</v>
      </c>
      <c r="I133" s="174"/>
      <c r="J133" s="174"/>
      <c r="K133" s="174"/>
      <c r="L133" s="174">
        <v>13</v>
      </c>
      <c r="M133" s="174"/>
      <c r="N133" s="174"/>
      <c r="O133" s="174"/>
      <c r="P133" s="174"/>
      <c r="Q133" s="174"/>
      <c r="R133" s="174"/>
      <c r="S133" s="174">
        <v>8</v>
      </c>
      <c r="T133" s="174"/>
      <c r="U133" s="174"/>
      <c r="V133" s="174"/>
      <c r="W133" s="174"/>
      <c r="X133" s="174"/>
      <c r="Y133" s="174">
        <f t="shared" si="28"/>
        <v>63</v>
      </c>
      <c r="Z133" s="174">
        <v>5</v>
      </c>
      <c r="AA133" s="174"/>
      <c r="AB133" s="174">
        <v>39</v>
      </c>
      <c r="AC133" s="174"/>
      <c r="AD133" s="174"/>
      <c r="AE133" s="174"/>
      <c r="AF133" s="174">
        <v>28</v>
      </c>
      <c r="AG133" s="174"/>
      <c r="AH133" s="174"/>
      <c r="AI133" s="174"/>
      <c r="AJ133" s="174">
        <v>5</v>
      </c>
      <c r="AK133" s="174"/>
      <c r="AL133" s="174"/>
      <c r="AM133" s="174"/>
      <c r="AN133" s="174"/>
      <c r="AO133" s="174"/>
      <c r="AP133" s="174"/>
      <c r="AQ133" s="174">
        <v>6</v>
      </c>
      <c r="AR133" s="174"/>
      <c r="AS133" s="174"/>
      <c r="AT133" s="174"/>
      <c r="AU133" s="174"/>
      <c r="AV133" s="174"/>
      <c r="AW133" s="174">
        <f t="shared" si="29"/>
        <v>39</v>
      </c>
      <c r="AX133" s="174">
        <v>1026.5999999999999</v>
      </c>
      <c r="AY133" s="204"/>
      <c r="AZ133" s="204"/>
      <c r="BA133" s="204"/>
    </row>
    <row r="134" spans="1:53" x14ac:dyDescent="0.25">
      <c r="A134" s="175" t="s">
        <v>215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204"/>
      <c r="AZ134" s="204"/>
      <c r="BA134" s="204"/>
    </row>
    <row r="135" spans="1:53" x14ac:dyDescent="0.25">
      <c r="A135" s="175" t="s">
        <v>216</v>
      </c>
      <c r="B135" s="174">
        <v>1</v>
      </c>
      <c r="C135" s="174"/>
      <c r="D135" s="174">
        <v>3</v>
      </c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>
        <v>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>
        <f>SUM(F135:X135)</f>
        <v>3</v>
      </c>
      <c r="Z135" s="174">
        <v>1</v>
      </c>
      <c r="AA135" s="174"/>
      <c r="AB135" s="174">
        <v>3</v>
      </c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>
        <v>3</v>
      </c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>
        <f>SUM(AD135:AV135)</f>
        <v>3</v>
      </c>
      <c r="AX135" s="174">
        <v>3890</v>
      </c>
      <c r="AY135" s="204"/>
      <c r="AZ135" s="204"/>
      <c r="BA135" s="204"/>
    </row>
    <row r="136" spans="1:53" x14ac:dyDescent="0.25">
      <c r="A136" s="175" t="s">
        <v>217</v>
      </c>
      <c r="B136" s="174">
        <v>1</v>
      </c>
      <c r="C136" s="174"/>
      <c r="D136" s="174">
        <v>2</v>
      </c>
      <c r="E136" s="174"/>
      <c r="F136" s="174"/>
      <c r="G136" s="174"/>
      <c r="H136" s="174"/>
      <c r="I136" s="174"/>
      <c r="J136" s="174"/>
      <c r="K136" s="174"/>
      <c r="L136" s="174">
        <v>2</v>
      </c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>
        <f>SUM(F136:X136)</f>
        <v>2</v>
      </c>
      <c r="Z136" s="174">
        <v>1</v>
      </c>
      <c r="AA136" s="174"/>
      <c r="AB136" s="174">
        <v>2</v>
      </c>
      <c r="AC136" s="174"/>
      <c r="AD136" s="174"/>
      <c r="AE136" s="174"/>
      <c r="AF136" s="174"/>
      <c r="AG136" s="174"/>
      <c r="AH136" s="174"/>
      <c r="AI136" s="174"/>
      <c r="AJ136" s="174">
        <v>2</v>
      </c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>
        <f>SUM(AD136:AV136)</f>
        <v>2</v>
      </c>
      <c r="AX136" s="174">
        <v>2400</v>
      </c>
      <c r="AY136" s="204"/>
      <c r="AZ136" s="204"/>
      <c r="BA136" s="204"/>
    </row>
    <row r="137" spans="1:53" x14ac:dyDescent="0.25">
      <c r="A137" s="175" t="s">
        <v>218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204"/>
      <c r="AZ137" s="204"/>
      <c r="BA137" s="204"/>
    </row>
    <row r="138" spans="1:53" x14ac:dyDescent="0.25">
      <c r="A138" s="175" t="s">
        <v>219</v>
      </c>
      <c r="B138" s="174">
        <v>11</v>
      </c>
      <c r="C138" s="174"/>
      <c r="D138" s="174">
        <v>69</v>
      </c>
      <c r="E138" s="174"/>
      <c r="F138" s="174"/>
      <c r="G138" s="174"/>
      <c r="H138" s="174">
        <v>56</v>
      </c>
      <c r="I138" s="174"/>
      <c r="J138" s="174"/>
      <c r="K138" s="174">
        <v>10</v>
      </c>
      <c r="L138" s="174"/>
      <c r="M138" s="174"/>
      <c r="N138" s="174"/>
      <c r="O138" s="174"/>
      <c r="P138" s="174"/>
      <c r="Q138" s="174"/>
      <c r="R138" s="174"/>
      <c r="S138" s="174">
        <v>3</v>
      </c>
      <c r="T138" s="174"/>
      <c r="U138" s="174"/>
      <c r="V138" s="174"/>
      <c r="W138" s="174"/>
      <c r="X138" s="174"/>
      <c r="Y138" s="174">
        <f>SUM(F138:X138)</f>
        <v>69</v>
      </c>
      <c r="Z138" s="174">
        <v>9</v>
      </c>
      <c r="AA138" s="174"/>
      <c r="AB138" s="174">
        <v>51</v>
      </c>
      <c r="AC138" s="174"/>
      <c r="AD138" s="174"/>
      <c r="AE138" s="174"/>
      <c r="AF138" s="174">
        <v>41</v>
      </c>
      <c r="AG138" s="174"/>
      <c r="AH138" s="174"/>
      <c r="AI138" s="174">
        <v>7</v>
      </c>
      <c r="AJ138" s="174"/>
      <c r="AK138" s="174"/>
      <c r="AL138" s="174"/>
      <c r="AM138" s="174"/>
      <c r="AN138" s="174"/>
      <c r="AO138" s="174"/>
      <c r="AP138" s="174"/>
      <c r="AQ138" s="174">
        <v>3</v>
      </c>
      <c r="AR138" s="174"/>
      <c r="AS138" s="174"/>
      <c r="AT138" s="174"/>
      <c r="AU138" s="174"/>
      <c r="AV138" s="174"/>
      <c r="AW138" s="174">
        <f>SUM(AD138:AV138)</f>
        <v>51</v>
      </c>
      <c r="AX138" s="174">
        <v>600.63499999999999</v>
      </c>
      <c r="AY138" s="204"/>
      <c r="AZ138" s="204"/>
      <c r="BA138" s="204"/>
    </row>
    <row r="139" spans="1:53" x14ac:dyDescent="0.25">
      <c r="A139" s="175" t="s">
        <v>220</v>
      </c>
      <c r="B139" s="174">
        <v>71</v>
      </c>
      <c r="C139" s="174"/>
      <c r="D139" s="174">
        <v>306</v>
      </c>
      <c r="E139" s="174"/>
      <c r="F139" s="174"/>
      <c r="G139" s="174"/>
      <c r="H139" s="174">
        <v>218</v>
      </c>
      <c r="I139" s="174"/>
      <c r="J139" s="174">
        <v>24</v>
      </c>
      <c r="K139" s="174">
        <v>20</v>
      </c>
      <c r="L139" s="174">
        <v>10</v>
      </c>
      <c r="M139" s="174"/>
      <c r="N139" s="174"/>
      <c r="O139" s="174">
        <v>1</v>
      </c>
      <c r="P139" s="174"/>
      <c r="Q139" s="174">
        <v>6</v>
      </c>
      <c r="R139" s="174">
        <v>10</v>
      </c>
      <c r="S139" s="174">
        <v>15</v>
      </c>
      <c r="T139" s="174">
        <v>2</v>
      </c>
      <c r="U139" s="174"/>
      <c r="V139" s="174"/>
      <c r="W139" s="174"/>
      <c r="X139" s="174"/>
      <c r="Y139" s="174">
        <f>SUM(F139:X139)</f>
        <v>306</v>
      </c>
      <c r="Z139" s="174">
        <v>57</v>
      </c>
      <c r="AA139" s="174"/>
      <c r="AB139" s="174">
        <v>272</v>
      </c>
      <c r="AC139" s="174"/>
      <c r="AD139" s="174"/>
      <c r="AE139" s="174"/>
      <c r="AF139" s="174">
        <v>196</v>
      </c>
      <c r="AG139" s="174"/>
      <c r="AH139" s="174">
        <v>31</v>
      </c>
      <c r="AI139" s="174">
        <v>14</v>
      </c>
      <c r="AJ139" s="174">
        <v>9</v>
      </c>
      <c r="AK139" s="174"/>
      <c r="AL139" s="174"/>
      <c r="AM139" s="174">
        <v>1</v>
      </c>
      <c r="AN139" s="174"/>
      <c r="AO139" s="174">
        <v>6</v>
      </c>
      <c r="AP139" s="174">
        <v>5</v>
      </c>
      <c r="AQ139" s="174">
        <v>10</v>
      </c>
      <c r="AR139" s="174"/>
      <c r="AS139" s="174"/>
      <c r="AT139" s="174"/>
      <c r="AU139" s="174"/>
      <c r="AV139" s="174"/>
      <c r="AW139" s="174">
        <f>SUM(AD139:AV139)</f>
        <v>272</v>
      </c>
      <c r="AX139" s="174">
        <v>2110.442</v>
      </c>
      <c r="AY139" s="204"/>
      <c r="AZ139" s="204"/>
      <c r="BA139" s="204"/>
    </row>
    <row r="140" spans="1:53" x14ac:dyDescent="0.25">
      <c r="A140" s="175" t="s">
        <v>221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204"/>
      <c r="AZ140" s="204"/>
      <c r="BA140" s="204"/>
    </row>
    <row r="141" spans="1:53" x14ac:dyDescent="0.25">
      <c r="A141" s="175" t="s">
        <v>222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204"/>
      <c r="AZ141" s="204"/>
      <c r="BA141" s="204"/>
    </row>
    <row r="142" spans="1:53" x14ac:dyDescent="0.25">
      <c r="A142" s="175" t="s">
        <v>223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204"/>
      <c r="AZ142" s="204"/>
      <c r="BA142" s="204"/>
    </row>
    <row r="143" spans="1:53" x14ac:dyDescent="0.25">
      <c r="A143" s="175" t="s">
        <v>224</v>
      </c>
      <c r="B143" s="174">
        <v>2</v>
      </c>
      <c r="C143" s="174"/>
      <c r="D143" s="174">
        <v>16</v>
      </c>
      <c r="E143" s="174"/>
      <c r="F143" s="174"/>
      <c r="G143" s="174"/>
      <c r="H143" s="174"/>
      <c r="I143" s="174"/>
      <c r="J143" s="174">
        <v>2</v>
      </c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>
        <v>14</v>
      </c>
      <c r="Y143" s="174">
        <f>SUM(F143:X143)</f>
        <v>16</v>
      </c>
      <c r="Z143" s="174">
        <v>1</v>
      </c>
      <c r="AA143" s="174"/>
      <c r="AB143" s="174">
        <v>2</v>
      </c>
      <c r="AC143" s="174"/>
      <c r="AD143" s="174"/>
      <c r="AE143" s="174"/>
      <c r="AF143" s="174"/>
      <c r="AG143" s="174"/>
      <c r="AH143" s="174">
        <v>2</v>
      </c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>
        <f>SUM(AD143:AV143)</f>
        <v>2</v>
      </c>
      <c r="AX143" s="174">
        <v>800</v>
      </c>
      <c r="AY143" s="204"/>
      <c r="AZ143" s="204"/>
      <c r="BA143" s="204"/>
    </row>
    <row r="144" spans="1:53" x14ac:dyDescent="0.25">
      <c r="A144" s="175" t="s">
        <v>225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204"/>
      <c r="AZ144" s="204"/>
      <c r="BA144" s="204"/>
    </row>
    <row r="145" spans="1:53" x14ac:dyDescent="0.25">
      <c r="A145" s="175" t="s">
        <v>226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204"/>
      <c r="AZ145" s="204"/>
      <c r="BA145" s="204"/>
    </row>
    <row r="146" spans="1:53" x14ac:dyDescent="0.25">
      <c r="A146" s="175" t="s">
        <v>227</v>
      </c>
      <c r="B146" s="174">
        <v>1</v>
      </c>
      <c r="C146" s="174">
        <v>1</v>
      </c>
      <c r="D146" s="174">
        <v>3</v>
      </c>
      <c r="E146" s="174">
        <v>3</v>
      </c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>
        <v>3</v>
      </c>
      <c r="V146" s="174"/>
      <c r="W146" s="174"/>
      <c r="X146" s="174"/>
      <c r="Y146" s="174">
        <f>SUM(F146:X146)</f>
        <v>3</v>
      </c>
      <c r="Z146" s="174">
        <v>1</v>
      </c>
      <c r="AA146" s="174">
        <v>1</v>
      </c>
      <c r="AB146" s="174">
        <v>3</v>
      </c>
      <c r="AC146" s="174">
        <v>3</v>
      </c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>
        <v>3</v>
      </c>
      <c r="AT146" s="174"/>
      <c r="AU146" s="174"/>
      <c r="AV146" s="174"/>
      <c r="AW146" s="174">
        <f>SUM(AD146:AV146)</f>
        <v>3</v>
      </c>
      <c r="AX146" s="174">
        <v>3200</v>
      </c>
      <c r="AY146" s="204"/>
      <c r="AZ146" s="204"/>
      <c r="BA146" s="204"/>
    </row>
    <row r="147" spans="1:53" x14ac:dyDescent="0.25">
      <c r="A147" s="175" t="s">
        <v>228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204"/>
      <c r="AZ147" s="204"/>
      <c r="BA147" s="204"/>
    </row>
    <row r="148" spans="1:53" x14ac:dyDescent="0.25">
      <c r="A148" s="175" t="s">
        <v>229</v>
      </c>
      <c r="B148" s="174">
        <v>4</v>
      </c>
      <c r="C148" s="174"/>
      <c r="D148" s="174">
        <v>8</v>
      </c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>
        <v>3</v>
      </c>
      <c r="S148" s="174"/>
      <c r="T148" s="174"/>
      <c r="U148" s="174"/>
      <c r="V148" s="174"/>
      <c r="W148" s="174"/>
      <c r="X148" s="174">
        <v>5</v>
      </c>
      <c r="Y148" s="174">
        <f>SUM(F148:X148)</f>
        <v>8</v>
      </c>
      <c r="Z148" s="174">
        <v>4</v>
      </c>
      <c r="AA148" s="174"/>
      <c r="AB148" s="174">
        <v>8</v>
      </c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>
        <v>3</v>
      </c>
      <c r="AQ148" s="174"/>
      <c r="AR148" s="174"/>
      <c r="AS148" s="174"/>
      <c r="AT148" s="174"/>
      <c r="AU148" s="174"/>
      <c r="AV148" s="174">
        <v>5</v>
      </c>
      <c r="AW148" s="174">
        <f>SUM(AD148:AV148)</f>
        <v>8</v>
      </c>
      <c r="AX148" s="174">
        <v>3480.73</v>
      </c>
      <c r="AY148" s="204"/>
      <c r="AZ148" s="204"/>
      <c r="BA148" s="204"/>
    </row>
    <row r="149" spans="1:53" x14ac:dyDescent="0.25">
      <c r="A149" s="175" t="s">
        <v>230</v>
      </c>
      <c r="B149" s="174">
        <v>3</v>
      </c>
      <c r="C149" s="174"/>
      <c r="D149" s="174">
        <v>3</v>
      </c>
      <c r="E149" s="174"/>
      <c r="F149" s="174"/>
      <c r="G149" s="174"/>
      <c r="H149" s="174">
        <v>1</v>
      </c>
      <c r="I149" s="174"/>
      <c r="J149" s="174"/>
      <c r="K149" s="174"/>
      <c r="L149" s="174"/>
      <c r="M149" s="174"/>
      <c r="N149" s="174"/>
      <c r="O149" s="174">
        <v>2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>
        <f>SUM(F149:X149)</f>
        <v>3</v>
      </c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204"/>
      <c r="AZ149" s="204"/>
      <c r="BA149" s="204"/>
    </row>
    <row r="150" spans="1:53" x14ac:dyDescent="0.25">
      <c r="A150" s="175" t="s">
        <v>231</v>
      </c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204"/>
      <c r="AZ150" s="204"/>
      <c r="BA150" s="204"/>
    </row>
    <row r="151" spans="1:53" x14ac:dyDescent="0.25">
      <c r="A151" s="175" t="s">
        <v>232</v>
      </c>
      <c r="B151" s="174">
        <v>3</v>
      </c>
      <c r="C151" s="174"/>
      <c r="D151" s="174">
        <v>3</v>
      </c>
      <c r="E151" s="174"/>
      <c r="F151" s="174"/>
      <c r="G151" s="174"/>
      <c r="H151" s="174"/>
      <c r="I151" s="174"/>
      <c r="J151" s="174"/>
      <c r="K151" s="174"/>
      <c r="L151" s="174">
        <v>1</v>
      </c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>
        <v>2</v>
      </c>
      <c r="X151" s="174"/>
      <c r="Y151" s="174">
        <f>SUM(F151:X151)</f>
        <v>3</v>
      </c>
      <c r="Z151" s="174">
        <v>3</v>
      </c>
      <c r="AA151" s="174"/>
      <c r="AB151" s="174">
        <v>3</v>
      </c>
      <c r="AC151" s="174"/>
      <c r="AD151" s="174"/>
      <c r="AE151" s="174"/>
      <c r="AF151" s="174"/>
      <c r="AG151" s="174"/>
      <c r="AH151" s="174"/>
      <c r="AI151" s="174"/>
      <c r="AJ151" s="174">
        <v>1</v>
      </c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>
        <v>2</v>
      </c>
      <c r="AV151" s="174"/>
      <c r="AW151" s="174">
        <f>SUM(AD151:AV151)</f>
        <v>3</v>
      </c>
      <c r="AX151" s="174">
        <v>2820</v>
      </c>
      <c r="AY151" s="204"/>
      <c r="AZ151" s="204"/>
      <c r="BA151" s="204"/>
    </row>
    <row r="152" spans="1:53" x14ac:dyDescent="0.25">
      <c r="A152" s="175" t="s">
        <v>233</v>
      </c>
      <c r="B152" s="174">
        <v>1</v>
      </c>
      <c r="C152" s="174"/>
      <c r="D152" s="174">
        <v>5</v>
      </c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>
        <v>5</v>
      </c>
      <c r="V152" s="174"/>
      <c r="W152" s="174"/>
      <c r="X152" s="174"/>
      <c r="Y152" s="174">
        <f>SUM(F152:X152)</f>
        <v>5</v>
      </c>
      <c r="Z152" s="174">
        <v>1</v>
      </c>
      <c r="AA152" s="174"/>
      <c r="AB152" s="174">
        <v>10</v>
      </c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>
        <v>10</v>
      </c>
      <c r="AT152" s="174"/>
      <c r="AU152" s="174"/>
      <c r="AV152" s="174"/>
      <c r="AW152" s="174">
        <f>SUM(AD152:AV152)</f>
        <v>10</v>
      </c>
      <c r="AX152" s="174">
        <v>4400</v>
      </c>
      <c r="AY152" s="204"/>
      <c r="AZ152" s="204"/>
      <c r="BA152" s="204"/>
    </row>
    <row r="153" spans="1:53" x14ac:dyDescent="0.25">
      <c r="A153" s="175" t="s">
        <v>234</v>
      </c>
      <c r="B153" s="174">
        <v>2</v>
      </c>
      <c r="C153" s="174"/>
      <c r="D153" s="174">
        <v>6</v>
      </c>
      <c r="E153" s="174"/>
      <c r="F153" s="174"/>
      <c r="G153" s="174"/>
      <c r="H153" s="174">
        <v>6</v>
      </c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>
        <f>SUM(F153:X153)</f>
        <v>6</v>
      </c>
      <c r="Z153" s="174">
        <v>1</v>
      </c>
      <c r="AA153" s="174"/>
      <c r="AB153" s="174">
        <v>3</v>
      </c>
      <c r="AC153" s="174"/>
      <c r="AD153" s="174"/>
      <c r="AE153" s="174"/>
      <c r="AF153" s="174">
        <v>3</v>
      </c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>
        <f>SUM(AD153:AV153)</f>
        <v>3</v>
      </c>
      <c r="AX153" s="174">
        <v>999</v>
      </c>
      <c r="AY153" s="204"/>
      <c r="AZ153" s="204"/>
      <c r="BA153" s="204"/>
    </row>
    <row r="154" spans="1:53" x14ac:dyDescent="0.25">
      <c r="A154" s="175" t="s">
        <v>235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204"/>
      <c r="AZ154" s="204"/>
      <c r="BA154" s="204"/>
    </row>
    <row r="155" spans="1:53" x14ac:dyDescent="0.25">
      <c r="A155" s="175" t="s">
        <v>236</v>
      </c>
      <c r="B155" s="174">
        <v>2</v>
      </c>
      <c r="C155" s="174"/>
      <c r="D155" s="174">
        <v>2</v>
      </c>
      <c r="E155" s="174"/>
      <c r="F155" s="174"/>
      <c r="G155" s="174"/>
      <c r="H155" s="174">
        <v>1</v>
      </c>
      <c r="I155" s="174"/>
      <c r="J155" s="174"/>
      <c r="K155" s="174">
        <v>1</v>
      </c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>
        <f>SUM(F155:X155)</f>
        <v>2</v>
      </c>
      <c r="Z155" s="174">
        <v>1</v>
      </c>
      <c r="AA155" s="174"/>
      <c r="AB155" s="174">
        <v>1</v>
      </c>
      <c r="AC155" s="174"/>
      <c r="AD155" s="174"/>
      <c r="AE155" s="174"/>
      <c r="AF155" s="174"/>
      <c r="AG155" s="174"/>
      <c r="AH155" s="174"/>
      <c r="AI155" s="174">
        <v>1</v>
      </c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>
        <f>SUM(AD155:AV155)</f>
        <v>1</v>
      </c>
      <c r="AX155" s="174">
        <v>1900</v>
      </c>
      <c r="AY155" s="204"/>
      <c r="AZ155" s="204"/>
      <c r="BA155" s="204"/>
    </row>
    <row r="156" spans="1:53" x14ac:dyDescent="0.25">
      <c r="A156" s="175" t="s">
        <v>237</v>
      </c>
      <c r="B156" s="174">
        <v>4</v>
      </c>
      <c r="C156" s="174"/>
      <c r="D156" s="174">
        <v>4</v>
      </c>
      <c r="E156" s="174"/>
      <c r="F156" s="174"/>
      <c r="G156" s="174"/>
      <c r="H156" s="174">
        <v>1</v>
      </c>
      <c r="I156" s="174"/>
      <c r="J156" s="174"/>
      <c r="K156" s="174"/>
      <c r="L156" s="174"/>
      <c r="M156" s="174">
        <v>1</v>
      </c>
      <c r="N156" s="174"/>
      <c r="O156" s="174"/>
      <c r="P156" s="174"/>
      <c r="Q156" s="174"/>
      <c r="R156" s="174"/>
      <c r="S156" s="174"/>
      <c r="T156" s="174"/>
      <c r="U156" s="174">
        <v>2</v>
      </c>
      <c r="V156" s="174"/>
      <c r="W156" s="174"/>
      <c r="X156" s="174"/>
      <c r="Y156" s="174">
        <f>SUM(F156:X156)</f>
        <v>4</v>
      </c>
      <c r="Z156" s="174">
        <v>2</v>
      </c>
      <c r="AA156" s="174"/>
      <c r="AB156" s="174">
        <v>2</v>
      </c>
      <c r="AC156" s="174"/>
      <c r="AD156" s="174"/>
      <c r="AE156" s="174"/>
      <c r="AF156" s="174">
        <v>1</v>
      </c>
      <c r="AG156" s="174"/>
      <c r="AH156" s="174"/>
      <c r="AI156" s="174"/>
      <c r="AJ156" s="174"/>
      <c r="AK156" s="174">
        <v>1</v>
      </c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>
        <f>SUM(AD156:AV156)</f>
        <v>2</v>
      </c>
      <c r="AX156" s="174">
        <v>975</v>
      </c>
      <c r="AY156" s="204"/>
      <c r="AZ156" s="204"/>
      <c r="BA156" s="204"/>
    </row>
    <row r="157" spans="1:53" x14ac:dyDescent="0.25">
      <c r="A157" s="175" t="s">
        <v>238</v>
      </c>
      <c r="B157" s="174">
        <v>2</v>
      </c>
      <c r="C157" s="174"/>
      <c r="D157" s="174">
        <v>12</v>
      </c>
      <c r="E157" s="174"/>
      <c r="F157" s="174"/>
      <c r="G157" s="174"/>
      <c r="H157" s="174"/>
      <c r="I157" s="174"/>
      <c r="J157" s="174"/>
      <c r="K157" s="174"/>
      <c r="L157" s="174"/>
      <c r="M157" s="174">
        <v>12</v>
      </c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>
        <f>SUM(F157:X157)</f>
        <v>12</v>
      </c>
      <c r="Z157" s="174">
        <v>8</v>
      </c>
      <c r="AA157" s="174"/>
      <c r="AB157" s="174">
        <v>25</v>
      </c>
      <c r="AC157" s="174"/>
      <c r="AD157" s="174"/>
      <c r="AE157" s="174"/>
      <c r="AF157" s="174"/>
      <c r="AG157" s="174"/>
      <c r="AH157" s="174"/>
      <c r="AI157" s="174"/>
      <c r="AJ157" s="174"/>
      <c r="AK157" s="174">
        <v>25</v>
      </c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>
        <f>SUM(AD157:AV157)</f>
        <v>25</v>
      </c>
      <c r="AX157" s="174">
        <v>1080</v>
      </c>
      <c r="AY157" s="204"/>
      <c r="AZ157" s="204"/>
      <c r="BA157" s="204"/>
    </row>
    <row r="158" spans="1:53" x14ac:dyDescent="0.25">
      <c r="A158" s="175" t="s">
        <v>239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204"/>
      <c r="AZ158" s="204"/>
      <c r="BA158" s="204"/>
    </row>
    <row r="159" spans="1:53" x14ac:dyDescent="0.25">
      <c r="A159" s="175" t="s">
        <v>240</v>
      </c>
      <c r="B159" s="174">
        <v>5</v>
      </c>
      <c r="C159" s="174"/>
      <c r="D159" s="174">
        <v>6</v>
      </c>
      <c r="E159" s="174"/>
      <c r="F159" s="174"/>
      <c r="G159" s="174"/>
      <c r="H159" s="174"/>
      <c r="I159" s="174"/>
      <c r="J159" s="174"/>
      <c r="K159" s="174">
        <v>2</v>
      </c>
      <c r="L159" s="174"/>
      <c r="M159" s="174"/>
      <c r="N159" s="174"/>
      <c r="O159" s="174"/>
      <c r="P159" s="174"/>
      <c r="Q159" s="174"/>
      <c r="R159" s="174">
        <v>4</v>
      </c>
      <c r="S159" s="174"/>
      <c r="T159" s="174"/>
      <c r="U159" s="174"/>
      <c r="V159" s="174"/>
      <c r="W159" s="174"/>
      <c r="X159" s="174"/>
      <c r="Y159" s="174">
        <f>SUM(F159:X159)</f>
        <v>6</v>
      </c>
      <c r="Z159" s="174">
        <v>3</v>
      </c>
      <c r="AA159" s="174"/>
      <c r="AB159" s="174">
        <v>4</v>
      </c>
      <c r="AC159" s="174"/>
      <c r="AD159" s="174"/>
      <c r="AE159" s="174"/>
      <c r="AF159" s="174"/>
      <c r="AG159" s="174"/>
      <c r="AH159" s="174"/>
      <c r="AI159" s="174">
        <v>1</v>
      </c>
      <c r="AJ159" s="174"/>
      <c r="AK159" s="174"/>
      <c r="AL159" s="174"/>
      <c r="AM159" s="174"/>
      <c r="AN159" s="174"/>
      <c r="AO159" s="174"/>
      <c r="AP159" s="174">
        <v>3</v>
      </c>
      <c r="AQ159" s="174"/>
      <c r="AR159" s="174"/>
      <c r="AS159" s="174"/>
      <c r="AT159" s="174"/>
      <c r="AU159" s="174"/>
      <c r="AV159" s="174"/>
      <c r="AW159" s="174">
        <f>SUM(AD159:AV159)</f>
        <v>4</v>
      </c>
      <c r="AX159" s="174">
        <v>954</v>
      </c>
      <c r="AY159" s="204"/>
      <c r="AZ159" s="204"/>
      <c r="BA159" s="204"/>
    </row>
    <row r="160" spans="1:53" x14ac:dyDescent="0.25">
      <c r="A160" s="175" t="s">
        <v>241</v>
      </c>
      <c r="B160" s="174">
        <v>7</v>
      </c>
      <c r="C160" s="174"/>
      <c r="D160" s="174">
        <v>12</v>
      </c>
      <c r="E160" s="174"/>
      <c r="F160" s="174"/>
      <c r="G160" s="174"/>
      <c r="H160" s="174">
        <v>4</v>
      </c>
      <c r="I160" s="174"/>
      <c r="J160" s="174"/>
      <c r="K160" s="174">
        <v>2</v>
      </c>
      <c r="L160" s="174"/>
      <c r="M160" s="174"/>
      <c r="N160" s="174"/>
      <c r="O160" s="174"/>
      <c r="P160" s="174"/>
      <c r="Q160" s="174"/>
      <c r="R160" s="174">
        <v>4</v>
      </c>
      <c r="S160" s="174"/>
      <c r="T160" s="174">
        <v>2</v>
      </c>
      <c r="U160" s="174"/>
      <c r="V160" s="174"/>
      <c r="W160" s="174"/>
      <c r="X160" s="174"/>
      <c r="Y160" s="174">
        <f>SUM(F160:X160)</f>
        <v>12</v>
      </c>
      <c r="Z160" s="174">
        <v>6</v>
      </c>
      <c r="AA160" s="174"/>
      <c r="AB160" s="174">
        <v>8</v>
      </c>
      <c r="AC160" s="174"/>
      <c r="AD160" s="174"/>
      <c r="AE160" s="174"/>
      <c r="AF160" s="174">
        <v>2</v>
      </c>
      <c r="AG160" s="174"/>
      <c r="AH160" s="174"/>
      <c r="AI160" s="174">
        <v>2</v>
      </c>
      <c r="AJ160" s="174"/>
      <c r="AK160" s="174"/>
      <c r="AL160" s="174"/>
      <c r="AM160" s="174"/>
      <c r="AN160" s="174"/>
      <c r="AO160" s="174"/>
      <c r="AP160" s="174">
        <v>4</v>
      </c>
      <c r="AQ160" s="174"/>
      <c r="AR160" s="174"/>
      <c r="AS160" s="174"/>
      <c r="AT160" s="174"/>
      <c r="AU160" s="174"/>
      <c r="AV160" s="174"/>
      <c r="AW160" s="174">
        <f>SUM(AD160:AV160)</f>
        <v>8</v>
      </c>
      <c r="AX160" s="174">
        <v>3592.8</v>
      </c>
      <c r="AY160" s="204"/>
      <c r="AZ160" s="204"/>
      <c r="BA160" s="204"/>
    </row>
    <row r="161" spans="1:53" x14ac:dyDescent="0.25">
      <c r="A161" s="175" t="s">
        <v>242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204"/>
      <c r="AZ161" s="204"/>
      <c r="BA161" s="204"/>
    </row>
    <row r="162" spans="1:53" x14ac:dyDescent="0.25">
      <c r="A162" s="175" t="s">
        <v>243</v>
      </c>
      <c r="B162" s="174">
        <v>1</v>
      </c>
      <c r="C162" s="174"/>
      <c r="D162" s="174">
        <v>3</v>
      </c>
      <c r="E162" s="174"/>
      <c r="F162" s="174"/>
      <c r="G162" s="174"/>
      <c r="H162" s="174"/>
      <c r="I162" s="174">
        <v>3</v>
      </c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>
        <f>SUM(F162:X162)</f>
        <v>3</v>
      </c>
      <c r="Z162" s="174">
        <v>1</v>
      </c>
      <c r="AA162" s="174"/>
      <c r="AB162" s="174">
        <v>3</v>
      </c>
      <c r="AC162" s="174"/>
      <c r="AD162" s="174"/>
      <c r="AE162" s="174"/>
      <c r="AF162" s="174"/>
      <c r="AG162" s="174">
        <v>3</v>
      </c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>
        <f>SUM(AD162:AV162)</f>
        <v>3</v>
      </c>
      <c r="AX162" s="174">
        <v>3870.27</v>
      </c>
      <c r="AY162" s="204"/>
      <c r="AZ162" s="204"/>
      <c r="BA162" s="204"/>
    </row>
    <row r="163" spans="1:53" x14ac:dyDescent="0.25">
      <c r="A163" s="175" t="s">
        <v>244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204"/>
      <c r="AZ163" s="204"/>
      <c r="BA163" s="204"/>
    </row>
    <row r="164" spans="1:53" x14ac:dyDescent="0.25">
      <c r="A164" s="175" t="s">
        <v>245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204"/>
      <c r="AZ164" s="204"/>
      <c r="BA164" s="204"/>
    </row>
    <row r="165" spans="1:53" x14ac:dyDescent="0.25">
      <c r="A165" s="175" t="s">
        <v>246</v>
      </c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204"/>
      <c r="AZ165" s="204"/>
      <c r="BA165" s="204"/>
    </row>
    <row r="166" spans="1:53" x14ac:dyDescent="0.25">
      <c r="A166" s="175" t="s">
        <v>247</v>
      </c>
      <c r="B166" s="174">
        <v>8</v>
      </c>
      <c r="C166" s="174"/>
      <c r="D166" s="174">
        <v>36</v>
      </c>
      <c r="E166" s="174"/>
      <c r="F166" s="174"/>
      <c r="G166" s="174"/>
      <c r="H166" s="174"/>
      <c r="I166" s="174"/>
      <c r="J166" s="174">
        <v>34</v>
      </c>
      <c r="K166" s="174"/>
      <c r="L166" s="174">
        <v>1</v>
      </c>
      <c r="M166" s="174"/>
      <c r="N166" s="174"/>
      <c r="O166" s="174"/>
      <c r="P166" s="174"/>
      <c r="Q166" s="174"/>
      <c r="R166" s="174">
        <v>1</v>
      </c>
      <c r="S166" s="174"/>
      <c r="T166" s="174"/>
      <c r="U166" s="174"/>
      <c r="V166" s="174"/>
      <c r="W166" s="174"/>
      <c r="X166" s="174"/>
      <c r="Y166" s="174">
        <f>SUM(F166:X166)</f>
        <v>36</v>
      </c>
      <c r="Z166" s="174">
        <v>6</v>
      </c>
      <c r="AA166" s="174"/>
      <c r="AB166" s="174">
        <v>35</v>
      </c>
      <c r="AC166" s="174"/>
      <c r="AD166" s="174"/>
      <c r="AE166" s="174"/>
      <c r="AF166" s="174">
        <v>11</v>
      </c>
      <c r="AG166" s="174"/>
      <c r="AH166" s="174">
        <v>23</v>
      </c>
      <c r="AI166" s="174"/>
      <c r="AJ166" s="174"/>
      <c r="AK166" s="174"/>
      <c r="AL166" s="174"/>
      <c r="AM166" s="174"/>
      <c r="AN166" s="174"/>
      <c r="AO166" s="174"/>
      <c r="AP166" s="174">
        <v>1</v>
      </c>
      <c r="AQ166" s="174"/>
      <c r="AR166" s="174"/>
      <c r="AS166" s="174"/>
      <c r="AT166" s="174"/>
      <c r="AU166" s="174"/>
      <c r="AV166" s="174"/>
      <c r="AW166" s="174">
        <f>SUM(AD166:AV166)</f>
        <v>35</v>
      </c>
      <c r="AX166" s="174">
        <v>7806.4</v>
      </c>
      <c r="AY166" s="204"/>
      <c r="AZ166" s="204"/>
      <c r="BA166" s="204"/>
    </row>
    <row r="167" spans="1:53" x14ac:dyDescent="0.25">
      <c r="A167" s="175" t="s">
        <v>248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204"/>
      <c r="AZ167" s="204"/>
      <c r="BA167" s="204"/>
    </row>
    <row r="168" spans="1:53" x14ac:dyDescent="0.25">
      <c r="A168" s="175" t="s">
        <v>249</v>
      </c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204"/>
      <c r="AZ168" s="204"/>
      <c r="BA168" s="204"/>
    </row>
    <row r="169" spans="1:53" x14ac:dyDescent="0.25">
      <c r="A169" s="175" t="s">
        <v>250</v>
      </c>
      <c r="B169" s="174">
        <v>5</v>
      </c>
      <c r="C169" s="174"/>
      <c r="D169" s="174">
        <v>10</v>
      </c>
      <c r="E169" s="174"/>
      <c r="F169" s="174"/>
      <c r="G169" s="174"/>
      <c r="H169" s="174">
        <v>8</v>
      </c>
      <c r="I169" s="174"/>
      <c r="J169" s="174"/>
      <c r="K169" s="174"/>
      <c r="L169" s="174">
        <v>2</v>
      </c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>
        <f>SUM(F169:X169)</f>
        <v>10</v>
      </c>
      <c r="Z169" s="174">
        <v>5</v>
      </c>
      <c r="AA169" s="174"/>
      <c r="AB169" s="174">
        <v>9</v>
      </c>
      <c r="AC169" s="174"/>
      <c r="AD169" s="174"/>
      <c r="AE169" s="174"/>
      <c r="AF169" s="174">
        <v>8</v>
      </c>
      <c r="AG169" s="174"/>
      <c r="AH169" s="174"/>
      <c r="AI169" s="174"/>
      <c r="AJ169" s="174">
        <v>1</v>
      </c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>
        <f>SUM(AD169:AV169)</f>
        <v>9</v>
      </c>
      <c r="AX169" s="174">
        <v>2070</v>
      </c>
      <c r="AY169" s="204"/>
      <c r="AZ169" s="204"/>
      <c r="BA169" s="204"/>
    </row>
    <row r="170" spans="1:53" x14ac:dyDescent="0.25">
      <c r="A170" s="175" t="s">
        <v>251</v>
      </c>
      <c r="B170" s="174">
        <v>2</v>
      </c>
      <c r="C170" s="174">
        <v>2</v>
      </c>
      <c r="D170" s="174">
        <v>2</v>
      </c>
      <c r="E170" s="174">
        <v>2</v>
      </c>
      <c r="F170" s="174"/>
      <c r="G170" s="174"/>
      <c r="H170" s="174"/>
      <c r="I170" s="174"/>
      <c r="J170" s="174"/>
      <c r="K170" s="174"/>
      <c r="L170" s="174"/>
      <c r="M170" s="174">
        <v>2</v>
      </c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>
        <f>SUM(F170:X170)</f>
        <v>2</v>
      </c>
      <c r="Z170" s="174">
        <v>2</v>
      </c>
      <c r="AA170" s="174">
        <v>2</v>
      </c>
      <c r="AB170" s="174">
        <v>2</v>
      </c>
      <c r="AC170" s="174">
        <v>2</v>
      </c>
      <c r="AD170" s="174"/>
      <c r="AE170" s="174"/>
      <c r="AF170" s="174"/>
      <c r="AG170" s="174"/>
      <c r="AH170" s="174"/>
      <c r="AI170" s="174"/>
      <c r="AJ170" s="174"/>
      <c r="AK170" s="174">
        <v>2</v>
      </c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>
        <f>SUM(AD170:AV170)</f>
        <v>2</v>
      </c>
      <c r="AX170" s="174">
        <v>2240</v>
      </c>
      <c r="AY170" s="204"/>
      <c r="AZ170" s="204"/>
      <c r="BA170" s="204"/>
    </row>
    <row r="171" spans="1:53" x14ac:dyDescent="0.25">
      <c r="A171" s="175" t="s">
        <v>252</v>
      </c>
      <c r="B171" s="174">
        <v>1</v>
      </c>
      <c r="C171" s="174"/>
      <c r="D171" s="174">
        <v>1</v>
      </c>
      <c r="E171" s="174"/>
      <c r="F171" s="174"/>
      <c r="G171" s="174"/>
      <c r="H171" s="174"/>
      <c r="I171" s="174"/>
      <c r="J171" s="174"/>
      <c r="K171" s="174"/>
      <c r="L171" s="174">
        <v>1</v>
      </c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>
        <f>SUM(F171:X171)</f>
        <v>1</v>
      </c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204"/>
      <c r="AZ171" s="204"/>
      <c r="BA171" s="204"/>
    </row>
    <row r="172" spans="1:53" x14ac:dyDescent="0.25">
      <c r="A172" s="175" t="s">
        <v>253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204"/>
      <c r="AZ172" s="204"/>
      <c r="BA172" s="204"/>
    </row>
    <row r="173" spans="1:53" x14ac:dyDescent="0.25">
      <c r="A173" s="175" t="s">
        <v>254</v>
      </c>
      <c r="B173" s="174">
        <v>5</v>
      </c>
      <c r="C173" s="174"/>
      <c r="D173" s="174">
        <v>6</v>
      </c>
      <c r="E173" s="174"/>
      <c r="F173" s="174"/>
      <c r="G173" s="174"/>
      <c r="H173" s="174"/>
      <c r="I173" s="174"/>
      <c r="J173" s="174"/>
      <c r="K173" s="174"/>
      <c r="L173" s="174">
        <v>6</v>
      </c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>
        <f>SUM(F173:X173)</f>
        <v>6</v>
      </c>
      <c r="Z173" s="174">
        <v>4</v>
      </c>
      <c r="AA173" s="174"/>
      <c r="AB173" s="174">
        <v>6</v>
      </c>
      <c r="AC173" s="174"/>
      <c r="AD173" s="174"/>
      <c r="AE173" s="174"/>
      <c r="AF173" s="174"/>
      <c r="AG173" s="174"/>
      <c r="AH173" s="174"/>
      <c r="AI173" s="174"/>
      <c r="AJ173" s="174">
        <v>6</v>
      </c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>
        <f>SUM(AD173:AV173)</f>
        <v>6</v>
      </c>
      <c r="AX173" s="174">
        <v>7981</v>
      </c>
      <c r="AY173" s="204"/>
      <c r="AZ173" s="204"/>
      <c r="BA173" s="204"/>
    </row>
    <row r="174" spans="1:53" x14ac:dyDescent="0.25">
      <c r="A174" s="175" t="s">
        <v>255</v>
      </c>
      <c r="B174" s="174">
        <v>72</v>
      </c>
      <c r="C174" s="174"/>
      <c r="D174" s="174">
        <v>185</v>
      </c>
      <c r="E174" s="174"/>
      <c r="F174" s="174"/>
      <c r="G174" s="174"/>
      <c r="H174" s="174">
        <v>16</v>
      </c>
      <c r="I174" s="174"/>
      <c r="J174" s="174"/>
      <c r="K174" s="174">
        <v>96</v>
      </c>
      <c r="L174" s="174">
        <v>15</v>
      </c>
      <c r="M174" s="174">
        <v>2</v>
      </c>
      <c r="N174" s="174">
        <v>3</v>
      </c>
      <c r="O174" s="174">
        <v>2</v>
      </c>
      <c r="P174" s="174">
        <v>3</v>
      </c>
      <c r="Q174" s="174">
        <v>42</v>
      </c>
      <c r="R174" s="174">
        <v>3</v>
      </c>
      <c r="S174" s="174"/>
      <c r="T174" s="174">
        <v>2</v>
      </c>
      <c r="U174" s="174"/>
      <c r="V174" s="174">
        <v>1</v>
      </c>
      <c r="W174" s="174"/>
      <c r="X174" s="174"/>
      <c r="Y174" s="174">
        <f>SUM(F174:X174)</f>
        <v>185</v>
      </c>
      <c r="Z174" s="174">
        <v>73</v>
      </c>
      <c r="AA174" s="174"/>
      <c r="AB174" s="174">
        <v>145</v>
      </c>
      <c r="AC174" s="174"/>
      <c r="AD174" s="174"/>
      <c r="AE174" s="174"/>
      <c r="AF174" s="174">
        <v>18</v>
      </c>
      <c r="AG174" s="174"/>
      <c r="AH174" s="174">
        <v>6</v>
      </c>
      <c r="AI174" s="174">
        <v>75</v>
      </c>
      <c r="AJ174" s="174">
        <v>5</v>
      </c>
      <c r="AK174" s="174"/>
      <c r="AL174" s="174">
        <v>1</v>
      </c>
      <c r="AM174" s="174">
        <v>1</v>
      </c>
      <c r="AN174" s="174">
        <v>2</v>
      </c>
      <c r="AO174" s="174">
        <v>36</v>
      </c>
      <c r="AP174" s="174"/>
      <c r="AQ174" s="174"/>
      <c r="AR174" s="174"/>
      <c r="AS174" s="174"/>
      <c r="AT174" s="174">
        <v>1</v>
      </c>
      <c r="AU174" s="174"/>
      <c r="AV174" s="174"/>
      <c r="AW174" s="174">
        <f>SUM(AD174:AV174)</f>
        <v>145</v>
      </c>
      <c r="AX174" s="174">
        <v>3724.2063157894736</v>
      </c>
      <c r="AY174" s="204"/>
      <c r="AZ174" s="204"/>
      <c r="BA174" s="204"/>
    </row>
    <row r="175" spans="1:53" x14ac:dyDescent="0.25">
      <c r="A175" s="175" t="s">
        <v>256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204"/>
      <c r="AZ175" s="204"/>
      <c r="BA175" s="204"/>
    </row>
    <row r="176" spans="1:53" x14ac:dyDescent="0.25">
      <c r="A176" s="175" t="s">
        <v>257</v>
      </c>
      <c r="B176" s="174">
        <v>1</v>
      </c>
      <c r="C176" s="174">
        <v>1</v>
      </c>
      <c r="D176" s="174">
        <v>1</v>
      </c>
      <c r="E176" s="174">
        <v>1</v>
      </c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>
        <v>1</v>
      </c>
      <c r="W176" s="174"/>
      <c r="X176" s="174"/>
      <c r="Y176" s="174">
        <f>SUM(F176:X176)</f>
        <v>1</v>
      </c>
      <c r="Z176" s="174">
        <v>1</v>
      </c>
      <c r="AA176" s="174">
        <v>1</v>
      </c>
      <c r="AB176" s="174">
        <v>1</v>
      </c>
      <c r="AC176" s="174">
        <v>1</v>
      </c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>
        <v>1</v>
      </c>
      <c r="AU176" s="174"/>
      <c r="AV176" s="174"/>
      <c r="AW176" s="174">
        <f>SUM(AD176:AV176)</f>
        <v>1</v>
      </c>
      <c r="AX176" s="174">
        <v>11400</v>
      </c>
      <c r="AY176" s="204"/>
      <c r="AZ176" s="204"/>
      <c r="BA176" s="204"/>
    </row>
    <row r="177" spans="1:53" x14ac:dyDescent="0.25">
      <c r="A177" s="175" t="s">
        <v>258</v>
      </c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204"/>
      <c r="AZ177" s="204"/>
      <c r="BA177" s="204"/>
    </row>
    <row r="178" spans="1:53" x14ac:dyDescent="0.25">
      <c r="A178" s="173" t="s">
        <v>44</v>
      </c>
      <c r="B178" s="174">
        <f t="shared" ref="B178:X178" si="30">SUM(B179:B180)</f>
        <v>8</v>
      </c>
      <c r="C178" s="174">
        <f t="shared" si="30"/>
        <v>1</v>
      </c>
      <c r="D178" s="174">
        <f t="shared" si="30"/>
        <v>17</v>
      </c>
      <c r="E178" s="174">
        <f t="shared" si="30"/>
        <v>1</v>
      </c>
      <c r="F178" s="174">
        <f t="shared" si="30"/>
        <v>0</v>
      </c>
      <c r="G178" s="174">
        <f t="shared" si="30"/>
        <v>0</v>
      </c>
      <c r="H178" s="174">
        <f t="shared" si="30"/>
        <v>8</v>
      </c>
      <c r="I178" s="174">
        <f t="shared" si="30"/>
        <v>0</v>
      </c>
      <c r="J178" s="174">
        <f t="shared" si="30"/>
        <v>0</v>
      </c>
      <c r="K178" s="174">
        <f t="shared" si="30"/>
        <v>3</v>
      </c>
      <c r="L178" s="174">
        <f t="shared" si="30"/>
        <v>0</v>
      </c>
      <c r="M178" s="174">
        <f t="shared" si="30"/>
        <v>1</v>
      </c>
      <c r="N178" s="174">
        <f t="shared" si="30"/>
        <v>0</v>
      </c>
      <c r="O178" s="174">
        <f t="shared" si="30"/>
        <v>0</v>
      </c>
      <c r="P178" s="174">
        <f t="shared" si="30"/>
        <v>0</v>
      </c>
      <c r="Q178" s="174">
        <f t="shared" si="30"/>
        <v>0</v>
      </c>
      <c r="R178" s="174">
        <f t="shared" si="30"/>
        <v>0</v>
      </c>
      <c r="S178" s="174">
        <f t="shared" si="30"/>
        <v>0</v>
      </c>
      <c r="T178" s="174">
        <f t="shared" si="30"/>
        <v>1</v>
      </c>
      <c r="U178" s="174">
        <f t="shared" si="30"/>
        <v>2</v>
      </c>
      <c r="V178" s="174">
        <f t="shared" si="30"/>
        <v>0</v>
      </c>
      <c r="W178" s="174">
        <f t="shared" si="30"/>
        <v>2</v>
      </c>
      <c r="X178" s="174">
        <f t="shared" si="30"/>
        <v>0</v>
      </c>
      <c r="Y178" s="174"/>
      <c r="Z178" s="174">
        <f>Z179+Z180</f>
        <v>5</v>
      </c>
      <c r="AA178" s="174"/>
      <c r="AB178" s="174">
        <f>AB179+AB180</f>
        <v>8</v>
      </c>
      <c r="AC178" s="174"/>
      <c r="AD178" s="174">
        <f t="shared" ref="AD178:AV178" si="31">AD179+AD180</f>
        <v>0</v>
      </c>
      <c r="AE178" s="174">
        <f t="shared" si="31"/>
        <v>0</v>
      </c>
      <c r="AF178" s="174">
        <f t="shared" si="31"/>
        <v>5</v>
      </c>
      <c r="AG178" s="174">
        <f t="shared" si="31"/>
        <v>0</v>
      </c>
      <c r="AH178" s="174">
        <f t="shared" si="31"/>
        <v>0</v>
      </c>
      <c r="AI178" s="174">
        <f t="shared" si="31"/>
        <v>0</v>
      </c>
      <c r="AJ178" s="174">
        <f t="shared" si="31"/>
        <v>0</v>
      </c>
      <c r="AK178" s="174">
        <f t="shared" si="31"/>
        <v>1</v>
      </c>
      <c r="AL178" s="174">
        <f t="shared" si="31"/>
        <v>0</v>
      </c>
      <c r="AM178" s="174">
        <f t="shared" si="31"/>
        <v>0</v>
      </c>
      <c r="AN178" s="174">
        <f t="shared" si="31"/>
        <v>0</v>
      </c>
      <c r="AO178" s="174">
        <f t="shared" si="31"/>
        <v>0</v>
      </c>
      <c r="AP178" s="174">
        <f t="shared" si="31"/>
        <v>0</v>
      </c>
      <c r="AQ178" s="174">
        <f t="shared" si="31"/>
        <v>0</v>
      </c>
      <c r="AR178" s="174">
        <f t="shared" si="31"/>
        <v>0</v>
      </c>
      <c r="AS178" s="174">
        <f t="shared" si="31"/>
        <v>2</v>
      </c>
      <c r="AT178" s="174">
        <f t="shared" si="31"/>
        <v>0</v>
      </c>
      <c r="AU178" s="174">
        <f t="shared" si="31"/>
        <v>0</v>
      </c>
      <c r="AV178" s="174">
        <f t="shared" si="31"/>
        <v>0</v>
      </c>
      <c r="AW178" s="174"/>
      <c r="AX178" s="221"/>
      <c r="AY178" s="184">
        <f>Z178*100/B178</f>
        <v>62.5</v>
      </c>
      <c r="AZ178" s="174">
        <f>B178-Z178</f>
        <v>3</v>
      </c>
      <c r="BA178" s="184">
        <f>AZ178*100/B178</f>
        <v>37.5</v>
      </c>
    </row>
    <row r="179" spans="1:53" x14ac:dyDescent="0.25">
      <c r="A179" s="175" t="s">
        <v>128</v>
      </c>
      <c r="B179" s="174">
        <v>8</v>
      </c>
      <c r="C179" s="174">
        <v>1</v>
      </c>
      <c r="D179" s="174">
        <v>17</v>
      </c>
      <c r="E179" s="174">
        <v>1</v>
      </c>
      <c r="F179" s="174"/>
      <c r="G179" s="174"/>
      <c r="H179" s="174">
        <v>8</v>
      </c>
      <c r="I179" s="174"/>
      <c r="J179" s="174"/>
      <c r="K179" s="174">
        <v>3</v>
      </c>
      <c r="L179" s="174"/>
      <c r="M179" s="174">
        <v>1</v>
      </c>
      <c r="N179" s="174"/>
      <c r="O179" s="174"/>
      <c r="P179" s="174"/>
      <c r="Q179" s="174"/>
      <c r="R179" s="174"/>
      <c r="S179" s="174"/>
      <c r="T179" s="174">
        <v>1</v>
      </c>
      <c r="U179" s="174">
        <v>2</v>
      </c>
      <c r="V179" s="174"/>
      <c r="W179" s="174">
        <v>2</v>
      </c>
      <c r="X179" s="174"/>
      <c r="Y179" s="174">
        <f>SUM(F179:X179)</f>
        <v>17</v>
      </c>
      <c r="Z179" s="174">
        <v>5</v>
      </c>
      <c r="AA179" s="174"/>
      <c r="AB179" s="174">
        <v>8</v>
      </c>
      <c r="AC179" s="174"/>
      <c r="AD179" s="174"/>
      <c r="AE179" s="174"/>
      <c r="AF179" s="174">
        <v>5</v>
      </c>
      <c r="AG179" s="174"/>
      <c r="AH179" s="174"/>
      <c r="AI179" s="174"/>
      <c r="AJ179" s="174"/>
      <c r="AK179" s="174">
        <v>1</v>
      </c>
      <c r="AL179" s="174"/>
      <c r="AM179" s="174"/>
      <c r="AN179" s="174"/>
      <c r="AO179" s="174"/>
      <c r="AP179" s="174"/>
      <c r="AQ179" s="174"/>
      <c r="AR179" s="174"/>
      <c r="AS179" s="174">
        <v>2</v>
      </c>
      <c r="AT179" s="174"/>
      <c r="AU179" s="174"/>
      <c r="AV179" s="174"/>
      <c r="AW179" s="174">
        <f>SUM(AD179:AV179)</f>
        <v>8</v>
      </c>
      <c r="AX179" s="174">
        <v>3843.3333333333335</v>
      </c>
      <c r="AY179" s="204"/>
      <c r="AZ179" s="204"/>
      <c r="BA179" s="204"/>
    </row>
    <row r="180" spans="1:53" x14ac:dyDescent="0.25">
      <c r="A180" s="175" t="s">
        <v>129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204"/>
      <c r="AZ180" s="204"/>
      <c r="BA180" s="204"/>
    </row>
    <row r="181" spans="1:53" x14ac:dyDescent="0.25">
      <c r="A181" s="173" t="s">
        <v>45</v>
      </c>
      <c r="B181" s="174">
        <f t="shared" ref="B181:X181" si="32">B182+B183+B184+B185+B186+B187+B188+B189+B190+B191+B192+B193+B194</f>
        <v>226</v>
      </c>
      <c r="C181" s="174">
        <f t="shared" si="32"/>
        <v>129</v>
      </c>
      <c r="D181" s="174">
        <f t="shared" si="32"/>
        <v>772</v>
      </c>
      <c r="E181" s="174">
        <f t="shared" si="32"/>
        <v>520</v>
      </c>
      <c r="F181" s="174">
        <f t="shared" si="32"/>
        <v>0</v>
      </c>
      <c r="G181" s="174">
        <f t="shared" si="32"/>
        <v>0</v>
      </c>
      <c r="H181" s="174">
        <f t="shared" si="32"/>
        <v>0</v>
      </c>
      <c r="I181" s="174">
        <f t="shared" si="32"/>
        <v>0</v>
      </c>
      <c r="J181" s="174">
        <f t="shared" si="32"/>
        <v>0</v>
      </c>
      <c r="K181" s="174">
        <f t="shared" si="32"/>
        <v>0</v>
      </c>
      <c r="L181" s="174">
        <f t="shared" si="32"/>
        <v>0</v>
      </c>
      <c r="M181" s="174">
        <f t="shared" si="32"/>
        <v>0</v>
      </c>
      <c r="N181" s="174">
        <f t="shared" si="32"/>
        <v>0</v>
      </c>
      <c r="O181" s="174">
        <f t="shared" si="32"/>
        <v>0</v>
      </c>
      <c r="P181" s="174">
        <f t="shared" si="32"/>
        <v>0</v>
      </c>
      <c r="Q181" s="174">
        <f t="shared" si="32"/>
        <v>0</v>
      </c>
      <c r="R181" s="174">
        <f t="shared" si="32"/>
        <v>25</v>
      </c>
      <c r="S181" s="174">
        <f t="shared" si="32"/>
        <v>0</v>
      </c>
      <c r="T181" s="174">
        <f t="shared" si="32"/>
        <v>3</v>
      </c>
      <c r="U181" s="174">
        <f t="shared" si="32"/>
        <v>318</v>
      </c>
      <c r="V181" s="174">
        <f t="shared" si="32"/>
        <v>311</v>
      </c>
      <c r="W181" s="174">
        <f t="shared" si="32"/>
        <v>0</v>
      </c>
      <c r="X181" s="174">
        <f t="shared" si="32"/>
        <v>115</v>
      </c>
      <c r="Y181" s="174">
        <f t="shared" ref="Y181:Y191" si="33">SUM(F181:X181)</f>
        <v>772</v>
      </c>
      <c r="Z181" s="174">
        <f t="shared" ref="Z181:AV181" si="34">Z182+Z183+Z184+Z185+Z186+Z187+Z188+Z189+Z190+Z191+Z192+Z193+Z194</f>
        <v>154</v>
      </c>
      <c r="AA181" s="174">
        <f t="shared" si="34"/>
        <v>90</v>
      </c>
      <c r="AB181" s="174">
        <f t="shared" si="34"/>
        <v>636</v>
      </c>
      <c r="AC181" s="174">
        <f t="shared" si="34"/>
        <v>451</v>
      </c>
      <c r="AD181" s="174">
        <f t="shared" si="34"/>
        <v>0</v>
      </c>
      <c r="AE181" s="174">
        <f t="shared" si="34"/>
        <v>0</v>
      </c>
      <c r="AF181" s="174">
        <f t="shared" si="34"/>
        <v>0</v>
      </c>
      <c r="AG181" s="174">
        <f t="shared" si="34"/>
        <v>0</v>
      </c>
      <c r="AH181" s="174">
        <f t="shared" si="34"/>
        <v>0</v>
      </c>
      <c r="AI181" s="174">
        <f t="shared" si="34"/>
        <v>0</v>
      </c>
      <c r="AJ181" s="174">
        <f t="shared" si="34"/>
        <v>0</v>
      </c>
      <c r="AK181" s="174">
        <f t="shared" si="34"/>
        <v>0</v>
      </c>
      <c r="AL181" s="174">
        <f t="shared" si="34"/>
        <v>0</v>
      </c>
      <c r="AM181" s="174">
        <f t="shared" si="34"/>
        <v>0</v>
      </c>
      <c r="AN181" s="174">
        <f t="shared" si="34"/>
        <v>0</v>
      </c>
      <c r="AO181" s="174">
        <f t="shared" si="34"/>
        <v>0</v>
      </c>
      <c r="AP181" s="174">
        <f t="shared" si="34"/>
        <v>30</v>
      </c>
      <c r="AQ181" s="174">
        <f t="shared" si="34"/>
        <v>0</v>
      </c>
      <c r="AR181" s="174">
        <f t="shared" si="34"/>
        <v>0</v>
      </c>
      <c r="AS181" s="174">
        <f t="shared" si="34"/>
        <v>277</v>
      </c>
      <c r="AT181" s="174">
        <f t="shared" si="34"/>
        <v>294</v>
      </c>
      <c r="AU181" s="174">
        <f t="shared" si="34"/>
        <v>0</v>
      </c>
      <c r="AV181" s="174">
        <f t="shared" si="34"/>
        <v>35</v>
      </c>
      <c r="AW181" s="174">
        <f t="shared" ref="AW181:AW189" si="35">SUM(AD181:AV181)</f>
        <v>636</v>
      </c>
      <c r="AX181" s="221"/>
      <c r="AY181" s="184">
        <f>Z181*100/B181</f>
        <v>68.141592920353986</v>
      </c>
      <c r="AZ181" s="174">
        <f>B181-Z181</f>
        <v>72</v>
      </c>
      <c r="BA181" s="184">
        <f>AZ181*100/B181</f>
        <v>31.858407079646017</v>
      </c>
    </row>
    <row r="182" spans="1:53" x14ac:dyDescent="0.25">
      <c r="A182" s="175" t="s">
        <v>259</v>
      </c>
      <c r="B182" s="174">
        <v>125</v>
      </c>
      <c r="C182" s="174">
        <v>72</v>
      </c>
      <c r="D182" s="174">
        <v>533</v>
      </c>
      <c r="E182" s="174">
        <v>396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>
        <v>18</v>
      </c>
      <c r="S182" s="174"/>
      <c r="T182" s="174">
        <v>3</v>
      </c>
      <c r="U182" s="174">
        <v>196</v>
      </c>
      <c r="V182" s="174">
        <v>229</v>
      </c>
      <c r="W182" s="174"/>
      <c r="X182" s="174">
        <v>87</v>
      </c>
      <c r="Y182" s="174">
        <f t="shared" si="33"/>
        <v>533</v>
      </c>
      <c r="Z182" s="174">
        <v>85</v>
      </c>
      <c r="AA182" s="174">
        <v>54</v>
      </c>
      <c r="AB182" s="174">
        <v>482</v>
      </c>
      <c r="AC182" s="174">
        <v>364</v>
      </c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>
        <v>28</v>
      </c>
      <c r="AQ182" s="174"/>
      <c r="AR182" s="174"/>
      <c r="AS182" s="174">
        <v>198</v>
      </c>
      <c r="AT182" s="174">
        <v>240</v>
      </c>
      <c r="AU182" s="174"/>
      <c r="AV182" s="174">
        <v>16</v>
      </c>
      <c r="AW182" s="174">
        <f t="shared" si="35"/>
        <v>482</v>
      </c>
      <c r="AX182" s="174">
        <v>2735.0130434782609</v>
      </c>
      <c r="AY182" s="204"/>
      <c r="AZ182" s="204"/>
      <c r="BA182" s="204"/>
    </row>
    <row r="183" spans="1:53" x14ac:dyDescent="0.25">
      <c r="A183" s="175" t="s">
        <v>260</v>
      </c>
      <c r="B183" s="174">
        <v>45</v>
      </c>
      <c r="C183" s="174">
        <v>16</v>
      </c>
      <c r="D183" s="174">
        <v>126</v>
      </c>
      <c r="E183" s="174">
        <v>58</v>
      </c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>
        <v>6</v>
      </c>
      <c r="S183" s="174"/>
      <c r="T183" s="174"/>
      <c r="U183" s="174">
        <v>69</v>
      </c>
      <c r="V183" s="174">
        <v>36</v>
      </c>
      <c r="W183" s="174"/>
      <c r="X183" s="174">
        <v>15</v>
      </c>
      <c r="Y183" s="174">
        <f t="shared" si="33"/>
        <v>126</v>
      </c>
      <c r="Z183" s="174">
        <v>36</v>
      </c>
      <c r="AA183" s="174">
        <v>13</v>
      </c>
      <c r="AB183" s="174">
        <v>77</v>
      </c>
      <c r="AC183" s="174">
        <v>44</v>
      </c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>
        <v>2</v>
      </c>
      <c r="AQ183" s="174"/>
      <c r="AR183" s="174"/>
      <c r="AS183" s="174">
        <v>50</v>
      </c>
      <c r="AT183" s="174">
        <v>17</v>
      </c>
      <c r="AU183" s="174"/>
      <c r="AV183" s="174">
        <v>8</v>
      </c>
      <c r="AW183" s="174">
        <f t="shared" si="35"/>
        <v>77</v>
      </c>
      <c r="AX183" s="174">
        <v>2912.5239999999999</v>
      </c>
      <c r="AY183" s="204"/>
      <c r="AZ183" s="204"/>
      <c r="BA183" s="204"/>
    </row>
    <row r="184" spans="1:53" x14ac:dyDescent="0.25">
      <c r="A184" s="175" t="s">
        <v>261</v>
      </c>
      <c r="B184" s="174">
        <v>17</v>
      </c>
      <c r="C184" s="174">
        <v>14</v>
      </c>
      <c r="D184" s="174">
        <v>23</v>
      </c>
      <c r="E184" s="174">
        <v>19</v>
      </c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>
        <v>20</v>
      </c>
      <c r="V184" s="174">
        <v>1</v>
      </c>
      <c r="W184" s="174"/>
      <c r="X184" s="174">
        <v>2</v>
      </c>
      <c r="Y184" s="174">
        <f t="shared" si="33"/>
        <v>23</v>
      </c>
      <c r="Z184" s="174">
        <v>10</v>
      </c>
      <c r="AA184" s="174">
        <v>8</v>
      </c>
      <c r="AB184" s="174">
        <v>14</v>
      </c>
      <c r="AC184" s="174">
        <v>11</v>
      </c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>
        <v>13</v>
      </c>
      <c r="AT184" s="174"/>
      <c r="AU184" s="174"/>
      <c r="AV184" s="174">
        <v>1</v>
      </c>
      <c r="AW184" s="174">
        <f t="shared" si="35"/>
        <v>14</v>
      </c>
      <c r="AX184" s="174">
        <v>2270.4</v>
      </c>
      <c r="AY184" s="204"/>
      <c r="AZ184" s="204"/>
      <c r="BA184" s="204"/>
    </row>
    <row r="185" spans="1:53" x14ac:dyDescent="0.25">
      <c r="A185" s="175" t="s">
        <v>262</v>
      </c>
      <c r="B185" s="174">
        <v>4</v>
      </c>
      <c r="C185" s="174">
        <v>3</v>
      </c>
      <c r="D185" s="174">
        <v>11</v>
      </c>
      <c r="E185" s="174">
        <v>7</v>
      </c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>
        <v>3</v>
      </c>
      <c r="V185" s="174">
        <v>4</v>
      </c>
      <c r="W185" s="174"/>
      <c r="X185" s="174">
        <v>4</v>
      </c>
      <c r="Y185" s="174">
        <f t="shared" si="33"/>
        <v>11</v>
      </c>
      <c r="Z185" s="174">
        <v>4</v>
      </c>
      <c r="AA185" s="174">
        <v>3</v>
      </c>
      <c r="AB185" s="174">
        <v>11</v>
      </c>
      <c r="AC185" s="174">
        <v>7</v>
      </c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>
        <v>3</v>
      </c>
      <c r="AT185" s="174">
        <v>4</v>
      </c>
      <c r="AU185" s="174"/>
      <c r="AV185" s="174">
        <v>4</v>
      </c>
      <c r="AW185" s="174">
        <f t="shared" si="35"/>
        <v>11</v>
      </c>
      <c r="AX185" s="174">
        <v>4471.8999999999996</v>
      </c>
      <c r="AY185" s="204"/>
      <c r="AZ185" s="204"/>
      <c r="BA185" s="204"/>
    </row>
    <row r="186" spans="1:53" x14ac:dyDescent="0.25">
      <c r="A186" s="175" t="s">
        <v>263</v>
      </c>
      <c r="B186" s="174">
        <v>2</v>
      </c>
      <c r="C186" s="174">
        <v>2</v>
      </c>
      <c r="D186" s="174">
        <v>2</v>
      </c>
      <c r="E186" s="174">
        <v>2</v>
      </c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>
        <v>2</v>
      </c>
      <c r="W186" s="174"/>
      <c r="X186" s="174"/>
      <c r="Y186" s="174">
        <f t="shared" si="33"/>
        <v>2</v>
      </c>
      <c r="Z186" s="174">
        <v>1</v>
      </c>
      <c r="AA186" s="174">
        <v>1</v>
      </c>
      <c r="AB186" s="174">
        <v>1</v>
      </c>
      <c r="AC186" s="174">
        <v>1</v>
      </c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>
        <v>1</v>
      </c>
      <c r="AU186" s="174"/>
      <c r="AV186" s="174"/>
      <c r="AW186" s="174">
        <f t="shared" si="35"/>
        <v>1</v>
      </c>
      <c r="AX186" s="174">
        <v>896</v>
      </c>
      <c r="AY186" s="204"/>
      <c r="AZ186" s="204"/>
      <c r="BA186" s="204"/>
    </row>
    <row r="187" spans="1:53" x14ac:dyDescent="0.25">
      <c r="A187" s="175" t="s">
        <v>264</v>
      </c>
      <c r="B187" s="174">
        <v>2</v>
      </c>
      <c r="C187" s="174"/>
      <c r="D187" s="174">
        <v>11</v>
      </c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>
        <v>10</v>
      </c>
      <c r="W187" s="174"/>
      <c r="X187" s="174">
        <v>1</v>
      </c>
      <c r="Y187" s="174">
        <f t="shared" si="33"/>
        <v>11</v>
      </c>
      <c r="Z187" s="174">
        <v>1</v>
      </c>
      <c r="AA187" s="174"/>
      <c r="AB187" s="174">
        <v>1</v>
      </c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>
        <v>1</v>
      </c>
      <c r="AW187" s="174">
        <f t="shared" si="35"/>
        <v>1</v>
      </c>
      <c r="AX187" s="174">
        <v>2232</v>
      </c>
      <c r="AY187" s="204"/>
      <c r="AZ187" s="204"/>
      <c r="BA187" s="204"/>
    </row>
    <row r="188" spans="1:53" x14ac:dyDescent="0.25">
      <c r="A188" s="175" t="s">
        <v>265</v>
      </c>
      <c r="B188" s="174">
        <v>9</v>
      </c>
      <c r="C188" s="174">
        <v>6</v>
      </c>
      <c r="D188" s="174">
        <v>18</v>
      </c>
      <c r="E188" s="174">
        <v>11</v>
      </c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>
        <v>11</v>
      </c>
      <c r="V188" s="174">
        <v>4</v>
      </c>
      <c r="W188" s="174"/>
      <c r="X188" s="174">
        <v>3</v>
      </c>
      <c r="Y188" s="174">
        <f t="shared" si="33"/>
        <v>18</v>
      </c>
      <c r="Z188" s="174">
        <v>5</v>
      </c>
      <c r="AA188" s="174">
        <v>3</v>
      </c>
      <c r="AB188" s="174">
        <v>10</v>
      </c>
      <c r="AC188" s="174">
        <v>7</v>
      </c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>
        <v>4</v>
      </c>
      <c r="AT188" s="174">
        <v>4</v>
      </c>
      <c r="AU188" s="174"/>
      <c r="AV188" s="174">
        <v>2</v>
      </c>
      <c r="AW188" s="174">
        <f t="shared" si="35"/>
        <v>10</v>
      </c>
      <c r="AX188" s="174">
        <v>3570</v>
      </c>
      <c r="AY188" s="204"/>
      <c r="AZ188" s="204"/>
      <c r="BA188" s="204"/>
    </row>
    <row r="189" spans="1:53" x14ac:dyDescent="0.25">
      <c r="A189" s="175" t="s">
        <v>266</v>
      </c>
      <c r="B189" s="174">
        <v>10</v>
      </c>
      <c r="C189" s="174">
        <v>6</v>
      </c>
      <c r="D189" s="174">
        <v>29</v>
      </c>
      <c r="E189" s="174">
        <v>10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>
        <v>1</v>
      </c>
      <c r="S189" s="174"/>
      <c r="T189" s="174"/>
      <c r="U189" s="174">
        <v>12</v>
      </c>
      <c r="V189" s="174">
        <v>15</v>
      </c>
      <c r="W189" s="174"/>
      <c r="X189" s="174">
        <v>1</v>
      </c>
      <c r="Y189" s="174">
        <f t="shared" si="33"/>
        <v>29</v>
      </c>
      <c r="Z189" s="174">
        <v>7</v>
      </c>
      <c r="AA189" s="174">
        <v>5</v>
      </c>
      <c r="AB189" s="174">
        <v>22</v>
      </c>
      <c r="AC189" s="174">
        <v>7</v>
      </c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>
        <v>6</v>
      </c>
      <c r="AT189" s="174">
        <v>15</v>
      </c>
      <c r="AU189" s="174"/>
      <c r="AV189" s="174">
        <v>1</v>
      </c>
      <c r="AW189" s="174">
        <f t="shared" si="35"/>
        <v>22</v>
      </c>
      <c r="AX189" s="174">
        <v>2569.9050000000002</v>
      </c>
      <c r="AY189" s="204"/>
      <c r="AZ189" s="204"/>
      <c r="BA189" s="204"/>
    </row>
    <row r="190" spans="1:53" x14ac:dyDescent="0.25">
      <c r="A190" s="175" t="s">
        <v>267</v>
      </c>
      <c r="B190" s="174">
        <v>2</v>
      </c>
      <c r="C190" s="174">
        <v>2</v>
      </c>
      <c r="D190" s="174">
        <v>2</v>
      </c>
      <c r="E190" s="174">
        <v>2</v>
      </c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>
        <v>2</v>
      </c>
      <c r="V190" s="174"/>
      <c r="W190" s="174"/>
      <c r="X190" s="174"/>
      <c r="Y190" s="174">
        <f t="shared" si="33"/>
        <v>2</v>
      </c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204"/>
      <c r="AZ190" s="204"/>
      <c r="BA190" s="204"/>
    </row>
    <row r="191" spans="1:53" x14ac:dyDescent="0.25">
      <c r="A191" s="175" t="s">
        <v>268</v>
      </c>
      <c r="B191" s="174">
        <v>4</v>
      </c>
      <c r="C191" s="174">
        <v>4</v>
      </c>
      <c r="D191" s="174">
        <v>4</v>
      </c>
      <c r="E191" s="174">
        <v>4</v>
      </c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>
        <v>3</v>
      </c>
      <c r="V191" s="174">
        <v>1</v>
      </c>
      <c r="W191" s="174"/>
      <c r="X191" s="174"/>
      <c r="Y191" s="174">
        <f t="shared" si="33"/>
        <v>4</v>
      </c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204"/>
      <c r="AZ191" s="204"/>
      <c r="BA191" s="204"/>
    </row>
    <row r="192" spans="1:53" x14ac:dyDescent="0.25">
      <c r="A192" s="175" t="s">
        <v>269</v>
      </c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204"/>
      <c r="AZ192" s="204"/>
      <c r="BA192" s="204"/>
    </row>
    <row r="193" spans="1:53" x14ac:dyDescent="0.25">
      <c r="A193" s="175" t="s">
        <v>270</v>
      </c>
      <c r="B193" s="174">
        <v>6</v>
      </c>
      <c r="C193" s="174">
        <v>4</v>
      </c>
      <c r="D193" s="174">
        <v>13</v>
      </c>
      <c r="E193" s="174">
        <v>11</v>
      </c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>
        <v>2</v>
      </c>
      <c r="V193" s="174">
        <v>9</v>
      </c>
      <c r="W193" s="174"/>
      <c r="X193" s="174">
        <v>2</v>
      </c>
      <c r="Y193" s="174">
        <f>SUM(F193:X193)</f>
        <v>13</v>
      </c>
      <c r="Z193" s="174">
        <v>5</v>
      </c>
      <c r="AA193" s="174">
        <v>3</v>
      </c>
      <c r="AB193" s="174">
        <v>18</v>
      </c>
      <c r="AC193" s="174">
        <v>10</v>
      </c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>
        <v>3</v>
      </c>
      <c r="AT193" s="174">
        <v>13</v>
      </c>
      <c r="AU193" s="174"/>
      <c r="AV193" s="174">
        <v>2</v>
      </c>
      <c r="AW193" s="174">
        <f>SUM(AD193:AV193)</f>
        <v>18</v>
      </c>
      <c r="AX193" s="174">
        <v>6586.666666666667</v>
      </c>
      <c r="AY193" s="204"/>
      <c r="AZ193" s="204"/>
      <c r="BA193" s="204"/>
    </row>
    <row r="194" spans="1:53" x14ac:dyDescent="0.25">
      <c r="A194" s="175" t="s">
        <v>271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204"/>
      <c r="AZ194" s="204"/>
      <c r="BA194" s="204"/>
    </row>
    <row r="195" spans="1:53" x14ac:dyDescent="0.25">
      <c r="A195" s="173" t="s">
        <v>46</v>
      </c>
      <c r="B195" s="174">
        <f t="shared" ref="B195:X195" si="36">SUM(B196:B222)</f>
        <v>45</v>
      </c>
      <c r="C195" s="174">
        <f t="shared" si="36"/>
        <v>27</v>
      </c>
      <c r="D195" s="174">
        <f t="shared" si="36"/>
        <v>287</v>
      </c>
      <c r="E195" s="174">
        <f t="shared" si="36"/>
        <v>233</v>
      </c>
      <c r="F195" s="174">
        <f t="shared" si="36"/>
        <v>0</v>
      </c>
      <c r="G195" s="174">
        <f t="shared" si="36"/>
        <v>0</v>
      </c>
      <c r="H195" s="174">
        <f t="shared" si="36"/>
        <v>0</v>
      </c>
      <c r="I195" s="174">
        <f t="shared" si="36"/>
        <v>0</v>
      </c>
      <c r="J195" s="174">
        <f t="shared" si="36"/>
        <v>0</v>
      </c>
      <c r="K195" s="174">
        <f t="shared" si="36"/>
        <v>0</v>
      </c>
      <c r="L195" s="174">
        <f t="shared" si="36"/>
        <v>9</v>
      </c>
      <c r="M195" s="174">
        <f t="shared" si="36"/>
        <v>0</v>
      </c>
      <c r="N195" s="174">
        <f t="shared" si="36"/>
        <v>0</v>
      </c>
      <c r="O195" s="174">
        <f t="shared" si="36"/>
        <v>0</v>
      </c>
      <c r="P195" s="174">
        <f t="shared" si="36"/>
        <v>0</v>
      </c>
      <c r="Q195" s="174">
        <f t="shared" si="36"/>
        <v>0</v>
      </c>
      <c r="R195" s="174">
        <f t="shared" si="36"/>
        <v>4</v>
      </c>
      <c r="S195" s="174">
        <f t="shared" si="36"/>
        <v>0</v>
      </c>
      <c r="T195" s="174">
        <f t="shared" si="36"/>
        <v>0</v>
      </c>
      <c r="U195" s="174">
        <f t="shared" si="36"/>
        <v>241</v>
      </c>
      <c r="V195" s="174">
        <f t="shared" si="36"/>
        <v>21</v>
      </c>
      <c r="W195" s="174">
        <f t="shared" si="36"/>
        <v>0</v>
      </c>
      <c r="X195" s="174">
        <f t="shared" si="36"/>
        <v>12</v>
      </c>
      <c r="Y195" s="174">
        <f>SUM(F195:X195)</f>
        <v>287</v>
      </c>
      <c r="Z195" s="174">
        <f>SUM(Z196:Z222)</f>
        <v>30</v>
      </c>
      <c r="AA195" s="174">
        <f>SUM(AA196:AA222)</f>
        <v>22</v>
      </c>
      <c r="AB195" s="174">
        <f>SUM(AB196:AB222)</f>
        <v>276</v>
      </c>
      <c r="AC195" s="174">
        <v>233</v>
      </c>
      <c r="AD195" s="174">
        <f t="shared" ref="AD195:AV195" si="37">SUM(AD196:AD222)</f>
        <v>0</v>
      </c>
      <c r="AE195" s="174">
        <f t="shared" si="37"/>
        <v>0</v>
      </c>
      <c r="AF195" s="174">
        <f t="shared" si="37"/>
        <v>0</v>
      </c>
      <c r="AG195" s="174">
        <f t="shared" si="37"/>
        <v>0</v>
      </c>
      <c r="AH195" s="174">
        <f t="shared" si="37"/>
        <v>0</v>
      </c>
      <c r="AI195" s="174">
        <f t="shared" si="37"/>
        <v>0</v>
      </c>
      <c r="AJ195" s="174">
        <f t="shared" si="37"/>
        <v>2</v>
      </c>
      <c r="AK195" s="174">
        <f t="shared" si="37"/>
        <v>0</v>
      </c>
      <c r="AL195" s="174">
        <f t="shared" si="37"/>
        <v>0</v>
      </c>
      <c r="AM195" s="174">
        <f t="shared" si="37"/>
        <v>0</v>
      </c>
      <c r="AN195" s="174">
        <f t="shared" si="37"/>
        <v>0</v>
      </c>
      <c r="AO195" s="174">
        <f t="shared" si="37"/>
        <v>0</v>
      </c>
      <c r="AP195" s="174">
        <f t="shared" si="37"/>
        <v>7</v>
      </c>
      <c r="AQ195" s="174">
        <f t="shared" si="37"/>
        <v>0</v>
      </c>
      <c r="AR195" s="174">
        <f t="shared" si="37"/>
        <v>0</v>
      </c>
      <c r="AS195" s="174">
        <f t="shared" si="37"/>
        <v>100</v>
      </c>
      <c r="AT195" s="174">
        <f t="shared" si="37"/>
        <v>161</v>
      </c>
      <c r="AU195" s="174">
        <f t="shared" si="37"/>
        <v>0</v>
      </c>
      <c r="AV195" s="174">
        <f t="shared" si="37"/>
        <v>6</v>
      </c>
      <c r="AW195" s="174">
        <f>SUM(AD195:AV195)</f>
        <v>276</v>
      </c>
      <c r="AX195" s="221"/>
      <c r="AY195" s="184">
        <f>Z195*100/B195</f>
        <v>66.666666666666671</v>
      </c>
      <c r="AZ195" s="174">
        <f>B195-Z195</f>
        <v>15</v>
      </c>
      <c r="BA195" s="184">
        <f>AZ195*100/B195</f>
        <v>33.333333333333336</v>
      </c>
    </row>
    <row r="196" spans="1:53" x14ac:dyDescent="0.25">
      <c r="A196" s="175" t="s">
        <v>115</v>
      </c>
      <c r="B196" s="174">
        <v>10</v>
      </c>
      <c r="C196" s="174">
        <v>3</v>
      </c>
      <c r="D196" s="174">
        <v>24</v>
      </c>
      <c r="E196" s="174">
        <v>13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>
        <v>3</v>
      </c>
      <c r="S196" s="174"/>
      <c r="T196" s="174"/>
      <c r="U196" s="174">
        <v>14</v>
      </c>
      <c r="V196" s="174">
        <v>4</v>
      </c>
      <c r="W196" s="174"/>
      <c r="X196" s="174">
        <v>3</v>
      </c>
      <c r="Y196" s="174">
        <f>SUM(F196:X196)</f>
        <v>24</v>
      </c>
      <c r="Z196" s="174">
        <v>6</v>
      </c>
      <c r="AA196" s="174">
        <v>3</v>
      </c>
      <c r="AB196" s="174">
        <v>38</v>
      </c>
      <c r="AC196" s="174">
        <v>13</v>
      </c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>
        <v>7</v>
      </c>
      <c r="AQ196" s="174"/>
      <c r="AR196" s="174"/>
      <c r="AS196" s="174">
        <v>24</v>
      </c>
      <c r="AT196" s="174">
        <v>4</v>
      </c>
      <c r="AU196" s="174"/>
      <c r="AV196" s="174">
        <v>3</v>
      </c>
      <c r="AW196" s="174">
        <f>SUM(AD196:AV196)</f>
        <v>38</v>
      </c>
      <c r="AX196" s="174">
        <v>995.34400000000005</v>
      </c>
      <c r="AY196" s="204"/>
      <c r="AZ196" s="204"/>
      <c r="BA196" s="204"/>
    </row>
    <row r="197" spans="1:53" x14ac:dyDescent="0.25">
      <c r="A197" s="175" t="s">
        <v>116</v>
      </c>
      <c r="B197" s="174">
        <v>3</v>
      </c>
      <c r="C197" s="174">
        <v>2</v>
      </c>
      <c r="D197" s="174">
        <v>3</v>
      </c>
      <c r="E197" s="174">
        <v>2</v>
      </c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>
        <v>1</v>
      </c>
      <c r="S197" s="174"/>
      <c r="T197" s="174"/>
      <c r="U197" s="174">
        <v>1</v>
      </c>
      <c r="V197" s="174"/>
      <c r="W197" s="174"/>
      <c r="X197" s="174">
        <v>1</v>
      </c>
      <c r="Y197" s="174">
        <f>SUM(F197:X197)</f>
        <v>3</v>
      </c>
      <c r="Z197" s="174">
        <v>1</v>
      </c>
      <c r="AA197" s="174">
        <v>1</v>
      </c>
      <c r="AB197" s="174">
        <v>1</v>
      </c>
      <c r="AC197" s="174">
        <v>1</v>
      </c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>
        <v>1</v>
      </c>
      <c r="AT197" s="174"/>
      <c r="AU197" s="174"/>
      <c r="AV197" s="174"/>
      <c r="AW197" s="174">
        <f>SUM(AD197:AV197)</f>
        <v>1</v>
      </c>
      <c r="AX197" s="174">
        <v>1920</v>
      </c>
      <c r="AY197" s="204"/>
      <c r="AZ197" s="204"/>
      <c r="BA197" s="204"/>
    </row>
    <row r="198" spans="1:53" x14ac:dyDescent="0.25">
      <c r="A198" s="175" t="s">
        <v>59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204"/>
      <c r="AZ198" s="204"/>
      <c r="BA198" s="204"/>
    </row>
    <row r="199" spans="1:53" x14ac:dyDescent="0.25">
      <c r="A199" s="175" t="s">
        <v>60</v>
      </c>
      <c r="B199" s="174">
        <v>2</v>
      </c>
      <c r="C199" s="174">
        <v>2</v>
      </c>
      <c r="D199" s="174">
        <v>54</v>
      </c>
      <c r="E199" s="174">
        <v>54</v>
      </c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>
        <v>54</v>
      </c>
      <c r="V199" s="174"/>
      <c r="W199" s="174"/>
      <c r="X199" s="174"/>
      <c r="Y199" s="174">
        <f>SUM(F199:X199)</f>
        <v>54</v>
      </c>
      <c r="Z199" s="174">
        <v>2</v>
      </c>
      <c r="AA199" s="174">
        <v>2</v>
      </c>
      <c r="AB199" s="174">
        <v>54</v>
      </c>
      <c r="AC199" s="174">
        <v>54</v>
      </c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>
        <v>54</v>
      </c>
      <c r="AT199" s="174"/>
      <c r="AU199" s="174"/>
      <c r="AV199" s="174"/>
      <c r="AW199" s="174">
        <f>SUM(AD199:AV199)</f>
        <v>54</v>
      </c>
      <c r="AX199" s="174">
        <v>68</v>
      </c>
      <c r="AY199" s="204"/>
      <c r="AZ199" s="204"/>
      <c r="BA199" s="204"/>
    </row>
    <row r="200" spans="1:53" x14ac:dyDescent="0.25">
      <c r="A200" s="175" t="s">
        <v>117</v>
      </c>
      <c r="B200" s="174">
        <v>1</v>
      </c>
      <c r="C200" s="174">
        <v>1</v>
      </c>
      <c r="D200" s="174">
        <v>1</v>
      </c>
      <c r="E200" s="174">
        <v>1</v>
      </c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>
        <v>1</v>
      </c>
      <c r="V200" s="174"/>
      <c r="W200" s="174"/>
      <c r="X200" s="174"/>
      <c r="Y200" s="174">
        <f>SUM(F200:X200)</f>
        <v>1</v>
      </c>
      <c r="Z200" s="174">
        <v>1</v>
      </c>
      <c r="AA200" s="174">
        <v>1</v>
      </c>
      <c r="AB200" s="174">
        <v>1</v>
      </c>
      <c r="AC200" s="174">
        <v>1</v>
      </c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>
        <v>1</v>
      </c>
      <c r="AT200" s="174"/>
      <c r="AU200" s="174"/>
      <c r="AV200" s="174"/>
      <c r="AW200" s="174">
        <f>SUM(AD200:AV200)</f>
        <v>1</v>
      </c>
      <c r="AX200" s="174">
        <v>2800</v>
      </c>
      <c r="AY200" s="204"/>
      <c r="AZ200" s="204"/>
      <c r="BA200" s="204"/>
    </row>
    <row r="201" spans="1:53" x14ac:dyDescent="0.25">
      <c r="A201" s="175" t="s">
        <v>118</v>
      </c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204"/>
      <c r="AZ201" s="204"/>
      <c r="BA201" s="204"/>
    </row>
    <row r="202" spans="1:53" x14ac:dyDescent="0.25">
      <c r="A202" s="175" t="s">
        <v>119</v>
      </c>
      <c r="B202" s="174">
        <v>2</v>
      </c>
      <c r="C202" s="174">
        <v>2</v>
      </c>
      <c r="D202" s="174">
        <v>2</v>
      </c>
      <c r="E202" s="174">
        <v>2</v>
      </c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>
        <v>2</v>
      </c>
      <c r="V202" s="174"/>
      <c r="W202" s="174"/>
      <c r="X202" s="174"/>
      <c r="Y202" s="174">
        <f>SUM(F202:X202)</f>
        <v>2</v>
      </c>
      <c r="Z202" s="174">
        <v>2</v>
      </c>
      <c r="AA202" s="174">
        <v>2</v>
      </c>
      <c r="AB202" s="174">
        <v>2</v>
      </c>
      <c r="AC202" s="174">
        <v>2</v>
      </c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>
        <v>2</v>
      </c>
      <c r="AT202" s="174"/>
      <c r="AU202" s="174"/>
      <c r="AV202" s="174"/>
      <c r="AW202" s="174">
        <f>SUM(AD202:AV202)</f>
        <v>2</v>
      </c>
      <c r="AX202" s="174">
        <v>2676</v>
      </c>
      <c r="AY202" s="204"/>
      <c r="AZ202" s="204"/>
      <c r="BA202" s="204"/>
    </row>
    <row r="203" spans="1:53" x14ac:dyDescent="0.25">
      <c r="A203" s="175" t="s">
        <v>120</v>
      </c>
      <c r="B203" s="174">
        <v>2</v>
      </c>
      <c r="C203" s="174">
        <v>2</v>
      </c>
      <c r="D203" s="174">
        <v>2</v>
      </c>
      <c r="E203" s="174">
        <v>2</v>
      </c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>
        <v>2</v>
      </c>
      <c r="V203" s="174"/>
      <c r="W203" s="174"/>
      <c r="X203" s="174"/>
      <c r="Y203" s="174">
        <f>SUM(F203:X203)</f>
        <v>2</v>
      </c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204"/>
      <c r="AZ203" s="204"/>
      <c r="BA203" s="204"/>
    </row>
    <row r="204" spans="1:53" x14ac:dyDescent="0.25">
      <c r="A204" s="217" t="s">
        <v>121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204"/>
      <c r="AZ204" s="204"/>
      <c r="BA204" s="204"/>
    </row>
    <row r="205" spans="1:53" x14ac:dyDescent="0.25">
      <c r="A205" s="217" t="s">
        <v>122</v>
      </c>
      <c r="B205" s="174">
        <v>5</v>
      </c>
      <c r="C205" s="174">
        <v>2</v>
      </c>
      <c r="D205" s="174">
        <v>5</v>
      </c>
      <c r="E205" s="174">
        <v>2</v>
      </c>
      <c r="F205" s="174"/>
      <c r="G205" s="174"/>
      <c r="H205" s="174"/>
      <c r="I205" s="174"/>
      <c r="J205" s="174"/>
      <c r="K205" s="174"/>
      <c r="L205" s="174">
        <v>1</v>
      </c>
      <c r="M205" s="174"/>
      <c r="N205" s="174"/>
      <c r="O205" s="174"/>
      <c r="P205" s="174"/>
      <c r="Q205" s="174"/>
      <c r="R205" s="174"/>
      <c r="S205" s="174"/>
      <c r="T205" s="174"/>
      <c r="U205" s="174">
        <v>1</v>
      </c>
      <c r="V205" s="174">
        <v>2</v>
      </c>
      <c r="W205" s="174"/>
      <c r="X205" s="174">
        <v>1</v>
      </c>
      <c r="Y205" s="174">
        <f t="shared" ref="Y205:Y210" si="38">SUM(F205:X205)</f>
        <v>5</v>
      </c>
      <c r="Z205" s="174">
        <v>4</v>
      </c>
      <c r="AA205" s="174">
        <v>2</v>
      </c>
      <c r="AB205" s="174">
        <v>4</v>
      </c>
      <c r="AC205" s="174">
        <v>2</v>
      </c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>
        <v>1</v>
      </c>
      <c r="AT205" s="174">
        <v>2</v>
      </c>
      <c r="AU205" s="174"/>
      <c r="AV205" s="174">
        <v>1</v>
      </c>
      <c r="AW205" s="174">
        <f>SUM(AD205:AV205)</f>
        <v>4</v>
      </c>
      <c r="AX205" s="174">
        <v>1890.6666666666667</v>
      </c>
      <c r="AY205" s="204"/>
      <c r="AZ205" s="204"/>
      <c r="BA205" s="204"/>
    </row>
    <row r="206" spans="1:53" x14ac:dyDescent="0.25">
      <c r="A206" s="217" t="s">
        <v>123</v>
      </c>
      <c r="B206" s="174">
        <v>2</v>
      </c>
      <c r="C206" s="174"/>
      <c r="D206" s="174">
        <v>18</v>
      </c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>
        <v>18</v>
      </c>
      <c r="V206" s="174"/>
      <c r="W206" s="174"/>
      <c r="X206" s="174"/>
      <c r="Y206" s="174">
        <f t="shared" si="38"/>
        <v>18</v>
      </c>
      <c r="Z206" s="174">
        <v>1</v>
      </c>
      <c r="AA206" s="174"/>
      <c r="AB206" s="174">
        <v>9</v>
      </c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>
        <v>9</v>
      </c>
      <c r="AT206" s="174"/>
      <c r="AU206" s="174"/>
      <c r="AV206" s="174"/>
      <c r="AW206" s="174">
        <f>SUM(AD206:AV206)</f>
        <v>9</v>
      </c>
      <c r="AX206" s="174">
        <v>3600</v>
      </c>
      <c r="AY206" s="204"/>
      <c r="AZ206" s="204"/>
      <c r="BA206" s="204"/>
    </row>
    <row r="207" spans="1:53" x14ac:dyDescent="0.25">
      <c r="A207" s="175" t="s">
        <v>61</v>
      </c>
      <c r="B207" s="174">
        <v>1</v>
      </c>
      <c r="C207" s="174">
        <v>1</v>
      </c>
      <c r="D207" s="174">
        <v>1</v>
      </c>
      <c r="E207" s="174">
        <v>1</v>
      </c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>
        <v>1</v>
      </c>
      <c r="V207" s="174"/>
      <c r="W207" s="174"/>
      <c r="X207" s="174"/>
      <c r="Y207" s="174">
        <f t="shared" si="38"/>
        <v>1</v>
      </c>
      <c r="Z207" s="174">
        <v>1</v>
      </c>
      <c r="AA207" s="174">
        <v>1</v>
      </c>
      <c r="AB207" s="174">
        <v>1</v>
      </c>
      <c r="AC207" s="174">
        <v>1</v>
      </c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>
        <v>1</v>
      </c>
      <c r="AT207" s="174"/>
      <c r="AU207" s="174"/>
      <c r="AV207" s="174"/>
      <c r="AW207" s="174">
        <f>SUM(AD207:AV207)</f>
        <v>1</v>
      </c>
      <c r="AX207" s="174">
        <v>2560</v>
      </c>
      <c r="AY207" s="204"/>
      <c r="AZ207" s="204"/>
      <c r="BA207" s="204"/>
    </row>
    <row r="208" spans="1:53" x14ac:dyDescent="0.25">
      <c r="A208" s="175" t="s">
        <v>62</v>
      </c>
      <c r="B208" s="174">
        <v>3</v>
      </c>
      <c r="C208" s="174">
        <v>2</v>
      </c>
      <c r="D208" s="174">
        <v>158</v>
      </c>
      <c r="E208" s="174">
        <v>146</v>
      </c>
      <c r="F208" s="174"/>
      <c r="G208" s="174"/>
      <c r="H208" s="174"/>
      <c r="I208" s="174"/>
      <c r="J208" s="174"/>
      <c r="K208" s="174"/>
      <c r="L208" s="174">
        <v>6</v>
      </c>
      <c r="M208" s="174"/>
      <c r="N208" s="174"/>
      <c r="O208" s="174"/>
      <c r="P208" s="174"/>
      <c r="Q208" s="174"/>
      <c r="R208" s="174"/>
      <c r="S208" s="174"/>
      <c r="T208" s="174"/>
      <c r="U208" s="174">
        <v>138</v>
      </c>
      <c r="V208" s="174">
        <v>14</v>
      </c>
      <c r="W208" s="174"/>
      <c r="X208" s="174"/>
      <c r="Y208" s="174">
        <f t="shared" si="38"/>
        <v>158</v>
      </c>
      <c r="Z208" s="174">
        <v>3</v>
      </c>
      <c r="AA208" s="174">
        <v>2</v>
      </c>
      <c r="AB208" s="174">
        <v>156</v>
      </c>
      <c r="AC208" s="174">
        <v>156</v>
      </c>
      <c r="AD208" s="174"/>
      <c r="AE208" s="174"/>
      <c r="AF208" s="174"/>
      <c r="AG208" s="174"/>
      <c r="AH208" s="174"/>
      <c r="AI208" s="174"/>
      <c r="AJ208" s="174">
        <v>2</v>
      </c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>
        <v>154</v>
      </c>
      <c r="AU208" s="174"/>
      <c r="AV208" s="174"/>
      <c r="AW208" s="174">
        <f>SUM(AD208:AV208)</f>
        <v>156</v>
      </c>
      <c r="AX208" s="174">
        <v>362</v>
      </c>
      <c r="AY208" s="204"/>
      <c r="AZ208" s="204"/>
      <c r="BA208" s="204"/>
    </row>
    <row r="209" spans="1:53" x14ac:dyDescent="0.25">
      <c r="A209" s="175" t="s">
        <v>63</v>
      </c>
      <c r="B209" s="174">
        <v>1</v>
      </c>
      <c r="C209" s="174">
        <v>1</v>
      </c>
      <c r="D209" s="174">
        <v>1</v>
      </c>
      <c r="E209" s="174">
        <v>1</v>
      </c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>
        <v>1</v>
      </c>
      <c r="W209" s="174"/>
      <c r="X209" s="174"/>
      <c r="Y209" s="174">
        <f t="shared" si="38"/>
        <v>1</v>
      </c>
      <c r="Z209" s="174">
        <v>1</v>
      </c>
      <c r="AA209" s="174">
        <v>1</v>
      </c>
      <c r="AB209" s="174">
        <v>1</v>
      </c>
      <c r="AC209" s="174">
        <v>1</v>
      </c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>
        <v>1</v>
      </c>
      <c r="AU209" s="174"/>
      <c r="AV209" s="174"/>
      <c r="AW209" s="174">
        <f>SUM(AD209:AV209)</f>
        <v>1</v>
      </c>
      <c r="AX209" s="174">
        <v>2560</v>
      </c>
      <c r="AY209" s="204"/>
      <c r="AZ209" s="204"/>
      <c r="BA209" s="204"/>
    </row>
    <row r="210" spans="1:53" x14ac:dyDescent="0.25">
      <c r="A210" s="175" t="s">
        <v>64</v>
      </c>
      <c r="B210" s="174">
        <v>1</v>
      </c>
      <c r="C210" s="174">
        <v>1</v>
      </c>
      <c r="D210" s="174">
        <v>1</v>
      </c>
      <c r="E210" s="174">
        <v>1</v>
      </c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>
        <v>1</v>
      </c>
      <c r="V210" s="174"/>
      <c r="W210" s="174"/>
      <c r="X210" s="174"/>
      <c r="Y210" s="174">
        <f t="shared" si="38"/>
        <v>1</v>
      </c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204"/>
      <c r="AZ210" s="204"/>
      <c r="BA210" s="204"/>
    </row>
    <row r="211" spans="1:53" x14ac:dyDescent="0.25">
      <c r="A211" s="175" t="s">
        <v>65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204"/>
      <c r="AZ211" s="204"/>
      <c r="BA211" s="204"/>
    </row>
    <row r="212" spans="1:53" x14ac:dyDescent="0.25">
      <c r="A212" s="175" t="s">
        <v>66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204"/>
      <c r="AZ212" s="204"/>
      <c r="BA212" s="204"/>
    </row>
    <row r="213" spans="1:53" x14ac:dyDescent="0.25">
      <c r="A213" s="175" t="s">
        <v>67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204"/>
      <c r="AZ213" s="204"/>
      <c r="BA213" s="204"/>
    </row>
    <row r="214" spans="1:53" x14ac:dyDescent="0.25">
      <c r="A214" s="175" t="s">
        <v>68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204"/>
      <c r="AZ214" s="204"/>
      <c r="BA214" s="204"/>
    </row>
    <row r="215" spans="1:53" x14ac:dyDescent="0.25">
      <c r="A215" s="175" t="s">
        <v>69</v>
      </c>
      <c r="B215" s="174">
        <v>1</v>
      </c>
      <c r="C215" s="174">
        <v>1</v>
      </c>
      <c r="D215" s="174">
        <v>1</v>
      </c>
      <c r="E215" s="174">
        <v>1</v>
      </c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>
        <v>1</v>
      </c>
      <c r="V215" s="174"/>
      <c r="W215" s="174"/>
      <c r="X215" s="174"/>
      <c r="Y215" s="174">
        <f>SUM(F215:X215)</f>
        <v>1</v>
      </c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204"/>
      <c r="AZ215" s="204"/>
      <c r="BA215" s="204"/>
    </row>
    <row r="216" spans="1:53" x14ac:dyDescent="0.25">
      <c r="A216" s="175" t="s">
        <v>70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204"/>
      <c r="AZ216" s="204"/>
      <c r="BA216" s="204"/>
    </row>
    <row r="217" spans="1:53" x14ac:dyDescent="0.25">
      <c r="A217" s="175" t="s">
        <v>71</v>
      </c>
      <c r="B217" s="174">
        <v>2</v>
      </c>
      <c r="C217" s="174">
        <v>2</v>
      </c>
      <c r="D217" s="174">
        <v>2</v>
      </c>
      <c r="E217" s="174">
        <v>2</v>
      </c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>
        <v>2</v>
      </c>
      <c r="V217" s="174"/>
      <c r="W217" s="174"/>
      <c r="X217" s="174"/>
      <c r="Y217" s="174">
        <f t="shared" ref="Y217:Y226" si="39">SUM(F217:X217)</f>
        <v>2</v>
      </c>
      <c r="Z217" s="174">
        <v>2</v>
      </c>
      <c r="AA217" s="174">
        <v>2</v>
      </c>
      <c r="AB217" s="174">
        <v>2</v>
      </c>
      <c r="AC217" s="174">
        <v>2</v>
      </c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>
        <v>2</v>
      </c>
      <c r="AT217" s="174"/>
      <c r="AU217" s="174"/>
      <c r="AV217" s="174"/>
      <c r="AW217" s="174">
        <f t="shared" ref="AW217:AW226" si="40">SUM(AD217:AV217)</f>
        <v>2</v>
      </c>
      <c r="AX217" s="174">
        <v>2685.33</v>
      </c>
      <c r="AY217" s="204"/>
      <c r="AZ217" s="204"/>
      <c r="BA217" s="204"/>
    </row>
    <row r="218" spans="1:53" x14ac:dyDescent="0.25">
      <c r="A218" s="175" t="s">
        <v>72</v>
      </c>
      <c r="B218" s="174">
        <v>4</v>
      </c>
      <c r="C218" s="174"/>
      <c r="D218" s="174">
        <v>9</v>
      </c>
      <c r="E218" s="174"/>
      <c r="F218" s="174"/>
      <c r="G218" s="174"/>
      <c r="H218" s="174"/>
      <c r="I218" s="174"/>
      <c r="J218" s="174"/>
      <c r="K218" s="174"/>
      <c r="L218" s="174">
        <v>2</v>
      </c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>
        <v>7</v>
      </c>
      <c r="Y218" s="174">
        <f t="shared" si="39"/>
        <v>9</v>
      </c>
      <c r="Z218" s="174">
        <v>1</v>
      </c>
      <c r="AA218" s="174"/>
      <c r="AB218" s="174">
        <v>2</v>
      </c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>
        <v>2</v>
      </c>
      <c r="AW218" s="174">
        <f t="shared" si="40"/>
        <v>2</v>
      </c>
      <c r="AX218" s="174">
        <v>4000</v>
      </c>
      <c r="AY218" s="204"/>
      <c r="AZ218" s="204"/>
      <c r="BA218" s="204"/>
    </row>
    <row r="219" spans="1:53" x14ac:dyDescent="0.25">
      <c r="A219" s="175" t="s">
        <v>73</v>
      </c>
      <c r="B219" s="174">
        <v>1</v>
      </c>
      <c r="C219" s="174">
        <v>1</v>
      </c>
      <c r="D219" s="174">
        <v>1</v>
      </c>
      <c r="E219" s="174">
        <v>1</v>
      </c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>
        <v>1</v>
      </c>
      <c r="V219" s="174"/>
      <c r="W219" s="174"/>
      <c r="X219" s="174"/>
      <c r="Y219" s="174">
        <f t="shared" si="39"/>
        <v>1</v>
      </c>
      <c r="Z219" s="174">
        <v>1</v>
      </c>
      <c r="AA219" s="174">
        <v>1</v>
      </c>
      <c r="AB219" s="174">
        <v>1</v>
      </c>
      <c r="AC219" s="174">
        <v>1</v>
      </c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>
        <v>1</v>
      </c>
      <c r="AT219" s="174"/>
      <c r="AU219" s="174"/>
      <c r="AV219" s="174"/>
      <c r="AW219" s="174">
        <f t="shared" si="40"/>
        <v>1</v>
      </c>
      <c r="AX219" s="174">
        <v>2498.66</v>
      </c>
      <c r="AY219" s="204"/>
      <c r="AZ219" s="204"/>
      <c r="BA219" s="204"/>
    </row>
    <row r="220" spans="1:53" x14ac:dyDescent="0.25">
      <c r="A220" s="175" t="s">
        <v>74</v>
      </c>
      <c r="B220" s="174">
        <v>1</v>
      </c>
      <c r="C220" s="174">
        <v>1</v>
      </c>
      <c r="D220" s="174">
        <v>1</v>
      </c>
      <c r="E220" s="174">
        <v>1</v>
      </c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>
        <v>1</v>
      </c>
      <c r="V220" s="174"/>
      <c r="W220" s="174"/>
      <c r="X220" s="174"/>
      <c r="Y220" s="174">
        <f t="shared" si="39"/>
        <v>1</v>
      </c>
      <c r="Z220" s="174">
        <v>1</v>
      </c>
      <c r="AA220" s="174">
        <v>1</v>
      </c>
      <c r="AB220" s="174">
        <v>1</v>
      </c>
      <c r="AC220" s="174">
        <v>1</v>
      </c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>
        <v>1</v>
      </c>
      <c r="AT220" s="174"/>
      <c r="AU220" s="174"/>
      <c r="AV220" s="174"/>
      <c r="AW220" s="174">
        <f t="shared" si="40"/>
        <v>1</v>
      </c>
      <c r="AX220" s="174">
        <v>5440</v>
      </c>
      <c r="AY220" s="204"/>
      <c r="AZ220" s="204"/>
      <c r="BA220" s="204"/>
    </row>
    <row r="221" spans="1:53" x14ac:dyDescent="0.25">
      <c r="A221" s="175" t="s">
        <v>75</v>
      </c>
      <c r="B221" s="174">
        <v>2</v>
      </c>
      <c r="C221" s="174">
        <v>2</v>
      </c>
      <c r="D221" s="174">
        <v>2</v>
      </c>
      <c r="E221" s="174">
        <v>2</v>
      </c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>
        <v>2</v>
      </c>
      <c r="V221" s="174"/>
      <c r="W221" s="174"/>
      <c r="X221" s="174"/>
      <c r="Y221" s="174">
        <f t="shared" si="39"/>
        <v>2</v>
      </c>
      <c r="Z221" s="174">
        <v>2</v>
      </c>
      <c r="AA221" s="174">
        <v>2</v>
      </c>
      <c r="AB221" s="174">
        <v>2</v>
      </c>
      <c r="AC221" s="174">
        <v>2</v>
      </c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>
        <v>2</v>
      </c>
      <c r="AT221" s="174"/>
      <c r="AU221" s="174"/>
      <c r="AV221" s="174"/>
      <c r="AW221" s="174">
        <f t="shared" si="40"/>
        <v>2</v>
      </c>
      <c r="AX221" s="174">
        <v>2640</v>
      </c>
      <c r="AY221" s="204"/>
      <c r="AZ221" s="204"/>
      <c r="BA221" s="204"/>
    </row>
    <row r="222" spans="1:53" x14ac:dyDescent="0.25">
      <c r="A222" s="175" t="s">
        <v>76</v>
      </c>
      <c r="B222" s="174">
        <v>1</v>
      </c>
      <c r="C222" s="174">
        <v>1</v>
      </c>
      <c r="D222" s="174">
        <v>1</v>
      </c>
      <c r="E222" s="174">
        <v>1</v>
      </c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>
        <v>1</v>
      </c>
      <c r="V222" s="174"/>
      <c r="W222" s="174"/>
      <c r="X222" s="174"/>
      <c r="Y222" s="174">
        <f t="shared" si="39"/>
        <v>1</v>
      </c>
      <c r="Z222" s="174">
        <v>1</v>
      </c>
      <c r="AA222" s="174">
        <v>1</v>
      </c>
      <c r="AB222" s="174">
        <v>1</v>
      </c>
      <c r="AC222" s="174">
        <v>1</v>
      </c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>
        <v>1</v>
      </c>
      <c r="AT222" s="174"/>
      <c r="AU222" s="174"/>
      <c r="AV222" s="174"/>
      <c r="AW222" s="174">
        <f t="shared" si="40"/>
        <v>1</v>
      </c>
      <c r="AX222" s="174">
        <v>512</v>
      </c>
      <c r="AY222" s="204"/>
      <c r="AZ222" s="204"/>
      <c r="BA222" s="204"/>
    </row>
    <row r="223" spans="1:53" x14ac:dyDescent="0.25">
      <c r="A223" s="173" t="s">
        <v>47</v>
      </c>
      <c r="B223" s="174">
        <f t="shared" ref="B223:X223" si="41">SUM(B224:B230)</f>
        <v>99</v>
      </c>
      <c r="C223" s="174">
        <f t="shared" si="41"/>
        <v>2</v>
      </c>
      <c r="D223" s="174">
        <f t="shared" si="41"/>
        <v>181</v>
      </c>
      <c r="E223" s="174">
        <f t="shared" si="41"/>
        <v>7</v>
      </c>
      <c r="F223" s="174">
        <f t="shared" si="41"/>
        <v>0</v>
      </c>
      <c r="G223" s="174">
        <f t="shared" si="41"/>
        <v>0</v>
      </c>
      <c r="H223" s="174">
        <f t="shared" si="41"/>
        <v>28</v>
      </c>
      <c r="I223" s="174">
        <f t="shared" si="41"/>
        <v>1</v>
      </c>
      <c r="J223" s="174">
        <f t="shared" si="41"/>
        <v>15</v>
      </c>
      <c r="K223" s="174">
        <f t="shared" si="41"/>
        <v>35</v>
      </c>
      <c r="L223" s="174">
        <f t="shared" si="41"/>
        <v>43</v>
      </c>
      <c r="M223" s="174">
        <f t="shared" si="41"/>
        <v>19</v>
      </c>
      <c r="N223" s="174">
        <f t="shared" si="41"/>
        <v>1</v>
      </c>
      <c r="O223" s="174">
        <f t="shared" si="41"/>
        <v>0</v>
      </c>
      <c r="P223" s="174">
        <f t="shared" si="41"/>
        <v>2</v>
      </c>
      <c r="Q223" s="174">
        <f t="shared" si="41"/>
        <v>6</v>
      </c>
      <c r="R223" s="174">
        <f t="shared" si="41"/>
        <v>4</v>
      </c>
      <c r="S223" s="174">
        <f t="shared" si="41"/>
        <v>4</v>
      </c>
      <c r="T223" s="174">
        <f t="shared" si="41"/>
        <v>3</v>
      </c>
      <c r="U223" s="174">
        <f t="shared" si="41"/>
        <v>4</v>
      </c>
      <c r="V223" s="174">
        <f t="shared" si="41"/>
        <v>1</v>
      </c>
      <c r="W223" s="174">
        <f t="shared" si="41"/>
        <v>0</v>
      </c>
      <c r="X223" s="174">
        <f t="shared" si="41"/>
        <v>15</v>
      </c>
      <c r="Y223" s="174">
        <f t="shared" si="39"/>
        <v>181</v>
      </c>
      <c r="Z223" s="174">
        <f>SUM(Z224:Z230)</f>
        <v>91</v>
      </c>
      <c r="AA223" s="174">
        <f>SUM(AA224:AA230)</f>
        <v>2</v>
      </c>
      <c r="AB223" s="174">
        <f>SUM(AB224:AB230)</f>
        <v>122</v>
      </c>
      <c r="AC223" s="174">
        <v>7</v>
      </c>
      <c r="AD223" s="174">
        <f t="shared" ref="AD223:AV223" si="42">SUM(AD224:AD230)</f>
        <v>0</v>
      </c>
      <c r="AE223" s="174">
        <f t="shared" si="42"/>
        <v>0</v>
      </c>
      <c r="AF223" s="174">
        <f t="shared" si="42"/>
        <v>25</v>
      </c>
      <c r="AG223" s="174">
        <f t="shared" si="42"/>
        <v>4</v>
      </c>
      <c r="AH223" s="174">
        <f t="shared" si="42"/>
        <v>14</v>
      </c>
      <c r="AI223" s="174">
        <f t="shared" si="42"/>
        <v>25</v>
      </c>
      <c r="AJ223" s="174">
        <f t="shared" si="42"/>
        <v>27</v>
      </c>
      <c r="AK223" s="174">
        <f t="shared" si="42"/>
        <v>7</v>
      </c>
      <c r="AL223" s="174">
        <f t="shared" si="42"/>
        <v>0</v>
      </c>
      <c r="AM223" s="174">
        <f t="shared" si="42"/>
        <v>0</v>
      </c>
      <c r="AN223" s="174">
        <f t="shared" si="42"/>
        <v>1</v>
      </c>
      <c r="AO223" s="174">
        <f t="shared" si="42"/>
        <v>6</v>
      </c>
      <c r="AP223" s="174">
        <f t="shared" si="42"/>
        <v>2</v>
      </c>
      <c r="AQ223" s="174">
        <f t="shared" si="42"/>
        <v>4</v>
      </c>
      <c r="AR223" s="174">
        <f t="shared" si="42"/>
        <v>3</v>
      </c>
      <c r="AS223" s="174">
        <f t="shared" si="42"/>
        <v>3</v>
      </c>
      <c r="AT223" s="174">
        <f t="shared" si="42"/>
        <v>1</v>
      </c>
      <c r="AU223" s="174">
        <f t="shared" si="42"/>
        <v>0</v>
      </c>
      <c r="AV223" s="174">
        <f t="shared" si="42"/>
        <v>0</v>
      </c>
      <c r="AW223" s="174">
        <f t="shared" si="40"/>
        <v>122</v>
      </c>
      <c r="AX223" s="221"/>
      <c r="AY223" s="184">
        <f>Z223*100/B223</f>
        <v>91.919191919191917</v>
      </c>
      <c r="AZ223" s="174">
        <f>B223-Z223</f>
        <v>8</v>
      </c>
      <c r="BA223" s="184">
        <f>AZ223*100/B223</f>
        <v>8.0808080808080813</v>
      </c>
    </row>
    <row r="224" spans="1:53" x14ac:dyDescent="0.25">
      <c r="A224" s="175" t="s">
        <v>48</v>
      </c>
      <c r="B224" s="174">
        <v>8</v>
      </c>
      <c r="C224" s="174"/>
      <c r="D224" s="174">
        <v>15</v>
      </c>
      <c r="E224" s="174"/>
      <c r="F224" s="174"/>
      <c r="G224" s="174"/>
      <c r="H224" s="174"/>
      <c r="I224" s="174"/>
      <c r="J224" s="174"/>
      <c r="K224" s="174">
        <v>11</v>
      </c>
      <c r="L224" s="174"/>
      <c r="M224" s="174"/>
      <c r="N224" s="174"/>
      <c r="O224" s="174"/>
      <c r="P224" s="174"/>
      <c r="Q224" s="174"/>
      <c r="R224" s="174"/>
      <c r="S224" s="174"/>
      <c r="T224" s="174">
        <v>2</v>
      </c>
      <c r="U224" s="174">
        <v>2</v>
      </c>
      <c r="V224" s="174"/>
      <c r="W224" s="174"/>
      <c r="X224" s="174"/>
      <c r="Y224" s="174">
        <f t="shared" si="39"/>
        <v>15</v>
      </c>
      <c r="Z224" s="174">
        <v>8</v>
      </c>
      <c r="AA224" s="174"/>
      <c r="AB224" s="174">
        <v>13</v>
      </c>
      <c r="AC224" s="174"/>
      <c r="AD224" s="174"/>
      <c r="AE224" s="174"/>
      <c r="AF224" s="174"/>
      <c r="AG224" s="174"/>
      <c r="AH224" s="174"/>
      <c r="AI224" s="174">
        <v>9</v>
      </c>
      <c r="AJ224" s="174"/>
      <c r="AK224" s="174"/>
      <c r="AL224" s="174"/>
      <c r="AM224" s="174"/>
      <c r="AN224" s="174"/>
      <c r="AO224" s="174"/>
      <c r="AP224" s="174"/>
      <c r="AQ224" s="174"/>
      <c r="AR224" s="174">
        <v>2</v>
      </c>
      <c r="AS224" s="174">
        <v>2</v>
      </c>
      <c r="AT224" s="174"/>
      <c r="AU224" s="174"/>
      <c r="AV224" s="174"/>
      <c r="AW224" s="174">
        <f t="shared" si="40"/>
        <v>13</v>
      </c>
      <c r="AX224" s="174">
        <v>1892.3333333333333</v>
      </c>
      <c r="AY224" s="204"/>
      <c r="AZ224" s="204"/>
      <c r="BA224" s="204"/>
    </row>
    <row r="225" spans="1:53" x14ac:dyDescent="0.25">
      <c r="A225" s="175" t="s">
        <v>49</v>
      </c>
      <c r="B225" s="174">
        <v>3</v>
      </c>
      <c r="C225" s="174"/>
      <c r="D225" s="174">
        <v>3</v>
      </c>
      <c r="E225" s="174"/>
      <c r="F225" s="174"/>
      <c r="G225" s="174"/>
      <c r="H225" s="174"/>
      <c r="I225" s="174"/>
      <c r="J225" s="174"/>
      <c r="K225" s="174"/>
      <c r="L225" s="174"/>
      <c r="M225" s="174">
        <v>1</v>
      </c>
      <c r="N225" s="174">
        <v>1</v>
      </c>
      <c r="O225" s="174"/>
      <c r="P225" s="174"/>
      <c r="Q225" s="174"/>
      <c r="R225" s="174"/>
      <c r="S225" s="174"/>
      <c r="T225" s="174"/>
      <c r="U225" s="174"/>
      <c r="V225" s="174">
        <v>1</v>
      </c>
      <c r="W225" s="174"/>
      <c r="X225" s="174"/>
      <c r="Y225" s="174">
        <f t="shared" si="39"/>
        <v>3</v>
      </c>
      <c r="Z225" s="174">
        <v>2</v>
      </c>
      <c r="AA225" s="174"/>
      <c r="AB225" s="174">
        <v>2</v>
      </c>
      <c r="AC225" s="174"/>
      <c r="AD225" s="174"/>
      <c r="AE225" s="174"/>
      <c r="AF225" s="174"/>
      <c r="AG225" s="174"/>
      <c r="AH225" s="174"/>
      <c r="AI225" s="174"/>
      <c r="AJ225" s="174"/>
      <c r="AK225" s="174">
        <v>1</v>
      </c>
      <c r="AL225" s="174"/>
      <c r="AM225" s="174"/>
      <c r="AN225" s="174"/>
      <c r="AO225" s="174"/>
      <c r="AP225" s="174"/>
      <c r="AQ225" s="174"/>
      <c r="AR225" s="174"/>
      <c r="AS225" s="174"/>
      <c r="AT225" s="174">
        <v>1</v>
      </c>
      <c r="AU225" s="174"/>
      <c r="AV225" s="174"/>
      <c r="AW225" s="174">
        <f t="shared" si="40"/>
        <v>2</v>
      </c>
      <c r="AX225" s="174">
        <v>4840</v>
      </c>
      <c r="AY225" s="204"/>
      <c r="AZ225" s="204"/>
      <c r="BA225" s="204"/>
    </row>
    <row r="226" spans="1:53" x14ac:dyDescent="0.25">
      <c r="A226" s="175" t="s">
        <v>50</v>
      </c>
      <c r="B226" s="174">
        <v>82</v>
      </c>
      <c r="C226" s="174">
        <v>1</v>
      </c>
      <c r="D226" s="174">
        <v>142</v>
      </c>
      <c r="E226" s="174">
        <v>1</v>
      </c>
      <c r="F226" s="174"/>
      <c r="G226" s="174"/>
      <c r="H226" s="174">
        <v>28</v>
      </c>
      <c r="I226" s="174">
        <v>1</v>
      </c>
      <c r="J226" s="174">
        <v>15</v>
      </c>
      <c r="K226" s="174">
        <v>24</v>
      </c>
      <c r="L226" s="174">
        <v>43</v>
      </c>
      <c r="M226" s="174">
        <v>18</v>
      </c>
      <c r="N226" s="174"/>
      <c r="O226" s="174"/>
      <c r="P226" s="174">
        <v>2</v>
      </c>
      <c r="Q226" s="174"/>
      <c r="R226" s="174">
        <v>4</v>
      </c>
      <c r="S226" s="174">
        <v>4</v>
      </c>
      <c r="T226" s="174">
        <v>1</v>
      </c>
      <c r="U226" s="174">
        <v>2</v>
      </c>
      <c r="V226" s="174"/>
      <c r="W226" s="174"/>
      <c r="X226" s="174"/>
      <c r="Y226" s="174">
        <f t="shared" si="39"/>
        <v>142</v>
      </c>
      <c r="Z226" s="174">
        <v>80</v>
      </c>
      <c r="AA226" s="174">
        <v>1</v>
      </c>
      <c r="AB226" s="174">
        <v>101</v>
      </c>
      <c r="AC226" s="174">
        <v>6</v>
      </c>
      <c r="AD226" s="174"/>
      <c r="AE226" s="174"/>
      <c r="AF226" s="174">
        <v>25</v>
      </c>
      <c r="AG226" s="174">
        <v>4</v>
      </c>
      <c r="AH226" s="174">
        <v>14</v>
      </c>
      <c r="AI226" s="174">
        <v>16</v>
      </c>
      <c r="AJ226" s="174">
        <v>27</v>
      </c>
      <c r="AK226" s="174">
        <v>6</v>
      </c>
      <c r="AL226" s="174"/>
      <c r="AM226" s="174"/>
      <c r="AN226" s="174">
        <v>1</v>
      </c>
      <c r="AO226" s="174"/>
      <c r="AP226" s="174">
        <v>2</v>
      </c>
      <c r="AQ226" s="174">
        <v>4</v>
      </c>
      <c r="AR226" s="174">
        <v>1</v>
      </c>
      <c r="AS226" s="174">
        <v>1</v>
      </c>
      <c r="AT226" s="174"/>
      <c r="AU226" s="174"/>
      <c r="AV226" s="174"/>
      <c r="AW226" s="174">
        <f t="shared" si="40"/>
        <v>101</v>
      </c>
      <c r="AX226" s="174">
        <v>4477.3607142857145</v>
      </c>
      <c r="AY226" s="204"/>
      <c r="AZ226" s="204"/>
      <c r="BA226" s="204"/>
    </row>
    <row r="227" spans="1:53" x14ac:dyDescent="0.25">
      <c r="A227" s="175" t="s">
        <v>51</v>
      </c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204"/>
      <c r="AZ227" s="204"/>
      <c r="BA227" s="204"/>
    </row>
    <row r="228" spans="1:53" x14ac:dyDescent="0.25">
      <c r="A228" s="175" t="s">
        <v>52</v>
      </c>
      <c r="B228" s="174">
        <v>5</v>
      </c>
      <c r="C228" s="174"/>
      <c r="D228" s="174">
        <v>15</v>
      </c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>
        <v>15</v>
      </c>
      <c r="Y228" s="174">
        <f>SUM(F228:X228)</f>
        <v>15</v>
      </c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204"/>
      <c r="AZ228" s="204"/>
      <c r="BA228" s="204"/>
    </row>
    <row r="229" spans="1:53" x14ac:dyDescent="0.25">
      <c r="A229" s="175" t="s">
        <v>53</v>
      </c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204"/>
      <c r="AZ229" s="204"/>
      <c r="BA229" s="204"/>
    </row>
    <row r="230" spans="1:53" x14ac:dyDescent="0.25">
      <c r="A230" s="175" t="s">
        <v>54</v>
      </c>
      <c r="B230" s="174">
        <v>1</v>
      </c>
      <c r="C230" s="174">
        <v>1</v>
      </c>
      <c r="D230" s="174">
        <v>6</v>
      </c>
      <c r="E230" s="174">
        <v>6</v>
      </c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>
        <v>6</v>
      </c>
      <c r="R230" s="174"/>
      <c r="S230" s="174"/>
      <c r="T230" s="174"/>
      <c r="U230" s="174"/>
      <c r="V230" s="174"/>
      <c r="W230" s="174"/>
      <c r="X230" s="174"/>
      <c r="Y230" s="174">
        <f t="shared" ref="Y230:Y239" si="43">SUM(F230:X230)</f>
        <v>6</v>
      </c>
      <c r="Z230" s="174">
        <v>1</v>
      </c>
      <c r="AA230" s="174">
        <v>1</v>
      </c>
      <c r="AB230" s="174">
        <v>6</v>
      </c>
      <c r="AC230" s="174">
        <v>6</v>
      </c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>
        <v>6</v>
      </c>
      <c r="AP230" s="174"/>
      <c r="AQ230" s="174"/>
      <c r="AR230" s="174"/>
      <c r="AS230" s="174"/>
      <c r="AT230" s="174"/>
      <c r="AU230" s="174"/>
      <c r="AV230" s="174"/>
      <c r="AW230" s="174">
        <f t="shared" ref="AW230:AW237" si="44">SUM(AD230:AV230)</f>
        <v>6</v>
      </c>
      <c r="AX230" s="174">
        <v>160</v>
      </c>
      <c r="AY230" s="204"/>
      <c r="AZ230" s="204"/>
      <c r="BA230" s="204"/>
    </row>
    <row r="231" spans="1:53" x14ac:dyDescent="0.25">
      <c r="A231" s="173" t="s">
        <v>55</v>
      </c>
      <c r="B231" s="174">
        <f t="shared" ref="B231:X231" si="45">B232+B233+B234+B235+B236+B237+B238+B239+B240+B241+B242+B243+B244+B245+B246</f>
        <v>425</v>
      </c>
      <c r="C231" s="174">
        <f t="shared" si="45"/>
        <v>131</v>
      </c>
      <c r="D231" s="174">
        <f t="shared" si="45"/>
        <v>743</v>
      </c>
      <c r="E231" s="174">
        <f t="shared" si="45"/>
        <v>336</v>
      </c>
      <c r="F231" s="174">
        <f t="shared" si="45"/>
        <v>0</v>
      </c>
      <c r="G231" s="174">
        <f t="shared" si="45"/>
        <v>0</v>
      </c>
      <c r="H231" s="174">
        <f t="shared" si="45"/>
        <v>83</v>
      </c>
      <c r="I231" s="174">
        <f t="shared" si="45"/>
        <v>0</v>
      </c>
      <c r="J231" s="174">
        <f t="shared" si="45"/>
        <v>26</v>
      </c>
      <c r="K231" s="174">
        <f t="shared" si="45"/>
        <v>18</v>
      </c>
      <c r="L231" s="174">
        <f t="shared" si="45"/>
        <v>50</v>
      </c>
      <c r="M231" s="174">
        <f t="shared" si="45"/>
        <v>11</v>
      </c>
      <c r="N231" s="174">
        <f t="shared" si="45"/>
        <v>9</v>
      </c>
      <c r="O231" s="174">
        <f t="shared" si="45"/>
        <v>4</v>
      </c>
      <c r="P231" s="174">
        <f t="shared" si="45"/>
        <v>0</v>
      </c>
      <c r="Q231" s="174">
        <f t="shared" si="45"/>
        <v>28</v>
      </c>
      <c r="R231" s="174">
        <f t="shared" si="45"/>
        <v>262</v>
      </c>
      <c r="S231" s="174">
        <f t="shared" si="45"/>
        <v>1</v>
      </c>
      <c r="T231" s="174">
        <f t="shared" si="45"/>
        <v>155</v>
      </c>
      <c r="U231" s="174">
        <f t="shared" si="45"/>
        <v>10</v>
      </c>
      <c r="V231" s="174">
        <f t="shared" si="45"/>
        <v>74</v>
      </c>
      <c r="W231" s="174">
        <f t="shared" si="45"/>
        <v>9</v>
      </c>
      <c r="X231" s="174">
        <f t="shared" si="45"/>
        <v>3</v>
      </c>
      <c r="Y231" s="174">
        <f t="shared" si="43"/>
        <v>743</v>
      </c>
      <c r="Z231" s="174">
        <f t="shared" ref="Z231:AV231" si="46">Z232+Z233+Z234+Z235+Z236+Z237+Z238+Z239+Z240+Z241+Z242+Z243+Z244+Z245+Z246</f>
        <v>284</v>
      </c>
      <c r="AA231" s="174">
        <f t="shared" si="46"/>
        <v>108</v>
      </c>
      <c r="AB231" s="174">
        <f t="shared" si="46"/>
        <v>563</v>
      </c>
      <c r="AC231" s="174">
        <f t="shared" si="46"/>
        <v>249</v>
      </c>
      <c r="AD231" s="174">
        <f t="shared" si="46"/>
        <v>0</v>
      </c>
      <c r="AE231" s="174">
        <f t="shared" si="46"/>
        <v>0</v>
      </c>
      <c r="AF231" s="174">
        <f t="shared" si="46"/>
        <v>48</v>
      </c>
      <c r="AG231" s="174">
        <f t="shared" si="46"/>
        <v>0</v>
      </c>
      <c r="AH231" s="174">
        <f t="shared" si="46"/>
        <v>20</v>
      </c>
      <c r="AI231" s="174">
        <f t="shared" si="46"/>
        <v>20</v>
      </c>
      <c r="AJ231" s="174">
        <f t="shared" si="46"/>
        <v>41</v>
      </c>
      <c r="AK231" s="174">
        <f t="shared" si="46"/>
        <v>12</v>
      </c>
      <c r="AL231" s="174">
        <f t="shared" si="46"/>
        <v>6</v>
      </c>
      <c r="AM231" s="174">
        <f t="shared" si="46"/>
        <v>8</v>
      </c>
      <c r="AN231" s="174">
        <f t="shared" si="46"/>
        <v>0</v>
      </c>
      <c r="AO231" s="174">
        <f t="shared" si="46"/>
        <v>23</v>
      </c>
      <c r="AP231" s="174">
        <f t="shared" si="46"/>
        <v>161</v>
      </c>
      <c r="AQ231" s="174">
        <f t="shared" si="46"/>
        <v>0</v>
      </c>
      <c r="AR231" s="174">
        <f t="shared" si="46"/>
        <v>143</v>
      </c>
      <c r="AS231" s="174">
        <f t="shared" si="46"/>
        <v>3</v>
      </c>
      <c r="AT231" s="174">
        <f t="shared" si="46"/>
        <v>67</v>
      </c>
      <c r="AU231" s="174">
        <f t="shared" si="46"/>
        <v>9</v>
      </c>
      <c r="AV231" s="174">
        <f t="shared" si="46"/>
        <v>2</v>
      </c>
      <c r="AW231" s="174">
        <f t="shared" si="44"/>
        <v>563</v>
      </c>
      <c r="AX231" s="221"/>
      <c r="AY231" s="184">
        <f>Z231*100/B231</f>
        <v>66.82352941176471</v>
      </c>
      <c r="AZ231" s="174">
        <f>B231-Z231</f>
        <v>141</v>
      </c>
      <c r="BA231" s="184">
        <f>AZ231*100/B231</f>
        <v>33.176470588235297</v>
      </c>
    </row>
    <row r="232" spans="1:53" x14ac:dyDescent="0.25">
      <c r="A232" s="175" t="s">
        <v>124</v>
      </c>
      <c r="B232" s="174">
        <v>161</v>
      </c>
      <c r="C232" s="174">
        <v>5</v>
      </c>
      <c r="D232" s="174">
        <v>232</v>
      </c>
      <c r="E232" s="174">
        <v>15</v>
      </c>
      <c r="F232" s="174"/>
      <c r="G232" s="174"/>
      <c r="H232" s="174">
        <v>45</v>
      </c>
      <c r="I232" s="174"/>
      <c r="J232" s="174">
        <v>6</v>
      </c>
      <c r="K232" s="174">
        <v>4</v>
      </c>
      <c r="L232" s="174">
        <v>27</v>
      </c>
      <c r="M232" s="174">
        <v>1</v>
      </c>
      <c r="N232" s="174">
        <v>5</v>
      </c>
      <c r="O232" s="174">
        <v>1</v>
      </c>
      <c r="P232" s="174"/>
      <c r="Q232" s="174">
        <v>2</v>
      </c>
      <c r="R232" s="174">
        <v>136</v>
      </c>
      <c r="S232" s="174"/>
      <c r="T232" s="174">
        <v>2</v>
      </c>
      <c r="U232" s="174"/>
      <c r="V232" s="174">
        <v>2</v>
      </c>
      <c r="W232" s="174"/>
      <c r="X232" s="174">
        <v>1</v>
      </c>
      <c r="Y232" s="174">
        <f t="shared" si="43"/>
        <v>232</v>
      </c>
      <c r="Z232" s="174">
        <v>92</v>
      </c>
      <c r="AA232" s="174">
        <v>3</v>
      </c>
      <c r="AB232" s="174">
        <v>163</v>
      </c>
      <c r="AC232" s="174">
        <v>4</v>
      </c>
      <c r="AD232" s="174"/>
      <c r="AE232" s="174"/>
      <c r="AF232" s="174">
        <v>29</v>
      </c>
      <c r="AG232" s="174"/>
      <c r="AH232" s="174">
        <v>6</v>
      </c>
      <c r="AI232" s="174">
        <v>10</v>
      </c>
      <c r="AJ232" s="174">
        <v>19</v>
      </c>
      <c r="AK232" s="174">
        <v>5</v>
      </c>
      <c r="AL232" s="174">
        <v>6</v>
      </c>
      <c r="AM232" s="174">
        <v>4</v>
      </c>
      <c r="AN232" s="174"/>
      <c r="AO232" s="174">
        <v>2</v>
      </c>
      <c r="AP232" s="174">
        <v>77</v>
      </c>
      <c r="AQ232" s="174"/>
      <c r="AR232" s="174"/>
      <c r="AS232" s="174"/>
      <c r="AT232" s="174">
        <v>5</v>
      </c>
      <c r="AU232" s="174"/>
      <c r="AV232" s="174"/>
      <c r="AW232" s="174">
        <f t="shared" si="44"/>
        <v>163</v>
      </c>
      <c r="AX232" s="174">
        <v>2273.6044736842105</v>
      </c>
      <c r="AY232" s="204"/>
      <c r="AZ232" s="204"/>
      <c r="BA232" s="204"/>
    </row>
    <row r="233" spans="1:53" x14ac:dyDescent="0.25">
      <c r="A233" s="175" t="s">
        <v>125</v>
      </c>
      <c r="B233" s="174">
        <v>23</v>
      </c>
      <c r="C233" s="174">
        <v>22</v>
      </c>
      <c r="D233" s="174">
        <v>69</v>
      </c>
      <c r="E233" s="174">
        <v>67</v>
      </c>
      <c r="F233" s="174"/>
      <c r="G233" s="174"/>
      <c r="H233" s="174"/>
      <c r="I233" s="174"/>
      <c r="J233" s="174">
        <v>4</v>
      </c>
      <c r="K233" s="174"/>
      <c r="L233" s="174"/>
      <c r="M233" s="174"/>
      <c r="N233" s="174"/>
      <c r="O233" s="174"/>
      <c r="P233" s="174"/>
      <c r="Q233" s="174"/>
      <c r="R233" s="174">
        <v>2</v>
      </c>
      <c r="S233" s="174"/>
      <c r="T233" s="174">
        <v>28</v>
      </c>
      <c r="U233" s="174">
        <v>4</v>
      </c>
      <c r="V233" s="174">
        <v>28</v>
      </c>
      <c r="W233" s="174">
        <v>3</v>
      </c>
      <c r="X233" s="174"/>
      <c r="Y233" s="174">
        <f t="shared" si="43"/>
        <v>69</v>
      </c>
      <c r="Z233" s="174">
        <v>19</v>
      </c>
      <c r="AA233" s="174">
        <v>18</v>
      </c>
      <c r="AB233" s="174">
        <v>62</v>
      </c>
      <c r="AC233" s="174">
        <v>61</v>
      </c>
      <c r="AD233" s="174"/>
      <c r="AE233" s="174"/>
      <c r="AF233" s="174"/>
      <c r="AG233" s="174"/>
      <c r="AH233" s="174">
        <v>3</v>
      </c>
      <c r="AI233" s="174"/>
      <c r="AJ233" s="174"/>
      <c r="AK233" s="174"/>
      <c r="AL233" s="174"/>
      <c r="AM233" s="174">
        <v>2</v>
      </c>
      <c r="AN233" s="174"/>
      <c r="AO233" s="174"/>
      <c r="AP233" s="174"/>
      <c r="AQ233" s="174"/>
      <c r="AR233" s="174">
        <v>25</v>
      </c>
      <c r="AS233" s="174">
        <v>2</v>
      </c>
      <c r="AT233" s="174">
        <v>28</v>
      </c>
      <c r="AU233" s="174">
        <v>2</v>
      </c>
      <c r="AV233" s="174"/>
      <c r="AW233" s="174">
        <f t="shared" si="44"/>
        <v>62</v>
      </c>
      <c r="AX233" s="174">
        <v>1579.9185714285716</v>
      </c>
      <c r="AY233" s="204"/>
      <c r="AZ233" s="204"/>
      <c r="BA233" s="204"/>
    </row>
    <row r="234" spans="1:53" x14ac:dyDescent="0.25">
      <c r="A234" s="175" t="s">
        <v>126</v>
      </c>
      <c r="B234" s="174">
        <v>45</v>
      </c>
      <c r="C234" s="174">
        <v>5</v>
      </c>
      <c r="D234" s="174">
        <v>105</v>
      </c>
      <c r="E234" s="174">
        <v>56</v>
      </c>
      <c r="F234" s="174"/>
      <c r="G234" s="174"/>
      <c r="H234" s="174">
        <v>9</v>
      </c>
      <c r="I234" s="174"/>
      <c r="J234" s="174"/>
      <c r="K234" s="174">
        <v>8</v>
      </c>
      <c r="L234" s="174">
        <v>11</v>
      </c>
      <c r="M234" s="174">
        <v>6</v>
      </c>
      <c r="N234" s="174"/>
      <c r="O234" s="174"/>
      <c r="P234" s="174"/>
      <c r="Q234" s="174">
        <v>19</v>
      </c>
      <c r="R234" s="174">
        <v>41</v>
      </c>
      <c r="S234" s="174">
        <v>1</v>
      </c>
      <c r="T234" s="174">
        <v>3</v>
      </c>
      <c r="U234" s="174">
        <v>3</v>
      </c>
      <c r="V234" s="174">
        <v>2</v>
      </c>
      <c r="W234" s="174">
        <v>2</v>
      </c>
      <c r="X234" s="174"/>
      <c r="Y234" s="174">
        <f t="shared" si="43"/>
        <v>105</v>
      </c>
      <c r="Z234" s="174">
        <v>27</v>
      </c>
      <c r="AA234" s="174">
        <v>2</v>
      </c>
      <c r="AB234" s="174">
        <v>76</v>
      </c>
      <c r="AC234" s="174">
        <v>2</v>
      </c>
      <c r="AD234" s="174"/>
      <c r="AE234" s="174"/>
      <c r="AF234" s="174">
        <v>6</v>
      </c>
      <c r="AG234" s="174"/>
      <c r="AH234" s="174"/>
      <c r="AI234" s="174">
        <v>3</v>
      </c>
      <c r="AJ234" s="174">
        <v>12</v>
      </c>
      <c r="AK234" s="174">
        <v>4</v>
      </c>
      <c r="AL234" s="174"/>
      <c r="AM234" s="174"/>
      <c r="AN234" s="174"/>
      <c r="AO234" s="174">
        <v>19</v>
      </c>
      <c r="AP234" s="174">
        <v>26</v>
      </c>
      <c r="AQ234" s="174"/>
      <c r="AR234" s="174">
        <v>3</v>
      </c>
      <c r="AS234" s="174"/>
      <c r="AT234" s="174"/>
      <c r="AU234" s="174">
        <v>3</v>
      </c>
      <c r="AV234" s="174"/>
      <c r="AW234" s="174">
        <f t="shared" si="44"/>
        <v>76</v>
      </c>
      <c r="AX234" s="174">
        <v>2175.0504761904763</v>
      </c>
      <c r="AY234" s="204"/>
      <c r="AZ234" s="204"/>
      <c r="BA234" s="204"/>
    </row>
    <row r="235" spans="1:53" x14ac:dyDescent="0.25">
      <c r="A235" s="175" t="s">
        <v>127</v>
      </c>
      <c r="B235" s="174">
        <v>73</v>
      </c>
      <c r="C235" s="174">
        <v>70</v>
      </c>
      <c r="D235" s="174">
        <v>159</v>
      </c>
      <c r="E235" s="174">
        <v>156</v>
      </c>
      <c r="F235" s="174"/>
      <c r="G235" s="174"/>
      <c r="H235" s="174"/>
      <c r="I235" s="174"/>
      <c r="J235" s="174">
        <v>3</v>
      </c>
      <c r="K235" s="174"/>
      <c r="L235" s="174"/>
      <c r="M235" s="174"/>
      <c r="N235" s="174"/>
      <c r="O235" s="174"/>
      <c r="P235" s="174"/>
      <c r="Q235" s="174"/>
      <c r="R235" s="174">
        <v>16</v>
      </c>
      <c r="S235" s="174"/>
      <c r="T235" s="174">
        <v>110</v>
      </c>
      <c r="U235" s="174"/>
      <c r="V235" s="174">
        <v>28</v>
      </c>
      <c r="W235" s="174">
        <v>2</v>
      </c>
      <c r="X235" s="174"/>
      <c r="Y235" s="174">
        <f t="shared" si="43"/>
        <v>159</v>
      </c>
      <c r="Z235" s="174">
        <v>65</v>
      </c>
      <c r="AA235" s="174">
        <v>65</v>
      </c>
      <c r="AB235" s="174">
        <v>149</v>
      </c>
      <c r="AC235" s="174">
        <v>149</v>
      </c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>
        <v>16</v>
      </c>
      <c r="AQ235" s="174"/>
      <c r="AR235" s="174">
        <v>106</v>
      </c>
      <c r="AS235" s="174"/>
      <c r="AT235" s="174">
        <v>25</v>
      </c>
      <c r="AU235" s="174">
        <v>2</v>
      </c>
      <c r="AV235" s="174"/>
      <c r="AW235" s="174">
        <f t="shared" si="44"/>
        <v>149</v>
      </c>
      <c r="AX235" s="174">
        <v>1009.7525000000001</v>
      </c>
      <c r="AY235" s="204"/>
      <c r="AZ235" s="204"/>
      <c r="BA235" s="204"/>
    </row>
    <row r="236" spans="1:53" x14ac:dyDescent="0.25">
      <c r="A236" s="175" t="s">
        <v>103</v>
      </c>
      <c r="B236" s="174">
        <v>34</v>
      </c>
      <c r="C236" s="174">
        <v>3</v>
      </c>
      <c r="D236" s="174">
        <v>45</v>
      </c>
      <c r="E236" s="174">
        <v>6</v>
      </c>
      <c r="F236" s="174"/>
      <c r="G236" s="174"/>
      <c r="H236" s="174">
        <v>13</v>
      </c>
      <c r="I236" s="174"/>
      <c r="J236" s="174">
        <v>7</v>
      </c>
      <c r="K236" s="174">
        <v>3</v>
      </c>
      <c r="L236" s="174">
        <v>3</v>
      </c>
      <c r="M236" s="174">
        <v>2</v>
      </c>
      <c r="N236" s="174"/>
      <c r="O236" s="174">
        <v>1</v>
      </c>
      <c r="P236" s="174"/>
      <c r="Q236" s="174">
        <v>1</v>
      </c>
      <c r="R236" s="174">
        <v>13</v>
      </c>
      <c r="S236" s="174"/>
      <c r="T236" s="174"/>
      <c r="U236" s="174"/>
      <c r="V236" s="174"/>
      <c r="W236" s="174"/>
      <c r="X236" s="174">
        <v>2</v>
      </c>
      <c r="Y236" s="174">
        <f t="shared" si="43"/>
        <v>45</v>
      </c>
      <c r="Z236" s="174">
        <v>25</v>
      </c>
      <c r="AA236" s="174">
        <v>2</v>
      </c>
      <c r="AB236" s="174">
        <v>29</v>
      </c>
      <c r="AC236" s="174">
        <v>4</v>
      </c>
      <c r="AD236" s="174"/>
      <c r="AE236" s="174"/>
      <c r="AF236" s="174">
        <v>6</v>
      </c>
      <c r="AG236" s="174"/>
      <c r="AH236" s="174">
        <v>5</v>
      </c>
      <c r="AI236" s="174">
        <v>2</v>
      </c>
      <c r="AJ236" s="174">
        <v>2</v>
      </c>
      <c r="AK236" s="174">
        <v>2</v>
      </c>
      <c r="AL236" s="174"/>
      <c r="AM236" s="174">
        <v>1</v>
      </c>
      <c r="AN236" s="174"/>
      <c r="AO236" s="174"/>
      <c r="AP236" s="174">
        <v>9</v>
      </c>
      <c r="AQ236" s="174"/>
      <c r="AR236" s="174"/>
      <c r="AS236" s="174"/>
      <c r="AT236" s="174"/>
      <c r="AU236" s="174"/>
      <c r="AV236" s="174">
        <v>2</v>
      </c>
      <c r="AW236" s="174">
        <f t="shared" si="44"/>
        <v>29</v>
      </c>
      <c r="AX236" s="174">
        <v>3063.2727272727275</v>
      </c>
      <c r="AY236" s="204"/>
      <c r="AZ236" s="204"/>
      <c r="BA236" s="204"/>
    </row>
    <row r="237" spans="1:53" x14ac:dyDescent="0.25">
      <c r="A237" s="175" t="s">
        <v>104</v>
      </c>
      <c r="B237" s="174">
        <v>3</v>
      </c>
      <c r="C237" s="174">
        <v>1</v>
      </c>
      <c r="D237" s="174">
        <v>5</v>
      </c>
      <c r="E237" s="174">
        <v>1</v>
      </c>
      <c r="F237" s="174"/>
      <c r="G237" s="174"/>
      <c r="H237" s="174"/>
      <c r="I237" s="174"/>
      <c r="J237" s="174"/>
      <c r="K237" s="174"/>
      <c r="L237" s="174">
        <v>4</v>
      </c>
      <c r="M237" s="174"/>
      <c r="N237" s="174"/>
      <c r="O237" s="174"/>
      <c r="P237" s="174"/>
      <c r="Q237" s="174"/>
      <c r="R237" s="174"/>
      <c r="S237" s="174"/>
      <c r="T237" s="174"/>
      <c r="U237" s="174">
        <v>1</v>
      </c>
      <c r="V237" s="174"/>
      <c r="W237" s="174"/>
      <c r="X237" s="174"/>
      <c r="Y237" s="174">
        <f t="shared" si="43"/>
        <v>5</v>
      </c>
      <c r="Z237" s="174">
        <v>3</v>
      </c>
      <c r="AA237" s="174">
        <v>1</v>
      </c>
      <c r="AB237" s="174">
        <v>5</v>
      </c>
      <c r="AC237" s="174">
        <v>1</v>
      </c>
      <c r="AD237" s="174"/>
      <c r="AE237" s="174"/>
      <c r="AF237" s="174"/>
      <c r="AG237" s="174"/>
      <c r="AH237" s="174"/>
      <c r="AI237" s="174"/>
      <c r="AJ237" s="174">
        <v>4</v>
      </c>
      <c r="AK237" s="174"/>
      <c r="AL237" s="174"/>
      <c r="AM237" s="174"/>
      <c r="AN237" s="174"/>
      <c r="AO237" s="174"/>
      <c r="AP237" s="174"/>
      <c r="AQ237" s="174"/>
      <c r="AR237" s="174"/>
      <c r="AS237" s="174">
        <v>1</v>
      </c>
      <c r="AT237" s="174"/>
      <c r="AU237" s="174"/>
      <c r="AV237" s="174"/>
      <c r="AW237" s="174">
        <f t="shared" si="44"/>
        <v>5</v>
      </c>
      <c r="AX237" s="174">
        <v>2001</v>
      </c>
      <c r="AY237" s="204"/>
      <c r="AZ237" s="204"/>
      <c r="BA237" s="204"/>
    </row>
    <row r="238" spans="1:53" x14ac:dyDescent="0.25">
      <c r="A238" s="175" t="s">
        <v>105</v>
      </c>
      <c r="B238" s="174">
        <v>1</v>
      </c>
      <c r="C238" s="174"/>
      <c r="D238" s="174">
        <v>1</v>
      </c>
      <c r="E238" s="174"/>
      <c r="F238" s="174"/>
      <c r="G238" s="174"/>
      <c r="H238" s="174">
        <v>1</v>
      </c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>
        <f t="shared" si="43"/>
        <v>1</v>
      </c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204"/>
      <c r="AZ238" s="204"/>
      <c r="BA238" s="204"/>
    </row>
    <row r="239" spans="1:53" x14ac:dyDescent="0.25">
      <c r="A239" s="175" t="s">
        <v>106</v>
      </c>
      <c r="B239" s="174">
        <v>82</v>
      </c>
      <c r="C239" s="174">
        <v>23</v>
      </c>
      <c r="D239" s="174">
        <v>123</v>
      </c>
      <c r="E239" s="174">
        <v>32</v>
      </c>
      <c r="F239" s="174"/>
      <c r="G239" s="174"/>
      <c r="H239" s="174">
        <v>14</v>
      </c>
      <c r="I239" s="174"/>
      <c r="J239" s="174">
        <v>6</v>
      </c>
      <c r="K239" s="174">
        <v>3</v>
      </c>
      <c r="L239" s="174">
        <v>5</v>
      </c>
      <c r="M239" s="174">
        <v>2</v>
      </c>
      <c r="N239" s="174">
        <v>4</v>
      </c>
      <c r="O239" s="174">
        <v>2</v>
      </c>
      <c r="P239" s="174"/>
      <c r="Q239" s="174">
        <v>6</v>
      </c>
      <c r="R239" s="174">
        <v>54</v>
      </c>
      <c r="S239" s="174"/>
      <c r="T239" s="174">
        <v>11</v>
      </c>
      <c r="U239" s="174">
        <v>2</v>
      </c>
      <c r="V239" s="174">
        <v>12</v>
      </c>
      <c r="W239" s="174">
        <v>2</v>
      </c>
      <c r="X239" s="174"/>
      <c r="Y239" s="174">
        <f t="shared" si="43"/>
        <v>123</v>
      </c>
      <c r="Z239" s="174">
        <v>52</v>
      </c>
      <c r="AA239" s="174">
        <v>16</v>
      </c>
      <c r="AB239" s="174">
        <v>78</v>
      </c>
      <c r="AC239" s="174">
        <v>27</v>
      </c>
      <c r="AD239" s="174"/>
      <c r="AE239" s="174"/>
      <c r="AF239" s="174">
        <v>7</v>
      </c>
      <c r="AG239" s="174"/>
      <c r="AH239" s="174">
        <v>6</v>
      </c>
      <c r="AI239" s="174">
        <v>5</v>
      </c>
      <c r="AJ239" s="174">
        <v>4</v>
      </c>
      <c r="AK239" s="174">
        <v>1</v>
      </c>
      <c r="AL239" s="174"/>
      <c r="AM239" s="174">
        <v>1</v>
      </c>
      <c r="AN239" s="174"/>
      <c r="AO239" s="174">
        <v>2</v>
      </c>
      <c r="AP239" s="174">
        <v>33</v>
      </c>
      <c r="AQ239" s="174"/>
      <c r="AR239" s="174">
        <v>8</v>
      </c>
      <c r="AS239" s="174"/>
      <c r="AT239" s="174">
        <v>9</v>
      </c>
      <c r="AU239" s="174">
        <v>2</v>
      </c>
      <c r="AV239" s="174"/>
      <c r="AW239" s="174">
        <f>SUM(AD239:AV239)</f>
        <v>78</v>
      </c>
      <c r="AX239" s="174">
        <v>2635.6526315789474</v>
      </c>
      <c r="AY239" s="204"/>
      <c r="AZ239" s="204"/>
      <c r="BA239" s="204"/>
    </row>
    <row r="240" spans="1:53" x14ac:dyDescent="0.25">
      <c r="A240" s="175" t="s">
        <v>107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204"/>
      <c r="AZ240" s="204"/>
      <c r="BA240" s="204"/>
    </row>
    <row r="241" spans="1:53" x14ac:dyDescent="0.25">
      <c r="A241" s="175" t="s">
        <v>108</v>
      </c>
      <c r="B241" s="174">
        <v>1</v>
      </c>
      <c r="C241" s="174"/>
      <c r="D241" s="174">
        <v>1</v>
      </c>
      <c r="E241" s="174"/>
      <c r="F241" s="174"/>
      <c r="G241" s="174"/>
      <c r="H241" s="174">
        <v>1</v>
      </c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>
        <f>SUM(F241:X241)</f>
        <v>1</v>
      </c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  <c r="AR241" s="174"/>
      <c r="AS241" s="174"/>
      <c r="AT241" s="174"/>
      <c r="AU241" s="174"/>
      <c r="AV241" s="174"/>
      <c r="AW241" s="174"/>
      <c r="AX241" s="174"/>
      <c r="AY241" s="204"/>
      <c r="AZ241" s="204"/>
      <c r="BA241" s="204"/>
    </row>
    <row r="242" spans="1:53" x14ac:dyDescent="0.25">
      <c r="A242" s="175" t="s">
        <v>109</v>
      </c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204"/>
      <c r="AZ242" s="204"/>
      <c r="BA242" s="204"/>
    </row>
    <row r="243" spans="1:53" x14ac:dyDescent="0.25">
      <c r="A243" s="175" t="s">
        <v>110</v>
      </c>
      <c r="B243" s="174">
        <v>2</v>
      </c>
      <c r="C243" s="174">
        <v>2</v>
      </c>
      <c r="D243" s="174">
        <v>3</v>
      </c>
      <c r="E243" s="174">
        <v>3</v>
      </c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>
        <v>1</v>
      </c>
      <c r="U243" s="174"/>
      <c r="V243" s="174">
        <v>2</v>
      </c>
      <c r="W243" s="174"/>
      <c r="X243" s="174"/>
      <c r="Y243" s="174">
        <f>SUM(F243:X243)</f>
        <v>3</v>
      </c>
      <c r="Z243" s="174">
        <v>1</v>
      </c>
      <c r="AA243" s="174">
        <v>1</v>
      </c>
      <c r="AB243" s="174">
        <v>1</v>
      </c>
      <c r="AC243" s="174">
        <v>1</v>
      </c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74">
        <v>1</v>
      </c>
      <c r="AS243" s="174"/>
      <c r="AT243" s="174"/>
      <c r="AU243" s="174"/>
      <c r="AV243" s="174"/>
      <c r="AW243" s="174">
        <f>SUM(AD243:AV243)</f>
        <v>1</v>
      </c>
      <c r="AX243" s="174">
        <v>360</v>
      </c>
      <c r="AY243" s="204"/>
      <c r="AZ243" s="204"/>
      <c r="BA243" s="204"/>
    </row>
    <row r="244" spans="1:53" x14ac:dyDescent="0.25">
      <c r="A244" s="175" t="s">
        <v>111</v>
      </c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174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174"/>
      <c r="AX244" s="174"/>
      <c r="AY244" s="204"/>
      <c r="AZ244" s="204"/>
      <c r="BA244" s="204"/>
    </row>
    <row r="245" spans="1:53" x14ac:dyDescent="0.25">
      <c r="A245" s="175" t="s">
        <v>112</v>
      </c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174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174"/>
      <c r="AX245" s="174"/>
      <c r="AY245" s="204"/>
      <c r="AZ245" s="204"/>
      <c r="BA245" s="204"/>
    </row>
    <row r="246" spans="1:53" x14ac:dyDescent="0.25">
      <c r="A246" s="175" t="s">
        <v>113</v>
      </c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174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174"/>
      <c r="AX246" s="174"/>
      <c r="AY246" s="204"/>
      <c r="AZ246" s="204"/>
      <c r="BA246" s="204"/>
    </row>
    <row r="247" spans="1:53" s="219" customFormat="1" x14ac:dyDescent="0.25">
      <c r="A247" s="177" t="s">
        <v>56</v>
      </c>
      <c r="B247" s="219">
        <f t="shared" ref="B247:X247" si="47">B6+B26+B44+B63+B73+B94+B178+B181+B195+B223+B231</f>
        <v>3552</v>
      </c>
      <c r="C247" s="219">
        <f t="shared" si="47"/>
        <v>619</v>
      </c>
      <c r="D247" s="219">
        <f t="shared" si="47"/>
        <v>11146</v>
      </c>
      <c r="E247" s="219">
        <f t="shared" si="47"/>
        <v>2787</v>
      </c>
      <c r="F247" s="219">
        <f t="shared" si="47"/>
        <v>31</v>
      </c>
      <c r="G247" s="219">
        <f t="shared" si="47"/>
        <v>5</v>
      </c>
      <c r="H247" s="219">
        <f t="shared" si="47"/>
        <v>3441</v>
      </c>
      <c r="I247" s="219">
        <f t="shared" si="47"/>
        <v>51</v>
      </c>
      <c r="J247" s="219">
        <f t="shared" si="47"/>
        <v>208</v>
      </c>
      <c r="K247" s="219">
        <f t="shared" si="47"/>
        <v>535</v>
      </c>
      <c r="L247" s="219">
        <f t="shared" si="47"/>
        <v>580</v>
      </c>
      <c r="M247" s="219">
        <f t="shared" si="47"/>
        <v>109</v>
      </c>
      <c r="N247" s="219">
        <f t="shared" si="47"/>
        <v>452</v>
      </c>
      <c r="O247" s="219">
        <f t="shared" si="47"/>
        <v>101</v>
      </c>
      <c r="P247" s="219">
        <f t="shared" si="47"/>
        <v>48</v>
      </c>
      <c r="Q247" s="219">
        <f t="shared" si="47"/>
        <v>279</v>
      </c>
      <c r="R247" s="219">
        <f t="shared" si="47"/>
        <v>444</v>
      </c>
      <c r="S247" s="219">
        <f t="shared" si="47"/>
        <v>134</v>
      </c>
      <c r="T247" s="219">
        <f t="shared" si="47"/>
        <v>449</v>
      </c>
      <c r="U247" s="219">
        <f t="shared" si="47"/>
        <v>682</v>
      </c>
      <c r="V247" s="219">
        <f t="shared" si="47"/>
        <v>2595</v>
      </c>
      <c r="W247" s="219">
        <f t="shared" si="47"/>
        <v>27</v>
      </c>
      <c r="X247" s="219">
        <f t="shared" si="47"/>
        <v>975</v>
      </c>
      <c r="Y247" s="219">
        <f>SUM(F247:X247)</f>
        <v>11146</v>
      </c>
      <c r="Z247" s="219">
        <f t="shared" ref="Z247:AV247" si="48">Z6+Z26+Z44+Z63+Z73+Z94+Z178+Z181+Z195+Z223+Z231</f>
        <v>2557</v>
      </c>
      <c r="AA247" s="219">
        <f t="shared" si="48"/>
        <v>513</v>
      </c>
      <c r="AB247" s="219">
        <f t="shared" si="48"/>
        <v>7884</v>
      </c>
      <c r="AC247" s="219">
        <f t="shared" si="48"/>
        <v>2347</v>
      </c>
      <c r="AD247" s="219">
        <f t="shared" si="48"/>
        <v>52</v>
      </c>
      <c r="AE247" s="219">
        <f t="shared" si="48"/>
        <v>7</v>
      </c>
      <c r="AF247" s="219">
        <f t="shared" si="48"/>
        <v>2329</v>
      </c>
      <c r="AG247" s="219">
        <f t="shared" si="48"/>
        <v>45</v>
      </c>
      <c r="AH247" s="219">
        <f t="shared" si="48"/>
        <v>153</v>
      </c>
      <c r="AI247" s="219">
        <f t="shared" si="48"/>
        <v>376</v>
      </c>
      <c r="AJ247" s="219">
        <f t="shared" si="48"/>
        <v>332</v>
      </c>
      <c r="AK247" s="219">
        <f t="shared" si="48"/>
        <v>78</v>
      </c>
      <c r="AL247" s="219">
        <f t="shared" si="48"/>
        <v>249</v>
      </c>
      <c r="AM247" s="219">
        <f t="shared" si="48"/>
        <v>71</v>
      </c>
      <c r="AN247" s="219">
        <f t="shared" si="48"/>
        <v>84</v>
      </c>
      <c r="AO247" s="219">
        <f t="shared" si="48"/>
        <v>107</v>
      </c>
      <c r="AP247" s="219">
        <f t="shared" si="48"/>
        <v>277</v>
      </c>
      <c r="AQ247" s="219">
        <f t="shared" si="48"/>
        <v>70</v>
      </c>
      <c r="AR247" s="219">
        <f t="shared" si="48"/>
        <v>367</v>
      </c>
      <c r="AS247" s="219">
        <f t="shared" si="48"/>
        <v>470</v>
      </c>
      <c r="AT247" s="219">
        <f t="shared" si="48"/>
        <v>2293</v>
      </c>
      <c r="AU247" s="219">
        <f t="shared" si="48"/>
        <v>23</v>
      </c>
      <c r="AV247" s="219">
        <f t="shared" si="48"/>
        <v>501</v>
      </c>
      <c r="AW247" s="219">
        <f>SUM(AD247:AV247)</f>
        <v>7884</v>
      </c>
      <c r="AX247" s="224">
        <v>2558</v>
      </c>
      <c r="AY247" s="184">
        <f>Z247*100/B247</f>
        <v>71.987612612612608</v>
      </c>
      <c r="AZ247" s="174">
        <f>B247-Z247</f>
        <v>995</v>
      </c>
      <c r="BA247" s="184">
        <f>AZ247*100/B247</f>
        <v>28.012387387387388</v>
      </c>
    </row>
    <row r="248" spans="1:53" customFormat="1" x14ac:dyDescent="0.25">
      <c r="B248" s="1"/>
      <c r="C248" s="1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1"/>
      <c r="AA248" s="1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1" t="s">
        <v>275</v>
      </c>
      <c r="AY248" s="1"/>
      <c r="AZ248" s="1"/>
      <c r="BA248" s="1"/>
    </row>
    <row r="251" spans="1:53" x14ac:dyDescent="0.25">
      <c r="A251" s="188"/>
    </row>
    <row r="257" spans="50:53" x14ac:dyDescent="0.25">
      <c r="AX257" s="113">
        <v>376064.59</v>
      </c>
      <c r="AY257" s="225"/>
      <c r="AZ257" s="226"/>
      <c r="BA257" s="225"/>
    </row>
  </sheetData>
  <autoFilter ref="A5:CT248" xr:uid="{00000000-0009-0000-0000-000002000000}"/>
  <mergeCells count="2">
    <mergeCell ref="AD4:AV4"/>
    <mergeCell ref="A3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251"/>
  <sheetViews>
    <sheetView zoomScaleNormal="100" workbookViewId="0">
      <pane ySplit="5" topLeftCell="A6" activePane="bottomLeft" state="frozen"/>
      <selection activeCell="Y39" sqref="Y39"/>
      <selection pane="bottomLeft" activeCell="E15" sqref="E15"/>
    </sheetView>
  </sheetViews>
  <sheetFormatPr defaultRowHeight="15" x14ac:dyDescent="0.25"/>
  <cols>
    <col min="1" max="1" width="56.140625" style="142" customWidth="1"/>
    <col min="2" max="2" width="8.28515625" style="199" customWidth="1"/>
    <col min="3" max="3" width="10.7109375" style="199" customWidth="1"/>
    <col min="4" max="4" width="8.5703125" style="199" customWidth="1"/>
    <col min="5" max="5" width="11.5703125" style="199" customWidth="1"/>
    <col min="6" max="7" width="4.7109375" style="112" customWidth="1"/>
    <col min="8" max="8" width="5.28515625" style="112" customWidth="1"/>
    <col min="9" max="21" width="4.7109375" style="112" customWidth="1"/>
    <col min="22" max="22" width="5.42578125" style="112" customWidth="1"/>
    <col min="23" max="23" width="4.7109375" style="112" customWidth="1"/>
    <col min="24" max="24" width="4.140625" style="112" customWidth="1"/>
    <col min="25" max="25" width="6.42578125" style="112" customWidth="1"/>
    <col min="26" max="26" width="9.140625" style="199" customWidth="1"/>
    <col min="27" max="27" width="10.42578125" style="199" customWidth="1"/>
    <col min="28" max="28" width="7.5703125" style="199" customWidth="1"/>
    <col min="29" max="29" width="11.140625" style="199" customWidth="1"/>
    <col min="30" max="30" width="6.7109375" style="112" customWidth="1"/>
    <col min="31" max="31" width="4.28515625" style="112" customWidth="1"/>
    <col min="32" max="32" width="5.42578125" style="112" customWidth="1"/>
    <col min="33" max="33" width="5" style="112" customWidth="1"/>
    <col min="34" max="34" width="4.7109375" style="112" customWidth="1"/>
    <col min="35" max="35" width="4.28515625" style="112" customWidth="1"/>
    <col min="36" max="49" width="6.7109375" style="112" customWidth="1"/>
    <col min="50" max="51" width="16.7109375" style="144" customWidth="1"/>
    <col min="52" max="52" width="16.7109375" style="180" customWidth="1"/>
    <col min="53" max="53" width="16.7109375" style="144" customWidth="1"/>
    <col min="54" max="73" width="8.85546875" style="142" customWidth="1"/>
    <col min="74" max="75" width="9.28515625" style="142" customWidth="1"/>
    <col min="76" max="76" width="11.28515625" style="142" customWidth="1"/>
    <col min="77" max="140" width="8.85546875" style="142" customWidth="1"/>
    <col min="141" max="16384" width="9.140625" style="142"/>
  </cols>
  <sheetData>
    <row r="1" spans="1:53" ht="10.9" hidden="1" customHeight="1" x14ac:dyDescent="0.25">
      <c r="AZ1" s="144"/>
    </row>
    <row r="2" spans="1:53" ht="10.9" hidden="1" customHeight="1" x14ac:dyDescent="0.25">
      <c r="AZ2" s="144"/>
    </row>
    <row r="3" spans="1:53" ht="15.6" hidden="1" customHeight="1" x14ac:dyDescent="0.25">
      <c r="AZ3" s="144"/>
    </row>
    <row r="4" spans="1:53" s="188" customFormat="1" ht="90" x14ac:dyDescent="0.25">
      <c r="B4" s="199" t="s">
        <v>0</v>
      </c>
      <c r="C4" s="199"/>
      <c r="D4" s="199" t="s">
        <v>1</v>
      </c>
      <c r="E4" s="199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9" t="s">
        <v>2</v>
      </c>
      <c r="AA4" s="199"/>
      <c r="AB4" s="199" t="s">
        <v>3</v>
      </c>
      <c r="AC4" s="199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0"/>
      <c r="AY4" s="190"/>
      <c r="AZ4" s="193"/>
      <c r="BA4" s="190"/>
    </row>
    <row r="5" spans="1:53" ht="60" x14ac:dyDescent="0.25">
      <c r="A5" s="211">
        <v>2021</v>
      </c>
      <c r="B5" s="199" t="s">
        <v>5</v>
      </c>
      <c r="C5" s="199" t="s">
        <v>6</v>
      </c>
      <c r="D5" s="199" t="s">
        <v>7</v>
      </c>
      <c r="E5" s="199" t="s">
        <v>6</v>
      </c>
      <c r="F5" s="174" t="s">
        <v>8</v>
      </c>
      <c r="G5" s="174" t="s">
        <v>9</v>
      </c>
      <c r="H5" s="174" t="s">
        <v>10</v>
      </c>
      <c r="I5" s="174" t="s">
        <v>11</v>
      </c>
      <c r="J5" s="174" t="s">
        <v>12</v>
      </c>
      <c r="K5" s="174" t="s">
        <v>13</v>
      </c>
      <c r="L5" s="174" t="s">
        <v>14</v>
      </c>
      <c r="M5" s="174" t="s">
        <v>15</v>
      </c>
      <c r="N5" s="174" t="s">
        <v>16</v>
      </c>
      <c r="O5" s="174" t="s">
        <v>17</v>
      </c>
      <c r="P5" s="174" t="s">
        <v>18</v>
      </c>
      <c r="Q5" s="174" t="s">
        <v>19</v>
      </c>
      <c r="R5" s="174" t="s">
        <v>20</v>
      </c>
      <c r="S5" s="174" t="s">
        <v>21</v>
      </c>
      <c r="T5" s="174" t="s">
        <v>22</v>
      </c>
      <c r="U5" s="174" t="s">
        <v>23</v>
      </c>
      <c r="V5" s="174" t="s">
        <v>24</v>
      </c>
      <c r="W5" s="174" t="s">
        <v>25</v>
      </c>
      <c r="X5" s="174" t="s">
        <v>26</v>
      </c>
      <c r="Y5" s="174"/>
      <c r="Z5" s="199" t="s">
        <v>5</v>
      </c>
      <c r="AA5" s="199" t="s">
        <v>27</v>
      </c>
      <c r="AB5" s="199" t="s">
        <v>7</v>
      </c>
      <c r="AC5" s="199" t="s">
        <v>6</v>
      </c>
      <c r="AD5" s="174" t="s">
        <v>8</v>
      </c>
      <c r="AE5" s="174" t="s">
        <v>9</v>
      </c>
      <c r="AF5" s="174" t="s">
        <v>10</v>
      </c>
      <c r="AG5" s="174" t="s">
        <v>11</v>
      </c>
      <c r="AH5" s="174" t="s">
        <v>12</v>
      </c>
      <c r="AI5" s="174" t="s">
        <v>13</v>
      </c>
      <c r="AJ5" s="174" t="s">
        <v>14</v>
      </c>
      <c r="AK5" s="174" t="s">
        <v>15</v>
      </c>
      <c r="AL5" s="174" t="s">
        <v>16</v>
      </c>
      <c r="AM5" s="174" t="s">
        <v>17</v>
      </c>
      <c r="AN5" s="174" t="s">
        <v>18</v>
      </c>
      <c r="AO5" s="174" t="s">
        <v>19</v>
      </c>
      <c r="AP5" s="174" t="s">
        <v>20</v>
      </c>
      <c r="AQ5" s="174" t="s">
        <v>21</v>
      </c>
      <c r="AR5" s="174" t="s">
        <v>22</v>
      </c>
      <c r="AS5" s="174" t="s">
        <v>23</v>
      </c>
      <c r="AT5" s="174" t="s">
        <v>24</v>
      </c>
      <c r="AU5" s="174" t="s">
        <v>25</v>
      </c>
      <c r="AV5" s="174" t="s">
        <v>26</v>
      </c>
      <c r="AW5" s="174"/>
      <c r="AX5" s="212" t="s">
        <v>28</v>
      </c>
      <c r="AY5" s="213" t="s">
        <v>277</v>
      </c>
      <c r="AZ5" s="214" t="s">
        <v>278</v>
      </c>
      <c r="BA5" s="213" t="s">
        <v>279</v>
      </c>
    </row>
    <row r="6" spans="1:53" x14ac:dyDescent="0.25">
      <c r="A6" s="173" t="s">
        <v>29</v>
      </c>
      <c r="B6" s="199">
        <f t="shared" ref="B6:H6" si="0">B7+B8+B9+B10+B11+B12+B13+B14+B15+B16+B17+B18+B19+B20+B21+B22+B23+B24+B25</f>
        <v>246</v>
      </c>
      <c r="C6" s="199">
        <f t="shared" si="0"/>
        <v>220</v>
      </c>
      <c r="D6" s="199">
        <f t="shared" si="0"/>
        <v>568</v>
      </c>
      <c r="E6" s="199">
        <f t="shared" si="0"/>
        <v>426</v>
      </c>
      <c r="F6" s="174">
        <f t="shared" si="0"/>
        <v>0</v>
      </c>
      <c r="G6" s="174">
        <f t="shared" si="0"/>
        <v>0</v>
      </c>
      <c r="H6" s="174">
        <f t="shared" si="0"/>
        <v>22</v>
      </c>
      <c r="I6" s="174">
        <f t="shared" ref="I6:X6" si="1">I7+I8+I9+I10+I11+I12+I13+I14+I15+I16+I17+I18+I19+I20+I21+I22+I23+I24+I25</f>
        <v>0</v>
      </c>
      <c r="J6" s="174">
        <f t="shared" si="1"/>
        <v>1</v>
      </c>
      <c r="K6" s="174">
        <f t="shared" si="1"/>
        <v>0</v>
      </c>
      <c r="L6" s="174">
        <f t="shared" si="1"/>
        <v>11</v>
      </c>
      <c r="M6" s="174">
        <f t="shared" si="1"/>
        <v>19</v>
      </c>
      <c r="N6" s="174">
        <f t="shared" si="1"/>
        <v>1</v>
      </c>
      <c r="O6" s="174">
        <f t="shared" si="1"/>
        <v>4</v>
      </c>
      <c r="P6" s="174">
        <f t="shared" si="1"/>
        <v>0</v>
      </c>
      <c r="Q6" s="174">
        <f t="shared" si="1"/>
        <v>22</v>
      </c>
      <c r="R6" s="174">
        <f t="shared" si="1"/>
        <v>0</v>
      </c>
      <c r="S6" s="174">
        <f t="shared" si="1"/>
        <v>74</v>
      </c>
      <c r="T6" s="174">
        <f t="shared" si="1"/>
        <v>82</v>
      </c>
      <c r="U6" s="174">
        <f t="shared" si="1"/>
        <v>3</v>
      </c>
      <c r="V6" s="174">
        <f t="shared" si="1"/>
        <v>316</v>
      </c>
      <c r="W6" s="174">
        <f t="shared" si="1"/>
        <v>3</v>
      </c>
      <c r="X6" s="174">
        <f t="shared" si="1"/>
        <v>10</v>
      </c>
      <c r="Y6" s="174">
        <f t="shared" ref="Y6" si="2">SUM(F6:X6)</f>
        <v>568</v>
      </c>
      <c r="Z6" s="199">
        <f t="shared" ref="Z6:AV6" si="3">SUM(Z7:Z25)</f>
        <v>146</v>
      </c>
      <c r="AA6" s="199">
        <f t="shared" si="3"/>
        <v>131</v>
      </c>
      <c r="AB6" s="199">
        <f t="shared" si="3"/>
        <v>385</v>
      </c>
      <c r="AC6" s="199">
        <f t="shared" si="3"/>
        <v>342</v>
      </c>
      <c r="AD6" s="174">
        <f t="shared" si="3"/>
        <v>0</v>
      </c>
      <c r="AE6" s="174">
        <f t="shared" si="3"/>
        <v>0</v>
      </c>
      <c r="AF6" s="174">
        <f t="shared" si="3"/>
        <v>16</v>
      </c>
      <c r="AG6" s="174">
        <f t="shared" si="3"/>
        <v>0</v>
      </c>
      <c r="AH6" s="174">
        <f t="shared" si="3"/>
        <v>1</v>
      </c>
      <c r="AI6" s="174">
        <f t="shared" si="3"/>
        <v>0</v>
      </c>
      <c r="AJ6" s="174">
        <f t="shared" si="3"/>
        <v>11</v>
      </c>
      <c r="AK6" s="174">
        <f t="shared" si="3"/>
        <v>4</v>
      </c>
      <c r="AL6" s="174">
        <f t="shared" si="3"/>
        <v>1</v>
      </c>
      <c r="AM6" s="174">
        <f t="shared" si="3"/>
        <v>0</v>
      </c>
      <c r="AN6" s="174">
        <f t="shared" si="3"/>
        <v>0</v>
      </c>
      <c r="AO6" s="174">
        <f t="shared" si="3"/>
        <v>0</v>
      </c>
      <c r="AP6" s="174">
        <f t="shared" si="3"/>
        <v>0</v>
      </c>
      <c r="AQ6" s="174">
        <f t="shared" si="3"/>
        <v>66</v>
      </c>
      <c r="AR6" s="174">
        <f t="shared" si="3"/>
        <v>37</v>
      </c>
      <c r="AS6" s="174">
        <f t="shared" si="3"/>
        <v>3</v>
      </c>
      <c r="AT6" s="174">
        <f t="shared" si="3"/>
        <v>236</v>
      </c>
      <c r="AU6" s="174">
        <f t="shared" si="3"/>
        <v>3</v>
      </c>
      <c r="AV6" s="174">
        <f t="shared" si="3"/>
        <v>7</v>
      </c>
      <c r="AW6" s="174">
        <f t="shared" ref="AW6" si="4">SUM(AD6:AV6)</f>
        <v>385</v>
      </c>
      <c r="AX6" s="144">
        <v>997.68</v>
      </c>
      <c r="AY6" s="156">
        <f>Z6*100/B6</f>
        <v>59.349593495934961</v>
      </c>
      <c r="AZ6" s="185">
        <f>B6-Z6</f>
        <v>100</v>
      </c>
      <c r="BA6" s="156">
        <f>AZ6*100/B6</f>
        <v>40.650406504065039</v>
      </c>
    </row>
    <row r="7" spans="1:53" x14ac:dyDescent="0.25">
      <c r="A7" s="175" t="s">
        <v>151</v>
      </c>
      <c r="B7" s="199">
        <v>147</v>
      </c>
      <c r="C7" s="199">
        <v>147</v>
      </c>
      <c r="D7" s="199">
        <v>255</v>
      </c>
      <c r="E7" s="199">
        <v>255</v>
      </c>
      <c r="F7" s="174"/>
      <c r="G7" s="174"/>
      <c r="H7" s="174"/>
      <c r="I7" s="174"/>
      <c r="J7" s="174"/>
      <c r="K7" s="174"/>
      <c r="L7" s="174"/>
      <c r="M7" s="174"/>
      <c r="N7" s="174"/>
      <c r="O7" s="174">
        <v>1</v>
      </c>
      <c r="P7" s="174"/>
      <c r="Q7" s="174">
        <v>22</v>
      </c>
      <c r="R7" s="174"/>
      <c r="S7" s="174"/>
      <c r="T7" s="174">
        <v>2</v>
      </c>
      <c r="U7" s="174"/>
      <c r="V7" s="174">
        <v>230</v>
      </c>
      <c r="W7" s="174"/>
      <c r="X7" s="174"/>
      <c r="Y7" s="174">
        <f t="shared" ref="Y7:Y25" si="5">SUM(F7:X7)</f>
        <v>255</v>
      </c>
      <c r="Z7" s="199">
        <v>87</v>
      </c>
      <c r="AA7" s="199">
        <v>87</v>
      </c>
      <c r="AB7" s="199">
        <v>163</v>
      </c>
      <c r="AC7" s="199">
        <v>163</v>
      </c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>
        <v>163</v>
      </c>
      <c r="AU7" s="174"/>
      <c r="AV7" s="174"/>
      <c r="AW7" s="174">
        <f t="shared" ref="AW7:AW38" si="6">SUM(AD7:AV7)</f>
        <v>163</v>
      </c>
      <c r="AX7" s="156">
        <v>841.64285714285711</v>
      </c>
      <c r="AY7" s="203"/>
      <c r="AZ7" s="203"/>
      <c r="BA7" s="203"/>
    </row>
    <row r="8" spans="1:53" x14ac:dyDescent="0.25">
      <c r="A8" s="175" t="s">
        <v>152</v>
      </c>
      <c r="B8" s="199">
        <v>2</v>
      </c>
      <c r="C8" s="199">
        <v>2</v>
      </c>
      <c r="D8" s="199">
        <v>2</v>
      </c>
      <c r="E8" s="199">
        <v>2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>
        <v>2</v>
      </c>
      <c r="U8" s="174"/>
      <c r="V8" s="174"/>
      <c r="W8" s="174"/>
      <c r="X8" s="174"/>
      <c r="Y8" s="174">
        <f t="shared" si="5"/>
        <v>2</v>
      </c>
      <c r="Z8" s="199">
        <v>2</v>
      </c>
      <c r="AA8" s="199">
        <v>2</v>
      </c>
      <c r="AB8" s="199">
        <v>2</v>
      </c>
      <c r="AC8" s="199">
        <v>2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>
        <v>2</v>
      </c>
      <c r="AS8" s="174"/>
      <c r="AT8" s="174"/>
      <c r="AU8" s="174"/>
      <c r="AV8" s="174"/>
      <c r="AW8" s="174">
        <f t="shared" si="6"/>
        <v>2</v>
      </c>
      <c r="AX8" s="156">
        <v>272</v>
      </c>
      <c r="AY8" s="203"/>
      <c r="AZ8" s="203"/>
      <c r="BA8" s="203"/>
    </row>
    <row r="9" spans="1:53" x14ac:dyDescent="0.25">
      <c r="A9" s="175" t="s">
        <v>153</v>
      </c>
      <c r="B9" s="199">
        <v>11</v>
      </c>
      <c r="C9" s="199">
        <v>11</v>
      </c>
      <c r="D9" s="199">
        <v>12</v>
      </c>
      <c r="E9" s="199">
        <v>10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>
        <v>5</v>
      </c>
      <c r="U9" s="174"/>
      <c r="V9" s="174">
        <v>7</v>
      </c>
      <c r="W9" s="174"/>
      <c r="X9" s="174"/>
      <c r="Y9" s="174">
        <f t="shared" si="5"/>
        <v>12</v>
      </c>
      <c r="Z9" s="199">
        <v>5</v>
      </c>
      <c r="AA9" s="199">
        <v>5</v>
      </c>
      <c r="AB9" s="199">
        <v>6</v>
      </c>
      <c r="AC9" s="199">
        <v>6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>
        <v>1</v>
      </c>
      <c r="AS9" s="174"/>
      <c r="AT9" s="174">
        <v>5</v>
      </c>
      <c r="AU9" s="174"/>
      <c r="AV9" s="174"/>
      <c r="AW9" s="174">
        <f t="shared" si="6"/>
        <v>6</v>
      </c>
      <c r="AX9" s="156">
        <v>747</v>
      </c>
      <c r="AY9" s="203"/>
      <c r="AZ9" s="203"/>
      <c r="BA9" s="203"/>
    </row>
    <row r="10" spans="1:53" x14ac:dyDescent="0.25">
      <c r="A10" s="175" t="s">
        <v>154</v>
      </c>
      <c r="B10" s="199">
        <v>8</v>
      </c>
      <c r="C10" s="199">
        <v>4</v>
      </c>
      <c r="D10" s="199">
        <v>10</v>
      </c>
      <c r="E10" s="199">
        <v>4</v>
      </c>
      <c r="F10" s="174"/>
      <c r="G10" s="174"/>
      <c r="H10" s="174">
        <v>2</v>
      </c>
      <c r="I10" s="174"/>
      <c r="J10" s="174"/>
      <c r="K10" s="174"/>
      <c r="L10" s="174"/>
      <c r="M10" s="174"/>
      <c r="N10" s="174">
        <v>1</v>
      </c>
      <c r="O10" s="174">
        <v>3</v>
      </c>
      <c r="P10" s="174"/>
      <c r="Q10" s="174"/>
      <c r="R10" s="174"/>
      <c r="S10" s="174"/>
      <c r="T10" s="174"/>
      <c r="U10" s="174"/>
      <c r="V10" s="174">
        <v>1</v>
      </c>
      <c r="W10" s="174"/>
      <c r="X10" s="174">
        <v>3</v>
      </c>
      <c r="Y10" s="174">
        <f t="shared" si="5"/>
        <v>10</v>
      </c>
      <c r="Z10" s="199">
        <v>4</v>
      </c>
      <c r="AA10" s="199">
        <v>1</v>
      </c>
      <c r="AB10" s="199">
        <v>6</v>
      </c>
      <c r="AC10" s="199">
        <v>1</v>
      </c>
      <c r="AD10" s="174"/>
      <c r="AE10" s="174"/>
      <c r="AF10" s="174">
        <v>2</v>
      </c>
      <c r="AG10" s="174"/>
      <c r="AH10" s="174"/>
      <c r="AI10" s="174"/>
      <c r="AJ10" s="174"/>
      <c r="AK10" s="174"/>
      <c r="AL10" s="174">
        <v>1</v>
      </c>
      <c r="AM10" s="174"/>
      <c r="AN10" s="174"/>
      <c r="AO10" s="174"/>
      <c r="AP10" s="174"/>
      <c r="AQ10" s="174"/>
      <c r="AR10" s="174"/>
      <c r="AS10" s="174"/>
      <c r="AT10" s="174">
        <v>1</v>
      </c>
      <c r="AU10" s="174"/>
      <c r="AV10" s="174">
        <v>2</v>
      </c>
      <c r="AW10" s="174">
        <f t="shared" si="6"/>
        <v>6</v>
      </c>
      <c r="AX10" s="156">
        <v>1299.75</v>
      </c>
      <c r="AY10" s="203"/>
      <c r="AZ10" s="203"/>
      <c r="BA10" s="203"/>
    </row>
    <row r="11" spans="1:53" x14ac:dyDescent="0.25">
      <c r="A11" s="175" t="s">
        <v>155</v>
      </c>
      <c r="B11" s="199">
        <v>6</v>
      </c>
      <c r="D11" s="199">
        <v>25</v>
      </c>
      <c r="F11" s="174"/>
      <c r="G11" s="174"/>
      <c r="H11" s="174">
        <v>1</v>
      </c>
      <c r="I11" s="174"/>
      <c r="J11" s="174"/>
      <c r="K11" s="174"/>
      <c r="L11" s="174"/>
      <c r="M11" s="174">
        <v>18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>
        <v>6</v>
      </c>
      <c r="Y11" s="174">
        <f t="shared" si="5"/>
        <v>25</v>
      </c>
      <c r="Z11" s="199">
        <v>3</v>
      </c>
      <c r="AB11" s="199">
        <v>9</v>
      </c>
      <c r="AD11" s="174"/>
      <c r="AE11" s="174"/>
      <c r="AF11" s="174">
        <v>1</v>
      </c>
      <c r="AG11" s="174"/>
      <c r="AH11" s="174"/>
      <c r="AI11" s="174"/>
      <c r="AJ11" s="174"/>
      <c r="AK11" s="174">
        <v>3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>
        <v>5</v>
      </c>
      <c r="AW11" s="174">
        <f t="shared" si="6"/>
        <v>9</v>
      </c>
      <c r="AX11" s="156">
        <v>1830</v>
      </c>
      <c r="AY11" s="203"/>
      <c r="AZ11" s="203"/>
      <c r="BA11" s="203"/>
    </row>
    <row r="12" spans="1:53" x14ac:dyDescent="0.25">
      <c r="A12" s="175" t="s">
        <v>156</v>
      </c>
      <c r="B12" s="199">
        <v>4</v>
      </c>
      <c r="C12" s="199">
        <v>3</v>
      </c>
      <c r="D12" s="199">
        <v>7</v>
      </c>
      <c r="E12" s="199">
        <v>3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>
        <v>4</v>
      </c>
      <c r="T12" s="174">
        <v>3</v>
      </c>
      <c r="U12" s="174"/>
      <c r="V12" s="174"/>
      <c r="W12" s="174"/>
      <c r="X12" s="174"/>
      <c r="Y12" s="174">
        <f t="shared" si="5"/>
        <v>7</v>
      </c>
      <c r="Z12" s="199">
        <v>1</v>
      </c>
      <c r="AA12" s="199">
        <v>1</v>
      </c>
      <c r="AB12" s="199">
        <v>1</v>
      </c>
      <c r="AC12" s="199">
        <v>1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>
        <v>1</v>
      </c>
      <c r="AS12" s="174"/>
      <c r="AT12" s="174"/>
      <c r="AU12" s="174"/>
      <c r="AV12" s="174"/>
      <c r="AW12" s="174">
        <f t="shared" si="6"/>
        <v>1</v>
      </c>
      <c r="AX12" s="156">
        <v>952</v>
      </c>
      <c r="AY12" s="203"/>
      <c r="AZ12" s="203"/>
      <c r="BA12" s="203"/>
    </row>
    <row r="13" spans="1:53" x14ac:dyDescent="0.25">
      <c r="A13" s="175" t="s">
        <v>157</v>
      </c>
      <c r="B13" s="199">
        <v>3</v>
      </c>
      <c r="C13" s="199">
        <v>3</v>
      </c>
      <c r="D13" s="199">
        <v>3</v>
      </c>
      <c r="E13" s="199">
        <v>3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>
        <v>3</v>
      </c>
      <c r="X13" s="174"/>
      <c r="Y13" s="174">
        <f t="shared" si="5"/>
        <v>3</v>
      </c>
      <c r="Z13" s="199">
        <v>3</v>
      </c>
      <c r="AA13" s="199">
        <v>3</v>
      </c>
      <c r="AB13" s="199">
        <v>3</v>
      </c>
      <c r="AC13" s="199">
        <v>3</v>
      </c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>
        <v>3</v>
      </c>
      <c r="AV13" s="174"/>
      <c r="AW13" s="174">
        <f t="shared" si="6"/>
        <v>3</v>
      </c>
      <c r="AX13" s="156">
        <v>554</v>
      </c>
      <c r="AY13" s="203"/>
      <c r="AZ13" s="203"/>
      <c r="BA13" s="203"/>
    </row>
    <row r="14" spans="1:53" x14ac:dyDescent="0.25">
      <c r="A14" s="175" t="s">
        <v>158</v>
      </c>
      <c r="B14" s="199">
        <v>11</v>
      </c>
      <c r="C14" s="199">
        <v>9</v>
      </c>
      <c r="D14" s="199">
        <v>38</v>
      </c>
      <c r="E14" s="199">
        <v>38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>
        <v>31</v>
      </c>
      <c r="U14" s="174"/>
      <c r="V14" s="174">
        <v>7</v>
      </c>
      <c r="W14" s="174"/>
      <c r="X14" s="174"/>
      <c r="Y14" s="174">
        <f t="shared" si="5"/>
        <v>38</v>
      </c>
      <c r="Z14" s="199">
        <v>4</v>
      </c>
      <c r="AA14" s="199">
        <v>4</v>
      </c>
      <c r="AB14" s="199">
        <v>4</v>
      </c>
      <c r="AC14" s="199">
        <v>4</v>
      </c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>
        <v>1</v>
      </c>
      <c r="AS14" s="174"/>
      <c r="AT14" s="174">
        <v>3</v>
      </c>
      <c r="AU14" s="174"/>
      <c r="AV14" s="174"/>
      <c r="AW14" s="174">
        <f t="shared" si="6"/>
        <v>4</v>
      </c>
      <c r="AX14" s="156">
        <v>258.66666666666669</v>
      </c>
      <c r="AY14" s="203"/>
      <c r="AZ14" s="203"/>
      <c r="BA14" s="203"/>
    </row>
    <row r="15" spans="1:53" x14ac:dyDescent="0.25">
      <c r="A15" s="175" t="s">
        <v>77</v>
      </c>
      <c r="B15" s="199">
        <v>3</v>
      </c>
      <c r="D15" s="199">
        <v>12</v>
      </c>
      <c r="F15" s="174"/>
      <c r="G15" s="174"/>
      <c r="H15" s="174">
        <v>12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>
        <f t="shared" si="5"/>
        <v>12</v>
      </c>
      <c r="Z15" s="199">
        <v>3</v>
      </c>
      <c r="AB15" s="199">
        <v>12</v>
      </c>
      <c r="AD15" s="174"/>
      <c r="AE15" s="174"/>
      <c r="AF15" s="174">
        <v>12</v>
      </c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>
        <f t="shared" si="6"/>
        <v>12</v>
      </c>
      <c r="AX15" s="156">
        <v>1788</v>
      </c>
      <c r="AY15" s="203"/>
      <c r="AZ15" s="203"/>
      <c r="BA15" s="203"/>
    </row>
    <row r="16" spans="1:53" x14ac:dyDescent="0.25">
      <c r="A16" s="175" t="s">
        <v>78</v>
      </c>
      <c r="B16" s="199">
        <v>36</v>
      </c>
      <c r="C16" s="199">
        <v>31</v>
      </c>
      <c r="D16" s="199">
        <v>188</v>
      </c>
      <c r="E16" s="199">
        <v>101</v>
      </c>
      <c r="F16" s="174"/>
      <c r="G16" s="174"/>
      <c r="H16" s="174">
        <v>6</v>
      </c>
      <c r="I16" s="174"/>
      <c r="J16" s="174">
        <v>1</v>
      </c>
      <c r="K16" s="174"/>
      <c r="L16" s="174">
        <v>10</v>
      </c>
      <c r="M16" s="174"/>
      <c r="N16" s="174"/>
      <c r="O16" s="174"/>
      <c r="P16" s="174"/>
      <c r="Q16" s="174"/>
      <c r="R16" s="174"/>
      <c r="S16" s="174">
        <v>70</v>
      </c>
      <c r="T16" s="174">
        <v>32</v>
      </c>
      <c r="U16" s="174">
        <v>3</v>
      </c>
      <c r="V16" s="174">
        <v>66</v>
      </c>
      <c r="W16" s="174"/>
      <c r="X16" s="174"/>
      <c r="Y16" s="174">
        <f t="shared" si="5"/>
        <v>188</v>
      </c>
      <c r="Z16" s="199">
        <v>24</v>
      </c>
      <c r="AA16" s="199">
        <v>22</v>
      </c>
      <c r="AB16" s="199">
        <v>169</v>
      </c>
      <c r="AC16" s="199">
        <v>156</v>
      </c>
      <c r="AD16" s="174"/>
      <c r="AE16" s="174"/>
      <c r="AF16" s="174"/>
      <c r="AG16" s="174"/>
      <c r="AH16" s="174">
        <v>1</v>
      </c>
      <c r="AI16" s="174"/>
      <c r="AJ16" s="174">
        <v>10</v>
      </c>
      <c r="AK16" s="174"/>
      <c r="AL16" s="174"/>
      <c r="AM16" s="174"/>
      <c r="AN16" s="174"/>
      <c r="AO16" s="174"/>
      <c r="AP16" s="174"/>
      <c r="AQ16" s="174">
        <v>66</v>
      </c>
      <c r="AR16" s="174">
        <v>28</v>
      </c>
      <c r="AS16" s="174">
        <v>3</v>
      </c>
      <c r="AT16" s="174">
        <v>61</v>
      </c>
      <c r="AU16" s="174"/>
      <c r="AV16" s="174"/>
      <c r="AW16" s="174">
        <f t="shared" si="6"/>
        <v>169</v>
      </c>
      <c r="AX16" s="156">
        <v>1237.4077777777777</v>
      </c>
      <c r="AY16" s="203"/>
      <c r="AZ16" s="203"/>
      <c r="BA16" s="203"/>
    </row>
    <row r="17" spans="1:54" x14ac:dyDescent="0.25">
      <c r="A17" s="175" t="s">
        <v>79</v>
      </c>
      <c r="B17" s="199">
        <v>2</v>
      </c>
      <c r="C17" s="199">
        <v>2</v>
      </c>
      <c r="D17" s="199">
        <v>2</v>
      </c>
      <c r="E17" s="199">
        <v>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>
        <v>1</v>
      </c>
      <c r="U17" s="174"/>
      <c r="V17" s="174">
        <v>1</v>
      </c>
      <c r="W17" s="174"/>
      <c r="X17" s="174"/>
      <c r="Y17" s="174">
        <f t="shared" si="5"/>
        <v>2</v>
      </c>
      <c r="Z17" s="199">
        <v>1</v>
      </c>
      <c r="AA17" s="199">
        <v>1</v>
      </c>
      <c r="AB17" s="199">
        <v>1</v>
      </c>
      <c r="AC17" s="199">
        <v>1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>
        <v>1</v>
      </c>
      <c r="AU17" s="174"/>
      <c r="AV17" s="174"/>
      <c r="AW17" s="174">
        <f t="shared" si="6"/>
        <v>1</v>
      </c>
      <c r="AX17" s="156">
        <v>240</v>
      </c>
      <c r="AY17" s="203"/>
      <c r="AZ17" s="203"/>
      <c r="BA17" s="203"/>
    </row>
    <row r="18" spans="1:54" x14ac:dyDescent="0.25">
      <c r="A18" s="175" t="s">
        <v>80</v>
      </c>
      <c r="B18" s="199">
        <v>1</v>
      </c>
      <c r="C18" s="199">
        <v>1</v>
      </c>
      <c r="D18" s="199">
        <v>1</v>
      </c>
      <c r="E18" s="199">
        <v>1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>
        <v>1</v>
      </c>
      <c r="U18" s="174"/>
      <c r="V18" s="174"/>
      <c r="W18" s="174"/>
      <c r="X18" s="174"/>
      <c r="Y18" s="174">
        <f t="shared" si="5"/>
        <v>1</v>
      </c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>
        <f t="shared" si="6"/>
        <v>0</v>
      </c>
      <c r="AX18" s="156"/>
      <c r="AY18" s="203"/>
      <c r="AZ18" s="203"/>
      <c r="BA18" s="203"/>
    </row>
    <row r="19" spans="1:54" x14ac:dyDescent="0.25">
      <c r="A19" s="175" t="s">
        <v>81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>
        <f t="shared" si="5"/>
        <v>0</v>
      </c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>
        <f t="shared" si="6"/>
        <v>0</v>
      </c>
      <c r="AX19" s="156"/>
      <c r="AY19" s="203"/>
      <c r="AZ19" s="203"/>
      <c r="BA19" s="203"/>
    </row>
    <row r="20" spans="1:54" x14ac:dyDescent="0.25">
      <c r="A20" s="175" t="s">
        <v>82</v>
      </c>
      <c r="B20" s="199">
        <v>2</v>
      </c>
      <c r="C20" s="199">
        <v>2</v>
      </c>
      <c r="D20" s="199">
        <v>2</v>
      </c>
      <c r="E20" s="199">
        <v>2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>
        <v>1</v>
      </c>
      <c r="U20" s="174"/>
      <c r="V20" s="174">
        <v>1</v>
      </c>
      <c r="W20" s="174"/>
      <c r="X20" s="174"/>
      <c r="Y20" s="174">
        <f t="shared" si="5"/>
        <v>2</v>
      </c>
      <c r="Z20" s="199">
        <v>2</v>
      </c>
      <c r="AA20" s="199">
        <v>2</v>
      </c>
      <c r="AB20" s="199">
        <v>2</v>
      </c>
      <c r="AC20" s="199">
        <v>2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>
        <v>1</v>
      </c>
      <c r="AS20" s="174"/>
      <c r="AT20" s="174">
        <v>1</v>
      </c>
      <c r="AU20" s="174"/>
      <c r="AV20" s="174"/>
      <c r="AW20" s="174">
        <f t="shared" si="6"/>
        <v>2</v>
      </c>
      <c r="AX20" s="156">
        <v>662</v>
      </c>
      <c r="AY20" s="203"/>
      <c r="AZ20" s="203"/>
      <c r="BA20" s="203"/>
    </row>
    <row r="21" spans="1:54" x14ac:dyDescent="0.25">
      <c r="A21" s="175" t="s">
        <v>83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>
        <f t="shared" si="5"/>
        <v>0</v>
      </c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>
        <f t="shared" si="6"/>
        <v>0</v>
      </c>
      <c r="AX21" s="156"/>
      <c r="AY21" s="203"/>
      <c r="AZ21" s="203"/>
      <c r="BA21" s="203"/>
    </row>
    <row r="22" spans="1:54" x14ac:dyDescent="0.25">
      <c r="A22" s="175" t="s">
        <v>84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>
        <f t="shared" si="5"/>
        <v>0</v>
      </c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>
        <f t="shared" si="6"/>
        <v>0</v>
      </c>
      <c r="AX22" s="156"/>
      <c r="AY22" s="203"/>
      <c r="AZ22" s="203"/>
      <c r="BA22" s="203"/>
    </row>
    <row r="23" spans="1:54" x14ac:dyDescent="0.25">
      <c r="A23" s="175" t="s">
        <v>85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>
        <f t="shared" si="5"/>
        <v>0</v>
      </c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>
        <f t="shared" si="6"/>
        <v>0</v>
      </c>
      <c r="AX23" s="156"/>
      <c r="AY23" s="203"/>
      <c r="AZ23" s="203"/>
      <c r="BA23" s="203"/>
    </row>
    <row r="24" spans="1:54" x14ac:dyDescent="0.25">
      <c r="A24" s="175" t="s">
        <v>86</v>
      </c>
      <c r="B24" s="199">
        <v>5</v>
      </c>
      <c r="C24" s="199">
        <v>3</v>
      </c>
      <c r="D24" s="199">
        <v>5</v>
      </c>
      <c r="E24" s="199">
        <v>3</v>
      </c>
      <c r="F24" s="174"/>
      <c r="G24" s="174"/>
      <c r="H24" s="174">
        <v>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>
        <v>3</v>
      </c>
      <c r="U24" s="174"/>
      <c r="V24" s="174">
        <v>1</v>
      </c>
      <c r="W24" s="174"/>
      <c r="X24" s="174"/>
      <c r="Y24" s="174">
        <f t="shared" si="5"/>
        <v>5</v>
      </c>
      <c r="Z24" s="199">
        <v>5</v>
      </c>
      <c r="AA24" s="199">
        <v>3</v>
      </c>
      <c r="AB24" s="199">
        <v>5</v>
      </c>
      <c r="AC24" s="199">
        <v>3</v>
      </c>
      <c r="AD24" s="174"/>
      <c r="AE24" s="174"/>
      <c r="AF24" s="174">
        <v>1</v>
      </c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>
        <v>3</v>
      </c>
      <c r="AS24" s="174"/>
      <c r="AT24" s="174">
        <v>1</v>
      </c>
      <c r="AU24" s="174"/>
      <c r="AV24" s="174"/>
      <c r="AW24" s="174">
        <f t="shared" si="6"/>
        <v>5</v>
      </c>
      <c r="AX24" s="156">
        <v>594</v>
      </c>
      <c r="AY24" s="203"/>
      <c r="AZ24" s="203"/>
      <c r="BA24" s="203"/>
    </row>
    <row r="25" spans="1:54" x14ac:dyDescent="0.25">
      <c r="A25" s="175" t="s">
        <v>87</v>
      </c>
      <c r="B25" s="199">
        <v>5</v>
      </c>
      <c r="C25" s="199">
        <v>2</v>
      </c>
      <c r="D25" s="199">
        <v>6</v>
      </c>
      <c r="E25" s="199">
        <v>2</v>
      </c>
      <c r="F25" s="174"/>
      <c r="G25" s="174"/>
      <c r="H25" s="174"/>
      <c r="I25" s="174"/>
      <c r="J25" s="174"/>
      <c r="K25" s="174"/>
      <c r="L25" s="174">
        <v>1</v>
      </c>
      <c r="M25" s="174">
        <v>1</v>
      </c>
      <c r="N25" s="174"/>
      <c r="O25" s="174"/>
      <c r="P25" s="174"/>
      <c r="Q25" s="174"/>
      <c r="R25" s="174"/>
      <c r="S25" s="174"/>
      <c r="T25" s="174">
        <v>1</v>
      </c>
      <c r="U25" s="174"/>
      <c r="V25" s="174">
        <v>2</v>
      </c>
      <c r="W25" s="174"/>
      <c r="X25" s="174">
        <v>1</v>
      </c>
      <c r="Y25" s="174">
        <f t="shared" si="5"/>
        <v>6</v>
      </c>
      <c r="Z25" s="199">
        <v>2</v>
      </c>
      <c r="AB25" s="199">
        <v>2</v>
      </c>
      <c r="AD25" s="174"/>
      <c r="AE25" s="174"/>
      <c r="AF25" s="174"/>
      <c r="AG25" s="174"/>
      <c r="AH25" s="174"/>
      <c r="AI25" s="174"/>
      <c r="AJ25" s="174">
        <v>1</v>
      </c>
      <c r="AK25" s="174">
        <v>1</v>
      </c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>
        <f t="shared" si="6"/>
        <v>2</v>
      </c>
      <c r="AX25" s="156">
        <v>2691</v>
      </c>
      <c r="AY25" s="203"/>
      <c r="AZ25" s="203"/>
      <c r="BA25" s="203"/>
    </row>
    <row r="26" spans="1:54" x14ac:dyDescent="0.25">
      <c r="A26" s="173" t="s">
        <v>30</v>
      </c>
      <c r="B26" s="199">
        <f t="shared" ref="B26:AV26" si="7">B27+B28+B29+B30+B31+B32+B33+B34+B35+B36+B37+B38+B39+B40+B41+B42+B43</f>
        <v>428</v>
      </c>
      <c r="C26" s="199">
        <f t="shared" si="7"/>
        <v>63</v>
      </c>
      <c r="D26" s="199">
        <f t="shared" si="7"/>
        <v>1522</v>
      </c>
      <c r="E26" s="199">
        <f t="shared" si="7"/>
        <v>884</v>
      </c>
      <c r="F26" s="174">
        <f t="shared" si="7"/>
        <v>0</v>
      </c>
      <c r="G26" s="174">
        <f t="shared" si="7"/>
        <v>0</v>
      </c>
      <c r="H26" s="174">
        <f t="shared" si="7"/>
        <v>2</v>
      </c>
      <c r="I26" s="174">
        <f t="shared" si="7"/>
        <v>0</v>
      </c>
      <c r="J26" s="174">
        <f t="shared" si="7"/>
        <v>0</v>
      </c>
      <c r="K26" s="174">
        <f t="shared" si="7"/>
        <v>0</v>
      </c>
      <c r="L26" s="174">
        <f t="shared" si="7"/>
        <v>4</v>
      </c>
      <c r="M26" s="174">
        <f t="shared" si="7"/>
        <v>6</v>
      </c>
      <c r="N26" s="174">
        <f t="shared" si="7"/>
        <v>4</v>
      </c>
      <c r="O26" s="174">
        <f t="shared" si="7"/>
        <v>0</v>
      </c>
      <c r="P26" s="174">
        <f t="shared" si="7"/>
        <v>0</v>
      </c>
      <c r="Q26" s="174">
        <f t="shared" si="7"/>
        <v>0</v>
      </c>
      <c r="R26" s="174">
        <f t="shared" si="7"/>
        <v>4</v>
      </c>
      <c r="S26" s="174">
        <f t="shared" si="7"/>
        <v>7</v>
      </c>
      <c r="T26" s="174">
        <f t="shared" si="7"/>
        <v>0</v>
      </c>
      <c r="U26" s="174">
        <f t="shared" si="7"/>
        <v>7</v>
      </c>
      <c r="V26" s="174">
        <f t="shared" si="7"/>
        <v>1379</v>
      </c>
      <c r="W26" s="174">
        <f t="shared" si="7"/>
        <v>1</v>
      </c>
      <c r="X26" s="174">
        <f t="shared" si="7"/>
        <v>108</v>
      </c>
      <c r="Y26" s="174">
        <f t="shared" si="7"/>
        <v>1522</v>
      </c>
      <c r="Z26" s="199">
        <f t="shared" si="7"/>
        <v>266</v>
      </c>
      <c r="AA26" s="199">
        <f t="shared" si="7"/>
        <v>42</v>
      </c>
      <c r="AB26" s="199">
        <f t="shared" si="7"/>
        <v>1127</v>
      </c>
      <c r="AC26" s="199">
        <f t="shared" si="7"/>
        <v>706</v>
      </c>
      <c r="AD26" s="174">
        <f t="shared" si="7"/>
        <v>0</v>
      </c>
      <c r="AE26" s="174">
        <f t="shared" si="7"/>
        <v>0</v>
      </c>
      <c r="AF26" s="174">
        <f t="shared" si="7"/>
        <v>2</v>
      </c>
      <c r="AG26" s="174">
        <f t="shared" si="7"/>
        <v>0</v>
      </c>
      <c r="AH26" s="174">
        <f t="shared" si="7"/>
        <v>0</v>
      </c>
      <c r="AI26" s="174">
        <f t="shared" si="7"/>
        <v>0</v>
      </c>
      <c r="AJ26" s="174">
        <f t="shared" si="7"/>
        <v>0</v>
      </c>
      <c r="AK26" s="174">
        <f t="shared" si="7"/>
        <v>3</v>
      </c>
      <c r="AL26" s="174">
        <f t="shared" si="7"/>
        <v>1</v>
      </c>
      <c r="AM26" s="174">
        <f t="shared" si="7"/>
        <v>0</v>
      </c>
      <c r="AN26" s="174">
        <f t="shared" si="7"/>
        <v>0</v>
      </c>
      <c r="AO26" s="174">
        <f t="shared" si="7"/>
        <v>0</v>
      </c>
      <c r="AP26" s="174">
        <f t="shared" si="7"/>
        <v>3</v>
      </c>
      <c r="AQ26" s="174">
        <f t="shared" si="7"/>
        <v>7</v>
      </c>
      <c r="AR26" s="174">
        <f t="shared" si="7"/>
        <v>0</v>
      </c>
      <c r="AS26" s="174">
        <f t="shared" si="7"/>
        <v>6</v>
      </c>
      <c r="AT26" s="174">
        <f t="shared" si="7"/>
        <v>1047</v>
      </c>
      <c r="AU26" s="174">
        <f t="shared" si="7"/>
        <v>0</v>
      </c>
      <c r="AV26" s="174">
        <f t="shared" si="7"/>
        <v>58</v>
      </c>
      <c r="AW26" s="174">
        <f t="shared" si="6"/>
        <v>1127</v>
      </c>
      <c r="AX26" s="206">
        <v>2235.65</v>
      </c>
      <c r="AY26" s="156">
        <f>Z26*100/B26</f>
        <v>62.149532710280376</v>
      </c>
      <c r="AZ26" s="185">
        <f>B26-Z26</f>
        <v>162</v>
      </c>
      <c r="BA26" s="156">
        <f>AZ26*100/B26</f>
        <v>37.850467289719624</v>
      </c>
    </row>
    <row r="27" spans="1:54" x14ac:dyDescent="0.25">
      <c r="A27" s="175" t="s">
        <v>150</v>
      </c>
      <c r="B27" s="199">
        <v>9</v>
      </c>
      <c r="C27" s="199">
        <v>5</v>
      </c>
      <c r="D27" s="199">
        <v>102</v>
      </c>
      <c r="E27" s="199">
        <v>92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>
        <v>102</v>
      </c>
      <c r="W27" s="174"/>
      <c r="X27" s="174"/>
      <c r="Y27" s="174">
        <f t="shared" ref="Y27:Y90" si="8">SUM(F27:X27)</f>
        <v>102</v>
      </c>
      <c r="Z27" s="199">
        <v>7</v>
      </c>
      <c r="AA27" s="199">
        <v>4</v>
      </c>
      <c r="AB27" s="199">
        <v>87</v>
      </c>
      <c r="AC27" s="199">
        <v>78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>
        <v>87</v>
      </c>
      <c r="AU27" s="174"/>
      <c r="AV27" s="174"/>
      <c r="AW27" s="174">
        <f t="shared" si="6"/>
        <v>87</v>
      </c>
      <c r="AX27" s="156">
        <v>1772</v>
      </c>
      <c r="AY27" s="203"/>
      <c r="AZ27" s="203"/>
      <c r="BA27" s="203"/>
    </row>
    <row r="28" spans="1:54" x14ac:dyDescent="0.25">
      <c r="A28" s="175" t="s">
        <v>149</v>
      </c>
      <c r="B28" s="199">
        <v>1</v>
      </c>
      <c r="C28" s="199">
        <v>1</v>
      </c>
      <c r="D28" s="199">
        <v>15</v>
      </c>
      <c r="E28" s="199">
        <v>15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>
        <v>15</v>
      </c>
      <c r="W28" s="174"/>
      <c r="X28" s="174"/>
      <c r="Y28" s="174">
        <f t="shared" si="8"/>
        <v>15</v>
      </c>
      <c r="Z28" s="199">
        <v>1</v>
      </c>
      <c r="AA28" s="199">
        <v>1</v>
      </c>
      <c r="AB28" s="199">
        <v>15</v>
      </c>
      <c r="AC28" s="199">
        <v>15</v>
      </c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>
        <v>15</v>
      </c>
      <c r="AU28" s="174"/>
      <c r="AV28" s="174"/>
      <c r="AW28" s="174">
        <f t="shared" si="6"/>
        <v>15</v>
      </c>
      <c r="AX28" s="156">
        <v>280</v>
      </c>
      <c r="AY28" s="203"/>
      <c r="AZ28" s="203"/>
      <c r="BA28" s="203"/>
    </row>
    <row r="29" spans="1:54" x14ac:dyDescent="0.25">
      <c r="A29" s="175" t="s">
        <v>148</v>
      </c>
      <c r="B29" s="199">
        <v>2</v>
      </c>
      <c r="C29" s="199">
        <v>2</v>
      </c>
      <c r="D29" s="199">
        <v>34</v>
      </c>
      <c r="E29" s="199">
        <v>34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>
        <v>34</v>
      </c>
      <c r="W29" s="174"/>
      <c r="X29" s="174"/>
      <c r="Y29" s="174">
        <f t="shared" si="8"/>
        <v>34</v>
      </c>
      <c r="Z29" s="199">
        <v>2</v>
      </c>
      <c r="AA29" s="199">
        <v>2</v>
      </c>
      <c r="AB29" s="199">
        <v>21</v>
      </c>
      <c r="AC29" s="199">
        <v>21</v>
      </c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>
        <v>21</v>
      </c>
      <c r="AU29" s="174"/>
      <c r="AV29" s="174"/>
      <c r="AW29" s="174">
        <f t="shared" si="6"/>
        <v>21</v>
      </c>
      <c r="AX29" s="156">
        <v>720</v>
      </c>
      <c r="AY29" s="203"/>
      <c r="AZ29" s="203"/>
      <c r="BA29" s="203"/>
    </row>
    <row r="30" spans="1:54" x14ac:dyDescent="0.25">
      <c r="A30" s="175" t="s">
        <v>147</v>
      </c>
      <c r="B30" s="199">
        <v>351</v>
      </c>
      <c r="C30" s="199">
        <v>47</v>
      </c>
      <c r="D30" s="199">
        <v>697</v>
      </c>
      <c r="E30" s="199">
        <v>217</v>
      </c>
      <c r="F30" s="174"/>
      <c r="G30" s="174"/>
      <c r="H30" s="174"/>
      <c r="I30" s="174"/>
      <c r="J30" s="174"/>
      <c r="K30" s="174"/>
      <c r="L30" s="174">
        <v>1</v>
      </c>
      <c r="M30" s="174">
        <v>6</v>
      </c>
      <c r="N30" s="174">
        <v>4</v>
      </c>
      <c r="O30" s="174"/>
      <c r="P30" s="174"/>
      <c r="Q30" s="174"/>
      <c r="R30" s="174">
        <v>4</v>
      </c>
      <c r="S30" s="174">
        <v>7</v>
      </c>
      <c r="T30" s="174"/>
      <c r="U30" s="174">
        <v>7</v>
      </c>
      <c r="V30" s="174">
        <v>600</v>
      </c>
      <c r="W30" s="174">
        <v>1</v>
      </c>
      <c r="X30" s="174">
        <v>67</v>
      </c>
      <c r="Y30" s="174">
        <f t="shared" si="8"/>
        <v>697</v>
      </c>
      <c r="Z30" s="199">
        <v>211</v>
      </c>
      <c r="AA30" s="199">
        <v>31</v>
      </c>
      <c r="AB30" s="199">
        <v>477</v>
      </c>
      <c r="AC30" s="199">
        <v>173</v>
      </c>
      <c r="AD30" s="174"/>
      <c r="AE30" s="174"/>
      <c r="AF30" s="174"/>
      <c r="AG30" s="174"/>
      <c r="AH30" s="174"/>
      <c r="AI30" s="174"/>
      <c r="AJ30" s="174"/>
      <c r="AK30" s="174">
        <v>3</v>
      </c>
      <c r="AL30" s="174">
        <v>1</v>
      </c>
      <c r="AM30" s="174"/>
      <c r="AN30" s="174"/>
      <c r="AO30" s="174"/>
      <c r="AP30" s="174">
        <v>3</v>
      </c>
      <c r="AQ30" s="174">
        <v>7</v>
      </c>
      <c r="AR30" s="174"/>
      <c r="AS30" s="174">
        <v>6</v>
      </c>
      <c r="AT30" s="174">
        <v>440</v>
      </c>
      <c r="AU30" s="174"/>
      <c r="AV30" s="174">
        <v>17</v>
      </c>
      <c r="AW30" s="174">
        <f t="shared" si="6"/>
        <v>477</v>
      </c>
      <c r="AX30" s="156">
        <v>2916.5405405405404</v>
      </c>
      <c r="AY30" s="203"/>
      <c r="AZ30" s="203"/>
      <c r="BA30" s="203"/>
      <c r="BB30" s="179"/>
    </row>
    <row r="31" spans="1:54" x14ac:dyDescent="0.25">
      <c r="A31" s="175" t="s">
        <v>146</v>
      </c>
      <c r="B31" s="199">
        <v>1</v>
      </c>
      <c r="D31" s="199">
        <v>4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>
        <v>4</v>
      </c>
      <c r="W31" s="174"/>
      <c r="X31" s="174"/>
      <c r="Y31" s="174">
        <f t="shared" si="8"/>
        <v>4</v>
      </c>
      <c r="Z31" s="199">
        <v>1</v>
      </c>
      <c r="AB31" s="199">
        <v>4</v>
      </c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>
        <v>4</v>
      </c>
      <c r="AU31" s="174"/>
      <c r="AV31" s="174"/>
      <c r="AW31" s="174">
        <f t="shared" si="6"/>
        <v>4</v>
      </c>
      <c r="AX31" s="156">
        <v>4800</v>
      </c>
      <c r="AY31" s="203"/>
      <c r="AZ31" s="203"/>
      <c r="BA31" s="203"/>
    </row>
    <row r="32" spans="1:54" x14ac:dyDescent="0.25">
      <c r="A32" s="175" t="s">
        <v>58</v>
      </c>
      <c r="B32" s="199">
        <v>1</v>
      </c>
      <c r="D32" s="199">
        <v>15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>
        <v>15</v>
      </c>
      <c r="W32" s="174"/>
      <c r="X32" s="174"/>
      <c r="Y32" s="174">
        <f t="shared" si="8"/>
        <v>15</v>
      </c>
      <c r="Z32" s="199">
        <v>1</v>
      </c>
      <c r="AB32" s="199">
        <v>13</v>
      </c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>
        <v>13</v>
      </c>
      <c r="AU32" s="174"/>
      <c r="AV32" s="174"/>
      <c r="AW32" s="174">
        <f t="shared" si="6"/>
        <v>13</v>
      </c>
      <c r="AX32" s="156">
        <v>400</v>
      </c>
      <c r="AY32" s="203"/>
      <c r="AZ32" s="203"/>
      <c r="BA32" s="203"/>
    </row>
    <row r="33" spans="1:54" x14ac:dyDescent="0.25">
      <c r="A33" s="175" t="s">
        <v>88</v>
      </c>
      <c r="B33" s="199">
        <v>3</v>
      </c>
      <c r="D33" s="199">
        <v>28</v>
      </c>
      <c r="F33" s="174"/>
      <c r="G33" s="174"/>
      <c r="H33" s="174"/>
      <c r="I33" s="174"/>
      <c r="J33" s="174"/>
      <c r="K33" s="174"/>
      <c r="L33" s="174">
        <v>3</v>
      </c>
      <c r="M33" s="174"/>
      <c r="N33" s="174"/>
      <c r="O33" s="174"/>
      <c r="P33" s="174"/>
      <c r="Q33" s="174"/>
      <c r="R33" s="174"/>
      <c r="S33" s="174"/>
      <c r="T33" s="174"/>
      <c r="U33" s="174"/>
      <c r="V33" s="174">
        <v>25</v>
      </c>
      <c r="W33" s="174"/>
      <c r="X33" s="174"/>
      <c r="Y33" s="174">
        <f t="shared" si="8"/>
        <v>28</v>
      </c>
      <c r="Z33" s="199">
        <v>1</v>
      </c>
      <c r="AB33" s="199">
        <v>12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>
        <v>12</v>
      </c>
      <c r="AU33" s="174"/>
      <c r="AV33" s="174"/>
      <c r="AW33" s="174">
        <f t="shared" si="6"/>
        <v>12</v>
      </c>
      <c r="AX33" s="156">
        <v>667.2</v>
      </c>
      <c r="AY33" s="203"/>
      <c r="AZ33" s="203"/>
      <c r="BA33" s="203"/>
    </row>
    <row r="34" spans="1:54" x14ac:dyDescent="0.25">
      <c r="A34" s="175" t="s">
        <v>89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>
        <f t="shared" si="8"/>
        <v>0</v>
      </c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>
        <f t="shared" si="6"/>
        <v>0</v>
      </c>
      <c r="AX34" s="156"/>
      <c r="AY34" s="203"/>
      <c r="AZ34" s="203"/>
      <c r="BA34" s="203"/>
    </row>
    <row r="35" spans="1:54" x14ac:dyDescent="0.25">
      <c r="A35" s="175" t="s">
        <v>90</v>
      </c>
      <c r="B35" s="199">
        <v>8</v>
      </c>
      <c r="C35" s="199">
        <v>8</v>
      </c>
      <c r="D35" s="199">
        <v>526</v>
      </c>
      <c r="E35" s="199">
        <v>526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>
        <v>526</v>
      </c>
      <c r="W35" s="174"/>
      <c r="X35" s="174"/>
      <c r="Y35" s="174">
        <f t="shared" si="8"/>
        <v>526</v>
      </c>
      <c r="Z35" s="199">
        <v>4</v>
      </c>
      <c r="AA35" s="199">
        <v>4</v>
      </c>
      <c r="AB35" s="199">
        <v>419</v>
      </c>
      <c r="AC35" s="199">
        <v>419</v>
      </c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>
        <v>419</v>
      </c>
      <c r="AU35" s="174"/>
      <c r="AV35" s="174"/>
      <c r="AW35" s="174">
        <f t="shared" si="6"/>
        <v>419</v>
      </c>
      <c r="AX35" s="156">
        <v>201.3</v>
      </c>
      <c r="AY35" s="203"/>
      <c r="AZ35" s="203"/>
      <c r="BA35" s="203"/>
    </row>
    <row r="36" spans="1:54" x14ac:dyDescent="0.25">
      <c r="A36" s="175" t="s">
        <v>91</v>
      </c>
      <c r="B36" s="199">
        <v>43</v>
      </c>
      <c r="D36" s="199">
        <v>48</v>
      </c>
      <c r="F36" s="174"/>
      <c r="G36" s="174"/>
      <c r="H36" s="174">
        <v>2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12">
        <v>44</v>
      </c>
      <c r="W36" s="174"/>
      <c r="X36" s="174">
        <v>2</v>
      </c>
      <c r="Y36" s="174">
        <f t="shared" si="8"/>
        <v>48</v>
      </c>
      <c r="Z36" s="199">
        <v>34</v>
      </c>
      <c r="AB36" s="199">
        <v>37</v>
      </c>
      <c r="AD36" s="174"/>
      <c r="AE36" s="174"/>
      <c r="AF36" s="174">
        <v>2</v>
      </c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>
        <v>33</v>
      </c>
      <c r="AU36" s="174"/>
      <c r="AV36" s="174">
        <v>2</v>
      </c>
      <c r="AW36" s="174">
        <f t="shared" si="6"/>
        <v>37</v>
      </c>
      <c r="AX36" s="156">
        <v>3915.1111111111113</v>
      </c>
      <c r="AY36" s="215"/>
      <c r="AZ36" s="215"/>
      <c r="BA36" s="215"/>
      <c r="BB36" s="216"/>
    </row>
    <row r="37" spans="1:54" x14ac:dyDescent="0.25">
      <c r="A37" s="175" t="s">
        <v>145</v>
      </c>
      <c r="B37" s="199">
        <v>1</v>
      </c>
      <c r="D37" s="199">
        <v>39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>
        <v>39</v>
      </c>
      <c r="Y37" s="174">
        <f t="shared" si="8"/>
        <v>39</v>
      </c>
      <c r="Z37" s="199">
        <v>1</v>
      </c>
      <c r="AB37" s="199">
        <v>39</v>
      </c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>
        <v>39</v>
      </c>
      <c r="AW37" s="174">
        <f t="shared" si="6"/>
        <v>39</v>
      </c>
      <c r="AX37" s="156">
        <v>120</v>
      </c>
      <c r="AY37" s="203"/>
      <c r="AZ37" s="203"/>
      <c r="BA37" s="203"/>
    </row>
    <row r="38" spans="1:54" x14ac:dyDescent="0.25">
      <c r="A38" s="175" t="s">
        <v>144</v>
      </c>
      <c r="B38" s="199">
        <v>2</v>
      </c>
      <c r="D38" s="199">
        <v>6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>
        <v>6</v>
      </c>
      <c r="W38" s="174"/>
      <c r="X38" s="174"/>
      <c r="Y38" s="174">
        <f t="shared" si="8"/>
        <v>6</v>
      </c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>
        <f t="shared" si="6"/>
        <v>0</v>
      </c>
      <c r="AX38" s="156"/>
      <c r="AY38" s="203"/>
      <c r="AZ38" s="203"/>
      <c r="BA38" s="203"/>
    </row>
    <row r="39" spans="1:54" x14ac:dyDescent="0.25">
      <c r="A39" s="175" t="s">
        <v>143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>
        <f t="shared" si="8"/>
        <v>0</v>
      </c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>
        <f t="shared" ref="AW39:AW61" si="9">SUM(AD39:AV39)</f>
        <v>0</v>
      </c>
      <c r="AX39" s="156"/>
      <c r="AY39" s="203"/>
      <c r="AZ39" s="203"/>
      <c r="BA39" s="203"/>
    </row>
    <row r="40" spans="1:54" x14ac:dyDescent="0.25">
      <c r="A40" s="175" t="s">
        <v>92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>
        <f t="shared" si="8"/>
        <v>0</v>
      </c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>
        <f t="shared" si="9"/>
        <v>0</v>
      </c>
      <c r="AX40" s="156"/>
      <c r="AY40" s="203"/>
      <c r="AZ40" s="203"/>
      <c r="BA40" s="203"/>
    </row>
    <row r="41" spans="1:54" x14ac:dyDescent="0.25">
      <c r="A41" s="175" t="s">
        <v>93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>
        <f t="shared" si="8"/>
        <v>0</v>
      </c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>
        <f t="shared" si="9"/>
        <v>0</v>
      </c>
      <c r="AX41" s="156"/>
      <c r="AY41" s="203"/>
      <c r="AZ41" s="203"/>
      <c r="BA41" s="203"/>
    </row>
    <row r="42" spans="1:54" x14ac:dyDescent="0.25">
      <c r="A42" s="175" t="s">
        <v>94</v>
      </c>
      <c r="B42" s="199">
        <v>6</v>
      </c>
      <c r="D42" s="199">
        <v>8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>
        <v>8</v>
      </c>
      <c r="W42" s="174"/>
      <c r="X42" s="174"/>
      <c r="Y42" s="174">
        <f t="shared" si="8"/>
        <v>8</v>
      </c>
      <c r="Z42" s="199">
        <v>3</v>
      </c>
      <c r="AB42" s="199">
        <v>3</v>
      </c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>
        <v>3</v>
      </c>
      <c r="AU42" s="174"/>
      <c r="AV42" s="174"/>
      <c r="AW42" s="174">
        <f t="shared" si="9"/>
        <v>3</v>
      </c>
      <c r="AX42" s="156">
        <v>8800</v>
      </c>
      <c r="AY42" s="203"/>
      <c r="AZ42" s="203"/>
      <c r="BA42" s="203"/>
    </row>
    <row r="43" spans="1:54" x14ac:dyDescent="0.25">
      <c r="A43" s="175" t="s">
        <v>95</v>
      </c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>
        <f t="shared" si="8"/>
        <v>0</v>
      </c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>
        <f t="shared" si="9"/>
        <v>0</v>
      </c>
      <c r="AX43" s="156"/>
      <c r="AY43" s="203"/>
      <c r="AZ43" s="203"/>
      <c r="BA43" s="203"/>
    </row>
    <row r="44" spans="1:54" x14ac:dyDescent="0.25">
      <c r="A44" s="173" t="s">
        <v>31</v>
      </c>
      <c r="B44" s="199">
        <f t="shared" ref="B44:X44" si="10">SUM(B45:B62)</f>
        <v>86</v>
      </c>
      <c r="C44" s="199">
        <f t="shared" si="10"/>
        <v>10</v>
      </c>
      <c r="D44" s="199">
        <f t="shared" si="10"/>
        <v>501</v>
      </c>
      <c r="E44" s="199">
        <f t="shared" si="10"/>
        <v>72</v>
      </c>
      <c r="F44" s="174">
        <f t="shared" si="10"/>
        <v>0</v>
      </c>
      <c r="G44" s="174">
        <f t="shared" si="10"/>
        <v>0</v>
      </c>
      <c r="H44" s="174">
        <f t="shared" si="10"/>
        <v>81</v>
      </c>
      <c r="I44" s="174">
        <f t="shared" si="10"/>
        <v>5</v>
      </c>
      <c r="J44" s="174">
        <f t="shared" si="10"/>
        <v>12</v>
      </c>
      <c r="K44" s="174">
        <f t="shared" si="10"/>
        <v>47</v>
      </c>
      <c r="L44" s="174">
        <f t="shared" si="10"/>
        <v>187</v>
      </c>
      <c r="M44" s="174">
        <f t="shared" si="10"/>
        <v>26</v>
      </c>
      <c r="N44" s="174">
        <f t="shared" si="10"/>
        <v>21</v>
      </c>
      <c r="O44" s="174">
        <f t="shared" si="10"/>
        <v>8</v>
      </c>
      <c r="P44" s="174">
        <f t="shared" si="10"/>
        <v>0</v>
      </c>
      <c r="Q44" s="174">
        <f t="shared" si="10"/>
        <v>0</v>
      </c>
      <c r="R44" s="174">
        <f t="shared" si="10"/>
        <v>1</v>
      </c>
      <c r="S44" s="174">
        <f t="shared" si="10"/>
        <v>0</v>
      </c>
      <c r="T44" s="174">
        <f t="shared" si="10"/>
        <v>1</v>
      </c>
      <c r="U44" s="174">
        <f t="shared" si="10"/>
        <v>48</v>
      </c>
      <c r="V44" s="174">
        <f t="shared" si="10"/>
        <v>58</v>
      </c>
      <c r="W44" s="174">
        <f t="shared" si="10"/>
        <v>0</v>
      </c>
      <c r="X44" s="174">
        <f t="shared" si="10"/>
        <v>6</v>
      </c>
      <c r="Y44" s="174">
        <f t="shared" si="8"/>
        <v>501</v>
      </c>
      <c r="Z44" s="199">
        <f t="shared" ref="Z44:AV44" si="11">SUM(Z45:Z62)</f>
        <v>49</v>
      </c>
      <c r="AA44" s="199">
        <f t="shared" si="11"/>
        <v>8</v>
      </c>
      <c r="AB44" s="199">
        <f t="shared" si="11"/>
        <v>228</v>
      </c>
      <c r="AC44" s="199">
        <f t="shared" si="11"/>
        <v>57</v>
      </c>
      <c r="AD44" s="174">
        <f t="shared" si="11"/>
        <v>0</v>
      </c>
      <c r="AE44" s="174">
        <f t="shared" si="11"/>
        <v>0</v>
      </c>
      <c r="AF44" s="174">
        <f t="shared" si="11"/>
        <v>42</v>
      </c>
      <c r="AG44" s="174">
        <f t="shared" si="11"/>
        <v>5</v>
      </c>
      <c r="AH44" s="174">
        <f t="shared" si="11"/>
        <v>12</v>
      </c>
      <c r="AI44" s="174">
        <f t="shared" si="11"/>
        <v>0</v>
      </c>
      <c r="AJ44" s="174">
        <f t="shared" si="11"/>
        <v>68</v>
      </c>
      <c r="AK44" s="174">
        <f t="shared" si="11"/>
        <v>4</v>
      </c>
      <c r="AL44" s="174">
        <f t="shared" si="11"/>
        <v>3</v>
      </c>
      <c r="AM44" s="174">
        <f t="shared" si="11"/>
        <v>3</v>
      </c>
      <c r="AN44" s="174">
        <f t="shared" si="11"/>
        <v>0</v>
      </c>
      <c r="AO44" s="174">
        <f t="shared" si="11"/>
        <v>0</v>
      </c>
      <c r="AP44" s="174">
        <f t="shared" si="11"/>
        <v>0</v>
      </c>
      <c r="AQ44" s="174">
        <f t="shared" si="11"/>
        <v>0</v>
      </c>
      <c r="AR44" s="174">
        <f t="shared" si="11"/>
        <v>1</v>
      </c>
      <c r="AS44" s="174">
        <f t="shared" si="11"/>
        <v>42</v>
      </c>
      <c r="AT44" s="174">
        <f t="shared" si="11"/>
        <v>48</v>
      </c>
      <c r="AU44" s="174">
        <f t="shared" si="11"/>
        <v>0</v>
      </c>
      <c r="AV44" s="174">
        <f t="shared" si="11"/>
        <v>0</v>
      </c>
      <c r="AW44" s="174">
        <f t="shared" si="9"/>
        <v>228</v>
      </c>
      <c r="AX44" s="206">
        <v>2558.13</v>
      </c>
      <c r="AY44" s="156">
        <f>Z44*100/B44</f>
        <v>56.97674418604651</v>
      </c>
      <c r="AZ44" s="185">
        <f>B44-Z44</f>
        <v>37</v>
      </c>
      <c r="BA44" s="156">
        <f>AZ44*100/B44</f>
        <v>43.02325581395349</v>
      </c>
    </row>
    <row r="45" spans="1:54" x14ac:dyDescent="0.25">
      <c r="A45" s="175" t="s">
        <v>142</v>
      </c>
      <c r="B45" s="199">
        <v>7</v>
      </c>
      <c r="C45" s="199">
        <v>1</v>
      </c>
      <c r="D45" s="199">
        <v>32</v>
      </c>
      <c r="E45" s="199">
        <v>1</v>
      </c>
      <c r="F45" s="174"/>
      <c r="G45" s="174"/>
      <c r="H45" s="174"/>
      <c r="I45" s="174"/>
      <c r="J45" s="174"/>
      <c r="K45" s="174"/>
      <c r="L45" s="174">
        <v>4</v>
      </c>
      <c r="M45" s="174">
        <v>11</v>
      </c>
      <c r="N45" s="174"/>
      <c r="O45" s="174"/>
      <c r="P45" s="174"/>
      <c r="Q45" s="174"/>
      <c r="R45" s="174">
        <v>1</v>
      </c>
      <c r="S45" s="174"/>
      <c r="T45" s="174"/>
      <c r="U45" s="174"/>
      <c r="V45" s="174">
        <v>15</v>
      </c>
      <c r="W45" s="174"/>
      <c r="X45" s="174">
        <v>1</v>
      </c>
      <c r="Y45" s="174">
        <f t="shared" si="8"/>
        <v>32</v>
      </c>
      <c r="Z45" s="199">
        <v>4</v>
      </c>
      <c r="AB45" s="199">
        <v>16</v>
      </c>
      <c r="AD45" s="174"/>
      <c r="AE45" s="174"/>
      <c r="AF45" s="174"/>
      <c r="AG45" s="174"/>
      <c r="AH45" s="174"/>
      <c r="AI45" s="174"/>
      <c r="AJ45" s="174">
        <v>1</v>
      </c>
      <c r="AK45" s="174"/>
      <c r="AL45" s="174"/>
      <c r="AM45" s="174"/>
      <c r="AN45" s="174"/>
      <c r="AO45" s="174"/>
      <c r="AP45" s="174"/>
      <c r="AQ45" s="174"/>
      <c r="AR45" s="174"/>
      <c r="AS45" s="174"/>
      <c r="AT45" s="174">
        <v>15</v>
      </c>
      <c r="AU45" s="174"/>
      <c r="AV45" s="174"/>
      <c r="AW45" s="174">
        <f t="shared" si="9"/>
        <v>16</v>
      </c>
      <c r="AX45" s="156">
        <v>3420</v>
      </c>
      <c r="AY45" s="203"/>
      <c r="AZ45" s="203"/>
      <c r="BA45" s="203"/>
    </row>
    <row r="46" spans="1:54" x14ac:dyDescent="0.25">
      <c r="A46" s="175" t="s">
        <v>141</v>
      </c>
      <c r="B46" s="199">
        <v>6</v>
      </c>
      <c r="C46" s="199">
        <v>1</v>
      </c>
      <c r="D46" s="199">
        <v>14</v>
      </c>
      <c r="E46" s="199">
        <v>1</v>
      </c>
      <c r="F46" s="174"/>
      <c r="G46" s="174"/>
      <c r="H46" s="174">
        <v>2</v>
      </c>
      <c r="I46" s="174"/>
      <c r="J46" s="174"/>
      <c r="K46" s="174"/>
      <c r="L46" s="174">
        <v>2</v>
      </c>
      <c r="M46" s="174"/>
      <c r="N46" s="174">
        <v>1</v>
      </c>
      <c r="O46" s="174"/>
      <c r="P46" s="174"/>
      <c r="Q46" s="174"/>
      <c r="R46" s="174"/>
      <c r="S46" s="174"/>
      <c r="T46" s="174">
        <v>1</v>
      </c>
      <c r="U46" s="174"/>
      <c r="V46" s="174">
        <v>8</v>
      </c>
      <c r="W46" s="174"/>
      <c r="X46" s="174"/>
      <c r="Y46" s="174">
        <f t="shared" si="8"/>
        <v>14</v>
      </c>
      <c r="Z46" s="199">
        <v>6</v>
      </c>
      <c r="AA46" s="199">
        <v>1</v>
      </c>
      <c r="AB46" s="199">
        <v>13</v>
      </c>
      <c r="AC46" s="199">
        <v>1</v>
      </c>
      <c r="AD46" s="174"/>
      <c r="AE46" s="174"/>
      <c r="AF46" s="174">
        <v>2</v>
      </c>
      <c r="AG46" s="174"/>
      <c r="AH46" s="174"/>
      <c r="AI46" s="174"/>
      <c r="AJ46" s="174">
        <v>1</v>
      </c>
      <c r="AK46" s="174"/>
      <c r="AL46" s="174">
        <v>1</v>
      </c>
      <c r="AM46" s="174"/>
      <c r="AN46" s="174"/>
      <c r="AO46" s="174"/>
      <c r="AP46" s="174"/>
      <c r="AQ46" s="174"/>
      <c r="AR46" s="174">
        <v>1</v>
      </c>
      <c r="AS46" s="174"/>
      <c r="AT46" s="174">
        <v>8</v>
      </c>
      <c r="AU46" s="174"/>
      <c r="AV46" s="174"/>
      <c r="AW46" s="174">
        <f t="shared" si="9"/>
        <v>13</v>
      </c>
      <c r="AX46" s="156">
        <v>5366.2</v>
      </c>
      <c r="AY46" s="203"/>
      <c r="AZ46" s="203"/>
      <c r="BA46" s="203"/>
    </row>
    <row r="47" spans="1:54" x14ac:dyDescent="0.25">
      <c r="A47" s="175" t="s">
        <v>140</v>
      </c>
      <c r="B47" s="199">
        <v>8</v>
      </c>
      <c r="C47" s="199">
        <v>6</v>
      </c>
      <c r="D47" s="199">
        <v>66</v>
      </c>
      <c r="E47" s="199">
        <v>36</v>
      </c>
      <c r="F47" s="174"/>
      <c r="G47" s="174"/>
      <c r="H47" s="174">
        <v>30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>
        <v>36</v>
      </c>
      <c r="V47" s="174"/>
      <c r="W47" s="174"/>
      <c r="X47" s="174"/>
      <c r="Y47" s="174">
        <f t="shared" si="8"/>
        <v>66</v>
      </c>
      <c r="Z47" s="199">
        <v>7</v>
      </c>
      <c r="AA47" s="199">
        <v>6</v>
      </c>
      <c r="AB47" s="199">
        <v>37</v>
      </c>
      <c r="AC47" s="199">
        <v>31</v>
      </c>
      <c r="AD47" s="174"/>
      <c r="AE47" s="174"/>
      <c r="AF47" s="174">
        <v>6</v>
      </c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>
        <v>31</v>
      </c>
      <c r="AT47" s="174"/>
      <c r="AU47" s="174"/>
      <c r="AV47" s="174"/>
      <c r="AW47" s="174">
        <f t="shared" si="9"/>
        <v>37</v>
      </c>
      <c r="AX47" s="156">
        <v>794.33333333333337</v>
      </c>
      <c r="AY47" s="203"/>
      <c r="AZ47" s="203"/>
      <c r="BA47" s="203"/>
    </row>
    <row r="48" spans="1:54" x14ac:dyDescent="0.25">
      <c r="A48" s="175" t="s">
        <v>139</v>
      </c>
      <c r="B48" s="199">
        <v>52</v>
      </c>
      <c r="D48" s="199">
        <v>284</v>
      </c>
      <c r="F48" s="174"/>
      <c r="G48" s="174"/>
      <c r="H48" s="174">
        <v>33</v>
      </c>
      <c r="I48" s="174"/>
      <c r="J48" s="174"/>
      <c r="K48" s="174">
        <v>13</v>
      </c>
      <c r="L48" s="174">
        <v>181</v>
      </c>
      <c r="M48" s="174">
        <v>15</v>
      </c>
      <c r="N48" s="174">
        <v>20</v>
      </c>
      <c r="O48" s="174">
        <v>8</v>
      </c>
      <c r="P48" s="174"/>
      <c r="Q48" s="174"/>
      <c r="R48" s="174"/>
      <c r="S48" s="174"/>
      <c r="T48" s="174"/>
      <c r="U48" s="174">
        <v>10</v>
      </c>
      <c r="V48" s="174"/>
      <c r="W48" s="174"/>
      <c r="X48" s="174">
        <v>4</v>
      </c>
      <c r="Y48" s="174">
        <f t="shared" si="8"/>
        <v>284</v>
      </c>
      <c r="Z48" s="199">
        <v>26</v>
      </c>
      <c r="AB48" s="199">
        <v>116</v>
      </c>
      <c r="AD48" s="174"/>
      <c r="AE48" s="174"/>
      <c r="AF48" s="174">
        <v>32</v>
      </c>
      <c r="AG48" s="174"/>
      <c r="AH48" s="174"/>
      <c r="AI48" s="174"/>
      <c r="AJ48" s="174">
        <v>66</v>
      </c>
      <c r="AK48" s="174">
        <v>4</v>
      </c>
      <c r="AL48" s="174">
        <v>2</v>
      </c>
      <c r="AM48" s="174">
        <v>3</v>
      </c>
      <c r="AN48" s="174"/>
      <c r="AO48" s="174"/>
      <c r="AP48" s="174"/>
      <c r="AQ48" s="174"/>
      <c r="AR48" s="174"/>
      <c r="AS48" s="174">
        <v>9</v>
      </c>
      <c r="AT48" s="174"/>
      <c r="AU48" s="174"/>
      <c r="AV48" s="174"/>
      <c r="AW48" s="174">
        <f t="shared" si="9"/>
        <v>116</v>
      </c>
      <c r="AX48" s="156">
        <v>1692.5</v>
      </c>
      <c r="AY48" s="203"/>
      <c r="AZ48" s="203"/>
      <c r="BA48" s="203"/>
    </row>
    <row r="49" spans="1:54" x14ac:dyDescent="0.25">
      <c r="A49" s="175" t="s">
        <v>138</v>
      </c>
      <c r="B49" s="199">
        <v>3</v>
      </c>
      <c r="C49" s="199">
        <v>2</v>
      </c>
      <c r="D49" s="199">
        <v>35</v>
      </c>
      <c r="E49" s="199">
        <v>34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>
        <v>35</v>
      </c>
      <c r="W49" s="174"/>
      <c r="X49" s="174"/>
      <c r="Y49" s="174">
        <f t="shared" si="8"/>
        <v>35</v>
      </c>
      <c r="Z49" s="199">
        <v>1</v>
      </c>
      <c r="AA49" s="199">
        <v>1</v>
      </c>
      <c r="AB49" s="199">
        <v>25</v>
      </c>
      <c r="AC49" s="199">
        <v>25</v>
      </c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>
        <v>25</v>
      </c>
      <c r="AU49" s="174"/>
      <c r="AV49" s="174"/>
      <c r="AW49" s="174">
        <f t="shared" si="9"/>
        <v>25</v>
      </c>
      <c r="AX49" s="156">
        <v>672</v>
      </c>
      <c r="AY49" s="203"/>
      <c r="AZ49" s="203"/>
      <c r="BA49" s="203"/>
    </row>
    <row r="50" spans="1:54" x14ac:dyDescent="0.25">
      <c r="A50" s="175" t="s">
        <v>137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>
        <f t="shared" si="8"/>
        <v>0</v>
      </c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>
        <f t="shared" si="9"/>
        <v>0</v>
      </c>
      <c r="AX50" s="156"/>
      <c r="AY50" s="203"/>
      <c r="AZ50" s="203"/>
      <c r="BA50" s="203"/>
      <c r="BB50" s="179"/>
    </row>
    <row r="51" spans="1:54" x14ac:dyDescent="0.25">
      <c r="A51" s="175" t="s">
        <v>136</v>
      </c>
      <c r="B51" s="199">
        <v>2</v>
      </c>
      <c r="D51" s="199">
        <v>2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>
        <v>2</v>
      </c>
      <c r="V51" s="174"/>
      <c r="W51" s="174"/>
      <c r="X51" s="174"/>
      <c r="Y51" s="174">
        <f t="shared" si="8"/>
        <v>2</v>
      </c>
      <c r="Z51" s="199">
        <v>2</v>
      </c>
      <c r="AB51" s="199">
        <v>2</v>
      </c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>
        <v>2</v>
      </c>
      <c r="AT51" s="174"/>
      <c r="AU51" s="174"/>
      <c r="AV51" s="174"/>
      <c r="AW51" s="174">
        <f t="shared" si="9"/>
        <v>2</v>
      </c>
      <c r="AX51" s="156">
        <v>2655</v>
      </c>
      <c r="AY51" s="203"/>
      <c r="AZ51" s="203"/>
      <c r="BA51" s="203"/>
    </row>
    <row r="52" spans="1:54" x14ac:dyDescent="0.25">
      <c r="A52" s="175" t="s">
        <v>135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>
        <f t="shared" si="8"/>
        <v>0</v>
      </c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>
        <f t="shared" si="9"/>
        <v>0</v>
      </c>
      <c r="AX52" s="156"/>
      <c r="AY52" s="203"/>
      <c r="AZ52" s="203"/>
      <c r="BA52" s="203"/>
    </row>
    <row r="53" spans="1:54" x14ac:dyDescent="0.25">
      <c r="A53" s="175" t="s">
        <v>134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>
        <f t="shared" si="8"/>
        <v>0</v>
      </c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>
        <f t="shared" si="9"/>
        <v>0</v>
      </c>
      <c r="AX53" s="156"/>
      <c r="AY53" s="203"/>
      <c r="AZ53" s="203"/>
      <c r="BA53" s="203"/>
    </row>
    <row r="54" spans="1:54" x14ac:dyDescent="0.25">
      <c r="A54" s="175" t="s">
        <v>32</v>
      </c>
      <c r="B54" s="199">
        <v>1</v>
      </c>
      <c r="D54" s="199">
        <v>1</v>
      </c>
      <c r="F54" s="174"/>
      <c r="G54" s="174"/>
      <c r="H54" s="174">
        <v>1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>
        <f t="shared" si="8"/>
        <v>1</v>
      </c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>
        <f t="shared" si="9"/>
        <v>0</v>
      </c>
      <c r="AX54" s="156"/>
      <c r="AY54" s="203"/>
      <c r="AZ54" s="203"/>
      <c r="BA54" s="203"/>
    </row>
    <row r="55" spans="1:54" x14ac:dyDescent="0.25">
      <c r="A55" s="175" t="s">
        <v>33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>
        <f t="shared" si="8"/>
        <v>0</v>
      </c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>
        <f t="shared" si="9"/>
        <v>0</v>
      </c>
      <c r="AX55" s="156"/>
      <c r="AY55" s="203"/>
      <c r="AZ55" s="203"/>
      <c r="BA55" s="203"/>
    </row>
    <row r="56" spans="1:54" x14ac:dyDescent="0.25">
      <c r="A56" s="175" t="s">
        <v>34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>
        <f t="shared" si="8"/>
        <v>0</v>
      </c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>
        <f t="shared" si="9"/>
        <v>0</v>
      </c>
      <c r="AX56" s="156"/>
      <c r="AY56" s="203"/>
      <c r="AZ56" s="203"/>
      <c r="BA56" s="203"/>
    </row>
    <row r="57" spans="1:54" x14ac:dyDescent="0.25">
      <c r="A57" s="175" t="s">
        <v>35</v>
      </c>
      <c r="B57" s="199">
        <v>2</v>
      </c>
      <c r="D57" s="199">
        <v>17</v>
      </c>
      <c r="F57" s="174"/>
      <c r="G57" s="174"/>
      <c r="H57" s="174"/>
      <c r="I57" s="174">
        <v>5</v>
      </c>
      <c r="J57" s="174">
        <v>12</v>
      </c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>
        <f t="shared" si="8"/>
        <v>17</v>
      </c>
      <c r="Z57" s="199">
        <v>2</v>
      </c>
      <c r="AB57" s="199">
        <v>17</v>
      </c>
      <c r="AD57" s="174"/>
      <c r="AE57" s="174"/>
      <c r="AF57" s="174"/>
      <c r="AG57" s="174">
        <v>5</v>
      </c>
      <c r="AH57" s="174">
        <v>12</v>
      </c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>
        <f t="shared" si="9"/>
        <v>17</v>
      </c>
      <c r="AX57" s="156">
        <v>865</v>
      </c>
      <c r="AY57" s="203"/>
      <c r="AZ57" s="203"/>
      <c r="BA57" s="203"/>
    </row>
    <row r="58" spans="1:54" x14ac:dyDescent="0.25">
      <c r="A58" s="175" t="s">
        <v>36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>
        <f t="shared" si="8"/>
        <v>0</v>
      </c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>
        <f t="shared" si="9"/>
        <v>0</v>
      </c>
      <c r="AX58" s="156"/>
      <c r="AY58" s="203"/>
      <c r="AZ58" s="203"/>
      <c r="BA58" s="203"/>
    </row>
    <row r="59" spans="1:54" x14ac:dyDescent="0.25">
      <c r="A59" s="175" t="s">
        <v>37</v>
      </c>
      <c r="B59" s="199">
        <v>1</v>
      </c>
      <c r="D59" s="199">
        <v>1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>
        <v>1</v>
      </c>
      <c r="Y59" s="174">
        <f t="shared" si="8"/>
        <v>1</v>
      </c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>
        <f t="shared" si="9"/>
        <v>0</v>
      </c>
      <c r="AX59" s="156"/>
      <c r="AY59" s="203"/>
      <c r="AZ59" s="203"/>
      <c r="BA59" s="203"/>
    </row>
    <row r="60" spans="1:54" x14ac:dyDescent="0.25">
      <c r="A60" s="175" t="s">
        <v>38</v>
      </c>
      <c r="B60" s="199">
        <v>3</v>
      </c>
      <c r="D60" s="199">
        <v>15</v>
      </c>
      <c r="F60" s="174"/>
      <c r="G60" s="174"/>
      <c r="H60" s="174">
        <v>15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>
        <f t="shared" si="8"/>
        <v>15</v>
      </c>
      <c r="Z60" s="199">
        <v>1</v>
      </c>
      <c r="AB60" s="199">
        <v>2</v>
      </c>
      <c r="AD60" s="174"/>
      <c r="AE60" s="174"/>
      <c r="AF60" s="174">
        <v>2</v>
      </c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>
        <f t="shared" si="9"/>
        <v>2</v>
      </c>
      <c r="AX60" s="156">
        <v>5000</v>
      </c>
      <c r="AY60" s="203"/>
      <c r="AZ60" s="203"/>
      <c r="BA60" s="203"/>
    </row>
    <row r="61" spans="1:54" x14ac:dyDescent="0.25">
      <c r="A61" s="175" t="s">
        <v>39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>
        <f t="shared" si="8"/>
        <v>0</v>
      </c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>
        <f t="shared" si="9"/>
        <v>0</v>
      </c>
      <c r="AX61" s="156"/>
      <c r="AY61" s="203"/>
      <c r="AZ61" s="203"/>
      <c r="BA61" s="203"/>
    </row>
    <row r="62" spans="1:54" x14ac:dyDescent="0.25">
      <c r="A62" s="175" t="s">
        <v>40</v>
      </c>
      <c r="B62" s="199">
        <v>1</v>
      </c>
      <c r="D62" s="199">
        <v>34</v>
      </c>
      <c r="F62" s="174"/>
      <c r="G62" s="174"/>
      <c r="H62" s="174"/>
      <c r="I62" s="174"/>
      <c r="J62" s="174"/>
      <c r="K62" s="174">
        <v>34</v>
      </c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>
        <f t="shared" si="8"/>
        <v>34</v>
      </c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56"/>
      <c r="AY62" s="203"/>
      <c r="AZ62" s="203"/>
      <c r="BA62" s="203"/>
    </row>
    <row r="63" spans="1:54" x14ac:dyDescent="0.25">
      <c r="A63" s="173" t="s">
        <v>41</v>
      </c>
      <c r="B63" s="199">
        <f t="shared" ref="B63:X63" si="12">B64+B65+B66+B67+B68+B69++B70+B71+B72</f>
        <v>91</v>
      </c>
      <c r="C63" s="199">
        <f t="shared" si="12"/>
        <v>15</v>
      </c>
      <c r="D63" s="199">
        <f t="shared" si="12"/>
        <v>480</v>
      </c>
      <c r="E63" s="199">
        <f t="shared" si="12"/>
        <v>49</v>
      </c>
      <c r="F63" s="174">
        <f t="shared" si="12"/>
        <v>0</v>
      </c>
      <c r="G63" s="174">
        <f t="shared" si="12"/>
        <v>0</v>
      </c>
      <c r="H63" s="174">
        <f t="shared" si="12"/>
        <v>164</v>
      </c>
      <c r="I63" s="174">
        <f t="shared" si="12"/>
        <v>7</v>
      </c>
      <c r="J63" s="174">
        <f t="shared" si="12"/>
        <v>0</v>
      </c>
      <c r="K63" s="174">
        <f t="shared" si="12"/>
        <v>55</v>
      </c>
      <c r="L63" s="174">
        <f t="shared" si="12"/>
        <v>45</v>
      </c>
      <c r="M63" s="174">
        <f t="shared" si="12"/>
        <v>20</v>
      </c>
      <c r="N63" s="174">
        <f t="shared" si="12"/>
        <v>6</v>
      </c>
      <c r="O63" s="174">
        <f t="shared" si="12"/>
        <v>42</v>
      </c>
      <c r="P63" s="174">
        <f t="shared" si="12"/>
        <v>7</v>
      </c>
      <c r="Q63" s="174">
        <f t="shared" si="12"/>
        <v>1</v>
      </c>
      <c r="R63" s="174">
        <f t="shared" si="12"/>
        <v>19</v>
      </c>
      <c r="S63" s="174">
        <f t="shared" si="12"/>
        <v>1</v>
      </c>
      <c r="T63" s="174">
        <f t="shared" si="12"/>
        <v>3</v>
      </c>
      <c r="U63" s="174">
        <f t="shared" si="12"/>
        <v>5</v>
      </c>
      <c r="V63" s="174">
        <f t="shared" si="12"/>
        <v>26</v>
      </c>
      <c r="W63" s="174">
        <f t="shared" si="12"/>
        <v>18</v>
      </c>
      <c r="X63" s="174">
        <f t="shared" si="12"/>
        <v>61</v>
      </c>
      <c r="Y63" s="174">
        <f t="shared" si="8"/>
        <v>480</v>
      </c>
      <c r="Z63" s="199">
        <f t="shared" ref="Z63:AV63" si="13">Z64+Z65+Z66+Z67+Z68+Z69+Z70+Z71+Z72</f>
        <v>47</v>
      </c>
      <c r="AA63" s="199">
        <f t="shared" si="13"/>
        <v>6</v>
      </c>
      <c r="AB63" s="199">
        <f t="shared" si="13"/>
        <v>264</v>
      </c>
      <c r="AC63" s="199">
        <f t="shared" si="13"/>
        <v>27</v>
      </c>
      <c r="AD63" s="174">
        <f t="shared" si="13"/>
        <v>0</v>
      </c>
      <c r="AE63" s="174">
        <f t="shared" si="13"/>
        <v>0</v>
      </c>
      <c r="AF63" s="174">
        <f t="shared" si="13"/>
        <v>90</v>
      </c>
      <c r="AG63" s="174">
        <f t="shared" si="13"/>
        <v>7</v>
      </c>
      <c r="AH63" s="174">
        <f t="shared" si="13"/>
        <v>0</v>
      </c>
      <c r="AI63" s="174">
        <f t="shared" si="13"/>
        <v>46</v>
      </c>
      <c r="AJ63" s="174">
        <f t="shared" si="13"/>
        <v>41</v>
      </c>
      <c r="AK63" s="174">
        <f t="shared" si="13"/>
        <v>15</v>
      </c>
      <c r="AL63" s="174">
        <f t="shared" si="13"/>
        <v>2</v>
      </c>
      <c r="AM63" s="174">
        <f t="shared" si="13"/>
        <v>12</v>
      </c>
      <c r="AN63" s="174">
        <f t="shared" si="13"/>
        <v>6</v>
      </c>
      <c r="AO63" s="174">
        <f t="shared" si="13"/>
        <v>1</v>
      </c>
      <c r="AP63" s="174">
        <f t="shared" si="13"/>
        <v>1</v>
      </c>
      <c r="AQ63" s="174">
        <f t="shared" si="13"/>
        <v>1</v>
      </c>
      <c r="AR63" s="174">
        <f t="shared" si="13"/>
        <v>2</v>
      </c>
      <c r="AS63" s="174">
        <f t="shared" si="13"/>
        <v>2</v>
      </c>
      <c r="AT63" s="174">
        <f t="shared" si="13"/>
        <v>25</v>
      </c>
      <c r="AU63" s="174">
        <f t="shared" si="13"/>
        <v>0</v>
      </c>
      <c r="AV63" s="174">
        <f t="shared" si="13"/>
        <v>13</v>
      </c>
      <c r="AW63" s="174">
        <f t="shared" ref="AW63:AW94" si="14">SUM(AD63:AV63)</f>
        <v>264</v>
      </c>
      <c r="AX63" s="206">
        <v>2271.67</v>
      </c>
      <c r="AY63" s="156">
        <f>Z63*100/B63</f>
        <v>51.64835164835165</v>
      </c>
      <c r="AZ63" s="185">
        <f>B63-Z63</f>
        <v>44</v>
      </c>
      <c r="BA63" s="156">
        <f>AZ63*100/B63</f>
        <v>48.35164835164835</v>
      </c>
    </row>
    <row r="64" spans="1:54" x14ac:dyDescent="0.25">
      <c r="A64" s="175" t="s">
        <v>133</v>
      </c>
      <c r="B64" s="199">
        <v>13</v>
      </c>
      <c r="C64" s="199">
        <v>2</v>
      </c>
      <c r="D64" s="199">
        <v>44</v>
      </c>
      <c r="E64" s="199">
        <v>4</v>
      </c>
      <c r="F64" s="174"/>
      <c r="G64" s="174"/>
      <c r="H64" s="174"/>
      <c r="I64" s="174"/>
      <c r="J64" s="174"/>
      <c r="K64" s="174"/>
      <c r="L64" s="174">
        <v>19</v>
      </c>
      <c r="M64" s="174"/>
      <c r="N64" s="174"/>
      <c r="O64" s="174">
        <v>7</v>
      </c>
      <c r="P64" s="174">
        <v>1</v>
      </c>
      <c r="Q64" s="174"/>
      <c r="R64" s="174">
        <v>8</v>
      </c>
      <c r="S64" s="174">
        <v>1</v>
      </c>
      <c r="T64" s="174"/>
      <c r="U64" s="174"/>
      <c r="V64" s="174"/>
      <c r="W64" s="174">
        <v>4</v>
      </c>
      <c r="X64" s="174">
        <v>4</v>
      </c>
      <c r="Y64" s="174">
        <f t="shared" si="8"/>
        <v>44</v>
      </c>
      <c r="Z64" s="199">
        <v>5</v>
      </c>
      <c r="AB64" s="199">
        <v>23</v>
      </c>
      <c r="AD64" s="174"/>
      <c r="AE64" s="174"/>
      <c r="AF64" s="174"/>
      <c r="AG64" s="174"/>
      <c r="AH64" s="174"/>
      <c r="AI64" s="174"/>
      <c r="AJ64" s="174">
        <v>19</v>
      </c>
      <c r="AK64" s="174"/>
      <c r="AL64" s="174"/>
      <c r="AM64" s="174">
        <v>2</v>
      </c>
      <c r="AN64" s="174"/>
      <c r="AO64" s="174"/>
      <c r="AP64" s="174"/>
      <c r="AQ64" s="174">
        <v>1</v>
      </c>
      <c r="AR64" s="174"/>
      <c r="AS64" s="174"/>
      <c r="AT64" s="174"/>
      <c r="AU64" s="174"/>
      <c r="AV64" s="174">
        <v>1</v>
      </c>
      <c r="AW64" s="174">
        <f t="shared" si="14"/>
        <v>23</v>
      </c>
      <c r="AX64" s="156">
        <v>3646.75</v>
      </c>
      <c r="AY64" s="203"/>
      <c r="AZ64" s="203"/>
      <c r="BA64" s="203"/>
    </row>
    <row r="65" spans="1:53" x14ac:dyDescent="0.25">
      <c r="A65" s="175" t="s">
        <v>96</v>
      </c>
      <c r="B65" s="199">
        <v>51</v>
      </c>
      <c r="C65" s="199">
        <v>7</v>
      </c>
      <c r="D65" s="199">
        <v>220</v>
      </c>
      <c r="E65" s="199">
        <v>8</v>
      </c>
      <c r="F65" s="174"/>
      <c r="G65" s="174"/>
      <c r="H65" s="174">
        <v>119</v>
      </c>
      <c r="I65" s="174"/>
      <c r="J65" s="174"/>
      <c r="K65" s="174">
        <v>4</v>
      </c>
      <c r="L65" s="174">
        <v>6</v>
      </c>
      <c r="M65" s="174">
        <v>15</v>
      </c>
      <c r="N65" s="174"/>
      <c r="O65" s="174">
        <v>2</v>
      </c>
      <c r="P65" s="174">
        <v>6</v>
      </c>
      <c r="Q65" s="174">
        <v>1</v>
      </c>
      <c r="R65" s="174"/>
      <c r="S65" s="174"/>
      <c r="T65" s="174">
        <v>3</v>
      </c>
      <c r="U65" s="174">
        <v>4</v>
      </c>
      <c r="V65" s="174">
        <v>3</v>
      </c>
      <c r="W65" s="174"/>
      <c r="X65" s="174">
        <v>57</v>
      </c>
      <c r="Y65" s="174">
        <f t="shared" si="8"/>
        <v>220</v>
      </c>
      <c r="Z65" s="199">
        <v>24</v>
      </c>
      <c r="AA65" s="199">
        <v>4</v>
      </c>
      <c r="AB65" s="199">
        <v>103</v>
      </c>
      <c r="AC65" s="199">
        <v>4</v>
      </c>
      <c r="AD65" s="174"/>
      <c r="AE65" s="174"/>
      <c r="AF65" s="174">
        <v>60</v>
      </c>
      <c r="AG65" s="174"/>
      <c r="AH65" s="174"/>
      <c r="AI65" s="174">
        <v>2</v>
      </c>
      <c r="AJ65" s="174">
        <v>2</v>
      </c>
      <c r="AK65" s="174">
        <v>15</v>
      </c>
      <c r="AL65" s="174"/>
      <c r="AM65" s="174"/>
      <c r="AN65" s="174">
        <v>6</v>
      </c>
      <c r="AO65" s="174">
        <v>1</v>
      </c>
      <c r="AP65" s="174"/>
      <c r="AQ65" s="174"/>
      <c r="AR65" s="174">
        <v>2</v>
      </c>
      <c r="AS65" s="174">
        <v>1</v>
      </c>
      <c r="AT65" s="174">
        <v>2</v>
      </c>
      <c r="AU65" s="174"/>
      <c r="AV65" s="174">
        <v>12</v>
      </c>
      <c r="AW65" s="174">
        <f t="shared" si="14"/>
        <v>103</v>
      </c>
      <c r="AX65" s="156">
        <v>2435.4</v>
      </c>
      <c r="AY65" s="203"/>
      <c r="AZ65" s="203"/>
      <c r="BA65" s="203"/>
    </row>
    <row r="66" spans="1:53" x14ac:dyDescent="0.25">
      <c r="A66" s="175" t="s">
        <v>97</v>
      </c>
      <c r="B66" s="199">
        <v>8</v>
      </c>
      <c r="D66" s="199">
        <v>92</v>
      </c>
      <c r="F66" s="174"/>
      <c r="G66" s="174"/>
      <c r="H66" s="174">
        <v>18</v>
      </c>
      <c r="I66" s="174"/>
      <c r="J66" s="174"/>
      <c r="K66" s="174">
        <v>31</v>
      </c>
      <c r="L66" s="174"/>
      <c r="M66" s="174"/>
      <c r="N66" s="174"/>
      <c r="O66" s="174">
        <v>32</v>
      </c>
      <c r="P66" s="174"/>
      <c r="Q66" s="174"/>
      <c r="R66" s="174">
        <v>11</v>
      </c>
      <c r="S66" s="174"/>
      <c r="T66" s="174"/>
      <c r="U66" s="174"/>
      <c r="V66" s="174"/>
      <c r="W66" s="174"/>
      <c r="X66" s="174"/>
      <c r="Y66" s="174">
        <f t="shared" si="8"/>
        <v>92</v>
      </c>
      <c r="Z66" s="199">
        <v>7</v>
      </c>
      <c r="AB66" s="199">
        <v>53</v>
      </c>
      <c r="AD66" s="174"/>
      <c r="AE66" s="174"/>
      <c r="AF66" s="174">
        <v>18</v>
      </c>
      <c r="AG66" s="174"/>
      <c r="AH66" s="174"/>
      <c r="AI66" s="174">
        <v>24</v>
      </c>
      <c r="AJ66" s="174"/>
      <c r="AK66" s="174"/>
      <c r="AL66" s="174"/>
      <c r="AM66" s="174">
        <v>10</v>
      </c>
      <c r="AN66" s="174"/>
      <c r="AO66" s="174"/>
      <c r="AP66" s="174">
        <v>1</v>
      </c>
      <c r="AQ66" s="174"/>
      <c r="AR66" s="174"/>
      <c r="AS66" s="174"/>
      <c r="AT66" s="174"/>
      <c r="AU66" s="174"/>
      <c r="AV66" s="174"/>
      <c r="AW66" s="174">
        <f t="shared" si="14"/>
        <v>53</v>
      </c>
      <c r="AX66" s="156">
        <v>2294.1999999999998</v>
      </c>
      <c r="AY66" s="203"/>
      <c r="AZ66" s="203"/>
      <c r="BA66" s="203"/>
    </row>
    <row r="67" spans="1:53" x14ac:dyDescent="0.25">
      <c r="A67" s="175" t="s">
        <v>98</v>
      </c>
      <c r="B67" s="199">
        <v>3</v>
      </c>
      <c r="C67" s="199">
        <v>3</v>
      </c>
      <c r="D67" s="199">
        <v>8</v>
      </c>
      <c r="E67" s="199">
        <v>8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>
        <v>8</v>
      </c>
      <c r="X67" s="174"/>
      <c r="Y67" s="174">
        <f t="shared" si="8"/>
        <v>8</v>
      </c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>
        <f t="shared" si="14"/>
        <v>0</v>
      </c>
      <c r="AX67" s="156"/>
      <c r="AY67" s="203"/>
      <c r="AZ67" s="203"/>
      <c r="BA67" s="203"/>
    </row>
    <row r="68" spans="1:53" x14ac:dyDescent="0.25">
      <c r="A68" s="175" t="s">
        <v>99</v>
      </c>
      <c r="B68" s="199">
        <v>1</v>
      </c>
      <c r="D68" s="199">
        <v>4</v>
      </c>
      <c r="F68" s="174"/>
      <c r="G68" s="174"/>
      <c r="H68" s="174">
        <v>4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f t="shared" si="8"/>
        <v>4</v>
      </c>
      <c r="Z68" s="199">
        <v>1</v>
      </c>
      <c r="AB68" s="199">
        <v>4</v>
      </c>
      <c r="AD68" s="174"/>
      <c r="AE68" s="174"/>
      <c r="AF68" s="174">
        <v>4</v>
      </c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>
        <f t="shared" si="14"/>
        <v>4</v>
      </c>
      <c r="AX68" s="156">
        <v>1448</v>
      </c>
      <c r="AY68" s="203"/>
      <c r="AZ68" s="203"/>
      <c r="BA68" s="203"/>
    </row>
    <row r="69" spans="1:53" x14ac:dyDescent="0.25">
      <c r="A69" s="175" t="s">
        <v>100</v>
      </c>
      <c r="B69" s="199">
        <v>6</v>
      </c>
      <c r="C69" s="199">
        <v>1</v>
      </c>
      <c r="D69" s="199">
        <v>18</v>
      </c>
      <c r="E69" s="199">
        <v>6</v>
      </c>
      <c r="F69" s="174"/>
      <c r="G69" s="174"/>
      <c r="H69" s="174"/>
      <c r="I69" s="174"/>
      <c r="J69" s="174"/>
      <c r="K69" s="174"/>
      <c r="L69" s="174"/>
      <c r="M69" s="174">
        <v>5</v>
      </c>
      <c r="N69" s="174">
        <v>6</v>
      </c>
      <c r="O69" s="174"/>
      <c r="P69" s="174"/>
      <c r="Q69" s="174"/>
      <c r="R69" s="174"/>
      <c r="S69" s="174"/>
      <c r="T69" s="174"/>
      <c r="U69" s="174"/>
      <c r="V69" s="174">
        <v>1</v>
      </c>
      <c r="W69" s="174">
        <v>6</v>
      </c>
      <c r="X69" s="174"/>
      <c r="Y69" s="174">
        <f t="shared" si="8"/>
        <v>18</v>
      </c>
      <c r="Z69" s="199">
        <v>3</v>
      </c>
      <c r="AB69" s="199">
        <v>3</v>
      </c>
      <c r="AD69" s="174"/>
      <c r="AE69" s="174"/>
      <c r="AF69" s="174"/>
      <c r="AG69" s="174"/>
      <c r="AH69" s="174"/>
      <c r="AI69" s="174"/>
      <c r="AJ69" s="174"/>
      <c r="AK69" s="174"/>
      <c r="AL69" s="174">
        <v>2</v>
      </c>
      <c r="AM69" s="174"/>
      <c r="AN69" s="174"/>
      <c r="AO69" s="174"/>
      <c r="AP69" s="174"/>
      <c r="AQ69" s="174"/>
      <c r="AR69" s="174"/>
      <c r="AS69" s="174"/>
      <c r="AT69" s="174">
        <v>1</v>
      </c>
      <c r="AU69" s="174"/>
      <c r="AV69" s="174"/>
      <c r="AW69" s="174">
        <f t="shared" si="14"/>
        <v>3</v>
      </c>
      <c r="AX69" s="156">
        <v>2433.3333333333335</v>
      </c>
      <c r="AY69" s="203"/>
      <c r="AZ69" s="203"/>
      <c r="BA69" s="203"/>
    </row>
    <row r="70" spans="1:53" x14ac:dyDescent="0.25">
      <c r="A70" s="175" t="s">
        <v>132</v>
      </c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>
        <f t="shared" si="8"/>
        <v>0</v>
      </c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>
        <f t="shared" si="14"/>
        <v>0</v>
      </c>
      <c r="AX70" s="156"/>
      <c r="AY70" s="203"/>
      <c r="AZ70" s="203"/>
      <c r="BA70" s="203"/>
    </row>
    <row r="71" spans="1:53" x14ac:dyDescent="0.25">
      <c r="A71" s="175" t="s">
        <v>131</v>
      </c>
      <c r="B71" s="199">
        <v>5</v>
      </c>
      <c r="C71" s="199">
        <v>2</v>
      </c>
      <c r="D71" s="199">
        <v>66</v>
      </c>
      <c r="E71" s="199">
        <v>23</v>
      </c>
      <c r="F71" s="174"/>
      <c r="G71" s="174"/>
      <c r="H71" s="174">
        <v>23</v>
      </c>
      <c r="I71" s="174"/>
      <c r="J71" s="174"/>
      <c r="K71" s="174"/>
      <c r="L71" s="174">
        <v>20</v>
      </c>
      <c r="M71" s="174"/>
      <c r="N71" s="174"/>
      <c r="O71" s="174"/>
      <c r="P71" s="174"/>
      <c r="Q71" s="174"/>
      <c r="R71" s="174"/>
      <c r="S71" s="174"/>
      <c r="T71" s="174"/>
      <c r="U71" s="174">
        <v>1</v>
      </c>
      <c r="V71" s="174">
        <v>22</v>
      </c>
      <c r="W71" s="174"/>
      <c r="X71" s="174"/>
      <c r="Y71" s="174">
        <f t="shared" si="8"/>
        <v>66</v>
      </c>
      <c r="Z71" s="199">
        <v>4</v>
      </c>
      <c r="AA71" s="199">
        <v>2</v>
      </c>
      <c r="AB71" s="199">
        <v>51</v>
      </c>
      <c r="AC71" s="199">
        <v>23</v>
      </c>
      <c r="AD71" s="174"/>
      <c r="AE71" s="174"/>
      <c r="AF71" s="174">
        <v>8</v>
      </c>
      <c r="AG71" s="174"/>
      <c r="AH71" s="174"/>
      <c r="AI71" s="174"/>
      <c r="AJ71" s="174">
        <v>20</v>
      </c>
      <c r="AK71" s="174"/>
      <c r="AL71" s="174"/>
      <c r="AM71" s="174"/>
      <c r="AN71" s="174"/>
      <c r="AO71" s="174"/>
      <c r="AP71" s="174"/>
      <c r="AQ71" s="174"/>
      <c r="AR71" s="174"/>
      <c r="AS71" s="174">
        <v>1</v>
      </c>
      <c r="AT71" s="174">
        <v>22</v>
      </c>
      <c r="AU71" s="174"/>
      <c r="AV71" s="174"/>
      <c r="AW71" s="174">
        <f t="shared" si="14"/>
        <v>51</v>
      </c>
      <c r="AX71" s="156">
        <v>2269</v>
      </c>
      <c r="AY71" s="203"/>
      <c r="AZ71" s="203"/>
      <c r="BA71" s="203"/>
    </row>
    <row r="72" spans="1:53" x14ac:dyDescent="0.25">
      <c r="A72" s="175" t="s">
        <v>130</v>
      </c>
      <c r="B72" s="199">
        <v>4</v>
      </c>
      <c r="D72" s="199">
        <v>28</v>
      </c>
      <c r="F72" s="174"/>
      <c r="G72" s="174"/>
      <c r="H72" s="174"/>
      <c r="I72" s="174">
        <v>7</v>
      </c>
      <c r="J72" s="174"/>
      <c r="K72" s="174">
        <v>20</v>
      </c>
      <c r="L72" s="174"/>
      <c r="M72" s="174"/>
      <c r="N72" s="174"/>
      <c r="O72" s="174">
        <v>1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>
        <f t="shared" si="8"/>
        <v>28</v>
      </c>
      <c r="Z72" s="199">
        <v>3</v>
      </c>
      <c r="AB72" s="199">
        <v>27</v>
      </c>
      <c r="AD72" s="174"/>
      <c r="AE72" s="174"/>
      <c r="AF72" s="174"/>
      <c r="AG72" s="174">
        <v>7</v>
      </c>
      <c r="AH72" s="174"/>
      <c r="AI72" s="174">
        <v>20</v>
      </c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>
        <f t="shared" si="14"/>
        <v>27</v>
      </c>
      <c r="AX72" s="156">
        <v>1375</v>
      </c>
      <c r="AY72" s="203"/>
      <c r="AZ72" s="203"/>
      <c r="BA72" s="203"/>
    </row>
    <row r="73" spans="1:53" x14ac:dyDescent="0.25">
      <c r="A73" s="173" t="s">
        <v>42</v>
      </c>
      <c r="B73" s="199">
        <f t="shared" ref="B73:X73" si="15">SUM(B74:B92)</f>
        <v>300</v>
      </c>
      <c r="C73" s="199">
        <f t="shared" si="15"/>
        <v>71</v>
      </c>
      <c r="D73" s="199">
        <f t="shared" si="15"/>
        <v>1120</v>
      </c>
      <c r="E73" s="199">
        <f t="shared" si="15"/>
        <v>421</v>
      </c>
      <c r="F73" s="174">
        <f t="shared" si="15"/>
        <v>0</v>
      </c>
      <c r="G73" s="174">
        <f t="shared" si="15"/>
        <v>0</v>
      </c>
      <c r="H73" s="174">
        <f t="shared" si="15"/>
        <v>237</v>
      </c>
      <c r="I73" s="174">
        <f t="shared" si="15"/>
        <v>3</v>
      </c>
      <c r="J73" s="174">
        <f t="shared" si="15"/>
        <v>14</v>
      </c>
      <c r="K73" s="174">
        <f t="shared" si="15"/>
        <v>7</v>
      </c>
      <c r="L73" s="174">
        <f t="shared" si="15"/>
        <v>87</v>
      </c>
      <c r="M73" s="174">
        <f t="shared" si="15"/>
        <v>20</v>
      </c>
      <c r="N73" s="174">
        <f t="shared" si="15"/>
        <v>14</v>
      </c>
      <c r="O73" s="174">
        <f t="shared" si="15"/>
        <v>54</v>
      </c>
      <c r="P73" s="174">
        <f t="shared" si="15"/>
        <v>54</v>
      </c>
      <c r="Q73" s="174">
        <f t="shared" si="15"/>
        <v>0</v>
      </c>
      <c r="R73" s="174">
        <f t="shared" si="15"/>
        <v>72</v>
      </c>
      <c r="S73" s="174">
        <f t="shared" si="15"/>
        <v>5</v>
      </c>
      <c r="T73" s="174">
        <f t="shared" si="15"/>
        <v>121</v>
      </c>
      <c r="U73" s="174">
        <f t="shared" si="15"/>
        <v>68</v>
      </c>
      <c r="V73" s="174">
        <f t="shared" si="15"/>
        <v>282</v>
      </c>
      <c r="W73" s="174">
        <f t="shared" si="15"/>
        <v>11</v>
      </c>
      <c r="X73" s="174">
        <f t="shared" si="15"/>
        <v>71</v>
      </c>
      <c r="Y73" s="174">
        <f t="shared" si="8"/>
        <v>1120</v>
      </c>
      <c r="Z73" s="199">
        <f t="shared" ref="Z73:AV73" si="16">SUM(Z74:Z93)</f>
        <v>227</v>
      </c>
      <c r="AA73" s="199">
        <f t="shared" si="16"/>
        <v>65</v>
      </c>
      <c r="AB73" s="199">
        <f t="shared" si="16"/>
        <v>848</v>
      </c>
      <c r="AC73" s="199">
        <f t="shared" si="16"/>
        <v>402</v>
      </c>
      <c r="AD73" s="174">
        <f t="shared" si="16"/>
        <v>0</v>
      </c>
      <c r="AE73" s="174">
        <f t="shared" si="16"/>
        <v>0</v>
      </c>
      <c r="AF73" s="174">
        <f t="shared" si="16"/>
        <v>170</v>
      </c>
      <c r="AG73" s="174">
        <f t="shared" si="16"/>
        <v>0</v>
      </c>
      <c r="AH73" s="174">
        <f t="shared" si="16"/>
        <v>14</v>
      </c>
      <c r="AI73" s="174">
        <f t="shared" si="16"/>
        <v>4</v>
      </c>
      <c r="AJ73" s="174">
        <f t="shared" si="16"/>
        <v>71</v>
      </c>
      <c r="AK73" s="174">
        <f t="shared" si="16"/>
        <v>10</v>
      </c>
      <c r="AL73" s="174">
        <f t="shared" si="16"/>
        <v>7</v>
      </c>
      <c r="AM73" s="174">
        <f t="shared" si="16"/>
        <v>41</v>
      </c>
      <c r="AN73" s="174">
        <f t="shared" si="16"/>
        <v>22</v>
      </c>
      <c r="AO73" s="174">
        <f t="shared" si="16"/>
        <v>0</v>
      </c>
      <c r="AP73" s="174">
        <f t="shared" si="16"/>
        <v>51</v>
      </c>
      <c r="AQ73" s="174">
        <f t="shared" si="16"/>
        <v>4</v>
      </c>
      <c r="AR73" s="174">
        <f t="shared" si="16"/>
        <v>86</v>
      </c>
      <c r="AS73" s="174">
        <f t="shared" si="16"/>
        <v>67</v>
      </c>
      <c r="AT73" s="174">
        <f t="shared" si="16"/>
        <v>266</v>
      </c>
      <c r="AU73" s="174">
        <f t="shared" si="16"/>
        <v>2</v>
      </c>
      <c r="AV73" s="174">
        <f t="shared" si="16"/>
        <v>33</v>
      </c>
      <c r="AW73" s="174">
        <f t="shared" si="14"/>
        <v>848</v>
      </c>
      <c r="AX73" s="206">
        <v>3023.82</v>
      </c>
      <c r="AY73" s="156">
        <f>Z73*100/B73</f>
        <v>75.666666666666671</v>
      </c>
      <c r="AZ73" s="185">
        <f>B73-Z73</f>
        <v>73</v>
      </c>
      <c r="BA73" s="156">
        <f>AZ73*100/B73</f>
        <v>24.333333333333332</v>
      </c>
    </row>
    <row r="74" spans="1:53" x14ac:dyDescent="0.25">
      <c r="A74" s="175" t="s">
        <v>171</v>
      </c>
      <c r="B74" s="199">
        <v>47</v>
      </c>
      <c r="C74" s="199">
        <v>12</v>
      </c>
      <c r="D74" s="199">
        <v>143</v>
      </c>
      <c r="E74" s="199">
        <v>41</v>
      </c>
      <c r="F74" s="174"/>
      <c r="G74" s="174"/>
      <c r="H74" s="174">
        <v>45</v>
      </c>
      <c r="I74" s="174">
        <v>3</v>
      </c>
      <c r="J74" s="174"/>
      <c r="K74" s="174"/>
      <c r="L74" s="174">
        <v>8</v>
      </c>
      <c r="M74" s="174">
        <v>4</v>
      </c>
      <c r="N74" s="174">
        <v>4</v>
      </c>
      <c r="O74" s="174">
        <v>14</v>
      </c>
      <c r="P74" s="174">
        <v>9</v>
      </c>
      <c r="Q74" s="174"/>
      <c r="R74" s="174"/>
      <c r="S74" s="174"/>
      <c r="T74" s="174">
        <v>42</v>
      </c>
      <c r="U74" s="174"/>
      <c r="V74" s="174">
        <v>1</v>
      </c>
      <c r="W74" s="174"/>
      <c r="X74" s="174">
        <v>13</v>
      </c>
      <c r="Y74" s="174">
        <f t="shared" si="8"/>
        <v>143</v>
      </c>
      <c r="Z74" s="199">
        <v>40</v>
      </c>
      <c r="AA74" s="199">
        <v>11</v>
      </c>
      <c r="AB74" s="199">
        <v>122</v>
      </c>
      <c r="AC74" s="199">
        <v>40</v>
      </c>
      <c r="AD74" s="174"/>
      <c r="AE74" s="174"/>
      <c r="AF74" s="174">
        <v>34</v>
      </c>
      <c r="AG74" s="174"/>
      <c r="AH74" s="174"/>
      <c r="AI74" s="174"/>
      <c r="AJ74" s="174">
        <v>8</v>
      </c>
      <c r="AK74" s="174">
        <v>1</v>
      </c>
      <c r="AL74" s="174">
        <v>4</v>
      </c>
      <c r="AM74" s="174">
        <v>13</v>
      </c>
      <c r="AN74" s="174">
        <v>9</v>
      </c>
      <c r="AO74" s="174"/>
      <c r="AP74" s="174"/>
      <c r="AQ74" s="174"/>
      <c r="AR74" s="174">
        <v>41</v>
      </c>
      <c r="AS74" s="174"/>
      <c r="AT74" s="174">
        <v>1</v>
      </c>
      <c r="AU74" s="174"/>
      <c r="AV74" s="174">
        <v>11</v>
      </c>
      <c r="AW74" s="174">
        <f t="shared" si="14"/>
        <v>122</v>
      </c>
      <c r="AX74" s="156">
        <v>4049.6666666666665</v>
      </c>
      <c r="AY74" s="203"/>
      <c r="AZ74" s="203"/>
      <c r="BA74" s="203"/>
    </row>
    <row r="75" spans="1:53" x14ac:dyDescent="0.25">
      <c r="A75" s="175" t="s">
        <v>172</v>
      </c>
      <c r="B75" s="199">
        <v>16</v>
      </c>
      <c r="D75" s="199">
        <v>45</v>
      </c>
      <c r="F75" s="174"/>
      <c r="G75" s="174"/>
      <c r="H75" s="174"/>
      <c r="I75" s="174"/>
      <c r="J75" s="174"/>
      <c r="K75" s="174"/>
      <c r="L75" s="174">
        <v>9</v>
      </c>
      <c r="M75" s="174">
        <v>5</v>
      </c>
      <c r="N75" s="174"/>
      <c r="O75" s="174">
        <v>2</v>
      </c>
      <c r="P75" s="174">
        <v>3</v>
      </c>
      <c r="Q75" s="174"/>
      <c r="R75" s="174">
        <v>9</v>
      </c>
      <c r="S75" s="174">
        <v>2</v>
      </c>
      <c r="T75" s="174"/>
      <c r="U75" s="174">
        <v>11</v>
      </c>
      <c r="V75" s="174"/>
      <c r="W75" s="174"/>
      <c r="X75" s="174">
        <v>4</v>
      </c>
      <c r="Y75" s="174">
        <f t="shared" si="8"/>
        <v>45</v>
      </c>
      <c r="Z75" s="199">
        <v>14</v>
      </c>
      <c r="AB75" s="199">
        <v>34</v>
      </c>
      <c r="AD75" s="174"/>
      <c r="AE75" s="174"/>
      <c r="AF75" s="174"/>
      <c r="AG75" s="174"/>
      <c r="AH75" s="174"/>
      <c r="AI75" s="174"/>
      <c r="AJ75" s="174">
        <v>9</v>
      </c>
      <c r="AK75" s="174"/>
      <c r="AL75" s="174"/>
      <c r="AM75" s="174">
        <v>2</v>
      </c>
      <c r="AN75" s="174">
        <v>1</v>
      </c>
      <c r="AO75" s="174"/>
      <c r="AP75" s="174">
        <v>8</v>
      </c>
      <c r="AQ75" s="174">
        <v>1</v>
      </c>
      <c r="AR75" s="174"/>
      <c r="AS75" s="174">
        <v>11</v>
      </c>
      <c r="AT75" s="174"/>
      <c r="AU75" s="174"/>
      <c r="AV75" s="174">
        <v>2</v>
      </c>
      <c r="AW75" s="174">
        <f t="shared" si="14"/>
        <v>34</v>
      </c>
      <c r="AX75" s="156">
        <v>4308.125</v>
      </c>
      <c r="AY75" s="203"/>
      <c r="AZ75" s="203"/>
      <c r="BA75" s="203"/>
    </row>
    <row r="76" spans="1:53" x14ac:dyDescent="0.25">
      <c r="A76" s="175" t="s">
        <v>173</v>
      </c>
      <c r="B76" s="199">
        <v>34</v>
      </c>
      <c r="C76" s="199">
        <v>14</v>
      </c>
      <c r="D76" s="199">
        <v>150</v>
      </c>
      <c r="E76" s="199">
        <v>94</v>
      </c>
      <c r="F76" s="174"/>
      <c r="G76" s="174"/>
      <c r="H76" s="174">
        <v>10</v>
      </c>
      <c r="I76" s="174"/>
      <c r="J76" s="174">
        <v>1</v>
      </c>
      <c r="K76" s="174">
        <v>2</v>
      </c>
      <c r="L76" s="174">
        <v>11</v>
      </c>
      <c r="M76" s="174"/>
      <c r="N76" s="174"/>
      <c r="O76" s="174">
        <v>10</v>
      </c>
      <c r="P76" s="174">
        <v>12</v>
      </c>
      <c r="Q76" s="174"/>
      <c r="R76" s="174">
        <v>9</v>
      </c>
      <c r="S76" s="174"/>
      <c r="T76" s="174">
        <v>14</v>
      </c>
      <c r="U76" s="174"/>
      <c r="V76" s="174">
        <v>78</v>
      </c>
      <c r="W76" s="174"/>
      <c r="X76" s="174">
        <v>3</v>
      </c>
      <c r="Y76" s="174">
        <f t="shared" si="8"/>
        <v>150</v>
      </c>
      <c r="Z76" s="199">
        <v>28</v>
      </c>
      <c r="AA76" s="199">
        <v>13</v>
      </c>
      <c r="AB76" s="199">
        <v>139</v>
      </c>
      <c r="AC76" s="199">
        <v>90</v>
      </c>
      <c r="AD76" s="174"/>
      <c r="AE76" s="174"/>
      <c r="AF76" s="174">
        <v>8</v>
      </c>
      <c r="AG76" s="174"/>
      <c r="AH76" s="174">
        <v>1</v>
      </c>
      <c r="AI76" s="174">
        <v>2</v>
      </c>
      <c r="AJ76" s="174">
        <v>10</v>
      </c>
      <c r="AK76" s="174"/>
      <c r="AL76" s="174"/>
      <c r="AM76" s="174">
        <v>5</v>
      </c>
      <c r="AN76" s="174">
        <v>12</v>
      </c>
      <c r="AO76" s="174"/>
      <c r="AP76" s="174">
        <v>9</v>
      </c>
      <c r="AQ76" s="174"/>
      <c r="AR76" s="174">
        <v>14</v>
      </c>
      <c r="AS76" s="174"/>
      <c r="AT76" s="174">
        <v>75</v>
      </c>
      <c r="AU76" s="174"/>
      <c r="AV76" s="174">
        <v>3</v>
      </c>
      <c r="AW76" s="174">
        <f t="shared" si="14"/>
        <v>139</v>
      </c>
      <c r="AX76" s="156">
        <v>2395.4444444444443</v>
      </c>
      <c r="AY76" s="203"/>
      <c r="AZ76" s="203"/>
      <c r="BA76" s="203"/>
    </row>
    <row r="77" spans="1:53" x14ac:dyDescent="0.25">
      <c r="A77" s="175" t="s">
        <v>174</v>
      </c>
      <c r="B77" s="199">
        <v>6</v>
      </c>
      <c r="C77" s="199">
        <v>5</v>
      </c>
      <c r="D77" s="199">
        <v>119</v>
      </c>
      <c r="E77" s="199">
        <v>109</v>
      </c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>
        <v>119</v>
      </c>
      <c r="W77" s="174"/>
      <c r="X77" s="174"/>
      <c r="Y77" s="174">
        <f t="shared" si="8"/>
        <v>119</v>
      </c>
      <c r="Z77" s="199">
        <v>5</v>
      </c>
      <c r="AA77" s="199">
        <v>3</v>
      </c>
      <c r="AB77" s="199">
        <v>114</v>
      </c>
      <c r="AC77" s="199">
        <v>104</v>
      </c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>
        <v>114</v>
      </c>
      <c r="AU77" s="174"/>
      <c r="AV77" s="174"/>
      <c r="AW77" s="174">
        <f t="shared" si="14"/>
        <v>114</v>
      </c>
      <c r="AX77" s="156">
        <v>1812</v>
      </c>
      <c r="AY77" s="203"/>
      <c r="AZ77" s="203"/>
      <c r="BA77" s="203"/>
    </row>
    <row r="78" spans="1:53" x14ac:dyDescent="0.25">
      <c r="A78" s="175" t="s">
        <v>175</v>
      </c>
      <c r="B78" s="199">
        <v>20</v>
      </c>
      <c r="D78" s="199">
        <v>52</v>
      </c>
      <c r="F78" s="174"/>
      <c r="G78" s="174"/>
      <c r="H78" s="174">
        <v>42</v>
      </c>
      <c r="I78" s="174"/>
      <c r="J78" s="174"/>
      <c r="K78" s="174">
        <v>2</v>
      </c>
      <c r="L78" s="174"/>
      <c r="M78" s="174"/>
      <c r="N78" s="174"/>
      <c r="O78" s="174"/>
      <c r="P78" s="174"/>
      <c r="Q78" s="174"/>
      <c r="R78" s="174">
        <v>2</v>
      </c>
      <c r="S78" s="174"/>
      <c r="T78" s="174"/>
      <c r="U78" s="174"/>
      <c r="V78" s="174"/>
      <c r="W78" s="174"/>
      <c r="X78" s="174">
        <v>6</v>
      </c>
      <c r="Y78" s="174">
        <f t="shared" si="8"/>
        <v>52</v>
      </c>
      <c r="Z78" s="199">
        <v>15</v>
      </c>
      <c r="AB78" s="199">
        <v>39</v>
      </c>
      <c r="AD78" s="174"/>
      <c r="AE78" s="174"/>
      <c r="AF78" s="174">
        <v>35</v>
      </c>
      <c r="AG78" s="174"/>
      <c r="AH78" s="174"/>
      <c r="AI78" s="174"/>
      <c r="AJ78" s="174"/>
      <c r="AK78" s="174"/>
      <c r="AL78" s="174"/>
      <c r="AM78" s="174"/>
      <c r="AN78" s="174"/>
      <c r="AO78" s="174"/>
      <c r="AP78" s="174">
        <v>2</v>
      </c>
      <c r="AQ78" s="174"/>
      <c r="AR78" s="174"/>
      <c r="AS78" s="174"/>
      <c r="AT78" s="174"/>
      <c r="AU78" s="174"/>
      <c r="AV78" s="174">
        <v>2</v>
      </c>
      <c r="AW78" s="174">
        <f t="shared" si="14"/>
        <v>39</v>
      </c>
      <c r="AX78" s="156">
        <v>4316.6000000000004</v>
      </c>
      <c r="AY78" s="203"/>
      <c r="AZ78" s="203"/>
      <c r="BA78" s="203"/>
    </row>
    <row r="79" spans="1:53" x14ac:dyDescent="0.25">
      <c r="A79" s="175" t="s">
        <v>176</v>
      </c>
      <c r="B79" s="199">
        <v>12</v>
      </c>
      <c r="C79" s="199">
        <v>1</v>
      </c>
      <c r="D79" s="199">
        <v>24</v>
      </c>
      <c r="E79" s="199">
        <v>5</v>
      </c>
      <c r="F79" s="174"/>
      <c r="G79" s="174"/>
      <c r="H79" s="174">
        <v>11</v>
      </c>
      <c r="I79" s="174"/>
      <c r="J79" s="174"/>
      <c r="K79" s="174"/>
      <c r="L79" s="174">
        <v>5</v>
      </c>
      <c r="M79" s="174">
        <v>1</v>
      </c>
      <c r="N79" s="174"/>
      <c r="O79" s="174">
        <v>7</v>
      </c>
      <c r="P79" s="174"/>
      <c r="Q79" s="174"/>
      <c r="R79" s="174"/>
      <c r="S79" s="174"/>
      <c r="T79" s="174"/>
      <c r="U79" s="174"/>
      <c r="V79" s="174"/>
      <c r="W79" s="174"/>
      <c r="X79" s="174"/>
      <c r="Y79" s="174">
        <f t="shared" si="8"/>
        <v>24</v>
      </c>
      <c r="Z79" s="199">
        <v>9</v>
      </c>
      <c r="AA79" s="199">
        <v>1</v>
      </c>
      <c r="AB79" s="199">
        <v>20</v>
      </c>
      <c r="AC79" s="199">
        <v>5</v>
      </c>
      <c r="AD79" s="174"/>
      <c r="AE79" s="174"/>
      <c r="AF79" s="174">
        <v>11</v>
      </c>
      <c r="AG79" s="174"/>
      <c r="AH79" s="174"/>
      <c r="AI79" s="174"/>
      <c r="AJ79" s="174">
        <v>3</v>
      </c>
      <c r="AK79" s="174">
        <v>1</v>
      </c>
      <c r="AL79" s="174"/>
      <c r="AM79" s="174">
        <v>5</v>
      </c>
      <c r="AN79" s="174"/>
      <c r="AO79" s="174"/>
      <c r="AP79" s="174"/>
      <c r="AQ79" s="174"/>
      <c r="AR79" s="174"/>
      <c r="AS79" s="174"/>
      <c r="AT79" s="174"/>
      <c r="AU79" s="174"/>
      <c r="AV79" s="174"/>
      <c r="AW79" s="174">
        <f t="shared" si="14"/>
        <v>20</v>
      </c>
      <c r="AX79" s="156">
        <v>4689.375</v>
      </c>
      <c r="AY79" s="203"/>
      <c r="AZ79" s="203"/>
      <c r="BA79" s="203"/>
    </row>
    <row r="80" spans="1:53" x14ac:dyDescent="0.25">
      <c r="A80" s="175" t="s">
        <v>178</v>
      </c>
      <c r="B80" s="199">
        <v>50</v>
      </c>
      <c r="C80" s="199">
        <v>14</v>
      </c>
      <c r="D80" s="199">
        <v>276</v>
      </c>
      <c r="E80" s="199">
        <v>118</v>
      </c>
      <c r="F80" s="174"/>
      <c r="G80" s="174"/>
      <c r="H80" s="174">
        <v>50</v>
      </c>
      <c r="I80" s="174"/>
      <c r="J80" s="174">
        <v>3</v>
      </c>
      <c r="K80" s="174"/>
      <c r="L80" s="174">
        <v>20</v>
      </c>
      <c r="M80" s="174">
        <v>2</v>
      </c>
      <c r="N80" s="174"/>
      <c r="O80" s="174">
        <v>2</v>
      </c>
      <c r="P80" s="174">
        <v>30</v>
      </c>
      <c r="Q80" s="174"/>
      <c r="R80" s="174">
        <v>35</v>
      </c>
      <c r="S80" s="174">
        <v>3</v>
      </c>
      <c r="T80" s="174">
        <v>42</v>
      </c>
      <c r="U80" s="174">
        <v>1</v>
      </c>
      <c r="V80" s="174">
        <v>70</v>
      </c>
      <c r="W80" s="174">
        <v>1</v>
      </c>
      <c r="X80" s="174">
        <v>17</v>
      </c>
      <c r="Y80" s="174">
        <f t="shared" si="8"/>
        <v>276</v>
      </c>
      <c r="Z80" s="199">
        <v>35</v>
      </c>
      <c r="AA80" s="199">
        <v>14</v>
      </c>
      <c r="AB80" s="199">
        <v>159</v>
      </c>
      <c r="AC80" s="199">
        <v>88</v>
      </c>
      <c r="AD80" s="174"/>
      <c r="AE80" s="174"/>
      <c r="AF80" s="174">
        <v>30</v>
      </c>
      <c r="AG80" s="174"/>
      <c r="AH80" s="174">
        <v>3</v>
      </c>
      <c r="AI80" s="174"/>
      <c r="AJ80" s="174">
        <v>14</v>
      </c>
      <c r="AK80" s="174">
        <v>2</v>
      </c>
      <c r="AL80" s="174"/>
      <c r="AM80" s="174">
        <v>2</v>
      </c>
      <c r="AN80" s="174"/>
      <c r="AO80" s="174"/>
      <c r="AP80" s="174">
        <v>17</v>
      </c>
      <c r="AQ80" s="174">
        <v>3</v>
      </c>
      <c r="AR80" s="174">
        <v>13</v>
      </c>
      <c r="AS80" s="174">
        <v>1</v>
      </c>
      <c r="AT80" s="174">
        <v>69</v>
      </c>
      <c r="AU80" s="174">
        <v>1</v>
      </c>
      <c r="AV80" s="174">
        <v>4</v>
      </c>
      <c r="AW80" s="174">
        <f t="shared" si="14"/>
        <v>159</v>
      </c>
      <c r="AX80" s="156">
        <v>1356.0434782608695</v>
      </c>
      <c r="AY80" s="203"/>
      <c r="AZ80" s="203"/>
      <c r="BA80" s="203"/>
    </row>
    <row r="81" spans="1:53" x14ac:dyDescent="0.25">
      <c r="A81" s="175" t="s">
        <v>177</v>
      </c>
      <c r="B81" s="199">
        <v>15</v>
      </c>
      <c r="C81" s="199">
        <v>2</v>
      </c>
      <c r="D81" s="199">
        <v>73</v>
      </c>
      <c r="F81" s="174"/>
      <c r="G81" s="174"/>
      <c r="H81" s="174">
        <v>13</v>
      </c>
      <c r="I81" s="174"/>
      <c r="J81" s="174"/>
      <c r="K81" s="174"/>
      <c r="L81" s="174">
        <v>12</v>
      </c>
      <c r="M81" s="174"/>
      <c r="N81" s="174">
        <v>1</v>
      </c>
      <c r="O81" s="174">
        <v>1</v>
      </c>
      <c r="P81" s="174"/>
      <c r="Q81" s="174"/>
      <c r="R81" s="174">
        <v>3</v>
      </c>
      <c r="S81" s="174"/>
      <c r="T81" s="174"/>
      <c r="U81" s="174">
        <v>38</v>
      </c>
      <c r="V81" s="174">
        <v>5</v>
      </c>
      <c r="W81" s="174"/>
      <c r="X81" s="174"/>
      <c r="Y81" s="174">
        <f t="shared" si="8"/>
        <v>73</v>
      </c>
      <c r="Z81" s="199">
        <v>13</v>
      </c>
      <c r="AA81" s="199">
        <v>2</v>
      </c>
      <c r="AB81" s="199">
        <v>65</v>
      </c>
      <c r="AC81" s="199">
        <v>27</v>
      </c>
      <c r="AD81" s="174"/>
      <c r="AE81" s="174"/>
      <c r="AF81" s="174">
        <v>10</v>
      </c>
      <c r="AG81" s="174"/>
      <c r="AH81" s="174"/>
      <c r="AI81" s="174"/>
      <c r="AJ81" s="174">
        <v>12</v>
      </c>
      <c r="AK81" s="174"/>
      <c r="AL81" s="174">
        <v>1</v>
      </c>
      <c r="AM81" s="174">
        <v>1</v>
      </c>
      <c r="AN81" s="174"/>
      <c r="AO81" s="174"/>
      <c r="AP81" s="174">
        <v>3</v>
      </c>
      <c r="AQ81" s="174"/>
      <c r="AR81" s="174"/>
      <c r="AS81" s="174">
        <v>38</v>
      </c>
      <c r="AT81" s="174"/>
      <c r="AU81" s="174"/>
      <c r="AV81" s="174"/>
      <c r="AW81" s="174">
        <f t="shared" si="14"/>
        <v>65</v>
      </c>
      <c r="AX81" s="156">
        <v>3165.909090909091</v>
      </c>
      <c r="AY81" s="203"/>
      <c r="AZ81" s="203"/>
      <c r="BA81" s="203"/>
    </row>
    <row r="82" spans="1:53" x14ac:dyDescent="0.25">
      <c r="A82" s="175" t="s">
        <v>159</v>
      </c>
      <c r="B82" s="199">
        <v>8</v>
      </c>
      <c r="C82" s="199">
        <v>1</v>
      </c>
      <c r="D82" s="199">
        <v>15</v>
      </c>
      <c r="E82" s="199">
        <v>2</v>
      </c>
      <c r="F82" s="174"/>
      <c r="G82" s="174"/>
      <c r="H82" s="174">
        <v>2</v>
      </c>
      <c r="I82" s="174"/>
      <c r="J82" s="174"/>
      <c r="K82" s="174"/>
      <c r="L82" s="174"/>
      <c r="M82" s="174"/>
      <c r="N82" s="174">
        <v>7</v>
      </c>
      <c r="O82" s="174"/>
      <c r="P82" s="174"/>
      <c r="Q82" s="174"/>
      <c r="R82" s="174">
        <v>1</v>
      </c>
      <c r="S82" s="174"/>
      <c r="T82" s="174"/>
      <c r="U82" s="174"/>
      <c r="V82" s="174">
        <v>3</v>
      </c>
      <c r="W82" s="174">
        <v>2</v>
      </c>
      <c r="X82" s="174"/>
      <c r="Y82" s="174">
        <f t="shared" si="8"/>
        <v>15</v>
      </c>
      <c r="Z82" s="199">
        <v>5</v>
      </c>
      <c r="AB82" s="199">
        <v>6</v>
      </c>
      <c r="AD82" s="174"/>
      <c r="AE82" s="174"/>
      <c r="AF82" s="174">
        <v>2</v>
      </c>
      <c r="AG82" s="174"/>
      <c r="AH82" s="174"/>
      <c r="AI82" s="174"/>
      <c r="AJ82" s="174"/>
      <c r="AK82" s="174"/>
      <c r="AL82" s="174">
        <v>1</v>
      </c>
      <c r="AM82" s="174"/>
      <c r="AN82" s="174"/>
      <c r="AO82" s="174"/>
      <c r="AP82" s="174">
        <v>1</v>
      </c>
      <c r="AQ82" s="174"/>
      <c r="AR82" s="174"/>
      <c r="AS82" s="174"/>
      <c r="AT82" s="174">
        <v>2</v>
      </c>
      <c r="AU82" s="174"/>
      <c r="AV82" s="174"/>
      <c r="AW82" s="174">
        <f t="shared" si="14"/>
        <v>6</v>
      </c>
      <c r="AX82" s="156">
        <v>1976.25</v>
      </c>
      <c r="AY82" s="203"/>
      <c r="AZ82" s="203"/>
      <c r="BA82" s="203"/>
    </row>
    <row r="83" spans="1:53" x14ac:dyDescent="0.25">
      <c r="A83" s="175" t="s">
        <v>160</v>
      </c>
      <c r="B83" s="199">
        <v>9</v>
      </c>
      <c r="C83" s="199">
        <v>1</v>
      </c>
      <c r="D83" s="199">
        <v>16</v>
      </c>
      <c r="E83" s="199">
        <v>1</v>
      </c>
      <c r="F83" s="174"/>
      <c r="G83" s="174"/>
      <c r="H83" s="174">
        <v>1</v>
      </c>
      <c r="I83" s="174"/>
      <c r="J83" s="174"/>
      <c r="K83" s="174">
        <v>2</v>
      </c>
      <c r="L83" s="174"/>
      <c r="M83" s="174"/>
      <c r="N83" s="174"/>
      <c r="O83" s="174"/>
      <c r="P83" s="174"/>
      <c r="Q83" s="174"/>
      <c r="R83" s="174">
        <v>8</v>
      </c>
      <c r="S83" s="174"/>
      <c r="T83" s="174">
        <v>1</v>
      </c>
      <c r="U83" s="174"/>
      <c r="V83" s="174"/>
      <c r="W83" s="174">
        <v>4</v>
      </c>
      <c r="X83" s="174"/>
      <c r="Y83" s="174">
        <f t="shared" si="8"/>
        <v>16</v>
      </c>
      <c r="Z83" s="199">
        <v>6</v>
      </c>
      <c r="AA83" s="199">
        <v>1</v>
      </c>
      <c r="AB83" s="199">
        <v>12</v>
      </c>
      <c r="AC83" s="199">
        <v>1</v>
      </c>
      <c r="AD83" s="174"/>
      <c r="AE83" s="174"/>
      <c r="AF83" s="174">
        <v>1</v>
      </c>
      <c r="AG83" s="174"/>
      <c r="AH83" s="174"/>
      <c r="AI83" s="174">
        <v>1</v>
      </c>
      <c r="AJ83" s="174"/>
      <c r="AK83" s="174"/>
      <c r="AL83" s="174"/>
      <c r="AM83" s="174"/>
      <c r="AN83" s="174"/>
      <c r="AO83" s="174"/>
      <c r="AP83" s="174">
        <v>8</v>
      </c>
      <c r="AQ83" s="174"/>
      <c r="AR83" s="174">
        <v>1</v>
      </c>
      <c r="AS83" s="174"/>
      <c r="AT83" s="174"/>
      <c r="AU83" s="174">
        <v>1</v>
      </c>
      <c r="AV83" s="174"/>
      <c r="AW83" s="174">
        <f t="shared" si="14"/>
        <v>12</v>
      </c>
      <c r="AX83" s="156">
        <v>1589.5</v>
      </c>
      <c r="AY83" s="203"/>
      <c r="AZ83" s="203"/>
      <c r="BA83" s="203"/>
    </row>
    <row r="84" spans="1:53" x14ac:dyDescent="0.25">
      <c r="A84" s="175" t="s">
        <v>161</v>
      </c>
      <c r="B84" s="199">
        <v>3</v>
      </c>
      <c r="D84" s="199">
        <v>32</v>
      </c>
      <c r="F84" s="174"/>
      <c r="G84" s="174"/>
      <c r="H84" s="174">
        <v>31</v>
      </c>
      <c r="I84" s="174"/>
      <c r="J84" s="174"/>
      <c r="K84" s="174"/>
      <c r="L84" s="174"/>
      <c r="M84" s="174"/>
      <c r="N84" s="174"/>
      <c r="O84" s="174"/>
      <c r="P84" s="174"/>
      <c r="Q84" s="174"/>
      <c r="R84" s="174">
        <v>1</v>
      </c>
      <c r="S84" s="174"/>
      <c r="T84" s="174"/>
      <c r="U84" s="174"/>
      <c r="V84" s="174"/>
      <c r="W84" s="174"/>
      <c r="X84" s="174"/>
      <c r="Y84" s="174">
        <f t="shared" si="8"/>
        <v>32</v>
      </c>
      <c r="Z84" s="199">
        <v>1</v>
      </c>
      <c r="AB84" s="199">
        <v>10</v>
      </c>
      <c r="AD84" s="174"/>
      <c r="AE84" s="174"/>
      <c r="AF84" s="174">
        <v>10</v>
      </c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>
        <f t="shared" si="14"/>
        <v>10</v>
      </c>
      <c r="AX84" s="156">
        <v>3120</v>
      </c>
      <c r="AY84" s="203"/>
      <c r="AZ84" s="203"/>
      <c r="BA84" s="203"/>
    </row>
    <row r="85" spans="1:53" x14ac:dyDescent="0.25">
      <c r="A85" s="175" t="s">
        <v>162</v>
      </c>
      <c r="B85" s="199">
        <v>9</v>
      </c>
      <c r="C85" s="199">
        <v>3</v>
      </c>
      <c r="D85" s="199">
        <v>30</v>
      </c>
      <c r="E85" s="199">
        <v>15</v>
      </c>
      <c r="F85" s="174"/>
      <c r="G85" s="174"/>
      <c r="H85" s="174"/>
      <c r="I85" s="174"/>
      <c r="J85" s="174"/>
      <c r="K85" s="174"/>
      <c r="L85" s="174">
        <v>1</v>
      </c>
      <c r="M85" s="174"/>
      <c r="N85" s="174"/>
      <c r="O85" s="174">
        <v>10</v>
      </c>
      <c r="P85" s="174"/>
      <c r="Q85" s="174"/>
      <c r="R85" s="174">
        <v>1</v>
      </c>
      <c r="S85" s="174"/>
      <c r="T85" s="174">
        <v>12</v>
      </c>
      <c r="U85" s="174"/>
      <c r="V85" s="174">
        <v>3</v>
      </c>
      <c r="W85" s="174"/>
      <c r="X85" s="174">
        <v>3</v>
      </c>
      <c r="Y85" s="174">
        <f t="shared" si="8"/>
        <v>30</v>
      </c>
      <c r="Z85" s="199">
        <v>5</v>
      </c>
      <c r="AA85" s="199">
        <v>3</v>
      </c>
      <c r="AB85" s="199">
        <v>18</v>
      </c>
      <c r="AC85" s="199">
        <v>11</v>
      </c>
      <c r="AD85" s="174"/>
      <c r="AE85" s="174"/>
      <c r="AF85" s="174"/>
      <c r="AG85" s="174"/>
      <c r="AH85" s="174"/>
      <c r="AI85" s="174"/>
      <c r="AJ85" s="174">
        <v>1</v>
      </c>
      <c r="AK85" s="174"/>
      <c r="AL85" s="174"/>
      <c r="AM85" s="174">
        <v>6</v>
      </c>
      <c r="AN85" s="174"/>
      <c r="AO85" s="174"/>
      <c r="AP85" s="174"/>
      <c r="AQ85" s="174"/>
      <c r="AR85" s="174">
        <v>8</v>
      </c>
      <c r="AS85" s="174"/>
      <c r="AT85" s="174">
        <v>3</v>
      </c>
      <c r="AU85" s="174"/>
      <c r="AV85" s="174"/>
      <c r="AW85" s="174">
        <f t="shared" si="14"/>
        <v>18</v>
      </c>
      <c r="AX85" s="156">
        <v>1780.25</v>
      </c>
      <c r="AY85" s="203"/>
      <c r="AZ85" s="203"/>
      <c r="BA85" s="203"/>
    </row>
    <row r="86" spans="1:53" x14ac:dyDescent="0.25">
      <c r="A86" s="175" t="s">
        <v>163</v>
      </c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>
        <f t="shared" si="8"/>
        <v>0</v>
      </c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>
        <f t="shared" si="14"/>
        <v>0</v>
      </c>
      <c r="AX86" s="156"/>
      <c r="AY86" s="203"/>
      <c r="AZ86" s="203"/>
      <c r="BA86" s="203"/>
    </row>
    <row r="87" spans="1:53" x14ac:dyDescent="0.25">
      <c r="A87" s="175" t="s">
        <v>164</v>
      </c>
      <c r="B87" s="199">
        <v>2</v>
      </c>
      <c r="D87" s="199">
        <v>2</v>
      </c>
      <c r="F87" s="174"/>
      <c r="G87" s="174"/>
      <c r="H87" s="174">
        <v>2</v>
      </c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>
        <f t="shared" si="8"/>
        <v>2</v>
      </c>
      <c r="Z87" s="199">
        <v>1</v>
      </c>
      <c r="AB87" s="199">
        <v>1</v>
      </c>
      <c r="AD87" s="174"/>
      <c r="AE87" s="174"/>
      <c r="AF87" s="174">
        <v>1</v>
      </c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>
        <f t="shared" si="14"/>
        <v>1</v>
      </c>
      <c r="AX87" s="156">
        <v>1700</v>
      </c>
      <c r="AY87" s="203"/>
      <c r="AZ87" s="203"/>
      <c r="BA87" s="203"/>
    </row>
    <row r="88" spans="1:53" x14ac:dyDescent="0.25">
      <c r="A88" s="175" t="s">
        <v>165</v>
      </c>
      <c r="B88" s="199">
        <v>35</v>
      </c>
      <c r="C88" s="199">
        <v>15</v>
      </c>
      <c r="D88" s="199">
        <v>67</v>
      </c>
      <c r="E88" s="199">
        <v>30</v>
      </c>
      <c r="F88" s="174"/>
      <c r="G88" s="174"/>
      <c r="H88" s="174">
        <v>4</v>
      </c>
      <c r="I88" s="174"/>
      <c r="J88" s="174">
        <v>5</v>
      </c>
      <c r="K88" s="174"/>
      <c r="L88" s="174">
        <v>7</v>
      </c>
      <c r="M88" s="174">
        <v>6</v>
      </c>
      <c r="N88" s="174"/>
      <c r="O88" s="174">
        <v>7</v>
      </c>
      <c r="P88" s="174"/>
      <c r="Q88" s="174"/>
      <c r="R88" s="174"/>
      <c r="S88" s="174"/>
      <c r="T88" s="174">
        <v>10</v>
      </c>
      <c r="U88" s="174">
        <v>16</v>
      </c>
      <c r="V88" s="174"/>
      <c r="W88" s="174"/>
      <c r="X88" s="174">
        <v>12</v>
      </c>
      <c r="Y88" s="174">
        <f t="shared" si="8"/>
        <v>67</v>
      </c>
      <c r="Z88" s="199">
        <v>28</v>
      </c>
      <c r="AA88" s="199">
        <v>14</v>
      </c>
      <c r="AB88" s="199">
        <v>57</v>
      </c>
      <c r="AC88" s="199">
        <v>30</v>
      </c>
      <c r="AD88" s="174"/>
      <c r="AE88" s="174"/>
      <c r="AF88" s="174">
        <v>3</v>
      </c>
      <c r="AG88" s="174"/>
      <c r="AH88" s="174">
        <v>5</v>
      </c>
      <c r="AI88" s="174"/>
      <c r="AJ88" s="174">
        <v>7</v>
      </c>
      <c r="AK88" s="174">
        <v>6</v>
      </c>
      <c r="AL88" s="174"/>
      <c r="AM88" s="174">
        <v>6</v>
      </c>
      <c r="AN88" s="174"/>
      <c r="AO88" s="174"/>
      <c r="AP88" s="174"/>
      <c r="AQ88" s="174"/>
      <c r="AR88" s="174">
        <v>9</v>
      </c>
      <c r="AS88" s="174">
        <v>16</v>
      </c>
      <c r="AT88" s="174"/>
      <c r="AU88" s="174"/>
      <c r="AV88" s="174">
        <v>5</v>
      </c>
      <c r="AW88" s="174">
        <f t="shared" si="14"/>
        <v>57</v>
      </c>
      <c r="AX88" s="156">
        <v>2639.8666666666668</v>
      </c>
      <c r="AY88" s="203"/>
      <c r="AZ88" s="203"/>
      <c r="BA88" s="203"/>
    </row>
    <row r="89" spans="1:53" x14ac:dyDescent="0.25">
      <c r="A89" s="175" t="s">
        <v>166</v>
      </c>
      <c r="B89" s="199">
        <v>14</v>
      </c>
      <c r="C89" s="199">
        <v>1</v>
      </c>
      <c r="D89" s="199">
        <v>16</v>
      </c>
      <c r="E89" s="199">
        <v>1</v>
      </c>
      <c r="F89" s="174"/>
      <c r="G89" s="174"/>
      <c r="H89" s="174"/>
      <c r="I89" s="174"/>
      <c r="J89" s="174"/>
      <c r="K89" s="174">
        <v>1</v>
      </c>
      <c r="L89" s="174">
        <v>8</v>
      </c>
      <c r="M89" s="174"/>
      <c r="N89" s="174"/>
      <c r="O89" s="174">
        <v>1</v>
      </c>
      <c r="P89" s="174"/>
      <c r="Q89" s="174"/>
      <c r="R89" s="174">
        <v>1</v>
      </c>
      <c r="S89" s="174"/>
      <c r="T89" s="174"/>
      <c r="U89" s="174">
        <v>1</v>
      </c>
      <c r="V89" s="174">
        <v>1</v>
      </c>
      <c r="W89" s="174"/>
      <c r="X89" s="174">
        <v>3</v>
      </c>
      <c r="Y89" s="174">
        <f t="shared" si="8"/>
        <v>16</v>
      </c>
      <c r="Z89" s="199">
        <v>9</v>
      </c>
      <c r="AA89" s="199">
        <v>1</v>
      </c>
      <c r="AB89" s="199">
        <v>10</v>
      </c>
      <c r="AC89" s="199">
        <v>1</v>
      </c>
      <c r="AD89" s="174"/>
      <c r="AE89" s="174"/>
      <c r="AF89" s="174"/>
      <c r="AG89" s="174"/>
      <c r="AH89" s="174"/>
      <c r="AI89" s="174">
        <v>1</v>
      </c>
      <c r="AJ89" s="174">
        <v>3</v>
      </c>
      <c r="AK89" s="174"/>
      <c r="AL89" s="174"/>
      <c r="AM89" s="174">
        <v>1</v>
      </c>
      <c r="AN89" s="174"/>
      <c r="AO89" s="174"/>
      <c r="AP89" s="174">
        <v>1</v>
      </c>
      <c r="AQ89" s="174"/>
      <c r="AR89" s="174"/>
      <c r="AS89" s="174"/>
      <c r="AT89" s="174"/>
      <c r="AU89" s="174"/>
      <c r="AV89" s="174">
        <v>4</v>
      </c>
      <c r="AW89" s="174">
        <f t="shared" si="14"/>
        <v>10</v>
      </c>
      <c r="AX89" s="156">
        <v>8227.7777777777774</v>
      </c>
      <c r="AY89" s="203"/>
      <c r="AZ89" s="203"/>
      <c r="BA89" s="203"/>
    </row>
    <row r="90" spans="1:53" x14ac:dyDescent="0.25">
      <c r="A90" s="175" t="s">
        <v>167</v>
      </c>
      <c r="B90" s="199">
        <v>16</v>
      </c>
      <c r="D90" s="199">
        <v>30</v>
      </c>
      <c r="F90" s="174"/>
      <c r="G90" s="174"/>
      <c r="H90" s="174">
        <v>4</v>
      </c>
      <c r="I90" s="174"/>
      <c r="J90" s="174"/>
      <c r="K90" s="174"/>
      <c r="L90" s="174">
        <v>3</v>
      </c>
      <c r="M90" s="174">
        <v>2</v>
      </c>
      <c r="N90" s="174">
        <v>2</v>
      </c>
      <c r="O90" s="174"/>
      <c r="P90" s="174"/>
      <c r="Q90" s="174"/>
      <c r="R90" s="174">
        <v>2</v>
      </c>
      <c r="S90" s="174"/>
      <c r="T90" s="174"/>
      <c r="U90" s="174">
        <v>1</v>
      </c>
      <c r="V90" s="174">
        <v>2</v>
      </c>
      <c r="W90" s="174">
        <v>4</v>
      </c>
      <c r="X90" s="174">
        <v>10</v>
      </c>
      <c r="Y90" s="174">
        <f t="shared" si="8"/>
        <v>30</v>
      </c>
      <c r="Z90" s="199">
        <v>9</v>
      </c>
      <c r="AB90" s="199">
        <v>14</v>
      </c>
      <c r="AD90" s="174"/>
      <c r="AE90" s="174"/>
      <c r="AF90" s="174">
        <v>3</v>
      </c>
      <c r="AG90" s="174"/>
      <c r="AH90" s="174"/>
      <c r="AI90" s="174"/>
      <c r="AJ90" s="174">
        <v>3</v>
      </c>
      <c r="AK90" s="174"/>
      <c r="AL90" s="174">
        <v>1</v>
      </c>
      <c r="AM90" s="174"/>
      <c r="AN90" s="174"/>
      <c r="AO90" s="174"/>
      <c r="AP90" s="174">
        <v>2</v>
      </c>
      <c r="AQ90" s="174"/>
      <c r="AR90" s="174"/>
      <c r="AS90" s="174">
        <v>1</v>
      </c>
      <c r="AT90" s="174">
        <v>2</v>
      </c>
      <c r="AU90" s="174"/>
      <c r="AV90" s="174">
        <v>2</v>
      </c>
      <c r="AW90" s="174">
        <f t="shared" si="14"/>
        <v>14</v>
      </c>
      <c r="AX90" s="156">
        <v>3332.8888888888887</v>
      </c>
      <c r="AY90" s="203"/>
      <c r="AZ90" s="203"/>
      <c r="BA90" s="203"/>
    </row>
    <row r="91" spans="1:53" x14ac:dyDescent="0.25">
      <c r="A91" s="175" t="s">
        <v>168</v>
      </c>
      <c r="B91" s="199">
        <v>2</v>
      </c>
      <c r="C91" s="199">
        <v>2</v>
      </c>
      <c r="D91" s="199">
        <v>5</v>
      </c>
      <c r="E91" s="199">
        <v>5</v>
      </c>
      <c r="F91" s="174"/>
      <c r="G91" s="174"/>
      <c r="H91" s="174"/>
      <c r="I91" s="174"/>
      <c r="J91" s="174">
        <v>5</v>
      </c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>
        <f t="shared" ref="Y91:Y154" si="17">SUM(F91:X91)</f>
        <v>5</v>
      </c>
      <c r="Z91" s="199">
        <v>2</v>
      </c>
      <c r="AA91" s="199">
        <v>2</v>
      </c>
      <c r="AB91" s="199">
        <v>5</v>
      </c>
      <c r="AC91" s="199">
        <v>5</v>
      </c>
      <c r="AD91" s="174"/>
      <c r="AE91" s="174"/>
      <c r="AF91" s="174"/>
      <c r="AG91" s="174"/>
      <c r="AH91" s="174">
        <v>5</v>
      </c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>
        <f t="shared" si="14"/>
        <v>5</v>
      </c>
      <c r="AX91" s="156">
        <v>2669</v>
      </c>
      <c r="AY91" s="203"/>
      <c r="AZ91" s="203"/>
      <c r="BA91" s="203"/>
    </row>
    <row r="92" spans="1:53" x14ac:dyDescent="0.25">
      <c r="A92" s="175" t="s">
        <v>169</v>
      </c>
      <c r="B92" s="199">
        <v>2</v>
      </c>
      <c r="D92" s="199">
        <v>25</v>
      </c>
      <c r="F92" s="174"/>
      <c r="G92" s="174"/>
      <c r="H92" s="174">
        <v>22</v>
      </c>
      <c r="I92" s="174"/>
      <c r="J92" s="174"/>
      <c r="K92" s="174"/>
      <c r="L92" s="174">
        <v>3</v>
      </c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>
        <f t="shared" si="17"/>
        <v>25</v>
      </c>
      <c r="Z92" s="199">
        <v>2</v>
      </c>
      <c r="AB92" s="199">
        <v>23</v>
      </c>
      <c r="AD92" s="174"/>
      <c r="AE92" s="174"/>
      <c r="AF92" s="174">
        <v>22</v>
      </c>
      <c r="AG92" s="174"/>
      <c r="AH92" s="174"/>
      <c r="AI92" s="174"/>
      <c r="AJ92" s="174">
        <v>1</v>
      </c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>
        <f t="shared" si="14"/>
        <v>23</v>
      </c>
      <c r="AX92" s="156">
        <v>1300</v>
      </c>
      <c r="AY92" s="203"/>
      <c r="AZ92" s="203"/>
      <c r="BA92" s="203"/>
    </row>
    <row r="93" spans="1:53" x14ac:dyDescent="0.25">
      <c r="A93" s="175" t="s">
        <v>170</v>
      </c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>
        <f t="shared" si="17"/>
        <v>0</v>
      </c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>
        <f t="shared" si="14"/>
        <v>0</v>
      </c>
      <c r="AX93" s="156"/>
      <c r="AY93" s="203"/>
      <c r="AZ93" s="203"/>
      <c r="BA93" s="203"/>
    </row>
    <row r="94" spans="1:53" x14ac:dyDescent="0.25">
      <c r="A94" s="173" t="s">
        <v>43</v>
      </c>
      <c r="B94" s="199">
        <f t="shared" ref="B94:X94" si="18">SUM(B95+B96+B97+B98+B99+B100+B101+B102+B103+B104+B105+B107+B106+B108+B109+B110+B111+B112+B113+B114+B115+B116+B117+B118+B119+B120+B121+B122+B123+B124+B125+B126+B127+B128+B129+B130+B131+B132+B133+B134+B135+B136+B137+B138+B139+B140+B141+B142+B144+B143+B145+B146+B147+B148+B149+B150+B151+B152+B153+B154+B155+B156+B157+B158+B159+B160+B161+B162+B163+B164+B165+B166+B167+B168+B169+B170+B171+B172+B173+B174+B175+B176+B177)</f>
        <v>1226</v>
      </c>
      <c r="C94" s="199">
        <f t="shared" si="18"/>
        <v>32</v>
      </c>
      <c r="D94" s="199">
        <f t="shared" si="18"/>
        <v>4528</v>
      </c>
      <c r="E94" s="199">
        <f t="shared" si="18"/>
        <v>91</v>
      </c>
      <c r="F94" s="174">
        <f t="shared" si="18"/>
        <v>7</v>
      </c>
      <c r="G94" s="174">
        <f t="shared" si="18"/>
        <v>12</v>
      </c>
      <c r="H94" s="174">
        <f t="shared" si="18"/>
        <v>2314</v>
      </c>
      <c r="I94" s="174">
        <f t="shared" si="18"/>
        <v>0</v>
      </c>
      <c r="J94" s="174">
        <f t="shared" si="18"/>
        <v>21</v>
      </c>
      <c r="K94" s="174">
        <f t="shared" si="18"/>
        <v>414</v>
      </c>
      <c r="L94" s="174">
        <f t="shared" si="18"/>
        <v>282</v>
      </c>
      <c r="M94" s="174">
        <f t="shared" si="18"/>
        <v>81</v>
      </c>
      <c r="N94" s="174">
        <f t="shared" si="18"/>
        <v>333</v>
      </c>
      <c r="O94" s="174">
        <f t="shared" si="18"/>
        <v>8</v>
      </c>
      <c r="P94" s="174">
        <f t="shared" si="18"/>
        <v>41</v>
      </c>
      <c r="Q94" s="174">
        <f t="shared" si="18"/>
        <v>68</v>
      </c>
      <c r="R94" s="174">
        <f t="shared" si="18"/>
        <v>144</v>
      </c>
      <c r="S94" s="174">
        <f t="shared" si="18"/>
        <v>66</v>
      </c>
      <c r="T94" s="174">
        <f t="shared" si="18"/>
        <v>0</v>
      </c>
      <c r="U94" s="174">
        <f t="shared" si="18"/>
        <v>77</v>
      </c>
      <c r="V94" s="174">
        <f t="shared" si="18"/>
        <v>56</v>
      </c>
      <c r="W94" s="174">
        <f t="shared" si="18"/>
        <v>13</v>
      </c>
      <c r="X94" s="174">
        <f t="shared" si="18"/>
        <v>591</v>
      </c>
      <c r="Y94" s="174">
        <f t="shared" si="17"/>
        <v>4528</v>
      </c>
      <c r="Z94" s="199">
        <f t="shared" ref="Z94:AV94" si="19">Z95+Z96+Z97+Z98+Z99+Z100+Z101+Z102+Z104+Z105+Z106+Z107+Z108+Z109+Z110+Z111+Z112+Z113+Z114+Z115+Z116+Z117+Z118+Z119+Z120+Z121+Z122+Z123+Z124+Z125+Z126+Z127+Z128+Z129+Z130+Z131+Z132+Z133+Z134+Z135+Z136+Z137+Z138+Z139+Z140+Z141+Z142+Z143+Z144+Z145+Z146+Z147+Z148+Z149+Z150+Z151+Z152+Z153+Z154+Z155+Z156+Z157+Z158+Z159+Z160+Z161+Z162+Z163+Z164+Z165+Z166+Z167+Z168+Z169+Z170+Z171+Z172+Z173+Z174+Z175+Z176+Z177</f>
        <v>836</v>
      </c>
      <c r="AA94" s="199">
        <f t="shared" si="19"/>
        <v>27</v>
      </c>
      <c r="AB94" s="199">
        <f t="shared" si="19"/>
        <v>3050</v>
      </c>
      <c r="AC94" s="199">
        <f t="shared" si="19"/>
        <v>73</v>
      </c>
      <c r="AD94" s="174">
        <f t="shared" si="19"/>
        <v>7</v>
      </c>
      <c r="AE94" s="174">
        <f t="shared" si="19"/>
        <v>11</v>
      </c>
      <c r="AF94" s="174">
        <f t="shared" si="19"/>
        <v>1719</v>
      </c>
      <c r="AG94" s="174">
        <f t="shared" si="19"/>
        <v>0</v>
      </c>
      <c r="AH94" s="174">
        <f t="shared" si="19"/>
        <v>11</v>
      </c>
      <c r="AI94" s="174">
        <f t="shared" si="19"/>
        <v>223</v>
      </c>
      <c r="AJ94" s="174">
        <f t="shared" si="19"/>
        <v>220</v>
      </c>
      <c r="AK94" s="174">
        <f t="shared" si="19"/>
        <v>56</v>
      </c>
      <c r="AL94" s="174">
        <f t="shared" si="19"/>
        <v>236</v>
      </c>
      <c r="AM94" s="174">
        <f t="shared" si="19"/>
        <v>5</v>
      </c>
      <c r="AN94" s="174">
        <f t="shared" si="19"/>
        <v>35</v>
      </c>
      <c r="AO94" s="174">
        <f t="shared" si="19"/>
        <v>23</v>
      </c>
      <c r="AP94" s="174">
        <f t="shared" si="19"/>
        <v>93</v>
      </c>
      <c r="AQ94" s="174">
        <f t="shared" si="19"/>
        <v>38</v>
      </c>
      <c r="AR94" s="174">
        <f t="shared" si="19"/>
        <v>0</v>
      </c>
      <c r="AS94" s="174">
        <f t="shared" si="19"/>
        <v>60</v>
      </c>
      <c r="AT94" s="174">
        <f t="shared" si="19"/>
        <v>31</v>
      </c>
      <c r="AU94" s="174">
        <f t="shared" si="19"/>
        <v>0</v>
      </c>
      <c r="AV94" s="174">
        <f t="shared" si="19"/>
        <v>282</v>
      </c>
      <c r="AW94" s="174">
        <f t="shared" si="14"/>
        <v>3050</v>
      </c>
      <c r="AX94" s="206">
        <v>2582.4899999999998</v>
      </c>
      <c r="AY94" s="156">
        <f>Z94*100/B94</f>
        <v>68.189233278955953</v>
      </c>
      <c r="AZ94" s="185">
        <f>B94-Z94</f>
        <v>390</v>
      </c>
      <c r="BA94" s="156">
        <f>AZ94*100/B94</f>
        <v>31.810766721044047</v>
      </c>
    </row>
    <row r="95" spans="1:53" x14ac:dyDescent="0.25">
      <c r="A95" s="175" t="s">
        <v>114</v>
      </c>
      <c r="B95" s="199">
        <v>67</v>
      </c>
      <c r="C95" s="199">
        <v>6</v>
      </c>
      <c r="D95" s="199">
        <v>310</v>
      </c>
      <c r="E95" s="199">
        <v>31</v>
      </c>
      <c r="F95" s="174"/>
      <c r="G95" s="174"/>
      <c r="H95" s="174">
        <v>32</v>
      </c>
      <c r="I95" s="174"/>
      <c r="J95" s="174"/>
      <c r="K95" s="174"/>
      <c r="L95" s="174"/>
      <c r="M95" s="174">
        <v>31</v>
      </c>
      <c r="N95" s="174">
        <v>213</v>
      </c>
      <c r="O95" s="174"/>
      <c r="P95" s="174"/>
      <c r="Q95" s="174"/>
      <c r="R95" s="174">
        <v>3</v>
      </c>
      <c r="S95" s="174"/>
      <c r="T95" s="174"/>
      <c r="U95" s="174">
        <v>31</v>
      </c>
      <c r="V95" s="174"/>
      <c r="W95" s="174"/>
      <c r="X95" s="174"/>
      <c r="Y95" s="174">
        <f t="shared" si="17"/>
        <v>310</v>
      </c>
      <c r="Z95" s="199">
        <v>52</v>
      </c>
      <c r="AA95" s="199">
        <v>4</v>
      </c>
      <c r="AB95" s="199">
        <v>229</v>
      </c>
      <c r="AC95" s="199">
        <v>18</v>
      </c>
      <c r="AD95" s="174"/>
      <c r="AE95" s="174"/>
      <c r="AF95" s="174">
        <v>30</v>
      </c>
      <c r="AG95" s="174"/>
      <c r="AH95" s="174"/>
      <c r="AI95" s="174"/>
      <c r="AJ95" s="174"/>
      <c r="AK95" s="174">
        <v>22</v>
      </c>
      <c r="AL95" s="174">
        <v>159</v>
      </c>
      <c r="AM95" s="174"/>
      <c r="AN95" s="174"/>
      <c r="AO95" s="174"/>
      <c r="AP95" s="174"/>
      <c r="AQ95" s="174"/>
      <c r="AR95" s="174"/>
      <c r="AS95" s="174">
        <v>18</v>
      </c>
      <c r="AT95" s="174"/>
      <c r="AU95" s="174"/>
      <c r="AV95" s="174"/>
      <c r="AW95" s="174">
        <f t="shared" ref="AW95:AW126" si="20">SUM(AD95:AV95)</f>
        <v>229</v>
      </c>
      <c r="AX95" s="156">
        <v>2476.4375</v>
      </c>
      <c r="AY95" s="203"/>
      <c r="AZ95" s="203"/>
      <c r="BA95" s="203"/>
    </row>
    <row r="96" spans="1:53" x14ac:dyDescent="0.25">
      <c r="A96" s="175" t="s">
        <v>101</v>
      </c>
      <c r="B96" s="199">
        <v>50</v>
      </c>
      <c r="C96" s="199">
        <v>5</v>
      </c>
      <c r="D96" s="199">
        <v>209</v>
      </c>
      <c r="E96" s="199">
        <v>11</v>
      </c>
      <c r="F96" s="174">
        <v>7</v>
      </c>
      <c r="G96" s="174"/>
      <c r="H96" s="174">
        <v>27</v>
      </c>
      <c r="I96" s="174"/>
      <c r="J96" s="174"/>
      <c r="K96" s="174"/>
      <c r="L96" s="174">
        <v>13</v>
      </c>
      <c r="M96" s="174"/>
      <c r="N96" s="174">
        <v>97</v>
      </c>
      <c r="O96" s="174"/>
      <c r="P96" s="174"/>
      <c r="Q96" s="174"/>
      <c r="R96" s="174"/>
      <c r="S96" s="174">
        <v>6</v>
      </c>
      <c r="T96" s="174"/>
      <c r="U96" s="174">
        <v>17</v>
      </c>
      <c r="V96" s="174">
        <v>38</v>
      </c>
      <c r="W96" s="174"/>
      <c r="X96" s="174">
        <v>4</v>
      </c>
      <c r="Y96" s="174">
        <f t="shared" si="17"/>
        <v>209</v>
      </c>
      <c r="Z96" s="199">
        <v>39</v>
      </c>
      <c r="AA96" s="199">
        <v>5</v>
      </c>
      <c r="AB96" s="199">
        <v>141</v>
      </c>
      <c r="AC96" s="199">
        <v>11</v>
      </c>
      <c r="AD96" s="174">
        <v>7</v>
      </c>
      <c r="AE96" s="174"/>
      <c r="AF96" s="174">
        <v>22</v>
      </c>
      <c r="AG96" s="174"/>
      <c r="AH96" s="174"/>
      <c r="AI96" s="174"/>
      <c r="AJ96" s="174">
        <v>3</v>
      </c>
      <c r="AK96" s="174"/>
      <c r="AL96" s="174">
        <v>68</v>
      </c>
      <c r="AM96" s="174"/>
      <c r="AN96" s="174"/>
      <c r="AO96" s="174"/>
      <c r="AP96" s="174"/>
      <c r="AQ96" s="174">
        <v>3</v>
      </c>
      <c r="AR96" s="174"/>
      <c r="AS96" s="174">
        <v>14</v>
      </c>
      <c r="AT96" s="174">
        <v>23</v>
      </c>
      <c r="AU96" s="174"/>
      <c r="AV96" s="174">
        <v>1</v>
      </c>
      <c r="AW96" s="174">
        <f t="shared" si="20"/>
        <v>141</v>
      </c>
      <c r="AX96" s="156">
        <v>2894.3809523809523</v>
      </c>
      <c r="AY96" s="203"/>
      <c r="AZ96" s="203"/>
      <c r="BA96" s="203"/>
    </row>
    <row r="97" spans="1:53" x14ac:dyDescent="0.25">
      <c r="A97" s="175" t="s">
        <v>102</v>
      </c>
      <c r="B97" s="199">
        <v>5</v>
      </c>
      <c r="D97" s="199">
        <v>21</v>
      </c>
      <c r="F97" s="174"/>
      <c r="G97" s="174"/>
      <c r="H97" s="174"/>
      <c r="I97" s="174"/>
      <c r="J97" s="174"/>
      <c r="K97" s="174"/>
      <c r="L97" s="174"/>
      <c r="M97" s="174"/>
      <c r="N97" s="174">
        <v>7</v>
      </c>
      <c r="O97" s="174"/>
      <c r="P97" s="174"/>
      <c r="Q97" s="174"/>
      <c r="R97" s="174">
        <v>9</v>
      </c>
      <c r="S97" s="174">
        <v>5</v>
      </c>
      <c r="T97" s="174"/>
      <c r="U97" s="174"/>
      <c r="V97" s="174"/>
      <c r="W97" s="174"/>
      <c r="X97" s="174"/>
      <c r="Y97" s="174">
        <f t="shared" si="17"/>
        <v>21</v>
      </c>
      <c r="Z97" s="199">
        <v>3</v>
      </c>
      <c r="AB97" s="199">
        <v>18</v>
      </c>
      <c r="AD97" s="174"/>
      <c r="AE97" s="174"/>
      <c r="AF97" s="174"/>
      <c r="AG97" s="174"/>
      <c r="AH97" s="174"/>
      <c r="AI97" s="174"/>
      <c r="AJ97" s="174"/>
      <c r="AK97" s="174"/>
      <c r="AL97" s="174">
        <v>4</v>
      </c>
      <c r="AM97" s="174"/>
      <c r="AN97" s="174"/>
      <c r="AO97" s="174"/>
      <c r="AP97" s="174">
        <v>9</v>
      </c>
      <c r="AQ97" s="174">
        <v>5</v>
      </c>
      <c r="AR97" s="174"/>
      <c r="AS97" s="174"/>
      <c r="AT97" s="174"/>
      <c r="AU97" s="174"/>
      <c r="AV97" s="174"/>
      <c r="AW97" s="174">
        <f t="shared" si="20"/>
        <v>18</v>
      </c>
      <c r="AX97" s="156">
        <v>4563.333333333333</v>
      </c>
      <c r="AY97" s="203"/>
      <c r="AZ97" s="203"/>
      <c r="BA97" s="203"/>
    </row>
    <row r="98" spans="1:53" x14ac:dyDescent="0.25">
      <c r="A98" s="175" t="s">
        <v>179</v>
      </c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>
        <f t="shared" si="17"/>
        <v>0</v>
      </c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>
        <f t="shared" si="20"/>
        <v>0</v>
      </c>
      <c r="AX98" s="156"/>
      <c r="AY98" s="203"/>
      <c r="AZ98" s="203"/>
      <c r="BA98" s="203"/>
    </row>
    <row r="99" spans="1:53" x14ac:dyDescent="0.25">
      <c r="A99" s="175" t="s">
        <v>180</v>
      </c>
      <c r="B99" s="199">
        <v>7</v>
      </c>
      <c r="C99" s="199">
        <v>2</v>
      </c>
      <c r="D99" s="199">
        <v>24</v>
      </c>
      <c r="E99" s="199">
        <v>2</v>
      </c>
      <c r="F99" s="174"/>
      <c r="G99" s="174"/>
      <c r="H99" s="174">
        <v>2</v>
      </c>
      <c r="I99" s="174"/>
      <c r="J99" s="174"/>
      <c r="K99" s="174">
        <v>20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>
        <v>2</v>
      </c>
      <c r="V99" s="174"/>
      <c r="W99" s="174"/>
      <c r="X99" s="174"/>
      <c r="Y99" s="174">
        <f t="shared" si="17"/>
        <v>24</v>
      </c>
      <c r="Z99" s="199">
        <v>5</v>
      </c>
      <c r="AA99" s="199">
        <v>2</v>
      </c>
      <c r="AB99" s="199">
        <v>15</v>
      </c>
      <c r="AC99" s="199">
        <v>2</v>
      </c>
      <c r="AD99" s="174"/>
      <c r="AE99" s="174"/>
      <c r="AF99" s="174">
        <v>2</v>
      </c>
      <c r="AG99" s="174"/>
      <c r="AH99" s="174"/>
      <c r="AI99" s="174">
        <v>11</v>
      </c>
      <c r="AJ99" s="174"/>
      <c r="AK99" s="174"/>
      <c r="AL99" s="174"/>
      <c r="AM99" s="174"/>
      <c r="AN99" s="174"/>
      <c r="AO99" s="174"/>
      <c r="AP99" s="174"/>
      <c r="AQ99" s="174"/>
      <c r="AR99" s="174"/>
      <c r="AS99" s="174">
        <v>2</v>
      </c>
      <c r="AT99" s="174"/>
      <c r="AU99" s="174"/>
      <c r="AV99" s="174"/>
      <c r="AW99" s="174">
        <f t="shared" si="20"/>
        <v>15</v>
      </c>
      <c r="AX99" s="156">
        <v>1692.25</v>
      </c>
      <c r="AY99" s="203"/>
      <c r="AZ99" s="203"/>
      <c r="BA99" s="203"/>
    </row>
    <row r="100" spans="1:53" x14ac:dyDescent="0.25">
      <c r="A100" s="175" t="s">
        <v>181</v>
      </c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>
        <f t="shared" si="17"/>
        <v>0</v>
      </c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>
        <f t="shared" si="20"/>
        <v>0</v>
      </c>
      <c r="AX100" s="156"/>
      <c r="AY100" s="203"/>
      <c r="AZ100" s="203"/>
      <c r="BA100" s="203"/>
    </row>
    <row r="101" spans="1:53" x14ac:dyDescent="0.25">
      <c r="A101" s="175" t="s">
        <v>182</v>
      </c>
      <c r="B101" s="199">
        <v>10</v>
      </c>
      <c r="D101" s="199">
        <v>21</v>
      </c>
      <c r="F101" s="174"/>
      <c r="G101" s="174"/>
      <c r="H101" s="174">
        <v>16</v>
      </c>
      <c r="I101" s="174"/>
      <c r="J101" s="174"/>
      <c r="K101" s="174">
        <v>5</v>
      </c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>
        <f t="shared" si="17"/>
        <v>21</v>
      </c>
      <c r="Z101" s="199">
        <v>10</v>
      </c>
      <c r="AB101" s="199">
        <v>19</v>
      </c>
      <c r="AD101" s="174"/>
      <c r="AE101" s="174"/>
      <c r="AF101" s="174">
        <v>15</v>
      </c>
      <c r="AG101" s="174"/>
      <c r="AH101" s="174"/>
      <c r="AI101" s="174">
        <v>4</v>
      </c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>
        <f t="shared" si="20"/>
        <v>19</v>
      </c>
      <c r="AX101" s="156">
        <v>2449.4</v>
      </c>
      <c r="AY101" s="203"/>
      <c r="AZ101" s="203"/>
      <c r="BA101" s="203"/>
    </row>
    <row r="102" spans="1:53" x14ac:dyDescent="0.25">
      <c r="A102" s="175" t="s">
        <v>183</v>
      </c>
      <c r="B102" s="199">
        <v>1</v>
      </c>
      <c r="D102" s="199">
        <v>3</v>
      </c>
      <c r="F102" s="174"/>
      <c r="G102" s="174"/>
      <c r="H102" s="174">
        <v>3</v>
      </c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>
        <f t="shared" si="17"/>
        <v>3</v>
      </c>
      <c r="Z102" s="199">
        <v>1</v>
      </c>
      <c r="AB102" s="199">
        <v>3</v>
      </c>
      <c r="AD102" s="174"/>
      <c r="AE102" s="174"/>
      <c r="AF102" s="174">
        <v>3</v>
      </c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>
        <f t="shared" si="20"/>
        <v>3</v>
      </c>
      <c r="AX102" s="156">
        <v>1280</v>
      </c>
      <c r="AY102" s="203"/>
      <c r="AZ102" s="203"/>
      <c r="BA102" s="203"/>
    </row>
    <row r="103" spans="1:53" x14ac:dyDescent="0.25">
      <c r="A103" s="175" t="s">
        <v>184</v>
      </c>
      <c r="B103" s="199">
        <v>1</v>
      </c>
      <c r="D103" s="199">
        <v>7</v>
      </c>
      <c r="F103" s="174"/>
      <c r="G103" s="174"/>
      <c r="H103" s="174"/>
      <c r="I103" s="174"/>
      <c r="J103" s="174"/>
      <c r="K103" s="174">
        <v>7</v>
      </c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>
        <f t="shared" si="17"/>
        <v>7</v>
      </c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>
        <f t="shared" si="20"/>
        <v>0</v>
      </c>
      <c r="AX103" s="156"/>
      <c r="AY103" s="203"/>
      <c r="AZ103" s="203"/>
      <c r="BA103" s="203"/>
    </row>
    <row r="104" spans="1:53" x14ac:dyDescent="0.25">
      <c r="A104" s="175" t="s">
        <v>185</v>
      </c>
      <c r="B104" s="199">
        <v>60</v>
      </c>
      <c r="C104" s="199">
        <v>3</v>
      </c>
      <c r="D104" s="199">
        <v>113</v>
      </c>
      <c r="E104" s="199">
        <v>10</v>
      </c>
      <c r="F104" s="174"/>
      <c r="G104" s="174"/>
      <c r="H104" s="174">
        <v>22</v>
      </c>
      <c r="I104" s="174"/>
      <c r="J104" s="174">
        <v>5</v>
      </c>
      <c r="K104" s="174">
        <v>66</v>
      </c>
      <c r="L104" s="174">
        <v>5</v>
      </c>
      <c r="M104" s="174">
        <v>5</v>
      </c>
      <c r="N104" s="174"/>
      <c r="O104" s="174"/>
      <c r="P104" s="174"/>
      <c r="Q104" s="174">
        <v>5</v>
      </c>
      <c r="R104" s="174"/>
      <c r="S104" s="174">
        <v>5</v>
      </c>
      <c r="T104" s="174"/>
      <c r="U104" s="174"/>
      <c r="V104" s="174"/>
      <c r="W104" s="174"/>
      <c r="X104" s="174"/>
      <c r="Y104" s="174">
        <f t="shared" si="17"/>
        <v>113</v>
      </c>
      <c r="Z104" s="199">
        <v>42</v>
      </c>
      <c r="AA104" s="199">
        <v>3</v>
      </c>
      <c r="AB104" s="199">
        <v>82</v>
      </c>
      <c r="AC104" s="199">
        <v>8</v>
      </c>
      <c r="AD104" s="174"/>
      <c r="AE104" s="174"/>
      <c r="AF104" s="174">
        <v>19</v>
      </c>
      <c r="AG104" s="174"/>
      <c r="AH104" s="174">
        <v>5</v>
      </c>
      <c r="AI104" s="174">
        <v>44</v>
      </c>
      <c r="AJ104" s="174">
        <v>5</v>
      </c>
      <c r="AK104" s="174">
        <v>5</v>
      </c>
      <c r="AL104" s="174"/>
      <c r="AM104" s="174"/>
      <c r="AN104" s="174"/>
      <c r="AO104" s="174">
        <v>3</v>
      </c>
      <c r="AP104" s="174"/>
      <c r="AQ104" s="174">
        <v>1</v>
      </c>
      <c r="AR104" s="174"/>
      <c r="AS104" s="174"/>
      <c r="AT104" s="174"/>
      <c r="AU104" s="174"/>
      <c r="AV104" s="174"/>
      <c r="AW104" s="174">
        <f t="shared" si="20"/>
        <v>82</v>
      </c>
      <c r="AX104" s="156">
        <v>1739.7894736842106</v>
      </c>
      <c r="AY104" s="203"/>
      <c r="AZ104" s="203"/>
      <c r="BA104" s="203"/>
    </row>
    <row r="105" spans="1:53" x14ac:dyDescent="0.25">
      <c r="A105" s="175" t="s">
        <v>186</v>
      </c>
      <c r="B105" s="199">
        <v>1</v>
      </c>
      <c r="D105" s="199">
        <v>3</v>
      </c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>
        <v>3</v>
      </c>
      <c r="T105" s="174"/>
      <c r="U105" s="174"/>
      <c r="V105" s="174"/>
      <c r="W105" s="174"/>
      <c r="X105" s="174"/>
      <c r="Y105" s="174">
        <f t="shared" si="17"/>
        <v>3</v>
      </c>
      <c r="Z105" s="199">
        <v>1</v>
      </c>
      <c r="AB105" s="199">
        <v>3</v>
      </c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>
        <v>3</v>
      </c>
      <c r="AR105" s="174"/>
      <c r="AS105" s="174"/>
      <c r="AT105" s="174"/>
      <c r="AU105" s="174"/>
      <c r="AV105" s="174"/>
      <c r="AW105" s="174">
        <f t="shared" si="20"/>
        <v>3</v>
      </c>
      <c r="AX105" s="156">
        <v>616</v>
      </c>
      <c r="AY105" s="203"/>
      <c r="AZ105" s="203"/>
      <c r="BA105" s="203"/>
    </row>
    <row r="106" spans="1:53" x14ac:dyDescent="0.25">
      <c r="A106" s="175" t="s">
        <v>187</v>
      </c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>
        <f t="shared" si="17"/>
        <v>0</v>
      </c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>
        <f t="shared" si="20"/>
        <v>0</v>
      </c>
      <c r="AX106" s="156"/>
      <c r="AY106" s="203"/>
      <c r="AZ106" s="203"/>
      <c r="BA106" s="203"/>
    </row>
    <row r="107" spans="1:53" x14ac:dyDescent="0.25">
      <c r="A107" s="175" t="s">
        <v>188</v>
      </c>
      <c r="B107" s="199">
        <v>193</v>
      </c>
      <c r="D107" s="199">
        <v>266</v>
      </c>
      <c r="F107" s="174"/>
      <c r="G107" s="174"/>
      <c r="H107" s="174"/>
      <c r="I107" s="174"/>
      <c r="J107" s="174"/>
      <c r="K107" s="174"/>
      <c r="L107" s="174">
        <v>2</v>
      </c>
      <c r="M107" s="174"/>
      <c r="N107" s="174">
        <v>6</v>
      </c>
      <c r="O107" s="174"/>
      <c r="P107" s="174"/>
      <c r="Q107" s="174"/>
      <c r="R107" s="174">
        <v>4</v>
      </c>
      <c r="S107" s="174"/>
      <c r="T107" s="174"/>
      <c r="U107" s="174"/>
      <c r="V107" s="174">
        <v>2</v>
      </c>
      <c r="W107" s="174">
        <v>12</v>
      </c>
      <c r="X107" s="174">
        <v>240</v>
      </c>
      <c r="Y107" s="174">
        <f t="shared" si="17"/>
        <v>266</v>
      </c>
      <c r="Z107" s="199">
        <v>93</v>
      </c>
      <c r="AB107" s="199">
        <v>119</v>
      </c>
      <c r="AD107" s="174"/>
      <c r="AE107" s="174"/>
      <c r="AF107" s="174"/>
      <c r="AG107" s="174"/>
      <c r="AH107" s="174"/>
      <c r="AI107" s="174"/>
      <c r="AJ107" s="174"/>
      <c r="AK107" s="174"/>
      <c r="AL107" s="174">
        <v>5</v>
      </c>
      <c r="AM107" s="174"/>
      <c r="AN107" s="174"/>
      <c r="AO107" s="174"/>
      <c r="AP107" s="174">
        <v>3</v>
      </c>
      <c r="AQ107" s="174"/>
      <c r="AR107" s="174"/>
      <c r="AS107" s="174"/>
      <c r="AT107" s="174">
        <v>2</v>
      </c>
      <c r="AU107" s="174"/>
      <c r="AV107" s="174">
        <v>109</v>
      </c>
      <c r="AW107" s="174">
        <f t="shared" si="20"/>
        <v>119</v>
      </c>
      <c r="AX107" s="156">
        <v>3477.6190476190477</v>
      </c>
      <c r="AY107" s="203"/>
      <c r="AZ107" s="203"/>
      <c r="BA107" s="203"/>
    </row>
    <row r="108" spans="1:53" x14ac:dyDescent="0.25">
      <c r="A108" s="175" t="s">
        <v>189</v>
      </c>
      <c r="B108" s="199">
        <v>39</v>
      </c>
      <c r="C108" s="199">
        <v>1</v>
      </c>
      <c r="D108" s="199">
        <v>239</v>
      </c>
      <c r="E108" s="199">
        <v>1</v>
      </c>
      <c r="F108" s="174"/>
      <c r="G108" s="174">
        <v>5</v>
      </c>
      <c r="H108" s="174">
        <v>131</v>
      </c>
      <c r="I108" s="174"/>
      <c r="J108" s="174">
        <v>3</v>
      </c>
      <c r="K108" s="174">
        <v>4</v>
      </c>
      <c r="L108" s="174">
        <v>9</v>
      </c>
      <c r="M108" s="174">
        <v>12</v>
      </c>
      <c r="N108" s="174"/>
      <c r="O108" s="174"/>
      <c r="P108" s="174"/>
      <c r="Q108" s="174"/>
      <c r="R108" s="174">
        <v>64</v>
      </c>
      <c r="S108" s="174">
        <v>11</v>
      </c>
      <c r="T108" s="174"/>
      <c r="U108" s="174"/>
      <c r="V108" s="174"/>
      <c r="W108" s="174"/>
      <c r="X108" s="174"/>
      <c r="Y108" s="174">
        <f t="shared" si="17"/>
        <v>239</v>
      </c>
      <c r="Z108" s="199">
        <v>30</v>
      </c>
      <c r="AA108" s="199">
        <v>1</v>
      </c>
      <c r="AB108" s="199">
        <v>197</v>
      </c>
      <c r="AC108" s="199">
        <v>1</v>
      </c>
      <c r="AD108" s="174"/>
      <c r="AE108" s="174">
        <v>5</v>
      </c>
      <c r="AF108" s="174">
        <v>116</v>
      </c>
      <c r="AG108" s="174"/>
      <c r="AH108" s="174">
        <v>3</v>
      </c>
      <c r="AI108" s="174"/>
      <c r="AJ108" s="174">
        <v>6</v>
      </c>
      <c r="AK108" s="174">
        <v>12</v>
      </c>
      <c r="AL108" s="174"/>
      <c r="AM108" s="174"/>
      <c r="AN108" s="174"/>
      <c r="AO108" s="174"/>
      <c r="AP108" s="174">
        <v>54</v>
      </c>
      <c r="AQ108" s="174">
        <v>1</v>
      </c>
      <c r="AR108" s="174"/>
      <c r="AS108" s="174"/>
      <c r="AT108" s="174"/>
      <c r="AU108" s="174"/>
      <c r="AV108" s="174"/>
      <c r="AW108" s="174">
        <f t="shared" si="20"/>
        <v>197</v>
      </c>
      <c r="AX108" s="156">
        <v>688.80818181818177</v>
      </c>
      <c r="AY108" s="203"/>
      <c r="AZ108" s="203"/>
      <c r="BA108" s="203"/>
    </row>
    <row r="109" spans="1:53" x14ac:dyDescent="0.25">
      <c r="A109" s="175" t="s">
        <v>190</v>
      </c>
      <c r="B109" s="199">
        <v>184</v>
      </c>
      <c r="C109" s="199">
        <v>2</v>
      </c>
      <c r="D109" s="199">
        <v>350</v>
      </c>
      <c r="E109" s="199">
        <v>3</v>
      </c>
      <c r="F109" s="174"/>
      <c r="G109" s="174"/>
      <c r="H109" s="174"/>
      <c r="I109" s="174"/>
      <c r="J109" s="174"/>
      <c r="K109" s="174"/>
      <c r="L109" s="174"/>
      <c r="M109" s="174">
        <v>1</v>
      </c>
      <c r="N109" s="174">
        <v>6</v>
      </c>
      <c r="O109" s="174"/>
      <c r="P109" s="174"/>
      <c r="Q109" s="174"/>
      <c r="R109" s="174">
        <v>3</v>
      </c>
      <c r="S109" s="174"/>
      <c r="T109" s="174"/>
      <c r="U109" s="174">
        <v>4</v>
      </c>
      <c r="V109" s="174"/>
      <c r="W109" s="174"/>
      <c r="X109" s="174">
        <v>336</v>
      </c>
      <c r="Y109" s="174">
        <f t="shared" si="17"/>
        <v>350</v>
      </c>
      <c r="Z109" s="199">
        <v>97</v>
      </c>
      <c r="AA109" s="199">
        <v>2</v>
      </c>
      <c r="AB109" s="199">
        <v>176</v>
      </c>
      <c r="AC109" s="199">
        <v>3</v>
      </c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>
        <v>3</v>
      </c>
      <c r="AQ109" s="174"/>
      <c r="AR109" s="174"/>
      <c r="AS109" s="174">
        <v>3</v>
      </c>
      <c r="AT109" s="174"/>
      <c r="AU109" s="174"/>
      <c r="AV109" s="174">
        <v>170</v>
      </c>
      <c r="AW109" s="174">
        <f t="shared" si="20"/>
        <v>176</v>
      </c>
      <c r="AX109" s="156">
        <v>4319.391304347826</v>
      </c>
      <c r="AY109" s="203"/>
      <c r="AZ109" s="203"/>
      <c r="BA109" s="203"/>
    </row>
    <row r="110" spans="1:53" x14ac:dyDescent="0.25">
      <c r="A110" s="175" t="s">
        <v>191</v>
      </c>
      <c r="B110" s="199">
        <v>21</v>
      </c>
      <c r="C110" s="199">
        <v>1</v>
      </c>
      <c r="D110" s="199">
        <v>44</v>
      </c>
      <c r="E110" s="199">
        <v>1</v>
      </c>
      <c r="F110" s="174"/>
      <c r="G110" s="174"/>
      <c r="H110" s="174"/>
      <c r="I110" s="174"/>
      <c r="J110" s="174"/>
      <c r="K110" s="174">
        <v>32</v>
      </c>
      <c r="L110" s="174">
        <v>11</v>
      </c>
      <c r="M110" s="174"/>
      <c r="N110" s="174"/>
      <c r="O110" s="174"/>
      <c r="P110" s="174"/>
      <c r="Q110" s="174"/>
      <c r="R110" s="174"/>
      <c r="S110" s="174">
        <v>1</v>
      </c>
      <c r="T110" s="174"/>
      <c r="U110" s="174"/>
      <c r="V110" s="174"/>
      <c r="W110" s="174"/>
      <c r="X110" s="174"/>
      <c r="Y110" s="174">
        <f t="shared" si="17"/>
        <v>44</v>
      </c>
      <c r="Z110" s="199">
        <v>16</v>
      </c>
      <c r="AB110" s="199">
        <v>35</v>
      </c>
      <c r="AD110" s="174"/>
      <c r="AE110" s="174"/>
      <c r="AF110" s="174"/>
      <c r="AG110" s="174"/>
      <c r="AH110" s="174"/>
      <c r="AI110" s="174">
        <v>25</v>
      </c>
      <c r="AJ110" s="174">
        <v>10</v>
      </c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>
        <f t="shared" si="20"/>
        <v>35</v>
      </c>
      <c r="AX110" s="156">
        <v>1752.1428571428571</v>
      </c>
      <c r="AY110" s="203"/>
      <c r="AZ110" s="203"/>
      <c r="BA110" s="203"/>
    </row>
    <row r="111" spans="1:53" x14ac:dyDescent="0.25">
      <c r="A111" s="175" t="s">
        <v>192</v>
      </c>
      <c r="B111" s="199">
        <v>6</v>
      </c>
      <c r="D111" s="199">
        <v>32</v>
      </c>
      <c r="F111" s="174"/>
      <c r="G111" s="174"/>
      <c r="H111" s="174">
        <v>31</v>
      </c>
      <c r="I111" s="174"/>
      <c r="J111" s="174"/>
      <c r="K111" s="174"/>
      <c r="L111" s="174"/>
      <c r="M111" s="174"/>
      <c r="N111" s="174"/>
      <c r="O111" s="174"/>
      <c r="P111" s="174"/>
      <c r="Q111" s="174"/>
      <c r="R111" s="174">
        <v>1</v>
      </c>
      <c r="S111" s="174"/>
      <c r="T111" s="174"/>
      <c r="U111" s="174"/>
      <c r="V111" s="174"/>
      <c r="W111" s="174"/>
      <c r="X111" s="174"/>
      <c r="Y111" s="174">
        <f t="shared" si="17"/>
        <v>32</v>
      </c>
      <c r="Z111" s="199">
        <v>6</v>
      </c>
      <c r="AB111" s="199">
        <v>30</v>
      </c>
      <c r="AD111" s="174"/>
      <c r="AE111" s="174"/>
      <c r="AF111" s="174">
        <v>29</v>
      </c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>
        <v>1</v>
      </c>
      <c r="AQ111" s="174"/>
      <c r="AR111" s="174"/>
      <c r="AS111" s="174"/>
      <c r="AT111" s="174"/>
      <c r="AU111" s="174"/>
      <c r="AV111" s="174"/>
      <c r="AW111" s="174">
        <f t="shared" si="20"/>
        <v>30</v>
      </c>
      <c r="AX111" s="156">
        <v>2776.6</v>
      </c>
      <c r="AY111" s="203"/>
      <c r="AZ111" s="203"/>
      <c r="BA111" s="203"/>
    </row>
    <row r="112" spans="1:53" x14ac:dyDescent="0.25">
      <c r="A112" s="175" t="s">
        <v>193</v>
      </c>
      <c r="B112" s="199">
        <v>23</v>
      </c>
      <c r="D112" s="199">
        <v>161</v>
      </c>
      <c r="F112" s="174"/>
      <c r="G112" s="174"/>
      <c r="H112" s="174">
        <v>135</v>
      </c>
      <c r="I112" s="174"/>
      <c r="J112" s="174">
        <v>1</v>
      </c>
      <c r="K112" s="174">
        <v>16</v>
      </c>
      <c r="L112" s="174">
        <v>7</v>
      </c>
      <c r="M112" s="174"/>
      <c r="N112" s="174"/>
      <c r="O112" s="174"/>
      <c r="P112" s="174"/>
      <c r="Q112" s="174"/>
      <c r="R112" s="174"/>
      <c r="S112" s="174">
        <v>2</v>
      </c>
      <c r="T112" s="174"/>
      <c r="U112" s="174"/>
      <c r="V112" s="174"/>
      <c r="W112" s="174"/>
      <c r="X112" s="174"/>
      <c r="Y112" s="174">
        <f t="shared" si="17"/>
        <v>161</v>
      </c>
      <c r="Z112" s="199">
        <v>13</v>
      </c>
      <c r="AB112" s="199">
        <v>88</v>
      </c>
      <c r="AD112" s="174"/>
      <c r="AE112" s="174"/>
      <c r="AF112" s="174">
        <v>72</v>
      </c>
      <c r="AG112" s="174"/>
      <c r="AH112" s="174">
        <v>1</v>
      </c>
      <c r="AI112" s="174">
        <v>8</v>
      </c>
      <c r="AJ112" s="174">
        <v>6</v>
      </c>
      <c r="AK112" s="174"/>
      <c r="AL112" s="174"/>
      <c r="AM112" s="174"/>
      <c r="AN112" s="174"/>
      <c r="AO112" s="174"/>
      <c r="AP112" s="174"/>
      <c r="AQ112" s="174">
        <v>1</v>
      </c>
      <c r="AR112" s="174"/>
      <c r="AS112" s="174"/>
      <c r="AT112" s="174"/>
      <c r="AU112" s="174"/>
      <c r="AV112" s="174"/>
      <c r="AW112" s="174">
        <f t="shared" si="20"/>
        <v>88</v>
      </c>
      <c r="AX112" s="156">
        <v>825.33333333333337</v>
      </c>
      <c r="AY112" s="203"/>
      <c r="AZ112" s="203"/>
      <c r="BA112" s="203"/>
    </row>
    <row r="113" spans="1:53" x14ac:dyDescent="0.25">
      <c r="A113" s="175" t="s">
        <v>194</v>
      </c>
      <c r="B113" s="199">
        <v>233</v>
      </c>
      <c r="C113" s="199">
        <v>1</v>
      </c>
      <c r="D113" s="199">
        <v>1477</v>
      </c>
      <c r="E113" s="199">
        <v>1</v>
      </c>
      <c r="F113" s="174"/>
      <c r="G113" s="174">
        <v>7</v>
      </c>
      <c r="H113" s="174">
        <v>1237</v>
      </c>
      <c r="I113" s="174"/>
      <c r="J113" s="174">
        <v>12</v>
      </c>
      <c r="K113" s="174">
        <v>170</v>
      </c>
      <c r="L113" s="174">
        <v>27</v>
      </c>
      <c r="M113" s="174">
        <v>2</v>
      </c>
      <c r="N113" s="174"/>
      <c r="O113" s="174"/>
      <c r="P113" s="174"/>
      <c r="Q113" s="174"/>
      <c r="R113" s="174">
        <v>6</v>
      </c>
      <c r="S113" s="174">
        <v>16</v>
      </c>
      <c r="T113" s="174"/>
      <c r="U113" s="174"/>
      <c r="V113" s="174"/>
      <c r="W113" s="174"/>
      <c r="X113" s="174"/>
      <c r="Y113" s="174">
        <f t="shared" si="17"/>
        <v>1477</v>
      </c>
      <c r="Z113" s="199">
        <v>190</v>
      </c>
      <c r="AA113" s="199">
        <v>1</v>
      </c>
      <c r="AB113" s="199">
        <v>1020</v>
      </c>
      <c r="AC113" s="199">
        <v>1</v>
      </c>
      <c r="AD113" s="174"/>
      <c r="AE113" s="174">
        <v>6</v>
      </c>
      <c r="AF113" s="174">
        <v>912</v>
      </c>
      <c r="AG113" s="174"/>
      <c r="AH113" s="174">
        <v>2</v>
      </c>
      <c r="AI113" s="174">
        <v>59</v>
      </c>
      <c r="AJ113" s="174">
        <v>23</v>
      </c>
      <c r="AK113" s="174">
        <v>3</v>
      </c>
      <c r="AL113" s="174"/>
      <c r="AM113" s="174"/>
      <c r="AN113" s="174"/>
      <c r="AO113" s="174"/>
      <c r="AP113" s="174">
        <v>2</v>
      </c>
      <c r="AQ113" s="174">
        <v>13</v>
      </c>
      <c r="AR113" s="174"/>
      <c r="AS113" s="174"/>
      <c r="AT113" s="174"/>
      <c r="AU113" s="174"/>
      <c r="AV113" s="174"/>
      <c r="AW113" s="174">
        <f t="shared" si="20"/>
        <v>1020</v>
      </c>
      <c r="AX113" s="156">
        <v>1706.9047619047619</v>
      </c>
      <c r="AY113" s="203"/>
      <c r="AZ113" s="203"/>
      <c r="BA113" s="203"/>
    </row>
    <row r="114" spans="1:53" x14ac:dyDescent="0.25">
      <c r="A114" s="175" t="s">
        <v>195</v>
      </c>
      <c r="B114" s="199">
        <v>2</v>
      </c>
      <c r="D114" s="199">
        <v>3</v>
      </c>
      <c r="F114" s="174"/>
      <c r="G114" s="174"/>
      <c r="H114" s="174">
        <v>1</v>
      </c>
      <c r="I114" s="174"/>
      <c r="J114" s="174"/>
      <c r="K114" s="174">
        <v>2</v>
      </c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>
        <f t="shared" si="17"/>
        <v>3</v>
      </c>
      <c r="Z114" s="199">
        <v>2</v>
      </c>
      <c r="AB114" s="199">
        <v>2</v>
      </c>
      <c r="AD114" s="174"/>
      <c r="AE114" s="174"/>
      <c r="AF114" s="174">
        <v>1</v>
      </c>
      <c r="AG114" s="174"/>
      <c r="AH114" s="174"/>
      <c r="AI114" s="174">
        <v>1</v>
      </c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>
        <f t="shared" si="20"/>
        <v>2</v>
      </c>
      <c r="AX114" s="156">
        <v>3172.5</v>
      </c>
      <c r="AY114" s="203"/>
      <c r="AZ114" s="203"/>
      <c r="BA114" s="203"/>
    </row>
    <row r="115" spans="1:53" x14ac:dyDescent="0.25">
      <c r="A115" s="175" t="s">
        <v>196</v>
      </c>
      <c r="B115" s="199">
        <v>22</v>
      </c>
      <c r="C115" s="199">
        <v>1</v>
      </c>
      <c r="D115" s="199">
        <v>80</v>
      </c>
      <c r="E115" s="199">
        <v>4</v>
      </c>
      <c r="F115" s="174"/>
      <c r="G115" s="174"/>
      <c r="H115" s="174">
        <v>72</v>
      </c>
      <c r="I115" s="174"/>
      <c r="J115" s="174"/>
      <c r="K115" s="174">
        <v>4</v>
      </c>
      <c r="L115" s="174"/>
      <c r="M115" s="174"/>
      <c r="N115" s="174"/>
      <c r="O115" s="174"/>
      <c r="P115" s="174"/>
      <c r="Q115" s="174"/>
      <c r="R115" s="174"/>
      <c r="S115" s="174"/>
      <c r="T115" s="174"/>
      <c r="U115" s="174">
        <v>4</v>
      </c>
      <c r="V115" s="174"/>
      <c r="W115" s="174"/>
      <c r="X115" s="174"/>
      <c r="Y115" s="174">
        <f t="shared" si="17"/>
        <v>80</v>
      </c>
      <c r="Z115" s="199">
        <v>17</v>
      </c>
      <c r="AA115" s="199">
        <v>1</v>
      </c>
      <c r="AB115" s="199">
        <v>71</v>
      </c>
      <c r="AC115" s="199">
        <v>4</v>
      </c>
      <c r="AD115" s="174"/>
      <c r="AE115" s="174"/>
      <c r="AF115" s="174">
        <v>67</v>
      </c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>
        <v>4</v>
      </c>
      <c r="AT115" s="174"/>
      <c r="AU115" s="174"/>
      <c r="AV115" s="174"/>
      <c r="AW115" s="174">
        <f t="shared" si="20"/>
        <v>71</v>
      </c>
      <c r="AX115" s="156">
        <v>2108</v>
      </c>
      <c r="AY115" s="203"/>
      <c r="AZ115" s="203"/>
      <c r="BA115" s="203"/>
    </row>
    <row r="116" spans="1:53" x14ac:dyDescent="0.25">
      <c r="A116" s="175" t="s">
        <v>197</v>
      </c>
      <c r="B116" s="199">
        <v>2</v>
      </c>
      <c r="D116" s="199">
        <v>7</v>
      </c>
      <c r="F116" s="174"/>
      <c r="G116" s="174"/>
      <c r="H116" s="174"/>
      <c r="I116" s="174"/>
      <c r="J116" s="174"/>
      <c r="K116" s="174"/>
      <c r="L116" s="174"/>
      <c r="M116" s="174"/>
      <c r="N116" s="174">
        <v>1</v>
      </c>
      <c r="O116" s="174"/>
      <c r="P116" s="174"/>
      <c r="Q116" s="174">
        <v>6</v>
      </c>
      <c r="R116" s="174"/>
      <c r="S116" s="174"/>
      <c r="T116" s="174"/>
      <c r="U116" s="174"/>
      <c r="V116" s="174"/>
      <c r="W116" s="174"/>
      <c r="X116" s="174"/>
      <c r="Y116" s="174">
        <f t="shared" si="17"/>
        <v>7</v>
      </c>
      <c r="Z116" s="199">
        <v>1</v>
      </c>
      <c r="AB116" s="199">
        <v>6</v>
      </c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>
        <v>6</v>
      </c>
      <c r="AP116" s="174"/>
      <c r="AQ116" s="174"/>
      <c r="AR116" s="174"/>
      <c r="AS116" s="174"/>
      <c r="AT116" s="174"/>
      <c r="AU116" s="174"/>
      <c r="AV116" s="174"/>
      <c r="AW116" s="174">
        <f t="shared" si="20"/>
        <v>6</v>
      </c>
      <c r="AX116" s="156">
        <v>3840</v>
      </c>
      <c r="AY116" s="203"/>
      <c r="AZ116" s="203"/>
      <c r="BA116" s="203"/>
    </row>
    <row r="117" spans="1:53" x14ac:dyDescent="0.25">
      <c r="A117" s="175" t="s">
        <v>198</v>
      </c>
      <c r="B117" s="199">
        <v>70</v>
      </c>
      <c r="C117" s="199">
        <v>3</v>
      </c>
      <c r="D117" s="199">
        <v>179</v>
      </c>
      <c r="E117" s="199">
        <v>15</v>
      </c>
      <c r="F117" s="174"/>
      <c r="G117" s="174"/>
      <c r="H117" s="174">
        <v>5</v>
      </c>
      <c r="I117" s="174"/>
      <c r="J117" s="174"/>
      <c r="K117" s="174">
        <v>5</v>
      </c>
      <c r="L117" s="174">
        <v>149</v>
      </c>
      <c r="M117" s="174">
        <v>1</v>
      </c>
      <c r="N117" s="174"/>
      <c r="O117" s="174"/>
      <c r="P117" s="174"/>
      <c r="Q117" s="174"/>
      <c r="R117" s="174">
        <v>9</v>
      </c>
      <c r="S117" s="174"/>
      <c r="T117" s="174"/>
      <c r="U117" s="174">
        <v>10</v>
      </c>
      <c r="V117" s="174"/>
      <c r="W117" s="174"/>
      <c r="X117" s="174"/>
      <c r="Y117" s="174">
        <f t="shared" si="17"/>
        <v>179</v>
      </c>
      <c r="Z117" s="199">
        <v>58</v>
      </c>
      <c r="AA117" s="199">
        <v>3</v>
      </c>
      <c r="AB117" s="199">
        <v>145</v>
      </c>
      <c r="AC117" s="199">
        <v>15</v>
      </c>
      <c r="AD117" s="174"/>
      <c r="AE117" s="174"/>
      <c r="AF117" s="174">
        <v>5</v>
      </c>
      <c r="AG117" s="174"/>
      <c r="AH117" s="174"/>
      <c r="AI117" s="174">
        <v>4</v>
      </c>
      <c r="AJ117" s="174">
        <v>117</v>
      </c>
      <c r="AK117" s="174">
        <v>1</v>
      </c>
      <c r="AL117" s="174"/>
      <c r="AM117" s="174"/>
      <c r="AN117" s="174"/>
      <c r="AO117" s="174"/>
      <c r="AP117" s="174">
        <v>8</v>
      </c>
      <c r="AQ117" s="174"/>
      <c r="AR117" s="174"/>
      <c r="AS117" s="174">
        <v>10</v>
      </c>
      <c r="AT117" s="174"/>
      <c r="AU117" s="174"/>
      <c r="AV117" s="174"/>
      <c r="AW117" s="174">
        <f t="shared" si="20"/>
        <v>145</v>
      </c>
      <c r="AX117" s="156">
        <v>3191.5</v>
      </c>
      <c r="AY117" s="203"/>
      <c r="AZ117" s="203"/>
      <c r="BA117" s="203"/>
    </row>
    <row r="118" spans="1:53" x14ac:dyDescent="0.25">
      <c r="A118" s="175" t="s">
        <v>199</v>
      </c>
      <c r="B118" s="199">
        <v>1</v>
      </c>
      <c r="C118" s="199">
        <v>1</v>
      </c>
      <c r="D118" s="199">
        <v>1</v>
      </c>
      <c r="E118" s="199">
        <v>1</v>
      </c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>
        <v>1</v>
      </c>
      <c r="W118" s="174"/>
      <c r="X118" s="174"/>
      <c r="Y118" s="174">
        <f t="shared" si="17"/>
        <v>1</v>
      </c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>
        <f t="shared" si="20"/>
        <v>0</v>
      </c>
      <c r="AX118" s="156"/>
      <c r="AY118" s="203"/>
      <c r="AZ118" s="203"/>
      <c r="BA118" s="203"/>
    </row>
    <row r="119" spans="1:53" x14ac:dyDescent="0.25">
      <c r="A119" s="175" t="s">
        <v>200</v>
      </c>
      <c r="B119" s="199">
        <v>17</v>
      </c>
      <c r="D119" s="199">
        <v>38</v>
      </c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>
        <v>38</v>
      </c>
      <c r="Q119" s="174"/>
      <c r="R119" s="174"/>
      <c r="S119" s="174"/>
      <c r="T119" s="174"/>
      <c r="U119" s="174"/>
      <c r="V119" s="174"/>
      <c r="W119" s="174"/>
      <c r="X119" s="174"/>
      <c r="Y119" s="174">
        <f t="shared" si="17"/>
        <v>38</v>
      </c>
      <c r="Z119" s="199">
        <v>14</v>
      </c>
      <c r="AB119" s="199">
        <v>33</v>
      </c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>
        <v>33</v>
      </c>
      <c r="AO119" s="174"/>
      <c r="AP119" s="174"/>
      <c r="AQ119" s="174"/>
      <c r="AR119" s="174"/>
      <c r="AS119" s="174"/>
      <c r="AT119" s="174"/>
      <c r="AU119" s="174"/>
      <c r="AV119" s="174"/>
      <c r="AW119" s="174">
        <f t="shared" si="20"/>
        <v>33</v>
      </c>
      <c r="AX119" s="156">
        <v>134</v>
      </c>
      <c r="AY119" s="203"/>
      <c r="AZ119" s="203"/>
      <c r="BA119" s="203"/>
    </row>
    <row r="120" spans="1:53" x14ac:dyDescent="0.25">
      <c r="A120" s="175" t="s">
        <v>201</v>
      </c>
      <c r="B120" s="199">
        <v>7</v>
      </c>
      <c r="D120" s="199">
        <v>38</v>
      </c>
      <c r="F120" s="174"/>
      <c r="G120" s="174"/>
      <c r="H120" s="174">
        <v>13</v>
      </c>
      <c r="I120" s="174"/>
      <c r="J120" s="174"/>
      <c r="K120" s="174">
        <v>12</v>
      </c>
      <c r="L120" s="174">
        <v>8</v>
      </c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>
        <v>5</v>
      </c>
      <c r="Y120" s="174">
        <f t="shared" si="17"/>
        <v>38</v>
      </c>
      <c r="Z120" s="199">
        <v>5</v>
      </c>
      <c r="AB120" s="199">
        <v>20</v>
      </c>
      <c r="AD120" s="174"/>
      <c r="AE120" s="174"/>
      <c r="AF120" s="174"/>
      <c r="AG120" s="174"/>
      <c r="AH120" s="174"/>
      <c r="AI120" s="174">
        <v>12</v>
      </c>
      <c r="AJ120" s="174">
        <v>8</v>
      </c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>
        <f t="shared" si="20"/>
        <v>20</v>
      </c>
      <c r="AX120" s="156">
        <v>846.5</v>
      </c>
      <c r="AY120" s="203"/>
      <c r="AZ120" s="203"/>
      <c r="BA120" s="203"/>
    </row>
    <row r="121" spans="1:53" x14ac:dyDescent="0.25">
      <c r="A121" s="175" t="s">
        <v>202</v>
      </c>
      <c r="B121" s="199">
        <v>1</v>
      </c>
      <c r="D121" s="199">
        <v>3</v>
      </c>
      <c r="F121" s="174"/>
      <c r="G121" s="174"/>
      <c r="H121" s="174">
        <v>3</v>
      </c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>
        <f t="shared" si="17"/>
        <v>3</v>
      </c>
      <c r="Z121" s="199">
        <v>1</v>
      </c>
      <c r="AB121" s="199">
        <v>3</v>
      </c>
      <c r="AD121" s="174"/>
      <c r="AE121" s="174"/>
      <c r="AF121" s="174">
        <v>3</v>
      </c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>
        <f t="shared" si="20"/>
        <v>3</v>
      </c>
      <c r="AX121" s="156">
        <v>2550</v>
      </c>
      <c r="AY121" s="203"/>
      <c r="AZ121" s="203"/>
      <c r="BA121" s="203"/>
    </row>
    <row r="122" spans="1:53" x14ac:dyDescent="0.25">
      <c r="A122" s="175" t="s">
        <v>203</v>
      </c>
      <c r="B122" s="199">
        <v>2</v>
      </c>
      <c r="D122" s="199">
        <v>48</v>
      </c>
      <c r="F122" s="174"/>
      <c r="G122" s="174"/>
      <c r="H122" s="174">
        <v>48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>
        <f t="shared" si="17"/>
        <v>48</v>
      </c>
      <c r="Z122" s="199">
        <v>2</v>
      </c>
      <c r="AB122" s="199">
        <v>44</v>
      </c>
      <c r="AD122" s="174"/>
      <c r="AE122" s="174"/>
      <c r="AF122" s="174">
        <v>44</v>
      </c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>
        <f t="shared" si="20"/>
        <v>44</v>
      </c>
      <c r="AX122" s="156">
        <v>480</v>
      </c>
      <c r="AY122" s="203"/>
      <c r="AZ122" s="203"/>
      <c r="BA122" s="203"/>
    </row>
    <row r="123" spans="1:53" x14ac:dyDescent="0.25">
      <c r="A123" s="175" t="s">
        <v>204</v>
      </c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>
        <f t="shared" si="17"/>
        <v>0</v>
      </c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>
        <f t="shared" si="20"/>
        <v>0</v>
      </c>
      <c r="AX123" s="156"/>
      <c r="AY123" s="203"/>
      <c r="AZ123" s="203"/>
      <c r="BA123" s="203"/>
    </row>
    <row r="124" spans="1:53" x14ac:dyDescent="0.25">
      <c r="A124" s="175" t="s">
        <v>205</v>
      </c>
      <c r="B124" s="199">
        <v>9</v>
      </c>
      <c r="D124" s="199">
        <v>34</v>
      </c>
      <c r="F124" s="174"/>
      <c r="G124" s="174"/>
      <c r="H124" s="174">
        <v>27</v>
      </c>
      <c r="I124" s="174"/>
      <c r="J124" s="174"/>
      <c r="K124" s="174"/>
      <c r="L124" s="174">
        <v>7</v>
      </c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>
        <f t="shared" si="17"/>
        <v>34</v>
      </c>
      <c r="Z124" s="199">
        <v>4</v>
      </c>
      <c r="AB124" s="199">
        <v>12</v>
      </c>
      <c r="AD124" s="174"/>
      <c r="AE124" s="174"/>
      <c r="AF124" s="174">
        <v>8</v>
      </c>
      <c r="AG124" s="174"/>
      <c r="AH124" s="174"/>
      <c r="AI124" s="174"/>
      <c r="AJ124" s="174">
        <v>4</v>
      </c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>
        <f t="shared" si="20"/>
        <v>12</v>
      </c>
      <c r="AX124" s="156">
        <v>3890</v>
      </c>
      <c r="AY124" s="203"/>
      <c r="AZ124" s="203"/>
      <c r="BA124" s="203"/>
    </row>
    <row r="125" spans="1:53" x14ac:dyDescent="0.25">
      <c r="A125" s="175" t="s">
        <v>206</v>
      </c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>
        <f t="shared" si="17"/>
        <v>0</v>
      </c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>
        <f t="shared" si="20"/>
        <v>0</v>
      </c>
      <c r="AX125" s="156"/>
      <c r="AY125" s="203"/>
      <c r="AZ125" s="203"/>
      <c r="BA125" s="203"/>
    </row>
    <row r="126" spans="1:53" x14ac:dyDescent="0.25">
      <c r="A126" s="175" t="s">
        <v>207</v>
      </c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>
        <f t="shared" si="17"/>
        <v>0</v>
      </c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>
        <f t="shared" si="20"/>
        <v>0</v>
      </c>
      <c r="AX126" s="156"/>
      <c r="AY126" s="203"/>
      <c r="AZ126" s="203"/>
      <c r="BA126" s="203"/>
    </row>
    <row r="127" spans="1:53" x14ac:dyDescent="0.25">
      <c r="A127" s="175" t="s">
        <v>208</v>
      </c>
      <c r="B127" s="199">
        <v>2</v>
      </c>
      <c r="C127" s="199">
        <v>1</v>
      </c>
      <c r="D127" s="199">
        <v>7</v>
      </c>
      <c r="E127" s="199">
        <v>4</v>
      </c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>
        <v>3</v>
      </c>
      <c r="S127" s="174"/>
      <c r="T127" s="174"/>
      <c r="U127" s="174">
        <v>4</v>
      </c>
      <c r="V127" s="174"/>
      <c r="W127" s="174"/>
      <c r="X127" s="174"/>
      <c r="Y127" s="174">
        <f t="shared" si="17"/>
        <v>7</v>
      </c>
      <c r="Z127" s="199">
        <v>2</v>
      </c>
      <c r="AA127" s="199">
        <v>1</v>
      </c>
      <c r="AB127" s="199">
        <v>5</v>
      </c>
      <c r="AC127" s="199">
        <v>4</v>
      </c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>
        <v>1</v>
      </c>
      <c r="AQ127" s="174"/>
      <c r="AR127" s="174"/>
      <c r="AS127" s="174">
        <v>4</v>
      </c>
      <c r="AT127" s="174"/>
      <c r="AU127" s="174"/>
      <c r="AV127" s="174"/>
      <c r="AW127" s="174">
        <f t="shared" ref="AW127:AW158" si="21">SUM(AD127:AV127)</f>
        <v>5</v>
      </c>
      <c r="AX127" s="156">
        <v>2460</v>
      </c>
      <c r="AY127" s="203"/>
      <c r="AZ127" s="203"/>
      <c r="BA127" s="203"/>
    </row>
    <row r="128" spans="1:53" x14ac:dyDescent="0.25">
      <c r="A128" s="175" t="s">
        <v>209</v>
      </c>
      <c r="B128" s="199">
        <v>19</v>
      </c>
      <c r="D128" s="199">
        <v>150</v>
      </c>
      <c r="F128" s="174"/>
      <c r="G128" s="174"/>
      <c r="H128" s="174">
        <v>140</v>
      </c>
      <c r="I128" s="174"/>
      <c r="J128" s="174"/>
      <c r="K128" s="174"/>
      <c r="L128" s="174">
        <v>5</v>
      </c>
      <c r="M128" s="174">
        <v>5</v>
      </c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>
        <f t="shared" si="17"/>
        <v>150</v>
      </c>
      <c r="Z128" s="199">
        <v>17</v>
      </c>
      <c r="AB128" s="199">
        <v>106</v>
      </c>
      <c r="AD128" s="174"/>
      <c r="AE128" s="174"/>
      <c r="AF128" s="174">
        <v>96</v>
      </c>
      <c r="AG128" s="174"/>
      <c r="AH128" s="174"/>
      <c r="AI128" s="174"/>
      <c r="AJ128" s="174">
        <v>5</v>
      </c>
      <c r="AK128" s="174">
        <v>5</v>
      </c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>
        <f t="shared" si="21"/>
        <v>106</v>
      </c>
      <c r="AX128" s="156">
        <v>681.27272727272725</v>
      </c>
      <c r="AY128" s="203"/>
      <c r="AZ128" s="203"/>
      <c r="BA128" s="203"/>
    </row>
    <row r="129" spans="1:53" x14ac:dyDescent="0.25">
      <c r="A129" s="175" t="s">
        <v>210</v>
      </c>
      <c r="B129" s="199">
        <v>1</v>
      </c>
      <c r="D129" s="199">
        <v>14</v>
      </c>
      <c r="F129" s="174"/>
      <c r="G129" s="174"/>
      <c r="H129" s="174">
        <v>14</v>
      </c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>
        <f t="shared" si="17"/>
        <v>14</v>
      </c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>
        <f t="shared" si="21"/>
        <v>0</v>
      </c>
      <c r="AX129" s="156"/>
      <c r="AY129" s="203"/>
      <c r="AZ129" s="203"/>
      <c r="BA129" s="203"/>
    </row>
    <row r="130" spans="1:53" x14ac:dyDescent="0.25">
      <c r="A130" s="175" t="s">
        <v>211</v>
      </c>
      <c r="B130" s="199">
        <v>1</v>
      </c>
      <c r="D130" s="199">
        <v>1</v>
      </c>
      <c r="F130" s="174"/>
      <c r="G130" s="174"/>
      <c r="H130" s="174"/>
      <c r="I130" s="174"/>
      <c r="J130" s="174"/>
      <c r="K130" s="174"/>
      <c r="L130" s="174">
        <v>1</v>
      </c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>
        <f t="shared" si="17"/>
        <v>1</v>
      </c>
      <c r="Z130" s="199">
        <v>1</v>
      </c>
      <c r="AB130" s="199">
        <v>1</v>
      </c>
      <c r="AD130" s="174"/>
      <c r="AE130" s="174"/>
      <c r="AF130" s="174"/>
      <c r="AG130" s="174"/>
      <c r="AH130" s="174"/>
      <c r="AI130" s="174">
        <v>1</v>
      </c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>
        <f t="shared" si="21"/>
        <v>1</v>
      </c>
      <c r="AX130" s="156">
        <v>2000</v>
      </c>
      <c r="AY130" s="203"/>
      <c r="AZ130" s="203"/>
      <c r="BA130" s="203"/>
    </row>
    <row r="131" spans="1:53" x14ac:dyDescent="0.25">
      <c r="A131" s="175" t="s">
        <v>212</v>
      </c>
      <c r="B131" s="199">
        <v>8</v>
      </c>
      <c r="D131" s="199">
        <v>30</v>
      </c>
      <c r="F131" s="174"/>
      <c r="G131" s="174"/>
      <c r="H131" s="174">
        <v>27</v>
      </c>
      <c r="I131" s="174"/>
      <c r="J131" s="174"/>
      <c r="K131" s="174"/>
      <c r="L131" s="174">
        <v>3</v>
      </c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>
        <f t="shared" si="17"/>
        <v>30</v>
      </c>
      <c r="Z131" s="199">
        <v>7</v>
      </c>
      <c r="AB131" s="199">
        <v>29</v>
      </c>
      <c r="AD131" s="174"/>
      <c r="AE131" s="174"/>
      <c r="AF131" s="174">
        <v>27</v>
      </c>
      <c r="AG131" s="174"/>
      <c r="AH131" s="174"/>
      <c r="AI131" s="174"/>
      <c r="AJ131" s="174">
        <v>2</v>
      </c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>
        <f t="shared" si="21"/>
        <v>29</v>
      </c>
      <c r="AX131" s="156">
        <v>3764</v>
      </c>
      <c r="AY131" s="203"/>
      <c r="AZ131" s="203"/>
      <c r="BA131" s="203"/>
    </row>
    <row r="132" spans="1:53" x14ac:dyDescent="0.25">
      <c r="A132" s="175" t="s">
        <v>213</v>
      </c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>
        <f t="shared" si="17"/>
        <v>0</v>
      </c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>
        <f t="shared" si="21"/>
        <v>0</v>
      </c>
      <c r="AX132" s="156"/>
      <c r="AY132" s="203"/>
      <c r="AZ132" s="203"/>
      <c r="BA132" s="203"/>
    </row>
    <row r="133" spans="1:53" x14ac:dyDescent="0.25">
      <c r="A133" s="175" t="s">
        <v>214</v>
      </c>
      <c r="B133" s="199">
        <v>2</v>
      </c>
      <c r="D133" s="199">
        <v>17</v>
      </c>
      <c r="F133" s="174"/>
      <c r="G133" s="174"/>
      <c r="H133" s="174">
        <v>11</v>
      </c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>
        <v>6</v>
      </c>
      <c r="T133" s="174"/>
      <c r="U133" s="174"/>
      <c r="V133" s="174"/>
      <c r="W133" s="174"/>
      <c r="X133" s="174"/>
      <c r="Y133" s="174">
        <f t="shared" si="17"/>
        <v>17</v>
      </c>
      <c r="Z133" s="199">
        <v>1</v>
      </c>
      <c r="AB133" s="199">
        <v>9</v>
      </c>
      <c r="AD133" s="174"/>
      <c r="AE133" s="174"/>
      <c r="AF133" s="174">
        <v>9</v>
      </c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>
        <f t="shared" si="21"/>
        <v>9</v>
      </c>
      <c r="AX133" s="156">
        <v>696</v>
      </c>
      <c r="AY133" s="203"/>
      <c r="AZ133" s="203"/>
      <c r="BA133" s="203"/>
    </row>
    <row r="134" spans="1:53" x14ac:dyDescent="0.25">
      <c r="A134" s="175" t="s">
        <v>215</v>
      </c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>
        <f t="shared" si="17"/>
        <v>0</v>
      </c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>
        <f t="shared" si="21"/>
        <v>0</v>
      </c>
      <c r="AX134" s="156"/>
      <c r="AY134" s="203"/>
      <c r="AZ134" s="203"/>
      <c r="BA134" s="203"/>
    </row>
    <row r="135" spans="1:53" x14ac:dyDescent="0.25">
      <c r="A135" s="175" t="s">
        <v>216</v>
      </c>
      <c r="B135" s="199">
        <v>2</v>
      </c>
      <c r="D135" s="199">
        <v>2</v>
      </c>
      <c r="F135" s="174"/>
      <c r="G135" s="174"/>
      <c r="H135" s="174">
        <v>2</v>
      </c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>
        <f t="shared" si="17"/>
        <v>2</v>
      </c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>
        <f t="shared" si="21"/>
        <v>0</v>
      </c>
      <c r="AX135" s="156"/>
      <c r="AY135" s="203"/>
      <c r="AZ135" s="203"/>
      <c r="BA135" s="203"/>
    </row>
    <row r="136" spans="1:53" x14ac:dyDescent="0.25">
      <c r="A136" s="175" t="s">
        <v>217</v>
      </c>
      <c r="B136" s="199">
        <v>11</v>
      </c>
      <c r="D136" s="199">
        <v>26</v>
      </c>
      <c r="F136" s="174"/>
      <c r="G136" s="174"/>
      <c r="H136" s="174">
        <v>8</v>
      </c>
      <c r="I136" s="174"/>
      <c r="J136" s="174"/>
      <c r="K136" s="174">
        <v>2</v>
      </c>
      <c r="L136" s="174">
        <v>16</v>
      </c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>
        <f t="shared" si="17"/>
        <v>26</v>
      </c>
      <c r="Z136" s="199">
        <v>9</v>
      </c>
      <c r="AB136" s="199">
        <v>23</v>
      </c>
      <c r="AD136" s="174"/>
      <c r="AE136" s="174"/>
      <c r="AF136" s="174">
        <v>8</v>
      </c>
      <c r="AG136" s="174"/>
      <c r="AH136" s="174"/>
      <c r="AI136" s="174"/>
      <c r="AJ136" s="174">
        <v>15</v>
      </c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>
        <f t="shared" si="21"/>
        <v>23</v>
      </c>
      <c r="AX136" s="156">
        <v>4300</v>
      </c>
      <c r="AY136" s="203"/>
      <c r="AZ136" s="203"/>
      <c r="BA136" s="203"/>
    </row>
    <row r="137" spans="1:53" x14ac:dyDescent="0.25">
      <c r="A137" s="175" t="s">
        <v>218</v>
      </c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>
        <f t="shared" si="17"/>
        <v>0</v>
      </c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>
        <f t="shared" si="21"/>
        <v>0</v>
      </c>
      <c r="AX137" s="156"/>
      <c r="AY137" s="203"/>
      <c r="AZ137" s="203"/>
      <c r="BA137" s="203"/>
    </row>
    <row r="138" spans="1:53" x14ac:dyDescent="0.25">
      <c r="A138" s="175" t="s">
        <v>219</v>
      </c>
      <c r="B138" s="199">
        <v>9</v>
      </c>
      <c r="D138" s="199">
        <v>28</v>
      </c>
      <c r="F138" s="174"/>
      <c r="G138" s="174"/>
      <c r="H138" s="174">
        <v>15</v>
      </c>
      <c r="I138" s="174"/>
      <c r="J138" s="174"/>
      <c r="K138" s="174">
        <v>10</v>
      </c>
      <c r="L138" s="174">
        <v>1</v>
      </c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>
        <v>2</v>
      </c>
      <c r="Y138" s="174">
        <f t="shared" si="17"/>
        <v>28</v>
      </c>
      <c r="Z138" s="199">
        <v>6</v>
      </c>
      <c r="AB138" s="199">
        <v>16</v>
      </c>
      <c r="AD138" s="174"/>
      <c r="AE138" s="174"/>
      <c r="AF138" s="174">
        <v>7</v>
      </c>
      <c r="AG138" s="174"/>
      <c r="AH138" s="174"/>
      <c r="AI138" s="174">
        <v>8</v>
      </c>
      <c r="AJ138" s="174">
        <v>1</v>
      </c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>
        <f t="shared" si="21"/>
        <v>16</v>
      </c>
      <c r="AX138" s="156">
        <v>591.4</v>
      </c>
      <c r="AY138" s="203"/>
      <c r="AZ138" s="203"/>
      <c r="BA138" s="203"/>
    </row>
    <row r="139" spans="1:53" x14ac:dyDescent="0.25">
      <c r="A139" s="175" t="s">
        <v>220</v>
      </c>
      <c r="B139" s="199">
        <v>19</v>
      </c>
      <c r="D139" s="199">
        <v>192</v>
      </c>
      <c r="F139" s="174"/>
      <c r="G139" s="174"/>
      <c r="H139" s="174">
        <v>150</v>
      </c>
      <c r="I139" s="174"/>
      <c r="J139" s="174"/>
      <c r="K139" s="174">
        <v>11</v>
      </c>
      <c r="L139" s="174"/>
      <c r="M139" s="174"/>
      <c r="N139" s="174"/>
      <c r="O139" s="174"/>
      <c r="P139" s="174">
        <v>1</v>
      </c>
      <c r="Q139" s="174">
        <v>27</v>
      </c>
      <c r="R139" s="174">
        <v>3</v>
      </c>
      <c r="S139" s="174"/>
      <c r="T139" s="174"/>
      <c r="U139" s="174"/>
      <c r="V139" s="174"/>
      <c r="W139" s="174"/>
      <c r="X139" s="174"/>
      <c r="Y139" s="174">
        <f t="shared" si="17"/>
        <v>192</v>
      </c>
      <c r="Z139" s="199">
        <v>11</v>
      </c>
      <c r="AB139" s="199">
        <v>120</v>
      </c>
      <c r="AD139" s="174"/>
      <c r="AE139" s="174"/>
      <c r="AF139" s="174">
        <v>94</v>
      </c>
      <c r="AG139" s="174"/>
      <c r="AH139" s="174"/>
      <c r="AI139" s="174">
        <v>11</v>
      </c>
      <c r="AJ139" s="174"/>
      <c r="AK139" s="174"/>
      <c r="AL139" s="174"/>
      <c r="AM139" s="174"/>
      <c r="AN139" s="174">
        <v>1</v>
      </c>
      <c r="AO139" s="174">
        <v>14</v>
      </c>
      <c r="AP139" s="174"/>
      <c r="AQ139" s="174"/>
      <c r="AR139" s="174"/>
      <c r="AS139" s="174"/>
      <c r="AT139" s="174"/>
      <c r="AU139" s="174"/>
      <c r="AV139" s="174"/>
      <c r="AW139" s="174">
        <f t="shared" si="21"/>
        <v>120</v>
      </c>
      <c r="AX139" s="156">
        <v>2305.6666666666665</v>
      </c>
      <c r="AY139" s="203"/>
      <c r="AZ139" s="203"/>
      <c r="BA139" s="203"/>
    </row>
    <row r="140" spans="1:53" x14ac:dyDescent="0.25">
      <c r="A140" s="175" t="s">
        <v>221</v>
      </c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>
        <f t="shared" si="17"/>
        <v>0</v>
      </c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>
        <f t="shared" si="21"/>
        <v>0</v>
      </c>
      <c r="AX140" s="156"/>
      <c r="AY140" s="203"/>
      <c r="AZ140" s="203"/>
      <c r="BA140" s="203"/>
    </row>
    <row r="141" spans="1:53" x14ac:dyDescent="0.25">
      <c r="A141" s="175" t="s">
        <v>222</v>
      </c>
      <c r="B141" s="199">
        <v>1</v>
      </c>
      <c r="D141" s="199">
        <v>2</v>
      </c>
      <c r="F141" s="174"/>
      <c r="G141" s="174"/>
      <c r="H141" s="174">
        <v>2</v>
      </c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>
        <f t="shared" si="17"/>
        <v>2</v>
      </c>
      <c r="Z141" s="199">
        <v>1</v>
      </c>
      <c r="AB141" s="199">
        <v>2</v>
      </c>
      <c r="AD141" s="174"/>
      <c r="AE141" s="174"/>
      <c r="AF141" s="174">
        <v>2</v>
      </c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>
        <f t="shared" si="21"/>
        <v>2</v>
      </c>
      <c r="AX141" s="156">
        <v>2000</v>
      </c>
      <c r="AY141" s="203"/>
      <c r="AZ141" s="203"/>
      <c r="BA141" s="203"/>
    </row>
    <row r="142" spans="1:53" x14ac:dyDescent="0.25">
      <c r="A142" s="175" t="s">
        <v>223</v>
      </c>
      <c r="B142" s="199">
        <v>1</v>
      </c>
      <c r="D142" s="199">
        <v>8</v>
      </c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>
        <v>8</v>
      </c>
      <c r="T142" s="174"/>
      <c r="U142" s="174"/>
      <c r="V142" s="174"/>
      <c r="W142" s="174"/>
      <c r="X142" s="174"/>
      <c r="Y142" s="174">
        <f t="shared" si="17"/>
        <v>8</v>
      </c>
      <c r="Z142" s="199">
        <v>1</v>
      </c>
      <c r="AB142" s="199">
        <v>8</v>
      </c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>
        <v>8</v>
      </c>
      <c r="AR142" s="174"/>
      <c r="AS142" s="174"/>
      <c r="AT142" s="174"/>
      <c r="AU142" s="174"/>
      <c r="AV142" s="174"/>
      <c r="AW142" s="174">
        <f t="shared" si="21"/>
        <v>8</v>
      </c>
      <c r="AX142" s="156">
        <v>2400</v>
      </c>
      <c r="AY142" s="203"/>
      <c r="AZ142" s="203"/>
      <c r="BA142" s="203"/>
    </row>
    <row r="143" spans="1:53" x14ac:dyDescent="0.25">
      <c r="A143" s="175" t="s">
        <v>224</v>
      </c>
      <c r="B143" s="199">
        <v>1</v>
      </c>
      <c r="D143" s="199">
        <v>3</v>
      </c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>
        <v>3</v>
      </c>
      <c r="T143" s="174"/>
      <c r="U143" s="174"/>
      <c r="V143" s="174"/>
      <c r="W143" s="174"/>
      <c r="X143" s="174"/>
      <c r="Y143" s="174">
        <f t="shared" si="17"/>
        <v>3</v>
      </c>
      <c r="Z143" s="199">
        <v>1</v>
      </c>
      <c r="AB143" s="199">
        <v>3</v>
      </c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>
        <v>3</v>
      </c>
      <c r="AR143" s="174"/>
      <c r="AS143" s="174"/>
      <c r="AT143" s="174"/>
      <c r="AU143" s="174"/>
      <c r="AV143" s="174"/>
      <c r="AW143" s="174">
        <f t="shared" si="21"/>
        <v>3</v>
      </c>
      <c r="AX143" s="156">
        <v>800</v>
      </c>
      <c r="AY143" s="203"/>
      <c r="AZ143" s="203"/>
      <c r="BA143" s="203"/>
    </row>
    <row r="144" spans="1:53" x14ac:dyDescent="0.25">
      <c r="A144" s="175" t="s">
        <v>225</v>
      </c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>
        <f t="shared" si="17"/>
        <v>0</v>
      </c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>
        <f t="shared" si="21"/>
        <v>0</v>
      </c>
      <c r="AX144" s="156"/>
      <c r="AY144" s="203"/>
      <c r="AZ144" s="203"/>
      <c r="BA144" s="203"/>
    </row>
    <row r="145" spans="1:53" x14ac:dyDescent="0.25">
      <c r="A145" s="175" t="s">
        <v>226</v>
      </c>
      <c r="B145" s="199">
        <v>3</v>
      </c>
      <c r="D145" s="199">
        <v>18</v>
      </c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>
        <v>18</v>
      </c>
      <c r="R145" s="174"/>
      <c r="S145" s="174"/>
      <c r="T145" s="174"/>
      <c r="U145" s="174"/>
      <c r="V145" s="174"/>
      <c r="W145" s="174"/>
      <c r="X145" s="174"/>
      <c r="Y145" s="174">
        <f t="shared" si="17"/>
        <v>18</v>
      </c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>
        <f t="shared" si="21"/>
        <v>0</v>
      </c>
      <c r="AX145" s="156"/>
      <c r="AY145" s="203"/>
      <c r="AZ145" s="203"/>
      <c r="BA145" s="203"/>
    </row>
    <row r="146" spans="1:53" x14ac:dyDescent="0.25">
      <c r="A146" s="175" t="s">
        <v>227</v>
      </c>
      <c r="B146" s="199">
        <v>4</v>
      </c>
      <c r="D146" s="199">
        <v>8</v>
      </c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>
        <v>8</v>
      </c>
      <c r="S146" s="174"/>
      <c r="T146" s="174"/>
      <c r="U146" s="174"/>
      <c r="V146" s="174"/>
      <c r="W146" s="174"/>
      <c r="X146" s="174"/>
      <c r="Y146" s="174">
        <f t="shared" si="17"/>
        <v>8</v>
      </c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>
        <f t="shared" si="21"/>
        <v>0</v>
      </c>
      <c r="AX146" s="156"/>
      <c r="AY146" s="203"/>
      <c r="AZ146" s="203"/>
      <c r="BA146" s="203"/>
    </row>
    <row r="147" spans="1:53" x14ac:dyDescent="0.25">
      <c r="A147" s="175" t="s">
        <v>228</v>
      </c>
      <c r="B147" s="199">
        <v>7</v>
      </c>
      <c r="D147" s="199">
        <v>34</v>
      </c>
      <c r="F147" s="174"/>
      <c r="G147" s="174"/>
      <c r="H147" s="174">
        <v>18</v>
      </c>
      <c r="I147" s="174"/>
      <c r="J147" s="174"/>
      <c r="K147" s="174">
        <v>8</v>
      </c>
      <c r="L147" s="174">
        <v>7</v>
      </c>
      <c r="M147" s="174"/>
      <c r="N147" s="174"/>
      <c r="O147" s="174"/>
      <c r="P147" s="174">
        <v>1</v>
      </c>
      <c r="Q147" s="174"/>
      <c r="R147" s="174"/>
      <c r="S147" s="174"/>
      <c r="T147" s="174"/>
      <c r="U147" s="174"/>
      <c r="V147" s="174"/>
      <c r="W147" s="174"/>
      <c r="X147" s="174"/>
      <c r="Y147" s="174">
        <f t="shared" si="17"/>
        <v>34</v>
      </c>
      <c r="Z147" s="199">
        <v>5</v>
      </c>
      <c r="AB147" s="199">
        <v>28</v>
      </c>
      <c r="AD147" s="174"/>
      <c r="AE147" s="174"/>
      <c r="AF147" s="174">
        <v>18</v>
      </c>
      <c r="AG147" s="174"/>
      <c r="AH147" s="174"/>
      <c r="AI147" s="174">
        <v>3</v>
      </c>
      <c r="AJ147" s="174">
        <v>6</v>
      </c>
      <c r="AK147" s="174"/>
      <c r="AL147" s="174"/>
      <c r="AM147" s="174"/>
      <c r="AN147" s="174">
        <v>1</v>
      </c>
      <c r="AO147" s="174"/>
      <c r="AP147" s="174"/>
      <c r="AQ147" s="174"/>
      <c r="AR147" s="174"/>
      <c r="AS147" s="174"/>
      <c r="AT147" s="174"/>
      <c r="AU147" s="174"/>
      <c r="AV147" s="174"/>
      <c r="AW147" s="174">
        <f t="shared" si="21"/>
        <v>28</v>
      </c>
      <c r="AX147" s="156">
        <v>4154</v>
      </c>
      <c r="AY147" s="203"/>
      <c r="AZ147" s="203"/>
      <c r="BA147" s="203"/>
    </row>
    <row r="148" spans="1:53" x14ac:dyDescent="0.25">
      <c r="A148" s="175" t="s">
        <v>229</v>
      </c>
      <c r="B148" s="199">
        <v>2</v>
      </c>
      <c r="C148" s="199">
        <v>1</v>
      </c>
      <c r="D148" s="199">
        <v>2</v>
      </c>
      <c r="E148" s="199">
        <v>1</v>
      </c>
      <c r="F148" s="174"/>
      <c r="G148" s="174"/>
      <c r="H148" s="174"/>
      <c r="I148" s="174"/>
      <c r="J148" s="174"/>
      <c r="K148" s="174"/>
      <c r="L148" s="174"/>
      <c r="M148" s="174">
        <v>1</v>
      </c>
      <c r="N148" s="174"/>
      <c r="O148" s="174"/>
      <c r="P148" s="174"/>
      <c r="Q148" s="174"/>
      <c r="R148" s="174"/>
      <c r="S148" s="174"/>
      <c r="T148" s="174"/>
      <c r="U148" s="174"/>
      <c r="V148" s="174">
        <v>1</v>
      </c>
      <c r="W148" s="174"/>
      <c r="X148" s="174"/>
      <c r="Y148" s="174">
        <f t="shared" si="17"/>
        <v>2</v>
      </c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>
        <f t="shared" si="21"/>
        <v>0</v>
      </c>
      <c r="AX148" s="156"/>
      <c r="AY148" s="203"/>
      <c r="AZ148" s="203"/>
      <c r="BA148" s="203"/>
    </row>
    <row r="149" spans="1:53" x14ac:dyDescent="0.25">
      <c r="A149" s="175" t="s">
        <v>230</v>
      </c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>
        <f t="shared" si="17"/>
        <v>0</v>
      </c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>
        <f t="shared" si="21"/>
        <v>0</v>
      </c>
      <c r="AX149" s="156"/>
      <c r="AY149" s="203"/>
      <c r="AZ149" s="203"/>
      <c r="BA149" s="203"/>
    </row>
    <row r="150" spans="1:53" x14ac:dyDescent="0.25">
      <c r="A150" s="175" t="s">
        <v>231</v>
      </c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>
        <f t="shared" si="17"/>
        <v>0</v>
      </c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>
        <f t="shared" si="21"/>
        <v>0</v>
      </c>
      <c r="AX150" s="156"/>
      <c r="AY150" s="203"/>
      <c r="AZ150" s="203"/>
      <c r="BA150" s="203"/>
    </row>
    <row r="151" spans="1:53" x14ac:dyDescent="0.25">
      <c r="A151" s="175" t="s">
        <v>232</v>
      </c>
      <c r="B151" s="199">
        <v>4</v>
      </c>
      <c r="D151" s="199">
        <v>10</v>
      </c>
      <c r="F151" s="174"/>
      <c r="G151" s="174"/>
      <c r="H151" s="174"/>
      <c r="I151" s="174"/>
      <c r="J151" s="174"/>
      <c r="K151" s="174"/>
      <c r="L151" s="174"/>
      <c r="M151" s="174"/>
      <c r="N151" s="174">
        <v>3</v>
      </c>
      <c r="O151" s="174">
        <v>6</v>
      </c>
      <c r="P151" s="174"/>
      <c r="Q151" s="174"/>
      <c r="R151" s="174"/>
      <c r="S151" s="174"/>
      <c r="T151" s="174"/>
      <c r="U151" s="174"/>
      <c r="V151" s="174"/>
      <c r="W151" s="174">
        <v>1</v>
      </c>
      <c r="X151" s="174"/>
      <c r="Y151" s="174">
        <f t="shared" si="17"/>
        <v>10</v>
      </c>
      <c r="Z151" s="199">
        <v>1</v>
      </c>
      <c r="AB151" s="199">
        <v>3</v>
      </c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>
        <v>3</v>
      </c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>
        <f t="shared" si="21"/>
        <v>3</v>
      </c>
      <c r="AX151" s="156">
        <v>4750</v>
      </c>
      <c r="AY151" s="203"/>
      <c r="AZ151" s="203"/>
      <c r="BA151" s="203"/>
    </row>
    <row r="152" spans="1:53" x14ac:dyDescent="0.25">
      <c r="A152" s="175" t="s">
        <v>233</v>
      </c>
      <c r="B152" s="199">
        <v>4</v>
      </c>
      <c r="C152" s="199">
        <v>2</v>
      </c>
      <c r="D152" s="199">
        <v>8</v>
      </c>
      <c r="E152" s="199">
        <v>2</v>
      </c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>
        <v>1</v>
      </c>
      <c r="V152" s="174">
        <v>6</v>
      </c>
      <c r="W152" s="174"/>
      <c r="X152" s="174">
        <v>1</v>
      </c>
      <c r="Y152" s="174">
        <f t="shared" si="17"/>
        <v>8</v>
      </c>
      <c r="Z152" s="199">
        <v>4</v>
      </c>
      <c r="AA152" s="199">
        <v>2</v>
      </c>
      <c r="AB152" s="199">
        <v>8</v>
      </c>
      <c r="AC152" s="199">
        <v>2</v>
      </c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>
        <v>1</v>
      </c>
      <c r="AT152" s="174">
        <v>6</v>
      </c>
      <c r="AU152" s="174"/>
      <c r="AV152" s="174">
        <v>1</v>
      </c>
      <c r="AW152" s="174">
        <f t="shared" si="21"/>
        <v>8</v>
      </c>
      <c r="AX152" s="156">
        <v>3059</v>
      </c>
      <c r="AY152" s="203"/>
      <c r="AZ152" s="203"/>
      <c r="BA152" s="203"/>
    </row>
    <row r="153" spans="1:53" x14ac:dyDescent="0.25">
      <c r="A153" s="175" t="s">
        <v>234</v>
      </c>
      <c r="B153" s="199">
        <v>1</v>
      </c>
      <c r="D153" s="199">
        <v>1</v>
      </c>
      <c r="F153" s="174"/>
      <c r="G153" s="174"/>
      <c r="H153" s="174">
        <v>1</v>
      </c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>
        <f t="shared" si="17"/>
        <v>1</v>
      </c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>
        <f t="shared" si="21"/>
        <v>0</v>
      </c>
      <c r="AX153" s="156"/>
      <c r="AY153" s="203"/>
      <c r="AZ153" s="203"/>
      <c r="BA153" s="203"/>
    </row>
    <row r="154" spans="1:53" x14ac:dyDescent="0.25">
      <c r="A154" s="175" t="s">
        <v>235</v>
      </c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>
        <f t="shared" si="17"/>
        <v>0</v>
      </c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>
        <f t="shared" si="21"/>
        <v>0</v>
      </c>
      <c r="AX154" s="156"/>
      <c r="AY154" s="203"/>
      <c r="AZ154" s="203"/>
      <c r="BA154" s="203"/>
    </row>
    <row r="155" spans="1:53" x14ac:dyDescent="0.25">
      <c r="A155" s="175" t="s">
        <v>236</v>
      </c>
      <c r="B155" s="199">
        <v>6</v>
      </c>
      <c r="D155" s="199">
        <v>14</v>
      </c>
      <c r="F155" s="174"/>
      <c r="G155" s="174"/>
      <c r="H155" s="174">
        <v>4</v>
      </c>
      <c r="I155" s="174"/>
      <c r="J155" s="174"/>
      <c r="K155" s="174"/>
      <c r="L155" s="174"/>
      <c r="M155" s="174">
        <v>10</v>
      </c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>
        <f t="shared" ref="Y155:Y218" si="22">SUM(F155:X155)</f>
        <v>14</v>
      </c>
      <c r="Z155" s="199">
        <v>5</v>
      </c>
      <c r="AB155" s="199">
        <v>11</v>
      </c>
      <c r="AD155" s="174"/>
      <c r="AE155" s="174"/>
      <c r="AF155" s="174">
        <v>4</v>
      </c>
      <c r="AG155" s="174"/>
      <c r="AH155" s="174"/>
      <c r="AI155" s="174"/>
      <c r="AJ155" s="174"/>
      <c r="AK155" s="174">
        <v>7</v>
      </c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>
        <f t="shared" si="21"/>
        <v>11</v>
      </c>
      <c r="AX155" s="156">
        <v>1948</v>
      </c>
      <c r="AY155" s="203"/>
      <c r="AZ155" s="203"/>
      <c r="BA155" s="203"/>
    </row>
    <row r="156" spans="1:53" x14ac:dyDescent="0.25">
      <c r="A156" s="175" t="s">
        <v>237</v>
      </c>
      <c r="B156" s="199">
        <v>1</v>
      </c>
      <c r="D156" s="199">
        <v>1</v>
      </c>
      <c r="F156" s="174"/>
      <c r="G156" s="174"/>
      <c r="H156" s="174"/>
      <c r="I156" s="174"/>
      <c r="J156" s="174"/>
      <c r="K156" s="174">
        <v>1</v>
      </c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>
        <f t="shared" si="22"/>
        <v>1</v>
      </c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>
        <f t="shared" si="21"/>
        <v>0</v>
      </c>
      <c r="AX156" s="156"/>
      <c r="AY156" s="203"/>
      <c r="AZ156" s="203"/>
      <c r="BA156" s="203"/>
    </row>
    <row r="157" spans="1:53" x14ac:dyDescent="0.25">
      <c r="A157" s="175" t="s">
        <v>238</v>
      </c>
      <c r="B157" s="199">
        <v>5</v>
      </c>
      <c r="D157" s="199">
        <v>13</v>
      </c>
      <c r="F157" s="174"/>
      <c r="G157" s="174"/>
      <c r="H157" s="174"/>
      <c r="I157" s="174"/>
      <c r="J157" s="174"/>
      <c r="K157" s="174"/>
      <c r="L157" s="174">
        <v>1</v>
      </c>
      <c r="M157" s="174">
        <v>12</v>
      </c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>
        <f t="shared" si="22"/>
        <v>13</v>
      </c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>
        <f t="shared" si="21"/>
        <v>0</v>
      </c>
      <c r="AX157" s="156"/>
      <c r="AY157" s="203"/>
      <c r="AZ157" s="203"/>
      <c r="BA157" s="203"/>
    </row>
    <row r="158" spans="1:53" x14ac:dyDescent="0.25">
      <c r="A158" s="175" t="s">
        <v>239</v>
      </c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>
        <f t="shared" si="22"/>
        <v>0</v>
      </c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>
        <f t="shared" si="21"/>
        <v>0</v>
      </c>
      <c r="AX158" s="156"/>
      <c r="AY158" s="203"/>
      <c r="AZ158" s="203"/>
      <c r="BA158" s="203"/>
    </row>
    <row r="159" spans="1:53" x14ac:dyDescent="0.25">
      <c r="A159" s="175" t="s">
        <v>240</v>
      </c>
      <c r="B159" s="199">
        <v>3</v>
      </c>
      <c r="D159" s="199">
        <v>9</v>
      </c>
      <c r="F159" s="174"/>
      <c r="G159" s="174"/>
      <c r="H159" s="174"/>
      <c r="I159" s="174"/>
      <c r="J159" s="174"/>
      <c r="K159" s="174">
        <v>6</v>
      </c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>
        <v>3</v>
      </c>
      <c r="Y159" s="174">
        <f t="shared" si="22"/>
        <v>9</v>
      </c>
      <c r="Z159" s="199">
        <v>2</v>
      </c>
      <c r="AB159" s="199">
        <v>4</v>
      </c>
      <c r="AD159" s="174"/>
      <c r="AE159" s="174"/>
      <c r="AF159" s="174"/>
      <c r="AG159" s="174"/>
      <c r="AH159" s="174"/>
      <c r="AI159" s="174">
        <v>3</v>
      </c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>
        <v>1</v>
      </c>
      <c r="AW159" s="174">
        <f t="shared" ref="AW159:AW190" si="23">SUM(AD159:AV159)</f>
        <v>4</v>
      </c>
      <c r="AX159" s="156">
        <v>1236</v>
      </c>
      <c r="AY159" s="203"/>
      <c r="AZ159" s="203"/>
      <c r="BA159" s="203"/>
    </row>
    <row r="160" spans="1:53" x14ac:dyDescent="0.25">
      <c r="A160" s="175" t="s">
        <v>241</v>
      </c>
      <c r="B160" s="199">
        <v>11</v>
      </c>
      <c r="D160" s="199">
        <v>29</v>
      </c>
      <c r="F160" s="174"/>
      <c r="G160" s="174"/>
      <c r="H160" s="174"/>
      <c r="I160" s="174"/>
      <c r="J160" s="174"/>
      <c r="K160" s="174">
        <v>5</v>
      </c>
      <c r="L160" s="174"/>
      <c r="M160" s="174"/>
      <c r="N160" s="174"/>
      <c r="O160" s="174">
        <v>2</v>
      </c>
      <c r="P160" s="174">
        <v>1</v>
      </c>
      <c r="Q160" s="174"/>
      <c r="R160" s="174">
        <v>21</v>
      </c>
      <c r="S160" s="174"/>
      <c r="T160" s="174"/>
      <c r="U160" s="174"/>
      <c r="V160" s="174"/>
      <c r="W160" s="174"/>
      <c r="X160" s="174"/>
      <c r="Y160" s="174">
        <f t="shared" si="22"/>
        <v>29</v>
      </c>
      <c r="Z160" s="199">
        <v>9</v>
      </c>
      <c r="AB160" s="199">
        <v>16</v>
      </c>
      <c r="AD160" s="174"/>
      <c r="AE160" s="174"/>
      <c r="AF160" s="174"/>
      <c r="AG160" s="174"/>
      <c r="AH160" s="174"/>
      <c r="AI160" s="174">
        <v>5</v>
      </c>
      <c r="AJ160" s="174"/>
      <c r="AK160" s="174"/>
      <c r="AL160" s="174"/>
      <c r="AM160" s="174">
        <v>2</v>
      </c>
      <c r="AN160" s="174"/>
      <c r="AO160" s="174"/>
      <c r="AP160" s="174">
        <v>9</v>
      </c>
      <c r="AQ160" s="174"/>
      <c r="AR160" s="174"/>
      <c r="AS160" s="174"/>
      <c r="AT160" s="174"/>
      <c r="AU160" s="174"/>
      <c r="AV160" s="174"/>
      <c r="AW160" s="174">
        <f t="shared" si="23"/>
        <v>16</v>
      </c>
      <c r="AX160" s="156">
        <v>6027.5</v>
      </c>
      <c r="AY160" s="203"/>
      <c r="AZ160" s="203"/>
      <c r="BA160" s="203"/>
    </row>
    <row r="161" spans="1:72" x14ac:dyDescent="0.25">
      <c r="A161" s="175" t="s">
        <v>242</v>
      </c>
      <c r="B161" s="199">
        <v>2</v>
      </c>
      <c r="C161" s="199">
        <v>2</v>
      </c>
      <c r="D161" s="199">
        <v>14</v>
      </c>
      <c r="E161" s="199">
        <v>4</v>
      </c>
      <c r="F161" s="174"/>
      <c r="G161" s="174"/>
      <c r="H161" s="174">
        <v>10</v>
      </c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>
        <v>4</v>
      </c>
      <c r="V161" s="174"/>
      <c r="W161" s="174"/>
      <c r="X161" s="174"/>
      <c r="Y161" s="174">
        <f t="shared" si="22"/>
        <v>14</v>
      </c>
      <c r="Z161" s="199">
        <v>3</v>
      </c>
      <c r="AA161" s="199">
        <v>2</v>
      </c>
      <c r="AB161" s="199">
        <v>14</v>
      </c>
      <c r="AC161" s="199">
        <v>4</v>
      </c>
      <c r="AD161" s="174"/>
      <c r="AE161" s="174"/>
      <c r="AF161" s="174">
        <v>10</v>
      </c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>
        <v>4</v>
      </c>
      <c r="AT161" s="174"/>
      <c r="AU161" s="174"/>
      <c r="AV161" s="174"/>
      <c r="AW161" s="174">
        <f t="shared" si="23"/>
        <v>14</v>
      </c>
      <c r="AX161" s="156">
        <v>2744</v>
      </c>
      <c r="AY161" s="203"/>
      <c r="AZ161" s="203"/>
      <c r="BA161" s="203"/>
    </row>
    <row r="162" spans="1:72" x14ac:dyDescent="0.25">
      <c r="A162" s="175" t="s">
        <v>243</v>
      </c>
      <c r="B162" s="199">
        <v>10</v>
      </c>
      <c r="D162" s="199">
        <v>27</v>
      </c>
      <c r="F162" s="174"/>
      <c r="G162" s="174"/>
      <c r="H162" s="174">
        <v>27</v>
      </c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>
        <f t="shared" si="22"/>
        <v>27</v>
      </c>
      <c r="Z162" s="199">
        <v>10</v>
      </c>
      <c r="AB162" s="199">
        <v>26</v>
      </c>
      <c r="AD162" s="174"/>
      <c r="AE162" s="174"/>
      <c r="AF162" s="174">
        <v>26</v>
      </c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>
        <f t="shared" si="23"/>
        <v>26</v>
      </c>
      <c r="AX162" s="156">
        <v>1944</v>
      </c>
      <c r="AY162" s="203"/>
      <c r="AZ162" s="203"/>
      <c r="BA162" s="203"/>
    </row>
    <row r="163" spans="1:72" x14ac:dyDescent="0.25">
      <c r="A163" s="175" t="s">
        <v>244</v>
      </c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>
        <f t="shared" si="22"/>
        <v>0</v>
      </c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>
        <f t="shared" si="23"/>
        <v>0</v>
      </c>
      <c r="AX163" s="156"/>
      <c r="AY163" s="203"/>
      <c r="AZ163" s="203"/>
      <c r="BA163" s="203"/>
    </row>
    <row r="164" spans="1:72" x14ac:dyDescent="0.25">
      <c r="A164" s="175" t="s">
        <v>245</v>
      </c>
      <c r="B164" s="199">
        <v>2</v>
      </c>
      <c r="D164" s="199">
        <v>20</v>
      </c>
      <c r="F164" s="174"/>
      <c r="G164" s="174"/>
      <c r="H164" s="174">
        <v>20</v>
      </c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>
        <f t="shared" si="22"/>
        <v>20</v>
      </c>
      <c r="Z164" s="199">
        <v>2</v>
      </c>
      <c r="AB164" s="199">
        <v>15</v>
      </c>
      <c r="AD164" s="174"/>
      <c r="AE164" s="174"/>
      <c r="AF164" s="174">
        <v>15</v>
      </c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>
        <f t="shared" si="23"/>
        <v>15</v>
      </c>
      <c r="AX164" s="156">
        <v>1120</v>
      </c>
      <c r="AY164" s="203"/>
      <c r="AZ164" s="203"/>
      <c r="BA164" s="203"/>
    </row>
    <row r="165" spans="1:72" x14ac:dyDescent="0.25">
      <c r="A165" s="175" t="s">
        <v>246</v>
      </c>
      <c r="B165" s="199">
        <v>1</v>
      </c>
      <c r="D165" s="199">
        <v>30</v>
      </c>
      <c r="F165" s="174"/>
      <c r="G165" s="174"/>
      <c r="H165" s="174">
        <v>30</v>
      </c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>
        <f t="shared" si="22"/>
        <v>30</v>
      </c>
      <c r="Z165" s="199">
        <v>1</v>
      </c>
      <c r="AB165" s="199">
        <v>29</v>
      </c>
      <c r="AD165" s="174"/>
      <c r="AE165" s="174"/>
      <c r="AF165" s="174">
        <v>29</v>
      </c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>
        <f t="shared" si="23"/>
        <v>29</v>
      </c>
      <c r="AX165" s="156">
        <v>256</v>
      </c>
      <c r="AY165" s="203"/>
      <c r="AZ165" s="203"/>
      <c r="BA165" s="203"/>
    </row>
    <row r="166" spans="1:72" x14ac:dyDescent="0.25">
      <c r="A166" s="175" t="s">
        <v>247</v>
      </c>
      <c r="B166" s="199">
        <v>1</v>
      </c>
      <c r="D166" s="199">
        <v>1</v>
      </c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>
        <v>1</v>
      </c>
      <c r="S166" s="174"/>
      <c r="T166" s="174"/>
      <c r="U166" s="174"/>
      <c r="V166" s="174"/>
      <c r="W166" s="174"/>
      <c r="X166" s="174"/>
      <c r="Y166" s="174">
        <f t="shared" si="22"/>
        <v>1</v>
      </c>
      <c r="Z166" s="199">
        <v>1</v>
      </c>
      <c r="AB166" s="199">
        <v>1</v>
      </c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>
        <v>1</v>
      </c>
      <c r="AQ166" s="174"/>
      <c r="AR166" s="174"/>
      <c r="AS166" s="174"/>
      <c r="AT166" s="174"/>
      <c r="AU166" s="174"/>
      <c r="AV166" s="174"/>
      <c r="AW166" s="174">
        <f t="shared" si="23"/>
        <v>1</v>
      </c>
      <c r="AX166" s="156">
        <v>13750</v>
      </c>
      <c r="AY166" s="203"/>
      <c r="AZ166" s="203"/>
      <c r="BA166" s="203"/>
    </row>
    <row r="167" spans="1:72" x14ac:dyDescent="0.25">
      <c r="A167" s="175" t="s">
        <v>248</v>
      </c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>
        <f t="shared" si="22"/>
        <v>0</v>
      </c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>
        <f t="shared" si="23"/>
        <v>0</v>
      </c>
      <c r="AX167" s="156"/>
      <c r="AY167" s="203"/>
      <c r="AZ167" s="203"/>
      <c r="BA167" s="203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</row>
    <row r="168" spans="1:72" x14ac:dyDescent="0.25">
      <c r="A168" s="175" t="s">
        <v>249</v>
      </c>
      <c r="B168" s="199">
        <v>1</v>
      </c>
      <c r="D168" s="199">
        <v>1</v>
      </c>
      <c r="F168" s="174"/>
      <c r="G168" s="174"/>
      <c r="H168" s="174">
        <v>1</v>
      </c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>
        <f t="shared" si="22"/>
        <v>1</v>
      </c>
      <c r="Z168" s="199">
        <v>1</v>
      </c>
      <c r="AB168" s="199">
        <v>1</v>
      </c>
      <c r="AD168" s="174"/>
      <c r="AE168" s="174"/>
      <c r="AF168" s="174">
        <v>1</v>
      </c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>
        <f t="shared" si="23"/>
        <v>1</v>
      </c>
      <c r="AX168" s="156">
        <v>1000</v>
      </c>
      <c r="AY168" s="203"/>
      <c r="AZ168" s="203"/>
      <c r="BA168" s="203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</row>
    <row r="169" spans="1:72" x14ac:dyDescent="0.25">
      <c r="A169" s="175" t="s">
        <v>250</v>
      </c>
      <c r="B169" s="199">
        <v>6</v>
      </c>
      <c r="D169" s="199">
        <v>18</v>
      </c>
      <c r="F169" s="174"/>
      <c r="G169" s="174"/>
      <c r="H169" s="174">
        <v>18</v>
      </c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>
        <f t="shared" si="22"/>
        <v>18</v>
      </c>
      <c r="Z169" s="199">
        <v>6</v>
      </c>
      <c r="AB169" s="199">
        <v>18</v>
      </c>
      <c r="AD169" s="174"/>
      <c r="AE169" s="174"/>
      <c r="AF169" s="174">
        <v>18</v>
      </c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>
        <f t="shared" si="23"/>
        <v>18</v>
      </c>
      <c r="AX169" s="156">
        <v>1793.25</v>
      </c>
      <c r="AY169" s="203"/>
      <c r="AZ169" s="203"/>
      <c r="BA169" s="203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</row>
    <row r="170" spans="1:72" x14ac:dyDescent="0.25">
      <c r="A170" s="175" t="s">
        <v>251</v>
      </c>
      <c r="B170" s="199">
        <v>1</v>
      </c>
      <c r="D170" s="199">
        <v>2</v>
      </c>
      <c r="F170" s="174"/>
      <c r="G170" s="174"/>
      <c r="H170" s="174">
        <v>2</v>
      </c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>
        <f t="shared" si="22"/>
        <v>2</v>
      </c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>
        <f t="shared" si="23"/>
        <v>0</v>
      </c>
      <c r="AX170" s="156"/>
      <c r="AY170" s="203"/>
      <c r="AZ170" s="203"/>
      <c r="BA170" s="203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</row>
    <row r="171" spans="1:72" x14ac:dyDescent="0.25">
      <c r="A171" s="175" t="s">
        <v>252</v>
      </c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>
        <f t="shared" si="22"/>
        <v>0</v>
      </c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>
        <f t="shared" si="23"/>
        <v>0</v>
      </c>
      <c r="AX171" s="156"/>
      <c r="AY171" s="203"/>
      <c r="AZ171" s="203"/>
      <c r="BA171" s="203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</row>
    <row r="172" spans="1:72" x14ac:dyDescent="0.25">
      <c r="A172" s="175" t="s">
        <v>253</v>
      </c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>
        <f t="shared" si="22"/>
        <v>0</v>
      </c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>
        <f t="shared" si="23"/>
        <v>0</v>
      </c>
      <c r="AX172" s="156"/>
      <c r="AY172" s="203"/>
      <c r="AZ172" s="203"/>
      <c r="BA172" s="203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</row>
    <row r="173" spans="1:72" x14ac:dyDescent="0.25">
      <c r="A173" s="175" t="s">
        <v>254</v>
      </c>
      <c r="B173" s="199">
        <v>1</v>
      </c>
      <c r="D173" s="199">
        <v>1</v>
      </c>
      <c r="F173" s="174"/>
      <c r="G173" s="174"/>
      <c r="H173" s="174"/>
      <c r="I173" s="174"/>
      <c r="J173" s="174"/>
      <c r="K173" s="174"/>
      <c r="L173" s="174"/>
      <c r="M173" s="174">
        <v>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>
        <f t="shared" si="22"/>
        <v>1</v>
      </c>
      <c r="Z173" s="199">
        <v>1</v>
      </c>
      <c r="AB173" s="199">
        <v>1</v>
      </c>
      <c r="AD173" s="174"/>
      <c r="AE173" s="174"/>
      <c r="AF173" s="174"/>
      <c r="AG173" s="174"/>
      <c r="AH173" s="174"/>
      <c r="AI173" s="174"/>
      <c r="AJ173" s="174"/>
      <c r="AK173" s="174">
        <v>1</v>
      </c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>
        <f t="shared" si="23"/>
        <v>1</v>
      </c>
      <c r="AX173" s="156">
        <v>4179</v>
      </c>
      <c r="AY173" s="203"/>
      <c r="AZ173" s="203"/>
      <c r="BA173" s="203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</row>
    <row r="174" spans="1:72" x14ac:dyDescent="0.25">
      <c r="A174" s="175" t="s">
        <v>255</v>
      </c>
      <c r="B174" s="199">
        <v>38</v>
      </c>
      <c r="D174" s="199">
        <v>71</v>
      </c>
      <c r="F174" s="174"/>
      <c r="G174" s="174"/>
      <c r="H174" s="174">
        <v>4</v>
      </c>
      <c r="I174" s="174"/>
      <c r="J174" s="174"/>
      <c r="K174" s="174">
        <v>28</v>
      </c>
      <c r="L174" s="174">
        <v>10</v>
      </c>
      <c r="M174" s="174"/>
      <c r="N174" s="174"/>
      <c r="O174" s="174"/>
      <c r="P174" s="174"/>
      <c r="Q174" s="174">
        <v>12</v>
      </c>
      <c r="R174" s="174">
        <v>9</v>
      </c>
      <c r="S174" s="174"/>
      <c r="T174" s="174"/>
      <c r="U174" s="174"/>
      <c r="V174" s="174">
        <v>8</v>
      </c>
      <c r="W174" s="174"/>
      <c r="X174" s="174"/>
      <c r="Y174" s="174">
        <f t="shared" si="22"/>
        <v>71</v>
      </c>
      <c r="Z174" s="199">
        <v>25</v>
      </c>
      <c r="AB174" s="199">
        <v>39</v>
      </c>
      <c r="AD174" s="174"/>
      <c r="AE174" s="174"/>
      <c r="AF174" s="174">
        <v>4</v>
      </c>
      <c r="AG174" s="174"/>
      <c r="AH174" s="174"/>
      <c r="AI174" s="174">
        <v>24</v>
      </c>
      <c r="AJ174" s="174">
        <v>9</v>
      </c>
      <c r="AK174" s="174"/>
      <c r="AL174" s="174"/>
      <c r="AM174" s="174"/>
      <c r="AN174" s="174"/>
      <c r="AO174" s="174"/>
      <c r="AP174" s="174">
        <v>2</v>
      </c>
      <c r="AQ174" s="174"/>
      <c r="AR174" s="174"/>
      <c r="AS174" s="174"/>
      <c r="AT174" s="174"/>
      <c r="AU174" s="174"/>
      <c r="AV174" s="174"/>
      <c r="AW174" s="174">
        <f t="shared" si="23"/>
        <v>39</v>
      </c>
      <c r="AX174" s="156">
        <v>4277.181818181818</v>
      </c>
      <c r="AY174" s="203"/>
      <c r="AZ174" s="203"/>
      <c r="BA174" s="203"/>
      <c r="BB174" s="144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</row>
    <row r="175" spans="1:72" x14ac:dyDescent="0.25">
      <c r="A175" s="175" t="s">
        <v>256</v>
      </c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>
        <f t="shared" si="22"/>
        <v>0</v>
      </c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>
        <f t="shared" si="23"/>
        <v>0</v>
      </c>
      <c r="AX175" s="156"/>
      <c r="AY175" s="203"/>
      <c r="AZ175" s="203"/>
      <c r="BA175" s="203"/>
      <c r="BB175" s="144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</row>
    <row r="176" spans="1:72" x14ac:dyDescent="0.25">
      <c r="A176" s="175" t="s">
        <v>257</v>
      </c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>
        <f t="shared" si="22"/>
        <v>0</v>
      </c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>
        <f t="shared" si="23"/>
        <v>0</v>
      </c>
      <c r="AX176" s="156"/>
      <c r="AY176" s="203"/>
      <c r="AZ176" s="203"/>
      <c r="BA176" s="203"/>
      <c r="BB176" s="144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</row>
    <row r="177" spans="1:66" x14ac:dyDescent="0.25">
      <c r="A177" s="175" t="s">
        <v>258</v>
      </c>
      <c r="B177" s="199">
        <v>1</v>
      </c>
      <c r="D177" s="199">
        <v>5</v>
      </c>
      <c r="F177" s="174"/>
      <c r="G177" s="174"/>
      <c r="H177" s="174">
        <v>5</v>
      </c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>
        <f t="shared" si="22"/>
        <v>5</v>
      </c>
      <c r="Z177" s="199">
        <v>1</v>
      </c>
      <c r="AB177" s="199">
        <v>3</v>
      </c>
      <c r="AD177" s="174"/>
      <c r="AE177" s="174"/>
      <c r="AF177" s="174">
        <v>3</v>
      </c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>
        <f t="shared" si="23"/>
        <v>3</v>
      </c>
      <c r="AX177" s="156">
        <v>4000</v>
      </c>
      <c r="AY177" s="203"/>
      <c r="AZ177" s="203"/>
      <c r="BA177" s="203"/>
      <c r="BB177" s="144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</row>
    <row r="178" spans="1:66" x14ac:dyDescent="0.25">
      <c r="A178" s="173" t="s">
        <v>44</v>
      </c>
      <c r="B178" s="199">
        <f t="shared" ref="B178:X178" si="24">SUM(B179:B180)</f>
        <v>11</v>
      </c>
      <c r="C178" s="199">
        <f t="shared" si="24"/>
        <v>3</v>
      </c>
      <c r="D178" s="199">
        <f t="shared" si="24"/>
        <v>22</v>
      </c>
      <c r="E178" s="199">
        <f t="shared" si="24"/>
        <v>3</v>
      </c>
      <c r="F178" s="174">
        <f t="shared" si="24"/>
        <v>0</v>
      </c>
      <c r="G178" s="174">
        <f t="shared" si="24"/>
        <v>0</v>
      </c>
      <c r="H178" s="174">
        <f t="shared" si="24"/>
        <v>1</v>
      </c>
      <c r="I178" s="174">
        <f t="shared" si="24"/>
        <v>0</v>
      </c>
      <c r="J178" s="174">
        <f t="shared" si="24"/>
        <v>0</v>
      </c>
      <c r="K178" s="174">
        <f t="shared" si="24"/>
        <v>0</v>
      </c>
      <c r="L178" s="174">
        <f t="shared" si="24"/>
        <v>0</v>
      </c>
      <c r="M178" s="174">
        <f t="shared" si="24"/>
        <v>0</v>
      </c>
      <c r="N178" s="174">
        <f t="shared" si="24"/>
        <v>0</v>
      </c>
      <c r="O178" s="174">
        <f t="shared" si="24"/>
        <v>0</v>
      </c>
      <c r="P178" s="174">
        <f t="shared" si="24"/>
        <v>0</v>
      </c>
      <c r="Q178" s="174">
        <f t="shared" si="24"/>
        <v>1</v>
      </c>
      <c r="R178" s="174">
        <f t="shared" si="24"/>
        <v>6</v>
      </c>
      <c r="S178" s="174">
        <f t="shared" si="24"/>
        <v>10</v>
      </c>
      <c r="T178" s="174">
        <f t="shared" si="24"/>
        <v>0</v>
      </c>
      <c r="U178" s="174">
        <f t="shared" si="24"/>
        <v>0</v>
      </c>
      <c r="V178" s="174">
        <f t="shared" si="24"/>
        <v>3</v>
      </c>
      <c r="W178" s="174">
        <f t="shared" si="24"/>
        <v>1</v>
      </c>
      <c r="X178" s="174">
        <f t="shared" si="24"/>
        <v>0</v>
      </c>
      <c r="Y178" s="174">
        <f t="shared" si="22"/>
        <v>22</v>
      </c>
      <c r="Z178" s="199">
        <f t="shared" ref="Z178:AV178" si="25">Z179+Z180</f>
        <v>4</v>
      </c>
      <c r="AA178" s="199">
        <f t="shared" si="25"/>
        <v>0</v>
      </c>
      <c r="AB178" s="199">
        <f t="shared" si="25"/>
        <v>9</v>
      </c>
      <c r="AC178" s="199">
        <f t="shared" si="25"/>
        <v>0</v>
      </c>
      <c r="AD178" s="174">
        <f t="shared" si="25"/>
        <v>0</v>
      </c>
      <c r="AE178" s="174">
        <f t="shared" si="25"/>
        <v>0</v>
      </c>
      <c r="AF178" s="174">
        <f t="shared" si="25"/>
        <v>1</v>
      </c>
      <c r="AG178" s="174">
        <f t="shared" si="25"/>
        <v>0</v>
      </c>
      <c r="AH178" s="174">
        <f t="shared" si="25"/>
        <v>0</v>
      </c>
      <c r="AI178" s="174">
        <f t="shared" si="25"/>
        <v>0</v>
      </c>
      <c r="AJ178" s="174">
        <f t="shared" si="25"/>
        <v>0</v>
      </c>
      <c r="AK178" s="174">
        <f t="shared" si="25"/>
        <v>0</v>
      </c>
      <c r="AL178" s="174">
        <f t="shared" si="25"/>
        <v>0</v>
      </c>
      <c r="AM178" s="174">
        <f t="shared" si="25"/>
        <v>0</v>
      </c>
      <c r="AN178" s="174">
        <f t="shared" si="25"/>
        <v>0</v>
      </c>
      <c r="AO178" s="174">
        <f t="shared" si="25"/>
        <v>0</v>
      </c>
      <c r="AP178" s="174">
        <f t="shared" si="25"/>
        <v>3</v>
      </c>
      <c r="AQ178" s="174">
        <f t="shared" si="25"/>
        <v>5</v>
      </c>
      <c r="AR178" s="174">
        <f t="shared" si="25"/>
        <v>0</v>
      </c>
      <c r="AS178" s="174">
        <f t="shared" si="25"/>
        <v>0</v>
      </c>
      <c r="AT178" s="174">
        <f t="shared" si="25"/>
        <v>0</v>
      </c>
      <c r="AU178" s="174">
        <f t="shared" si="25"/>
        <v>0</v>
      </c>
      <c r="AV178" s="174">
        <f t="shared" si="25"/>
        <v>0</v>
      </c>
      <c r="AW178" s="174">
        <f t="shared" si="23"/>
        <v>9</v>
      </c>
      <c r="AX178" s="206">
        <v>1472.5</v>
      </c>
      <c r="AY178" s="156">
        <f>Z178*100/B178</f>
        <v>36.363636363636367</v>
      </c>
      <c r="AZ178" s="185">
        <f>B178-Z178</f>
        <v>7</v>
      </c>
      <c r="BA178" s="156">
        <f>AZ178*100/B178</f>
        <v>63.636363636363633</v>
      </c>
    </row>
    <row r="179" spans="1:66" x14ac:dyDescent="0.25">
      <c r="A179" s="175" t="s">
        <v>128</v>
      </c>
      <c r="B179" s="199">
        <v>9</v>
      </c>
      <c r="C179" s="199">
        <v>2</v>
      </c>
      <c r="D179" s="199">
        <v>20</v>
      </c>
      <c r="E179" s="199">
        <v>2</v>
      </c>
      <c r="F179" s="174"/>
      <c r="G179" s="174"/>
      <c r="H179" s="174">
        <v>1</v>
      </c>
      <c r="I179" s="174"/>
      <c r="J179" s="174"/>
      <c r="K179" s="174"/>
      <c r="L179" s="174"/>
      <c r="M179" s="174"/>
      <c r="N179" s="174"/>
      <c r="O179" s="174"/>
      <c r="P179" s="174"/>
      <c r="Q179" s="174">
        <v>1</v>
      </c>
      <c r="R179" s="174">
        <v>6</v>
      </c>
      <c r="S179" s="174">
        <v>10</v>
      </c>
      <c r="T179" s="174"/>
      <c r="U179" s="174"/>
      <c r="V179" s="174">
        <v>2</v>
      </c>
      <c r="W179" s="174"/>
      <c r="X179" s="174"/>
      <c r="Y179" s="174">
        <f t="shared" si="22"/>
        <v>20</v>
      </c>
      <c r="Z179" s="199">
        <v>4</v>
      </c>
      <c r="AB179" s="199">
        <v>9</v>
      </c>
      <c r="AD179" s="174"/>
      <c r="AE179" s="174"/>
      <c r="AF179" s="174">
        <v>1</v>
      </c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>
        <v>3</v>
      </c>
      <c r="AQ179" s="174">
        <v>5</v>
      </c>
      <c r="AR179" s="174"/>
      <c r="AS179" s="174"/>
      <c r="AT179" s="174"/>
      <c r="AU179" s="174"/>
      <c r="AV179" s="174"/>
      <c r="AW179" s="174">
        <f t="shared" si="23"/>
        <v>9</v>
      </c>
      <c r="AX179" s="156">
        <v>1472.5</v>
      </c>
      <c r="AY179" s="203"/>
      <c r="AZ179" s="203"/>
      <c r="BA179" s="203"/>
    </row>
    <row r="180" spans="1:66" x14ac:dyDescent="0.25">
      <c r="A180" s="175" t="s">
        <v>129</v>
      </c>
      <c r="B180" s="199">
        <v>2</v>
      </c>
      <c r="C180" s="199">
        <v>1</v>
      </c>
      <c r="D180" s="199">
        <v>2</v>
      </c>
      <c r="E180" s="199">
        <v>1</v>
      </c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>
        <v>1</v>
      </c>
      <c r="W180" s="174">
        <v>1</v>
      </c>
      <c r="X180" s="174"/>
      <c r="Y180" s="174">
        <f t="shared" si="22"/>
        <v>2</v>
      </c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>
        <f t="shared" si="23"/>
        <v>0</v>
      </c>
      <c r="AX180" s="156"/>
      <c r="AY180" s="203"/>
      <c r="AZ180" s="203"/>
      <c r="BA180" s="203"/>
    </row>
    <row r="181" spans="1:66" x14ac:dyDescent="0.25">
      <c r="A181" s="173" t="s">
        <v>45</v>
      </c>
      <c r="B181" s="199">
        <f t="shared" ref="B181:X181" si="26">B182+B183+B184+B185+B186+B187+B188+B189+B190+B191+B192+B193+B194</f>
        <v>174</v>
      </c>
      <c r="C181" s="199">
        <f t="shared" si="26"/>
        <v>130</v>
      </c>
      <c r="D181" s="199">
        <f t="shared" si="26"/>
        <v>976</v>
      </c>
      <c r="E181" s="199">
        <f t="shared" si="26"/>
        <v>782</v>
      </c>
      <c r="F181" s="174">
        <f t="shared" si="26"/>
        <v>0</v>
      </c>
      <c r="G181" s="174">
        <f t="shared" si="26"/>
        <v>0</v>
      </c>
      <c r="H181" s="174">
        <f t="shared" si="26"/>
        <v>0</v>
      </c>
      <c r="I181" s="174">
        <f t="shared" si="26"/>
        <v>0</v>
      </c>
      <c r="J181" s="174">
        <f t="shared" si="26"/>
        <v>0</v>
      </c>
      <c r="K181" s="174">
        <f t="shared" si="26"/>
        <v>0</v>
      </c>
      <c r="L181" s="174">
        <f t="shared" si="26"/>
        <v>3</v>
      </c>
      <c r="M181" s="174">
        <f t="shared" si="26"/>
        <v>0</v>
      </c>
      <c r="N181" s="174">
        <f t="shared" si="26"/>
        <v>0</v>
      </c>
      <c r="O181" s="174">
        <f t="shared" si="26"/>
        <v>2</v>
      </c>
      <c r="P181" s="174">
        <f t="shared" si="26"/>
        <v>18</v>
      </c>
      <c r="Q181" s="174">
        <f t="shared" si="26"/>
        <v>0</v>
      </c>
      <c r="R181" s="174">
        <f t="shared" si="26"/>
        <v>0</v>
      </c>
      <c r="S181" s="174">
        <f t="shared" si="26"/>
        <v>0</v>
      </c>
      <c r="T181" s="174">
        <f t="shared" si="26"/>
        <v>1</v>
      </c>
      <c r="U181" s="174">
        <f t="shared" si="26"/>
        <v>149</v>
      </c>
      <c r="V181" s="174">
        <f t="shared" si="26"/>
        <v>745</v>
      </c>
      <c r="W181" s="174">
        <f t="shared" si="26"/>
        <v>0</v>
      </c>
      <c r="X181" s="174">
        <f t="shared" si="26"/>
        <v>58</v>
      </c>
      <c r="Y181" s="174">
        <f t="shared" si="22"/>
        <v>976</v>
      </c>
      <c r="Z181" s="199">
        <f t="shared" ref="Z181:AV181" si="27">Z182+Z183+Z184+Z185+Z186+Z187+Z188+Z189+Z190+Z191+Z192+Z193+Z194</f>
        <v>122</v>
      </c>
      <c r="AA181" s="199">
        <f t="shared" si="27"/>
        <v>96</v>
      </c>
      <c r="AB181" s="199">
        <f t="shared" si="27"/>
        <v>740</v>
      </c>
      <c r="AC181" s="199">
        <f t="shared" si="27"/>
        <v>739</v>
      </c>
      <c r="AD181" s="174">
        <f t="shared" si="27"/>
        <v>0</v>
      </c>
      <c r="AE181" s="174">
        <f t="shared" si="27"/>
        <v>0</v>
      </c>
      <c r="AF181" s="174">
        <f t="shared" si="27"/>
        <v>0</v>
      </c>
      <c r="AG181" s="174">
        <f t="shared" si="27"/>
        <v>0</v>
      </c>
      <c r="AH181" s="174">
        <f t="shared" si="27"/>
        <v>0</v>
      </c>
      <c r="AI181" s="174">
        <f t="shared" si="27"/>
        <v>0</v>
      </c>
      <c r="AJ181" s="174">
        <f t="shared" si="27"/>
        <v>3</v>
      </c>
      <c r="AK181" s="174">
        <f t="shared" si="27"/>
        <v>0</v>
      </c>
      <c r="AL181" s="174">
        <f t="shared" si="27"/>
        <v>0</v>
      </c>
      <c r="AM181" s="174">
        <f t="shared" si="27"/>
        <v>2</v>
      </c>
      <c r="AN181" s="174">
        <f t="shared" si="27"/>
        <v>0</v>
      </c>
      <c r="AO181" s="174">
        <f t="shared" si="27"/>
        <v>0</v>
      </c>
      <c r="AP181" s="174">
        <f t="shared" si="27"/>
        <v>0</v>
      </c>
      <c r="AQ181" s="174">
        <f t="shared" si="27"/>
        <v>0</v>
      </c>
      <c r="AR181" s="174">
        <f t="shared" si="27"/>
        <v>1</v>
      </c>
      <c r="AS181" s="174">
        <f t="shared" si="27"/>
        <v>142</v>
      </c>
      <c r="AT181" s="174">
        <f t="shared" si="27"/>
        <v>568</v>
      </c>
      <c r="AU181" s="174">
        <f t="shared" si="27"/>
        <v>0</v>
      </c>
      <c r="AV181" s="174">
        <f t="shared" si="27"/>
        <v>24</v>
      </c>
      <c r="AW181" s="174">
        <f t="shared" si="23"/>
        <v>740</v>
      </c>
      <c r="AX181" s="206">
        <v>2656.79</v>
      </c>
      <c r="AY181" s="156">
        <f>Z181*100/B181</f>
        <v>70.114942528735625</v>
      </c>
      <c r="AZ181" s="185">
        <f>B181-Z181</f>
        <v>52</v>
      </c>
      <c r="BA181" s="156">
        <f>AZ181*100/B181</f>
        <v>29.885057471264368</v>
      </c>
    </row>
    <row r="182" spans="1:66" x14ac:dyDescent="0.25">
      <c r="A182" s="175" t="s">
        <v>259</v>
      </c>
      <c r="B182" s="199">
        <v>122</v>
      </c>
      <c r="C182" s="199">
        <v>95</v>
      </c>
      <c r="D182" s="199">
        <v>806</v>
      </c>
      <c r="E182" s="199">
        <v>665</v>
      </c>
      <c r="F182" s="174"/>
      <c r="G182" s="174"/>
      <c r="H182" s="174"/>
      <c r="I182" s="174"/>
      <c r="J182" s="174"/>
      <c r="K182" s="174"/>
      <c r="L182" s="174">
        <v>1</v>
      </c>
      <c r="M182" s="174"/>
      <c r="N182" s="174"/>
      <c r="O182" s="174">
        <v>2</v>
      </c>
      <c r="P182" s="174">
        <v>18</v>
      </c>
      <c r="Q182" s="174"/>
      <c r="R182" s="174"/>
      <c r="S182" s="174"/>
      <c r="T182" s="174"/>
      <c r="U182" s="174">
        <v>106</v>
      </c>
      <c r="V182" s="174">
        <v>660</v>
      </c>
      <c r="W182" s="174"/>
      <c r="X182" s="174">
        <v>19</v>
      </c>
      <c r="Y182" s="174">
        <f t="shared" si="22"/>
        <v>806</v>
      </c>
      <c r="Z182" s="199">
        <v>83</v>
      </c>
      <c r="AA182" s="199">
        <v>66</v>
      </c>
      <c r="AB182" s="199">
        <v>613</v>
      </c>
      <c r="AC182" s="199">
        <v>643</v>
      </c>
      <c r="AD182" s="174"/>
      <c r="AE182" s="174"/>
      <c r="AF182" s="174"/>
      <c r="AG182" s="174"/>
      <c r="AH182" s="174"/>
      <c r="AI182" s="174"/>
      <c r="AJ182" s="174">
        <v>1</v>
      </c>
      <c r="AK182" s="174"/>
      <c r="AL182" s="174"/>
      <c r="AM182" s="174">
        <v>2</v>
      </c>
      <c r="AN182" s="174"/>
      <c r="AO182" s="174"/>
      <c r="AP182" s="174"/>
      <c r="AQ182" s="174"/>
      <c r="AR182" s="174"/>
      <c r="AS182" s="174">
        <v>110</v>
      </c>
      <c r="AT182" s="174">
        <v>500</v>
      </c>
      <c r="AU182" s="174"/>
      <c r="AV182" s="174"/>
      <c r="AW182" s="174">
        <f t="shared" si="23"/>
        <v>613</v>
      </c>
      <c r="AX182" s="156">
        <v>2135.7037037037039</v>
      </c>
      <c r="AY182" s="203"/>
      <c r="AZ182" s="203"/>
      <c r="BA182" s="203"/>
    </row>
    <row r="183" spans="1:66" x14ac:dyDescent="0.25">
      <c r="A183" s="175" t="s">
        <v>260</v>
      </c>
      <c r="B183" s="199">
        <v>13</v>
      </c>
      <c r="C183" s="199">
        <v>9</v>
      </c>
      <c r="D183" s="199">
        <v>79</v>
      </c>
      <c r="E183" s="199">
        <v>72</v>
      </c>
      <c r="F183" s="174"/>
      <c r="G183" s="174"/>
      <c r="H183" s="174"/>
      <c r="I183" s="174"/>
      <c r="J183" s="174"/>
      <c r="K183" s="174"/>
      <c r="L183" s="174">
        <v>2</v>
      </c>
      <c r="M183" s="174"/>
      <c r="N183" s="174"/>
      <c r="O183" s="174"/>
      <c r="P183" s="174"/>
      <c r="Q183" s="174"/>
      <c r="R183" s="174"/>
      <c r="S183" s="174"/>
      <c r="T183" s="174"/>
      <c r="U183" s="174">
        <v>13</v>
      </c>
      <c r="V183" s="174">
        <v>64</v>
      </c>
      <c r="W183" s="174"/>
      <c r="X183" s="174"/>
      <c r="Y183" s="174">
        <f t="shared" si="22"/>
        <v>79</v>
      </c>
      <c r="Z183" s="199">
        <v>10</v>
      </c>
      <c r="AA183" s="199">
        <v>9</v>
      </c>
      <c r="AB183" s="199">
        <v>70</v>
      </c>
      <c r="AC183" s="199">
        <v>68</v>
      </c>
      <c r="AD183" s="174"/>
      <c r="AE183" s="174"/>
      <c r="AF183" s="174"/>
      <c r="AG183" s="174"/>
      <c r="AH183" s="174"/>
      <c r="AI183" s="174"/>
      <c r="AJ183" s="174">
        <v>2</v>
      </c>
      <c r="AK183" s="174"/>
      <c r="AL183" s="174"/>
      <c r="AM183" s="174"/>
      <c r="AN183" s="174"/>
      <c r="AO183" s="174"/>
      <c r="AP183" s="174"/>
      <c r="AQ183" s="174"/>
      <c r="AR183" s="174"/>
      <c r="AS183" s="174">
        <v>13</v>
      </c>
      <c r="AT183" s="174">
        <v>55</v>
      </c>
      <c r="AU183" s="174"/>
      <c r="AV183" s="174"/>
      <c r="AW183" s="174">
        <f t="shared" si="23"/>
        <v>70</v>
      </c>
      <c r="AX183" s="156">
        <v>2494.5</v>
      </c>
      <c r="AY183" s="203"/>
      <c r="AZ183" s="203"/>
      <c r="BA183" s="203"/>
    </row>
    <row r="184" spans="1:66" x14ac:dyDescent="0.25">
      <c r="A184" s="175" t="s">
        <v>261</v>
      </c>
      <c r="B184" s="199">
        <v>7</v>
      </c>
      <c r="C184" s="199">
        <v>5</v>
      </c>
      <c r="D184" s="199">
        <v>9</v>
      </c>
      <c r="E184" s="199">
        <v>7</v>
      </c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>
        <v>1</v>
      </c>
      <c r="U184" s="174">
        <v>5</v>
      </c>
      <c r="V184" s="174">
        <v>3</v>
      </c>
      <c r="W184" s="174"/>
      <c r="X184" s="174"/>
      <c r="Y184" s="174">
        <f t="shared" si="22"/>
        <v>9</v>
      </c>
      <c r="Z184" s="199">
        <v>7</v>
      </c>
      <c r="AA184" s="199">
        <v>5</v>
      </c>
      <c r="AB184" s="199">
        <v>9</v>
      </c>
      <c r="AC184" s="199">
        <v>7</v>
      </c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>
        <v>1</v>
      </c>
      <c r="AS184" s="174">
        <v>5</v>
      </c>
      <c r="AT184" s="174">
        <v>3</v>
      </c>
      <c r="AU184" s="174"/>
      <c r="AV184" s="174"/>
      <c r="AW184" s="174">
        <f t="shared" si="23"/>
        <v>9</v>
      </c>
      <c r="AX184" s="156">
        <v>2382.1999999999998</v>
      </c>
      <c r="AY184" s="203"/>
      <c r="AZ184" s="203"/>
      <c r="BA184" s="203"/>
    </row>
    <row r="185" spans="1:66" x14ac:dyDescent="0.25">
      <c r="A185" s="175" t="s">
        <v>262</v>
      </c>
      <c r="B185" s="199">
        <v>3</v>
      </c>
      <c r="C185" s="199">
        <v>3</v>
      </c>
      <c r="D185" s="199">
        <v>5</v>
      </c>
      <c r="E185" s="199">
        <v>5</v>
      </c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>
        <v>5</v>
      </c>
      <c r="W185" s="174"/>
      <c r="X185" s="174"/>
      <c r="Y185" s="174">
        <f t="shared" si="22"/>
        <v>5</v>
      </c>
      <c r="Z185" s="199">
        <v>2</v>
      </c>
      <c r="AA185" s="199">
        <v>2</v>
      </c>
      <c r="AB185" s="199">
        <v>2</v>
      </c>
      <c r="AC185" s="199">
        <v>2</v>
      </c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>
        <v>2</v>
      </c>
      <c r="AU185" s="174"/>
      <c r="AV185" s="174"/>
      <c r="AW185" s="174">
        <f t="shared" si="23"/>
        <v>2</v>
      </c>
      <c r="AX185" s="156">
        <v>690</v>
      </c>
      <c r="AY185" s="203"/>
      <c r="AZ185" s="203"/>
      <c r="BA185" s="203"/>
    </row>
    <row r="186" spans="1:66" x14ac:dyDescent="0.25">
      <c r="A186" s="175" t="s">
        <v>263</v>
      </c>
      <c r="B186" s="199">
        <v>1</v>
      </c>
      <c r="C186" s="199">
        <v>1</v>
      </c>
      <c r="D186" s="199">
        <v>1</v>
      </c>
      <c r="E186" s="199">
        <v>1</v>
      </c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>
        <v>1</v>
      </c>
      <c r="W186" s="174"/>
      <c r="X186" s="174"/>
      <c r="Y186" s="174">
        <f t="shared" si="22"/>
        <v>1</v>
      </c>
      <c r="Z186" s="199">
        <v>1</v>
      </c>
      <c r="AA186" s="199">
        <v>1</v>
      </c>
      <c r="AB186" s="199">
        <v>1</v>
      </c>
      <c r="AC186" s="199">
        <v>1</v>
      </c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>
        <v>1</v>
      </c>
      <c r="AU186" s="174"/>
      <c r="AV186" s="174"/>
      <c r="AW186" s="174">
        <f t="shared" si="23"/>
        <v>1</v>
      </c>
      <c r="AX186" s="156">
        <v>4899</v>
      </c>
      <c r="AY186" s="203"/>
      <c r="AZ186" s="203"/>
      <c r="BA186" s="203"/>
    </row>
    <row r="187" spans="1:66" x14ac:dyDescent="0.25">
      <c r="A187" s="175" t="s">
        <v>264</v>
      </c>
      <c r="B187" s="199">
        <v>5</v>
      </c>
      <c r="C187" s="199">
        <v>2</v>
      </c>
      <c r="D187" s="199">
        <v>47</v>
      </c>
      <c r="E187" s="199">
        <v>10</v>
      </c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>
        <v>8</v>
      </c>
      <c r="V187" s="174">
        <v>2</v>
      </c>
      <c r="W187" s="174"/>
      <c r="X187" s="174">
        <v>37</v>
      </c>
      <c r="Y187" s="174">
        <f t="shared" si="22"/>
        <v>47</v>
      </c>
      <c r="Z187" s="199">
        <v>3</v>
      </c>
      <c r="AA187" s="199">
        <v>1</v>
      </c>
      <c r="AB187" s="199">
        <v>25</v>
      </c>
      <c r="AC187" s="199">
        <v>2</v>
      </c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>
        <v>2</v>
      </c>
      <c r="AU187" s="174"/>
      <c r="AV187" s="174">
        <v>23</v>
      </c>
      <c r="AW187" s="174">
        <f t="shared" si="23"/>
        <v>25</v>
      </c>
      <c r="AX187" s="156">
        <v>2404.3333333333335</v>
      </c>
      <c r="AY187" s="203"/>
      <c r="AZ187" s="203"/>
      <c r="BA187" s="203"/>
    </row>
    <row r="188" spans="1:66" x14ac:dyDescent="0.25">
      <c r="A188" s="175" t="s">
        <v>265</v>
      </c>
      <c r="B188" s="199">
        <v>4</v>
      </c>
      <c r="C188" s="199">
        <v>2</v>
      </c>
      <c r="D188" s="199">
        <v>2</v>
      </c>
      <c r="E188" s="199">
        <v>2</v>
      </c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>
        <v>2</v>
      </c>
      <c r="V188" s="174"/>
      <c r="W188" s="174"/>
      <c r="X188" s="174"/>
      <c r="Y188" s="174">
        <f t="shared" si="22"/>
        <v>2</v>
      </c>
      <c r="Z188" s="199">
        <v>2</v>
      </c>
      <c r="AA188" s="199">
        <v>2</v>
      </c>
      <c r="AB188" s="199">
        <v>2</v>
      </c>
      <c r="AC188" s="199">
        <v>2</v>
      </c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>
        <v>2</v>
      </c>
      <c r="AT188" s="174"/>
      <c r="AU188" s="174"/>
      <c r="AV188" s="174"/>
      <c r="AW188" s="174">
        <f t="shared" si="23"/>
        <v>2</v>
      </c>
      <c r="AX188" s="156">
        <v>2640</v>
      </c>
      <c r="AY188" s="203"/>
      <c r="AZ188" s="203"/>
      <c r="BA188" s="203"/>
    </row>
    <row r="189" spans="1:66" x14ac:dyDescent="0.25">
      <c r="A189" s="175" t="s">
        <v>266</v>
      </c>
      <c r="B189" s="199">
        <v>12</v>
      </c>
      <c r="C189" s="199">
        <v>8</v>
      </c>
      <c r="D189" s="199">
        <v>16</v>
      </c>
      <c r="E189" s="199">
        <v>12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>
        <v>9</v>
      </c>
      <c r="V189" s="174">
        <v>5</v>
      </c>
      <c r="W189" s="174"/>
      <c r="X189" s="174">
        <v>2</v>
      </c>
      <c r="Y189" s="174">
        <f t="shared" si="22"/>
        <v>16</v>
      </c>
      <c r="Z189" s="199">
        <v>8</v>
      </c>
      <c r="AA189" s="199">
        <v>6</v>
      </c>
      <c r="AB189" s="199">
        <v>10</v>
      </c>
      <c r="AC189" s="199">
        <v>8</v>
      </c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>
        <v>7</v>
      </c>
      <c r="AT189" s="174">
        <v>2</v>
      </c>
      <c r="AU189" s="174"/>
      <c r="AV189" s="174">
        <v>1</v>
      </c>
      <c r="AW189" s="174">
        <f t="shared" si="23"/>
        <v>10</v>
      </c>
      <c r="AX189" s="156">
        <v>3375</v>
      </c>
      <c r="AY189" s="203"/>
      <c r="AZ189" s="203"/>
      <c r="BA189" s="203"/>
    </row>
    <row r="190" spans="1:66" x14ac:dyDescent="0.25">
      <c r="A190" s="175" t="s">
        <v>267</v>
      </c>
      <c r="B190" s="199">
        <v>2</v>
      </c>
      <c r="C190" s="199">
        <v>2</v>
      </c>
      <c r="D190" s="199">
        <v>3</v>
      </c>
      <c r="E190" s="199">
        <v>3</v>
      </c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>
        <v>1</v>
      </c>
      <c r="V190" s="174">
        <v>2</v>
      </c>
      <c r="W190" s="174"/>
      <c r="X190" s="174"/>
      <c r="Y190" s="174">
        <f t="shared" si="22"/>
        <v>3</v>
      </c>
      <c r="Z190" s="199">
        <v>2</v>
      </c>
      <c r="AA190" s="199">
        <v>2</v>
      </c>
      <c r="AB190" s="199">
        <v>3</v>
      </c>
      <c r="AC190" s="199">
        <v>3</v>
      </c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>
        <v>1</v>
      </c>
      <c r="AT190" s="174">
        <v>2</v>
      </c>
      <c r="AU190" s="174"/>
      <c r="AV190" s="174"/>
      <c r="AW190" s="174">
        <f t="shared" si="23"/>
        <v>3</v>
      </c>
      <c r="AX190" s="156">
        <v>2592</v>
      </c>
      <c r="AY190" s="203"/>
      <c r="AZ190" s="203"/>
      <c r="BA190" s="203"/>
    </row>
    <row r="191" spans="1:66" x14ac:dyDescent="0.25">
      <c r="A191" s="175" t="s">
        <v>268</v>
      </c>
      <c r="B191" s="199">
        <v>2</v>
      </c>
      <c r="C191" s="199">
        <v>2</v>
      </c>
      <c r="D191" s="199">
        <v>4</v>
      </c>
      <c r="E191" s="199">
        <v>4</v>
      </c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>
        <v>2</v>
      </c>
      <c r="V191" s="174">
        <v>2</v>
      </c>
      <c r="W191" s="174"/>
      <c r="X191" s="174"/>
      <c r="Y191" s="174">
        <f t="shared" si="22"/>
        <v>4</v>
      </c>
      <c r="Z191" s="199">
        <v>2</v>
      </c>
      <c r="AA191" s="199">
        <v>2</v>
      </c>
      <c r="AB191" s="199">
        <v>3</v>
      </c>
      <c r="AC191" s="199">
        <v>3</v>
      </c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>
        <v>2</v>
      </c>
      <c r="AT191" s="174">
        <v>1</v>
      </c>
      <c r="AU191" s="174"/>
      <c r="AV191" s="174"/>
      <c r="AW191" s="174">
        <f t="shared" ref="AW191:AW222" si="28">SUM(AD191:AV191)</f>
        <v>3</v>
      </c>
      <c r="AX191" s="156">
        <v>2592</v>
      </c>
      <c r="AY191" s="203"/>
      <c r="AZ191" s="203"/>
      <c r="BA191" s="203"/>
    </row>
    <row r="192" spans="1:66" x14ac:dyDescent="0.25">
      <c r="A192" s="175" t="s">
        <v>269</v>
      </c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>
        <f t="shared" si="22"/>
        <v>0</v>
      </c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>
        <f t="shared" si="28"/>
        <v>0</v>
      </c>
      <c r="AX192" s="156"/>
      <c r="AY192" s="203"/>
      <c r="AZ192" s="203"/>
      <c r="BA192" s="203"/>
    </row>
    <row r="193" spans="1:53" x14ac:dyDescent="0.25">
      <c r="A193" s="175" t="s">
        <v>270</v>
      </c>
      <c r="B193" s="199">
        <v>1</v>
      </c>
      <c r="C193" s="199">
        <v>1</v>
      </c>
      <c r="D193" s="199">
        <v>1</v>
      </c>
      <c r="E193" s="199">
        <v>1</v>
      </c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>
        <v>1</v>
      </c>
      <c r="W193" s="174"/>
      <c r="X193" s="174"/>
      <c r="Y193" s="174">
        <f t="shared" si="22"/>
        <v>1</v>
      </c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>
        <f t="shared" si="28"/>
        <v>0</v>
      </c>
      <c r="AX193" s="156"/>
      <c r="AY193" s="203"/>
      <c r="AZ193" s="203"/>
      <c r="BA193" s="203"/>
    </row>
    <row r="194" spans="1:53" x14ac:dyDescent="0.25">
      <c r="A194" s="175" t="s">
        <v>271</v>
      </c>
      <c r="B194" s="199">
        <v>2</v>
      </c>
      <c r="D194" s="199">
        <v>3</v>
      </c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>
        <v>3</v>
      </c>
      <c r="V194" s="174"/>
      <c r="W194" s="174"/>
      <c r="X194" s="174"/>
      <c r="Y194" s="174">
        <f t="shared" si="22"/>
        <v>3</v>
      </c>
      <c r="Z194" s="199">
        <v>2</v>
      </c>
      <c r="AB194" s="199">
        <v>2</v>
      </c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>
        <v>2</v>
      </c>
      <c r="AT194" s="174"/>
      <c r="AU194" s="174"/>
      <c r="AV194" s="174"/>
      <c r="AW194" s="174">
        <f t="shared" si="28"/>
        <v>2</v>
      </c>
      <c r="AX194" s="156">
        <v>3020</v>
      </c>
      <c r="AY194" s="203"/>
      <c r="AZ194" s="203"/>
      <c r="BA194" s="203"/>
    </row>
    <row r="195" spans="1:53" x14ac:dyDescent="0.25">
      <c r="A195" s="173" t="s">
        <v>46</v>
      </c>
      <c r="B195" s="199">
        <f t="shared" ref="B195:X195" si="29">SUM(B196:B222)</f>
        <v>49</v>
      </c>
      <c r="C195" s="199">
        <f t="shared" si="29"/>
        <v>31</v>
      </c>
      <c r="D195" s="199">
        <f t="shared" si="29"/>
        <v>218</v>
      </c>
      <c r="E195" s="199">
        <f t="shared" si="29"/>
        <v>108</v>
      </c>
      <c r="F195" s="174">
        <f t="shared" si="29"/>
        <v>0</v>
      </c>
      <c r="G195" s="174">
        <f t="shared" si="29"/>
        <v>0</v>
      </c>
      <c r="H195" s="174">
        <f t="shared" si="29"/>
        <v>20</v>
      </c>
      <c r="I195" s="174">
        <f t="shared" si="29"/>
        <v>0</v>
      </c>
      <c r="J195" s="174">
        <f t="shared" si="29"/>
        <v>0</v>
      </c>
      <c r="K195" s="174">
        <f t="shared" si="29"/>
        <v>1</v>
      </c>
      <c r="L195" s="174">
        <f t="shared" si="29"/>
        <v>1</v>
      </c>
      <c r="M195" s="174">
        <f t="shared" si="29"/>
        <v>0</v>
      </c>
      <c r="N195" s="174">
        <f t="shared" si="29"/>
        <v>2</v>
      </c>
      <c r="O195" s="174">
        <f t="shared" si="29"/>
        <v>1</v>
      </c>
      <c r="P195" s="174">
        <f t="shared" si="29"/>
        <v>0</v>
      </c>
      <c r="Q195" s="174">
        <f t="shared" si="29"/>
        <v>0</v>
      </c>
      <c r="R195" s="174">
        <f t="shared" si="29"/>
        <v>8</v>
      </c>
      <c r="S195" s="174">
        <f t="shared" si="29"/>
        <v>0</v>
      </c>
      <c r="T195" s="174">
        <f t="shared" si="29"/>
        <v>1</v>
      </c>
      <c r="U195" s="174">
        <f t="shared" si="29"/>
        <v>106</v>
      </c>
      <c r="V195" s="174">
        <f t="shared" si="29"/>
        <v>42</v>
      </c>
      <c r="W195" s="174">
        <f t="shared" si="29"/>
        <v>1</v>
      </c>
      <c r="X195" s="174">
        <f t="shared" si="29"/>
        <v>35</v>
      </c>
      <c r="Y195" s="174">
        <f t="shared" si="22"/>
        <v>218</v>
      </c>
      <c r="Z195" s="199">
        <f>SUM(Z196:Z222)</f>
        <v>31</v>
      </c>
      <c r="AA195" s="199">
        <f>SUM(AA196:AA222)</f>
        <v>23</v>
      </c>
      <c r="AB195" s="199">
        <f>SUM(AB196:AB222)</f>
        <v>158</v>
      </c>
      <c r="AC195" s="199">
        <v>233</v>
      </c>
      <c r="AD195" s="174">
        <f t="shared" ref="AD195:AV195" si="30">SUM(AD196:AD222)</f>
        <v>0</v>
      </c>
      <c r="AE195" s="174">
        <f t="shared" si="30"/>
        <v>0</v>
      </c>
      <c r="AF195" s="174">
        <f t="shared" si="30"/>
        <v>8</v>
      </c>
      <c r="AG195" s="174">
        <f t="shared" si="30"/>
        <v>0</v>
      </c>
      <c r="AH195" s="174">
        <f t="shared" si="30"/>
        <v>0</v>
      </c>
      <c r="AI195" s="174">
        <f t="shared" si="30"/>
        <v>1</v>
      </c>
      <c r="AJ195" s="174">
        <f t="shared" si="30"/>
        <v>1</v>
      </c>
      <c r="AK195" s="174">
        <f t="shared" si="30"/>
        <v>0</v>
      </c>
      <c r="AL195" s="174">
        <f t="shared" si="30"/>
        <v>0</v>
      </c>
      <c r="AM195" s="174">
        <f t="shared" si="30"/>
        <v>0</v>
      </c>
      <c r="AN195" s="174">
        <f t="shared" si="30"/>
        <v>0</v>
      </c>
      <c r="AO195" s="174">
        <f t="shared" si="30"/>
        <v>0</v>
      </c>
      <c r="AP195" s="174">
        <f t="shared" si="30"/>
        <v>8</v>
      </c>
      <c r="AQ195" s="174">
        <f t="shared" si="30"/>
        <v>0</v>
      </c>
      <c r="AR195" s="174">
        <f t="shared" si="30"/>
        <v>1</v>
      </c>
      <c r="AS195" s="174">
        <f t="shared" si="30"/>
        <v>79</v>
      </c>
      <c r="AT195" s="174">
        <f t="shared" si="30"/>
        <v>26</v>
      </c>
      <c r="AU195" s="174">
        <f t="shared" si="30"/>
        <v>1</v>
      </c>
      <c r="AV195" s="174">
        <f t="shared" si="30"/>
        <v>33</v>
      </c>
      <c r="AW195" s="174">
        <f t="shared" si="28"/>
        <v>158</v>
      </c>
      <c r="AX195" s="206">
        <v>1608.82</v>
      </c>
      <c r="AY195" s="156">
        <f>Z195*100/B195</f>
        <v>63.265306122448976</v>
      </c>
      <c r="AZ195" s="185">
        <f>B195-Z195</f>
        <v>18</v>
      </c>
      <c r="BA195" s="156">
        <f>AZ195*100/B195</f>
        <v>36.734693877551024</v>
      </c>
    </row>
    <row r="196" spans="1:53" x14ac:dyDescent="0.25">
      <c r="A196" s="175" t="s">
        <v>115</v>
      </c>
      <c r="B196" s="199">
        <v>15</v>
      </c>
      <c r="C196" s="199">
        <v>8</v>
      </c>
      <c r="D196" s="199">
        <v>108</v>
      </c>
      <c r="E196" s="199">
        <v>61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>
        <v>77</v>
      </c>
      <c r="V196" s="174">
        <v>31</v>
      </c>
      <c r="W196" s="174"/>
      <c r="X196" s="174"/>
      <c r="Y196" s="174">
        <f t="shared" si="22"/>
        <v>108</v>
      </c>
      <c r="Z196" s="199">
        <v>10</v>
      </c>
      <c r="AA196" s="199">
        <v>7</v>
      </c>
      <c r="AB196" s="199">
        <v>75</v>
      </c>
      <c r="AC196" s="199">
        <v>60</v>
      </c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>
        <v>55</v>
      </c>
      <c r="AT196" s="174">
        <v>20</v>
      </c>
      <c r="AU196" s="174"/>
      <c r="AV196" s="174"/>
      <c r="AW196" s="174">
        <f t="shared" si="28"/>
        <v>75</v>
      </c>
      <c r="AX196" s="156">
        <v>1229.5</v>
      </c>
      <c r="AY196" s="203"/>
      <c r="AZ196" s="203"/>
      <c r="BA196" s="203"/>
    </row>
    <row r="197" spans="1:53" x14ac:dyDescent="0.25">
      <c r="A197" s="175" t="s">
        <v>116</v>
      </c>
      <c r="B197" s="199">
        <v>2</v>
      </c>
      <c r="C197" s="199">
        <v>2</v>
      </c>
      <c r="D197" s="199">
        <v>2</v>
      </c>
      <c r="E197" s="199">
        <v>2</v>
      </c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>
        <v>2</v>
      </c>
      <c r="V197" s="174"/>
      <c r="W197" s="174"/>
      <c r="X197" s="174"/>
      <c r="Y197" s="174">
        <f t="shared" si="22"/>
        <v>2</v>
      </c>
      <c r="Z197" s="199">
        <v>2</v>
      </c>
      <c r="AA197" s="199">
        <v>2</v>
      </c>
      <c r="AB197" s="199">
        <v>2</v>
      </c>
      <c r="AC197" s="199">
        <v>2</v>
      </c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>
        <v>2</v>
      </c>
      <c r="AT197" s="174"/>
      <c r="AU197" s="174"/>
      <c r="AV197" s="174"/>
      <c r="AW197" s="174">
        <f t="shared" si="28"/>
        <v>2</v>
      </c>
      <c r="AX197" s="156">
        <v>1960</v>
      </c>
      <c r="AY197" s="203"/>
      <c r="AZ197" s="203"/>
      <c r="BA197" s="203"/>
    </row>
    <row r="198" spans="1:53" x14ac:dyDescent="0.25">
      <c r="A198" s="175" t="s">
        <v>59</v>
      </c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>
        <f t="shared" si="22"/>
        <v>0</v>
      </c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>
        <f t="shared" si="28"/>
        <v>0</v>
      </c>
      <c r="AX198" s="156"/>
      <c r="AY198" s="203"/>
      <c r="AZ198" s="203"/>
      <c r="BA198" s="203"/>
    </row>
    <row r="199" spans="1:53" x14ac:dyDescent="0.25">
      <c r="A199" s="175" t="s">
        <v>60</v>
      </c>
      <c r="B199" s="199">
        <v>2</v>
      </c>
      <c r="C199" s="199">
        <v>2</v>
      </c>
      <c r="D199" s="199">
        <v>8</v>
      </c>
      <c r="E199" s="199">
        <v>8</v>
      </c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>
        <v>8</v>
      </c>
      <c r="S199" s="174"/>
      <c r="T199" s="174"/>
      <c r="U199" s="174"/>
      <c r="V199" s="174"/>
      <c r="W199" s="174"/>
      <c r="X199" s="174"/>
      <c r="Y199" s="174">
        <f t="shared" si="22"/>
        <v>8</v>
      </c>
      <c r="Z199" s="199">
        <v>2</v>
      </c>
      <c r="AA199" s="199">
        <v>2</v>
      </c>
      <c r="AB199" s="199">
        <v>8</v>
      </c>
      <c r="AC199" s="199">
        <v>8</v>
      </c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>
        <v>8</v>
      </c>
      <c r="AQ199" s="174"/>
      <c r="AR199" s="174"/>
      <c r="AS199" s="174"/>
      <c r="AT199" s="174"/>
      <c r="AU199" s="174"/>
      <c r="AV199" s="174"/>
      <c r="AW199" s="174">
        <f t="shared" si="28"/>
        <v>8</v>
      </c>
      <c r="AX199" s="156">
        <v>434</v>
      </c>
      <c r="AY199" s="203"/>
      <c r="AZ199" s="203"/>
      <c r="BA199" s="203"/>
    </row>
    <row r="200" spans="1:53" x14ac:dyDescent="0.25">
      <c r="A200" s="175" t="s">
        <v>117</v>
      </c>
      <c r="B200" s="199">
        <v>1</v>
      </c>
      <c r="C200" s="199">
        <v>1</v>
      </c>
      <c r="D200" s="199">
        <v>1</v>
      </c>
      <c r="E200" s="199">
        <v>1</v>
      </c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>
        <v>1</v>
      </c>
      <c r="W200" s="174"/>
      <c r="X200" s="174"/>
      <c r="Y200" s="174">
        <f t="shared" si="22"/>
        <v>1</v>
      </c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>
        <f t="shared" si="28"/>
        <v>0</v>
      </c>
      <c r="AX200" s="156"/>
      <c r="AY200" s="203"/>
      <c r="AZ200" s="203"/>
      <c r="BA200" s="203"/>
    </row>
    <row r="201" spans="1:53" x14ac:dyDescent="0.25">
      <c r="A201" s="175" t="s">
        <v>118</v>
      </c>
      <c r="B201" s="199">
        <v>2</v>
      </c>
      <c r="C201" s="199">
        <v>2</v>
      </c>
      <c r="D201" s="199">
        <v>2</v>
      </c>
      <c r="E201" s="199">
        <v>2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>
        <v>1</v>
      </c>
      <c r="U201" s="174"/>
      <c r="V201" s="174"/>
      <c r="W201" s="174">
        <v>1</v>
      </c>
      <c r="X201" s="174"/>
      <c r="Y201" s="174">
        <f t="shared" si="22"/>
        <v>2</v>
      </c>
      <c r="Z201" s="199">
        <v>2</v>
      </c>
      <c r="AA201" s="199">
        <v>2</v>
      </c>
      <c r="AB201" s="199">
        <v>2</v>
      </c>
      <c r="AC201" s="199">
        <v>2</v>
      </c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>
        <v>1</v>
      </c>
      <c r="AS201" s="174"/>
      <c r="AT201" s="174"/>
      <c r="AU201" s="174">
        <v>1</v>
      </c>
      <c r="AV201" s="174"/>
      <c r="AW201" s="174">
        <f t="shared" si="28"/>
        <v>2</v>
      </c>
      <c r="AX201" s="156">
        <v>2644</v>
      </c>
      <c r="AY201" s="203"/>
      <c r="AZ201" s="203"/>
      <c r="BA201" s="203"/>
    </row>
    <row r="202" spans="1:53" x14ac:dyDescent="0.25">
      <c r="A202" s="175" t="s">
        <v>119</v>
      </c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>
        <f t="shared" si="22"/>
        <v>0</v>
      </c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>
        <f t="shared" si="28"/>
        <v>0</v>
      </c>
      <c r="AX202" s="156"/>
      <c r="AY202" s="203"/>
      <c r="AZ202" s="203"/>
      <c r="BA202" s="203"/>
    </row>
    <row r="203" spans="1:53" x14ac:dyDescent="0.25">
      <c r="A203" s="175" t="s">
        <v>120</v>
      </c>
      <c r="B203" s="199">
        <v>1</v>
      </c>
      <c r="C203" s="199">
        <v>1</v>
      </c>
      <c r="D203" s="199">
        <v>1</v>
      </c>
      <c r="E203" s="199">
        <v>1</v>
      </c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>
        <v>1</v>
      </c>
      <c r="W203" s="174"/>
      <c r="X203" s="174"/>
      <c r="Y203" s="174">
        <f t="shared" si="22"/>
        <v>1</v>
      </c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>
        <f t="shared" si="28"/>
        <v>0</v>
      </c>
      <c r="AX203" s="156"/>
      <c r="AY203" s="203"/>
      <c r="AZ203" s="203"/>
      <c r="BA203" s="203"/>
    </row>
    <row r="204" spans="1:53" x14ac:dyDescent="0.25">
      <c r="A204" s="217" t="s">
        <v>121</v>
      </c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>
        <f t="shared" si="22"/>
        <v>0</v>
      </c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>
        <f t="shared" si="28"/>
        <v>0</v>
      </c>
      <c r="AX204" s="156"/>
      <c r="AY204" s="203"/>
      <c r="AZ204" s="203"/>
      <c r="BA204" s="203"/>
    </row>
    <row r="205" spans="1:53" x14ac:dyDescent="0.25">
      <c r="A205" s="217" t="s">
        <v>122</v>
      </c>
      <c r="B205" s="199">
        <v>7</v>
      </c>
      <c r="D205" s="199">
        <v>27</v>
      </c>
      <c r="F205" s="174"/>
      <c r="G205" s="174"/>
      <c r="H205" s="174">
        <v>20</v>
      </c>
      <c r="I205" s="174"/>
      <c r="J205" s="174"/>
      <c r="K205" s="174"/>
      <c r="L205" s="174"/>
      <c r="M205" s="174"/>
      <c r="N205" s="174">
        <v>2</v>
      </c>
      <c r="O205" s="174">
        <v>1</v>
      </c>
      <c r="P205" s="174"/>
      <c r="Q205" s="174"/>
      <c r="R205" s="174"/>
      <c r="S205" s="174"/>
      <c r="T205" s="174"/>
      <c r="U205" s="174"/>
      <c r="V205" s="174">
        <v>2</v>
      </c>
      <c r="W205" s="174"/>
      <c r="X205" s="174">
        <v>2</v>
      </c>
      <c r="Y205" s="174">
        <f t="shared" si="22"/>
        <v>27</v>
      </c>
      <c r="Z205" s="199">
        <v>2</v>
      </c>
      <c r="AB205" s="199">
        <v>9</v>
      </c>
      <c r="AD205" s="174"/>
      <c r="AE205" s="174"/>
      <c r="AF205" s="174">
        <v>8</v>
      </c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>
        <v>1</v>
      </c>
      <c r="AU205" s="174"/>
      <c r="AV205" s="174"/>
      <c r="AW205" s="174">
        <f t="shared" si="28"/>
        <v>9</v>
      </c>
      <c r="AX205" s="156">
        <v>2580</v>
      </c>
      <c r="AY205" s="203"/>
      <c r="AZ205" s="203"/>
      <c r="BA205" s="203"/>
    </row>
    <row r="206" spans="1:53" x14ac:dyDescent="0.25">
      <c r="A206" s="217" t="s">
        <v>123</v>
      </c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>
        <f t="shared" si="22"/>
        <v>0</v>
      </c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>
        <f t="shared" si="28"/>
        <v>0</v>
      </c>
      <c r="AX206" s="156"/>
      <c r="AY206" s="203"/>
      <c r="AZ206" s="203"/>
      <c r="BA206" s="203"/>
    </row>
    <row r="207" spans="1:53" x14ac:dyDescent="0.25">
      <c r="A207" s="175" t="s">
        <v>61</v>
      </c>
      <c r="B207" s="199">
        <v>2</v>
      </c>
      <c r="C207" s="199">
        <v>2</v>
      </c>
      <c r="D207" s="199">
        <v>2</v>
      </c>
      <c r="E207" s="199">
        <v>2</v>
      </c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>
        <v>2</v>
      </c>
      <c r="V207" s="174"/>
      <c r="W207" s="174"/>
      <c r="X207" s="174"/>
      <c r="Y207" s="174">
        <f t="shared" si="22"/>
        <v>2</v>
      </c>
      <c r="Z207" s="199">
        <v>1</v>
      </c>
      <c r="AA207" s="199">
        <v>1</v>
      </c>
      <c r="AB207" s="199">
        <v>1</v>
      </c>
      <c r="AC207" s="199">
        <v>1</v>
      </c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>
        <v>1</v>
      </c>
      <c r="AT207" s="174"/>
      <c r="AU207" s="174"/>
      <c r="AV207" s="174"/>
      <c r="AW207" s="174">
        <f t="shared" si="28"/>
        <v>1</v>
      </c>
      <c r="AX207" s="156">
        <v>864</v>
      </c>
      <c r="AY207" s="203"/>
      <c r="AZ207" s="203"/>
      <c r="BA207" s="203"/>
    </row>
    <row r="208" spans="1:53" x14ac:dyDescent="0.25">
      <c r="A208" s="175" t="s">
        <v>62</v>
      </c>
      <c r="B208" s="199">
        <v>3</v>
      </c>
      <c r="C208" s="199">
        <v>3</v>
      </c>
      <c r="D208" s="199">
        <v>9</v>
      </c>
      <c r="E208" s="199">
        <v>9</v>
      </c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>
        <v>9</v>
      </c>
      <c r="V208" s="174"/>
      <c r="W208" s="174"/>
      <c r="X208" s="174"/>
      <c r="Y208" s="174">
        <f t="shared" si="22"/>
        <v>9</v>
      </c>
      <c r="Z208" s="199">
        <v>2</v>
      </c>
      <c r="AA208" s="199">
        <v>2</v>
      </c>
      <c r="AB208" s="199">
        <v>8</v>
      </c>
      <c r="AC208" s="199">
        <v>8</v>
      </c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>
        <v>8</v>
      </c>
      <c r="AT208" s="174"/>
      <c r="AU208" s="174"/>
      <c r="AV208" s="174"/>
      <c r="AW208" s="174">
        <f t="shared" si="28"/>
        <v>8</v>
      </c>
      <c r="AX208" s="156">
        <v>2132</v>
      </c>
      <c r="AY208" s="203"/>
      <c r="AZ208" s="203"/>
      <c r="BA208" s="203"/>
    </row>
    <row r="209" spans="1:53" x14ac:dyDescent="0.25">
      <c r="A209" s="175" t="s">
        <v>63</v>
      </c>
      <c r="B209" s="199">
        <v>2</v>
      </c>
      <c r="C209" s="199">
        <v>2</v>
      </c>
      <c r="D209" s="199">
        <v>2</v>
      </c>
      <c r="E209" s="199">
        <v>2</v>
      </c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>
        <v>2</v>
      </c>
      <c r="W209" s="174"/>
      <c r="X209" s="174"/>
      <c r="Y209" s="174">
        <f t="shared" si="22"/>
        <v>2</v>
      </c>
      <c r="Z209" s="199">
        <v>2</v>
      </c>
      <c r="AA209" s="199">
        <v>2</v>
      </c>
      <c r="AB209" s="199">
        <v>2</v>
      </c>
      <c r="AC209" s="199">
        <v>2</v>
      </c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>
        <v>2</v>
      </c>
      <c r="AU209" s="174"/>
      <c r="AV209" s="174"/>
      <c r="AW209" s="174">
        <f t="shared" si="28"/>
        <v>2</v>
      </c>
      <c r="AX209" s="156">
        <v>2880</v>
      </c>
      <c r="AY209" s="203"/>
      <c r="AZ209" s="203"/>
      <c r="BA209" s="203"/>
    </row>
    <row r="210" spans="1:53" x14ac:dyDescent="0.25">
      <c r="A210" s="175" t="s">
        <v>64</v>
      </c>
      <c r="B210" s="199">
        <v>1</v>
      </c>
      <c r="C210" s="199">
        <v>1</v>
      </c>
      <c r="D210" s="199">
        <v>2</v>
      </c>
      <c r="E210" s="199">
        <v>2</v>
      </c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>
        <v>2</v>
      </c>
      <c r="W210" s="174"/>
      <c r="X210" s="174"/>
      <c r="Y210" s="174">
        <f t="shared" si="22"/>
        <v>2</v>
      </c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>
        <f t="shared" si="28"/>
        <v>0</v>
      </c>
      <c r="AX210" s="156"/>
      <c r="AY210" s="203"/>
      <c r="AZ210" s="203"/>
      <c r="BA210" s="203"/>
    </row>
    <row r="211" spans="1:53" x14ac:dyDescent="0.25">
      <c r="A211" s="175" t="s">
        <v>65</v>
      </c>
      <c r="B211" s="199">
        <v>1</v>
      </c>
      <c r="C211" s="199">
        <v>1</v>
      </c>
      <c r="D211" s="199">
        <v>1</v>
      </c>
      <c r="E211" s="199">
        <v>1</v>
      </c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>
        <v>1</v>
      </c>
      <c r="W211" s="174"/>
      <c r="X211" s="174"/>
      <c r="Y211" s="174">
        <f t="shared" si="22"/>
        <v>1</v>
      </c>
      <c r="Z211" s="199">
        <v>1</v>
      </c>
      <c r="AA211" s="199">
        <v>1</v>
      </c>
      <c r="AB211" s="199">
        <v>1</v>
      </c>
      <c r="AC211" s="199">
        <v>1</v>
      </c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>
        <v>1</v>
      </c>
      <c r="AU211" s="174"/>
      <c r="AV211" s="174"/>
      <c r="AW211" s="174">
        <f t="shared" si="28"/>
        <v>1</v>
      </c>
      <c r="AX211" s="156">
        <v>2880</v>
      </c>
      <c r="AY211" s="203"/>
      <c r="AZ211" s="203"/>
      <c r="BA211" s="203"/>
    </row>
    <row r="212" spans="1:53" x14ac:dyDescent="0.25">
      <c r="A212" s="175" t="s">
        <v>66</v>
      </c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>
        <f t="shared" si="22"/>
        <v>0</v>
      </c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>
        <f t="shared" si="28"/>
        <v>0</v>
      </c>
      <c r="AX212" s="156"/>
      <c r="AY212" s="203"/>
      <c r="AZ212" s="203"/>
      <c r="BA212" s="203"/>
    </row>
    <row r="213" spans="1:53" x14ac:dyDescent="0.25">
      <c r="A213" s="175" t="s">
        <v>67</v>
      </c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>
        <f t="shared" si="22"/>
        <v>0</v>
      </c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>
        <f t="shared" si="28"/>
        <v>0</v>
      </c>
      <c r="AX213" s="156"/>
      <c r="AY213" s="203"/>
      <c r="AZ213" s="203"/>
      <c r="BA213" s="203"/>
    </row>
    <row r="214" spans="1:53" x14ac:dyDescent="0.25">
      <c r="A214" s="175" t="s">
        <v>68</v>
      </c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>
        <f t="shared" si="22"/>
        <v>0</v>
      </c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>
        <f t="shared" si="28"/>
        <v>0</v>
      </c>
      <c r="AX214" s="156"/>
      <c r="AY214" s="203"/>
      <c r="AZ214" s="203"/>
      <c r="BA214" s="203"/>
    </row>
    <row r="215" spans="1:53" x14ac:dyDescent="0.25">
      <c r="A215" s="175" t="s">
        <v>69</v>
      </c>
      <c r="B215" s="199">
        <v>1</v>
      </c>
      <c r="C215" s="199">
        <v>1</v>
      </c>
      <c r="D215" s="199">
        <v>7</v>
      </c>
      <c r="E215" s="199">
        <v>7</v>
      </c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>
        <v>7</v>
      </c>
      <c r="V215" s="174"/>
      <c r="W215" s="174"/>
      <c r="X215" s="174"/>
      <c r="Y215" s="174">
        <f t="shared" si="22"/>
        <v>7</v>
      </c>
      <c r="Z215" s="199">
        <v>1</v>
      </c>
      <c r="AA215" s="199">
        <v>1</v>
      </c>
      <c r="AB215" s="199">
        <v>7</v>
      </c>
      <c r="AC215" s="199">
        <v>7</v>
      </c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>
        <v>7</v>
      </c>
      <c r="AT215" s="174"/>
      <c r="AU215" s="174"/>
      <c r="AV215" s="174"/>
      <c r="AW215" s="174">
        <f t="shared" si="28"/>
        <v>7</v>
      </c>
      <c r="AX215" s="156">
        <v>497</v>
      </c>
      <c r="AY215" s="203"/>
      <c r="AZ215" s="203"/>
      <c r="BA215" s="203"/>
    </row>
    <row r="216" spans="1:53" x14ac:dyDescent="0.25">
      <c r="A216" s="175" t="s">
        <v>70</v>
      </c>
      <c r="B216" s="199">
        <v>1</v>
      </c>
      <c r="C216" s="199">
        <v>1</v>
      </c>
      <c r="D216" s="199">
        <v>1</v>
      </c>
      <c r="E216" s="199">
        <v>1</v>
      </c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>
        <v>1</v>
      </c>
      <c r="V216" s="174"/>
      <c r="W216" s="174"/>
      <c r="X216" s="174"/>
      <c r="Y216" s="174">
        <f t="shared" si="22"/>
        <v>1</v>
      </c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>
        <f t="shared" si="28"/>
        <v>0</v>
      </c>
      <c r="AX216" s="156"/>
      <c r="AY216" s="203"/>
      <c r="AZ216" s="203"/>
      <c r="BA216" s="203"/>
    </row>
    <row r="217" spans="1:53" x14ac:dyDescent="0.25">
      <c r="A217" s="175" t="s">
        <v>71</v>
      </c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>
        <f t="shared" si="22"/>
        <v>0</v>
      </c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>
        <f t="shared" si="28"/>
        <v>0</v>
      </c>
      <c r="AX217" s="156"/>
      <c r="AY217" s="203"/>
      <c r="AZ217" s="203"/>
      <c r="BA217" s="203"/>
    </row>
    <row r="218" spans="1:53" x14ac:dyDescent="0.25">
      <c r="A218" s="175" t="s">
        <v>72</v>
      </c>
      <c r="B218" s="199">
        <v>3</v>
      </c>
      <c r="C218" s="199">
        <v>1</v>
      </c>
      <c r="D218" s="199">
        <v>38</v>
      </c>
      <c r="E218" s="199">
        <v>4</v>
      </c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>
        <v>5</v>
      </c>
      <c r="V218" s="174"/>
      <c r="W218" s="174"/>
      <c r="X218" s="174">
        <v>33</v>
      </c>
      <c r="Y218" s="174">
        <f t="shared" si="22"/>
        <v>38</v>
      </c>
      <c r="Z218" s="199">
        <v>2</v>
      </c>
      <c r="AA218" s="199">
        <v>1</v>
      </c>
      <c r="AB218" s="199">
        <v>37</v>
      </c>
      <c r="AC218" s="199">
        <v>4</v>
      </c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>
        <v>4</v>
      </c>
      <c r="AT218" s="174"/>
      <c r="AU218" s="174"/>
      <c r="AV218" s="174">
        <v>33</v>
      </c>
      <c r="AW218" s="174">
        <f t="shared" si="28"/>
        <v>37</v>
      </c>
      <c r="AX218" s="156">
        <v>1060</v>
      </c>
      <c r="AY218" s="203"/>
      <c r="AZ218" s="203"/>
      <c r="BA218" s="203"/>
    </row>
    <row r="219" spans="1:53" x14ac:dyDescent="0.25">
      <c r="A219" s="175" t="s">
        <v>73</v>
      </c>
      <c r="B219" s="199">
        <v>3</v>
      </c>
      <c r="C219" s="199">
        <v>1</v>
      </c>
      <c r="D219" s="199">
        <v>3</v>
      </c>
      <c r="E219" s="199">
        <v>1</v>
      </c>
      <c r="F219" s="174"/>
      <c r="G219" s="174"/>
      <c r="H219" s="174"/>
      <c r="I219" s="174"/>
      <c r="J219" s="174"/>
      <c r="K219" s="174">
        <v>1</v>
      </c>
      <c r="L219" s="174">
        <v>1</v>
      </c>
      <c r="M219" s="174"/>
      <c r="N219" s="174"/>
      <c r="O219" s="174"/>
      <c r="P219" s="174"/>
      <c r="Q219" s="174"/>
      <c r="R219" s="174"/>
      <c r="S219" s="174"/>
      <c r="T219" s="174"/>
      <c r="U219" s="174">
        <v>1</v>
      </c>
      <c r="V219" s="174"/>
      <c r="W219" s="174"/>
      <c r="X219" s="174"/>
      <c r="Y219" s="174">
        <f t="shared" ref="Y219:Y246" si="31">SUM(F219:X219)</f>
        <v>3</v>
      </c>
      <c r="Z219" s="199">
        <v>2</v>
      </c>
      <c r="AB219" s="199">
        <v>2</v>
      </c>
      <c r="AD219" s="174"/>
      <c r="AE219" s="174"/>
      <c r="AF219" s="174"/>
      <c r="AG219" s="174"/>
      <c r="AH219" s="174"/>
      <c r="AI219" s="174">
        <v>1</v>
      </c>
      <c r="AJ219" s="174">
        <v>1</v>
      </c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>
        <f t="shared" si="28"/>
        <v>2</v>
      </c>
      <c r="AX219" s="156">
        <v>723</v>
      </c>
      <c r="AY219" s="203"/>
      <c r="AZ219" s="203"/>
      <c r="BA219" s="203"/>
    </row>
    <row r="220" spans="1:53" x14ac:dyDescent="0.25">
      <c r="A220" s="175" t="s">
        <v>74</v>
      </c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>
        <f t="shared" si="31"/>
        <v>0</v>
      </c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>
        <f t="shared" si="28"/>
        <v>0</v>
      </c>
      <c r="AX220" s="156"/>
      <c r="AY220" s="203"/>
      <c r="AZ220" s="203"/>
      <c r="BA220" s="203"/>
    </row>
    <row r="221" spans="1:53" x14ac:dyDescent="0.25">
      <c r="A221" s="175" t="s">
        <v>75</v>
      </c>
      <c r="B221" s="199">
        <v>1</v>
      </c>
      <c r="C221" s="199">
        <v>1</v>
      </c>
      <c r="D221" s="199">
        <v>2</v>
      </c>
      <c r="E221" s="199">
        <v>2</v>
      </c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>
        <v>2</v>
      </c>
      <c r="V221" s="174"/>
      <c r="W221" s="174"/>
      <c r="X221" s="174"/>
      <c r="Y221" s="174">
        <f t="shared" si="31"/>
        <v>2</v>
      </c>
      <c r="Z221" s="199">
        <v>1</v>
      </c>
      <c r="AA221" s="199">
        <v>1</v>
      </c>
      <c r="AB221" s="199">
        <v>2</v>
      </c>
      <c r="AC221" s="199">
        <v>2</v>
      </c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>
        <v>2</v>
      </c>
      <c r="AT221" s="174"/>
      <c r="AU221" s="174"/>
      <c r="AV221" s="174"/>
      <c r="AW221" s="174">
        <f t="shared" si="28"/>
        <v>2</v>
      </c>
      <c r="AX221" s="156">
        <v>2000</v>
      </c>
      <c r="AY221" s="203"/>
      <c r="AZ221" s="203"/>
      <c r="BA221" s="203"/>
    </row>
    <row r="222" spans="1:53" x14ac:dyDescent="0.25">
      <c r="A222" s="175" t="s">
        <v>76</v>
      </c>
      <c r="B222" s="199">
        <v>1</v>
      </c>
      <c r="C222" s="199">
        <v>1</v>
      </c>
      <c r="D222" s="199">
        <v>2</v>
      </c>
      <c r="E222" s="199">
        <v>2</v>
      </c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>
        <v>2</v>
      </c>
      <c r="W222" s="174"/>
      <c r="X222" s="174"/>
      <c r="Y222" s="174">
        <f t="shared" si="31"/>
        <v>2</v>
      </c>
      <c r="Z222" s="199">
        <v>1</v>
      </c>
      <c r="AA222" s="199">
        <v>1</v>
      </c>
      <c r="AB222" s="199">
        <v>2</v>
      </c>
      <c r="AC222" s="199">
        <v>2</v>
      </c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>
        <v>2</v>
      </c>
      <c r="AU222" s="174"/>
      <c r="AV222" s="174"/>
      <c r="AW222" s="174">
        <f t="shared" si="28"/>
        <v>2</v>
      </c>
      <c r="AX222" s="156">
        <v>640</v>
      </c>
      <c r="AY222" s="203"/>
      <c r="AZ222" s="203"/>
      <c r="BA222" s="203"/>
    </row>
    <row r="223" spans="1:53" x14ac:dyDescent="0.25">
      <c r="A223" s="173" t="s">
        <v>47</v>
      </c>
      <c r="B223" s="199">
        <f t="shared" ref="B223:X223" si="32">SUM(B224:B230)</f>
        <v>100</v>
      </c>
      <c r="C223" s="199">
        <f t="shared" si="32"/>
        <v>11</v>
      </c>
      <c r="D223" s="199">
        <f t="shared" si="32"/>
        <v>222</v>
      </c>
      <c r="E223" s="199">
        <f t="shared" si="32"/>
        <v>75</v>
      </c>
      <c r="F223" s="174">
        <f t="shared" si="32"/>
        <v>7</v>
      </c>
      <c r="G223" s="174">
        <f t="shared" si="32"/>
        <v>0</v>
      </c>
      <c r="H223" s="174">
        <f t="shared" si="32"/>
        <v>11</v>
      </c>
      <c r="I223" s="174">
        <f t="shared" si="32"/>
        <v>0</v>
      </c>
      <c r="J223" s="174">
        <f t="shared" si="32"/>
        <v>1</v>
      </c>
      <c r="K223" s="174">
        <f t="shared" si="32"/>
        <v>42</v>
      </c>
      <c r="L223" s="174">
        <f t="shared" si="32"/>
        <v>16</v>
      </c>
      <c r="M223" s="174">
        <f t="shared" si="32"/>
        <v>57</v>
      </c>
      <c r="N223" s="174">
        <f t="shared" si="32"/>
        <v>0</v>
      </c>
      <c r="O223" s="174">
        <f t="shared" si="32"/>
        <v>0</v>
      </c>
      <c r="P223" s="174">
        <f t="shared" si="32"/>
        <v>1</v>
      </c>
      <c r="Q223" s="174">
        <f t="shared" si="32"/>
        <v>0</v>
      </c>
      <c r="R223" s="174">
        <f t="shared" si="32"/>
        <v>0</v>
      </c>
      <c r="S223" s="174">
        <f t="shared" si="32"/>
        <v>2</v>
      </c>
      <c r="T223" s="174">
        <f t="shared" si="32"/>
        <v>6</v>
      </c>
      <c r="U223" s="174">
        <f t="shared" si="32"/>
        <v>2</v>
      </c>
      <c r="V223" s="174">
        <f t="shared" si="32"/>
        <v>74</v>
      </c>
      <c r="W223" s="174">
        <f t="shared" si="32"/>
        <v>0</v>
      </c>
      <c r="X223" s="174">
        <f t="shared" si="32"/>
        <v>3</v>
      </c>
      <c r="Y223" s="174">
        <f t="shared" si="31"/>
        <v>222</v>
      </c>
      <c r="Z223" s="199">
        <f>SUM(Z224:Z230)</f>
        <v>82</v>
      </c>
      <c r="AA223" s="199">
        <f>SUM(AA224:AA230)</f>
        <v>10</v>
      </c>
      <c r="AB223" s="199">
        <f>SUM(AB224:AB230)</f>
        <v>181</v>
      </c>
      <c r="AC223" s="199">
        <v>7</v>
      </c>
      <c r="AD223" s="174">
        <f t="shared" ref="AD223:AV223" si="33">SUM(AD224:AD230)</f>
        <v>7</v>
      </c>
      <c r="AE223" s="174">
        <f t="shared" si="33"/>
        <v>0</v>
      </c>
      <c r="AF223" s="174">
        <f t="shared" si="33"/>
        <v>10</v>
      </c>
      <c r="AG223" s="174">
        <f t="shared" si="33"/>
        <v>0</v>
      </c>
      <c r="AH223" s="174">
        <f t="shared" si="33"/>
        <v>1</v>
      </c>
      <c r="AI223" s="174">
        <f t="shared" si="33"/>
        <v>33</v>
      </c>
      <c r="AJ223" s="174">
        <f t="shared" si="33"/>
        <v>12</v>
      </c>
      <c r="AK223" s="174">
        <f t="shared" si="33"/>
        <v>51</v>
      </c>
      <c r="AL223" s="174">
        <f t="shared" si="33"/>
        <v>0</v>
      </c>
      <c r="AM223" s="174">
        <f t="shared" si="33"/>
        <v>0</v>
      </c>
      <c r="AN223" s="174">
        <f t="shared" si="33"/>
        <v>0</v>
      </c>
      <c r="AO223" s="174">
        <f t="shared" si="33"/>
        <v>0</v>
      </c>
      <c r="AP223" s="174">
        <f t="shared" si="33"/>
        <v>0</v>
      </c>
      <c r="AQ223" s="174">
        <f t="shared" si="33"/>
        <v>2</v>
      </c>
      <c r="AR223" s="174">
        <f t="shared" si="33"/>
        <v>5</v>
      </c>
      <c r="AS223" s="174">
        <f t="shared" si="33"/>
        <v>2</v>
      </c>
      <c r="AT223" s="174">
        <f t="shared" si="33"/>
        <v>57</v>
      </c>
      <c r="AU223" s="174">
        <f t="shared" si="33"/>
        <v>0</v>
      </c>
      <c r="AV223" s="174">
        <f t="shared" si="33"/>
        <v>1</v>
      </c>
      <c r="AW223" s="174">
        <f t="shared" ref="AW223:AW246" si="34">SUM(AD223:AV223)</f>
        <v>181</v>
      </c>
      <c r="AX223" s="206">
        <v>2878.72</v>
      </c>
      <c r="AY223" s="156">
        <f>Z223*100/B223</f>
        <v>82</v>
      </c>
      <c r="AZ223" s="185">
        <f>B223-Z223</f>
        <v>18</v>
      </c>
      <c r="BA223" s="156">
        <f>AZ223*100/B223</f>
        <v>18</v>
      </c>
    </row>
    <row r="224" spans="1:53" x14ac:dyDescent="0.25">
      <c r="A224" s="175" t="s">
        <v>48</v>
      </c>
      <c r="B224" s="199">
        <v>6</v>
      </c>
      <c r="D224" s="199">
        <v>8</v>
      </c>
      <c r="F224" s="174"/>
      <c r="G224" s="174"/>
      <c r="H224" s="174"/>
      <c r="I224" s="174"/>
      <c r="J224" s="174">
        <v>1</v>
      </c>
      <c r="K224" s="174">
        <v>3</v>
      </c>
      <c r="L224" s="174"/>
      <c r="M224" s="174"/>
      <c r="N224" s="174"/>
      <c r="O224" s="174"/>
      <c r="P224" s="174"/>
      <c r="Q224" s="174"/>
      <c r="R224" s="174"/>
      <c r="S224" s="174">
        <v>2</v>
      </c>
      <c r="T224" s="174"/>
      <c r="U224" s="174"/>
      <c r="V224" s="174"/>
      <c r="W224" s="174"/>
      <c r="X224" s="174">
        <v>2</v>
      </c>
      <c r="Y224" s="174">
        <f t="shared" si="31"/>
        <v>8</v>
      </c>
      <c r="Z224" s="199">
        <v>4</v>
      </c>
      <c r="AB224" s="199">
        <v>5</v>
      </c>
      <c r="AD224" s="174"/>
      <c r="AE224" s="174"/>
      <c r="AF224" s="174"/>
      <c r="AG224" s="174"/>
      <c r="AH224" s="174">
        <v>1</v>
      </c>
      <c r="AI224" s="174">
        <v>2</v>
      </c>
      <c r="AJ224" s="174"/>
      <c r="AK224" s="174"/>
      <c r="AL224" s="174"/>
      <c r="AM224" s="174"/>
      <c r="AN224" s="174"/>
      <c r="AO224" s="174"/>
      <c r="AP224" s="174"/>
      <c r="AQ224" s="174">
        <v>2</v>
      </c>
      <c r="AR224" s="174"/>
      <c r="AS224" s="174"/>
      <c r="AT224" s="174"/>
      <c r="AU224" s="174"/>
      <c r="AV224" s="174"/>
      <c r="AW224" s="174">
        <f t="shared" si="34"/>
        <v>5</v>
      </c>
      <c r="AX224" s="156">
        <v>1465</v>
      </c>
      <c r="AY224" s="203"/>
      <c r="AZ224" s="203"/>
      <c r="BA224" s="203"/>
    </row>
    <row r="225" spans="1:66" x14ac:dyDescent="0.25">
      <c r="A225" s="175" t="s">
        <v>49</v>
      </c>
      <c r="B225" s="199">
        <v>9</v>
      </c>
      <c r="C225" s="199">
        <v>6</v>
      </c>
      <c r="D225" s="199">
        <v>9</v>
      </c>
      <c r="E225" s="199">
        <v>6</v>
      </c>
      <c r="F225" s="174"/>
      <c r="G225" s="174"/>
      <c r="H225" s="174"/>
      <c r="I225" s="174"/>
      <c r="J225" s="174"/>
      <c r="K225" s="174"/>
      <c r="L225" s="174"/>
      <c r="M225" s="174">
        <v>3</v>
      </c>
      <c r="N225" s="174"/>
      <c r="O225" s="174"/>
      <c r="P225" s="174"/>
      <c r="Q225" s="174"/>
      <c r="R225" s="174"/>
      <c r="S225" s="174"/>
      <c r="T225" s="174">
        <v>3</v>
      </c>
      <c r="U225" s="174"/>
      <c r="V225" s="174">
        <v>2</v>
      </c>
      <c r="W225" s="174"/>
      <c r="X225" s="174">
        <v>1</v>
      </c>
      <c r="Y225" s="174">
        <f t="shared" si="31"/>
        <v>9</v>
      </c>
      <c r="Z225" s="199">
        <v>6</v>
      </c>
      <c r="AA225" s="199">
        <v>5</v>
      </c>
      <c r="AB225" s="199">
        <v>6</v>
      </c>
      <c r="AC225" s="199">
        <v>5</v>
      </c>
      <c r="AD225" s="174"/>
      <c r="AE225" s="174"/>
      <c r="AF225" s="174"/>
      <c r="AG225" s="174"/>
      <c r="AH225" s="174"/>
      <c r="AI225" s="174"/>
      <c r="AJ225" s="174"/>
      <c r="AK225" s="174">
        <v>1</v>
      </c>
      <c r="AL225" s="174"/>
      <c r="AM225" s="174"/>
      <c r="AN225" s="174"/>
      <c r="AO225" s="174"/>
      <c r="AP225" s="174"/>
      <c r="AQ225" s="174"/>
      <c r="AR225" s="174">
        <v>2</v>
      </c>
      <c r="AS225" s="174"/>
      <c r="AT225" s="174">
        <v>2</v>
      </c>
      <c r="AU225" s="174"/>
      <c r="AV225" s="174">
        <v>1</v>
      </c>
      <c r="AW225" s="174">
        <f t="shared" si="34"/>
        <v>6</v>
      </c>
      <c r="AX225" s="156">
        <v>5354</v>
      </c>
      <c r="AY225" s="203"/>
      <c r="AZ225" s="203"/>
      <c r="BA225" s="203"/>
    </row>
    <row r="226" spans="1:66" x14ac:dyDescent="0.25">
      <c r="A226" s="175" t="s">
        <v>50</v>
      </c>
      <c r="B226" s="199">
        <v>80</v>
      </c>
      <c r="C226" s="199">
        <v>5</v>
      </c>
      <c r="D226" s="199">
        <v>167</v>
      </c>
      <c r="E226" s="199">
        <v>69</v>
      </c>
      <c r="F226" s="174">
        <v>7</v>
      </c>
      <c r="G226" s="174"/>
      <c r="H226" s="174">
        <v>11</v>
      </c>
      <c r="I226" s="174"/>
      <c r="J226" s="174"/>
      <c r="K226" s="174">
        <v>39</v>
      </c>
      <c r="L226" s="174">
        <v>15</v>
      </c>
      <c r="M226" s="174">
        <v>18</v>
      </c>
      <c r="N226" s="174"/>
      <c r="O226" s="174"/>
      <c r="P226" s="174">
        <v>1</v>
      </c>
      <c r="Q226" s="174"/>
      <c r="R226" s="174"/>
      <c r="S226" s="174"/>
      <c r="T226" s="174">
        <v>3</v>
      </c>
      <c r="U226" s="174">
        <v>1</v>
      </c>
      <c r="V226" s="174">
        <v>72</v>
      </c>
      <c r="W226" s="174"/>
      <c r="X226" s="174"/>
      <c r="Y226" s="174">
        <f t="shared" si="31"/>
        <v>167</v>
      </c>
      <c r="Z226" s="199">
        <v>67</v>
      </c>
      <c r="AA226" s="199">
        <v>5</v>
      </c>
      <c r="AB226" s="199">
        <v>135</v>
      </c>
      <c r="AC226" s="199">
        <v>55</v>
      </c>
      <c r="AD226" s="174">
        <v>7</v>
      </c>
      <c r="AE226" s="174"/>
      <c r="AF226" s="174">
        <v>10</v>
      </c>
      <c r="AG226" s="174"/>
      <c r="AH226" s="174"/>
      <c r="AI226" s="174">
        <v>31</v>
      </c>
      <c r="AJ226" s="174">
        <v>11</v>
      </c>
      <c r="AK226" s="174">
        <v>17</v>
      </c>
      <c r="AL226" s="174"/>
      <c r="AM226" s="174"/>
      <c r="AN226" s="174"/>
      <c r="AO226" s="174"/>
      <c r="AP226" s="174"/>
      <c r="AQ226" s="174"/>
      <c r="AR226" s="174">
        <v>3</v>
      </c>
      <c r="AS226" s="174">
        <v>1</v>
      </c>
      <c r="AT226" s="174">
        <v>55</v>
      </c>
      <c r="AU226" s="174"/>
      <c r="AV226" s="174"/>
      <c r="AW226" s="174">
        <f t="shared" si="34"/>
        <v>135</v>
      </c>
      <c r="AX226" s="156">
        <v>3823.1176470588234</v>
      </c>
      <c r="AY226" s="203"/>
      <c r="AZ226" s="203"/>
      <c r="BA226" s="203"/>
    </row>
    <row r="227" spans="1:66" x14ac:dyDescent="0.25">
      <c r="A227" s="175" t="s">
        <v>51</v>
      </c>
      <c r="B227" s="199">
        <v>2</v>
      </c>
      <c r="D227" s="199">
        <v>2</v>
      </c>
      <c r="F227" s="174"/>
      <c r="G227" s="174"/>
      <c r="H227" s="174"/>
      <c r="I227" s="174"/>
      <c r="J227" s="174"/>
      <c r="K227" s="174"/>
      <c r="L227" s="174"/>
      <c r="M227" s="174">
        <v>1</v>
      </c>
      <c r="N227" s="174"/>
      <c r="O227" s="174"/>
      <c r="P227" s="174"/>
      <c r="Q227" s="174"/>
      <c r="R227" s="174"/>
      <c r="S227" s="174"/>
      <c r="T227" s="174"/>
      <c r="U227" s="174">
        <v>1</v>
      </c>
      <c r="V227" s="174"/>
      <c r="W227" s="174"/>
      <c r="X227" s="174"/>
      <c r="Y227" s="174">
        <f t="shared" si="31"/>
        <v>2</v>
      </c>
      <c r="Z227" s="199">
        <v>2</v>
      </c>
      <c r="AB227" s="199">
        <v>2</v>
      </c>
      <c r="AD227" s="174"/>
      <c r="AE227" s="174"/>
      <c r="AF227" s="174"/>
      <c r="AG227" s="174"/>
      <c r="AH227" s="174"/>
      <c r="AI227" s="174"/>
      <c r="AJ227" s="174"/>
      <c r="AK227" s="174">
        <v>1</v>
      </c>
      <c r="AL227" s="174"/>
      <c r="AM227" s="174"/>
      <c r="AN227" s="174"/>
      <c r="AO227" s="174"/>
      <c r="AP227" s="174"/>
      <c r="AQ227" s="174"/>
      <c r="AR227" s="174"/>
      <c r="AS227" s="174">
        <v>1</v>
      </c>
      <c r="AT227" s="174"/>
      <c r="AU227" s="174"/>
      <c r="AV227" s="174"/>
      <c r="AW227" s="174">
        <f t="shared" si="34"/>
        <v>2</v>
      </c>
      <c r="AX227" s="156">
        <v>3371.5</v>
      </c>
      <c r="AY227" s="203"/>
      <c r="AZ227" s="203"/>
      <c r="BA227" s="203"/>
    </row>
    <row r="228" spans="1:66" x14ac:dyDescent="0.25">
      <c r="A228" s="175" t="s">
        <v>52</v>
      </c>
      <c r="B228" s="199">
        <v>3</v>
      </c>
      <c r="D228" s="199">
        <v>36</v>
      </c>
      <c r="F228" s="174"/>
      <c r="G228" s="174"/>
      <c r="H228" s="174"/>
      <c r="I228" s="174"/>
      <c r="J228" s="174"/>
      <c r="K228" s="174"/>
      <c r="L228" s="174">
        <v>1</v>
      </c>
      <c r="M228" s="174">
        <v>35</v>
      </c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>
        <f t="shared" si="31"/>
        <v>36</v>
      </c>
      <c r="Z228" s="199">
        <v>3</v>
      </c>
      <c r="AB228" s="199">
        <v>33</v>
      </c>
      <c r="AD228" s="174"/>
      <c r="AE228" s="174"/>
      <c r="AF228" s="174"/>
      <c r="AG228" s="174"/>
      <c r="AH228" s="174"/>
      <c r="AI228" s="174"/>
      <c r="AJ228" s="174">
        <v>1</v>
      </c>
      <c r="AK228" s="174">
        <v>32</v>
      </c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>
        <f t="shared" si="34"/>
        <v>33</v>
      </c>
      <c r="AX228" s="156">
        <v>380</v>
      </c>
      <c r="AY228" s="203"/>
      <c r="AZ228" s="203"/>
      <c r="BA228" s="203"/>
    </row>
    <row r="229" spans="1:66" x14ac:dyDescent="0.25">
      <c r="A229" s="175" t="s">
        <v>53</v>
      </c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>
        <f t="shared" si="31"/>
        <v>0</v>
      </c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>
        <f t="shared" si="34"/>
        <v>0</v>
      </c>
      <c r="AX229" s="156"/>
      <c r="AY229" s="203"/>
      <c r="AZ229" s="203"/>
      <c r="BA229" s="203"/>
    </row>
    <row r="230" spans="1:66" x14ac:dyDescent="0.25">
      <c r="A230" s="175" t="s">
        <v>54</v>
      </c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>
        <f t="shared" si="31"/>
        <v>0</v>
      </c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>
        <f t="shared" si="34"/>
        <v>0</v>
      </c>
      <c r="AX230" s="156"/>
      <c r="AY230" s="203"/>
      <c r="AZ230" s="203"/>
      <c r="BA230" s="203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</row>
    <row r="231" spans="1:66" x14ac:dyDescent="0.25">
      <c r="A231" s="173" t="s">
        <v>55</v>
      </c>
      <c r="B231" s="199">
        <f t="shared" ref="B231:X231" si="35">B232+B233+B234+B235+B236+B237+B238+B239+B240+B241+B242+B243+B244+B245+B246</f>
        <v>365</v>
      </c>
      <c r="C231" s="199">
        <f t="shared" si="35"/>
        <v>118</v>
      </c>
      <c r="D231" s="199">
        <f t="shared" si="35"/>
        <v>595</v>
      </c>
      <c r="E231" s="199">
        <f t="shared" si="35"/>
        <v>307</v>
      </c>
      <c r="F231" s="174">
        <f t="shared" si="35"/>
        <v>0</v>
      </c>
      <c r="G231" s="174">
        <f t="shared" si="35"/>
        <v>0</v>
      </c>
      <c r="H231" s="174">
        <f t="shared" si="35"/>
        <v>110</v>
      </c>
      <c r="I231" s="174">
        <f t="shared" si="35"/>
        <v>4</v>
      </c>
      <c r="J231" s="174">
        <f t="shared" si="35"/>
        <v>7</v>
      </c>
      <c r="K231" s="174">
        <f t="shared" si="35"/>
        <v>33</v>
      </c>
      <c r="L231" s="174">
        <f t="shared" si="35"/>
        <v>28</v>
      </c>
      <c r="M231" s="174">
        <f t="shared" si="35"/>
        <v>6</v>
      </c>
      <c r="N231" s="174">
        <f t="shared" si="35"/>
        <v>3</v>
      </c>
      <c r="O231" s="174">
        <f t="shared" si="35"/>
        <v>36</v>
      </c>
      <c r="P231" s="174">
        <f t="shared" si="35"/>
        <v>10</v>
      </c>
      <c r="Q231" s="174">
        <f t="shared" si="35"/>
        <v>6</v>
      </c>
      <c r="R231" s="174">
        <f t="shared" si="35"/>
        <v>170</v>
      </c>
      <c r="S231" s="174">
        <f t="shared" si="35"/>
        <v>9</v>
      </c>
      <c r="T231" s="174">
        <f t="shared" si="35"/>
        <v>104</v>
      </c>
      <c r="U231" s="174">
        <f t="shared" si="35"/>
        <v>13</v>
      </c>
      <c r="V231" s="174">
        <f t="shared" si="35"/>
        <v>43</v>
      </c>
      <c r="W231" s="174">
        <f t="shared" si="35"/>
        <v>3</v>
      </c>
      <c r="X231" s="174">
        <f t="shared" si="35"/>
        <v>10</v>
      </c>
      <c r="Y231" s="174">
        <f t="shared" si="31"/>
        <v>595</v>
      </c>
      <c r="Z231" s="199">
        <f t="shared" ref="Z231:AV231" si="36">Z232+Z233+Z234+Z235+Z236+Z237+Z238+Z239+Z240+Z241+Z242+Z243+Z244+Z245+Z246</f>
        <v>226</v>
      </c>
      <c r="AA231" s="199">
        <f t="shared" si="36"/>
        <v>73</v>
      </c>
      <c r="AB231" s="199">
        <f t="shared" si="36"/>
        <v>368</v>
      </c>
      <c r="AC231" s="199">
        <f t="shared" si="36"/>
        <v>138</v>
      </c>
      <c r="AD231" s="174">
        <f t="shared" si="36"/>
        <v>0</v>
      </c>
      <c r="AE231" s="174">
        <f t="shared" si="36"/>
        <v>0</v>
      </c>
      <c r="AF231" s="174">
        <f t="shared" si="36"/>
        <v>81</v>
      </c>
      <c r="AG231" s="174">
        <f t="shared" si="36"/>
        <v>3</v>
      </c>
      <c r="AH231" s="174">
        <f t="shared" si="36"/>
        <v>6</v>
      </c>
      <c r="AI231" s="174">
        <f t="shared" si="36"/>
        <v>9</v>
      </c>
      <c r="AJ231" s="174">
        <f t="shared" si="36"/>
        <v>18</v>
      </c>
      <c r="AK231" s="174">
        <f t="shared" si="36"/>
        <v>4</v>
      </c>
      <c r="AL231" s="174">
        <f t="shared" si="36"/>
        <v>3</v>
      </c>
      <c r="AM231" s="174">
        <f t="shared" si="36"/>
        <v>1</v>
      </c>
      <c r="AN231" s="174">
        <f t="shared" si="36"/>
        <v>4</v>
      </c>
      <c r="AO231" s="174">
        <f t="shared" si="36"/>
        <v>3</v>
      </c>
      <c r="AP231" s="174">
        <f t="shared" si="36"/>
        <v>100</v>
      </c>
      <c r="AQ231" s="174">
        <f t="shared" si="36"/>
        <v>8</v>
      </c>
      <c r="AR231" s="174">
        <f t="shared" si="36"/>
        <v>84</v>
      </c>
      <c r="AS231" s="174">
        <f t="shared" si="36"/>
        <v>9</v>
      </c>
      <c r="AT231" s="174">
        <f t="shared" si="36"/>
        <v>30</v>
      </c>
      <c r="AU231" s="174">
        <f t="shared" si="36"/>
        <v>3</v>
      </c>
      <c r="AV231" s="174">
        <f t="shared" si="36"/>
        <v>2</v>
      </c>
      <c r="AW231" s="174">
        <f t="shared" si="34"/>
        <v>368</v>
      </c>
      <c r="AX231" s="206">
        <v>1533.95</v>
      </c>
      <c r="AY231" s="156">
        <f>Z231*100/B231</f>
        <v>61.917808219178085</v>
      </c>
      <c r="AZ231" s="185">
        <f>B231-Z231</f>
        <v>139</v>
      </c>
      <c r="BA231" s="156">
        <f>AZ231*100/B231</f>
        <v>38.082191780821915</v>
      </c>
    </row>
    <row r="232" spans="1:66" x14ac:dyDescent="0.25">
      <c r="A232" s="175" t="s">
        <v>124</v>
      </c>
      <c r="B232" s="199">
        <v>106</v>
      </c>
      <c r="D232" s="199">
        <v>168</v>
      </c>
      <c r="F232" s="174"/>
      <c r="G232" s="174"/>
      <c r="H232" s="174">
        <v>53</v>
      </c>
      <c r="I232" s="174">
        <v>1</v>
      </c>
      <c r="J232" s="174">
        <v>3</v>
      </c>
      <c r="K232" s="174">
        <v>6</v>
      </c>
      <c r="L232" s="174">
        <v>9</v>
      </c>
      <c r="M232" s="174"/>
      <c r="N232" s="174">
        <v>3</v>
      </c>
      <c r="O232" s="174"/>
      <c r="P232" s="174"/>
      <c r="Q232" s="174">
        <v>1</v>
      </c>
      <c r="R232" s="174">
        <v>91</v>
      </c>
      <c r="S232" s="174"/>
      <c r="T232" s="174"/>
      <c r="U232" s="174"/>
      <c r="V232" s="174">
        <v>1</v>
      </c>
      <c r="W232" s="174"/>
      <c r="X232" s="174"/>
      <c r="Y232" s="174">
        <f t="shared" si="31"/>
        <v>168</v>
      </c>
      <c r="Z232" s="199">
        <v>66</v>
      </c>
      <c r="AB232" s="199">
        <v>110</v>
      </c>
      <c r="AD232" s="174"/>
      <c r="AE232" s="174"/>
      <c r="AF232" s="174">
        <v>45</v>
      </c>
      <c r="AG232" s="174">
        <v>1</v>
      </c>
      <c r="AH232" s="174">
        <v>3</v>
      </c>
      <c r="AI232" s="174">
        <v>2</v>
      </c>
      <c r="AJ232" s="174">
        <v>5</v>
      </c>
      <c r="AK232" s="174"/>
      <c r="AL232" s="174">
        <v>3</v>
      </c>
      <c r="AM232" s="174"/>
      <c r="AN232" s="174"/>
      <c r="AO232" s="174"/>
      <c r="AP232" s="174">
        <v>50</v>
      </c>
      <c r="AQ232" s="174"/>
      <c r="AR232" s="174"/>
      <c r="AS232" s="174"/>
      <c r="AT232" s="174">
        <v>1</v>
      </c>
      <c r="AU232" s="174"/>
      <c r="AV232" s="174"/>
      <c r="AW232" s="174">
        <f t="shared" si="34"/>
        <v>110</v>
      </c>
      <c r="AX232" s="156">
        <v>2750.344827586207</v>
      </c>
      <c r="AY232" s="203"/>
      <c r="AZ232" s="203"/>
      <c r="BA232" s="203"/>
    </row>
    <row r="233" spans="1:66" x14ac:dyDescent="0.25">
      <c r="A233" s="175" t="s">
        <v>125</v>
      </c>
      <c r="B233" s="199">
        <v>28</v>
      </c>
      <c r="C233" s="199">
        <v>27</v>
      </c>
      <c r="D233" s="199">
        <v>60</v>
      </c>
      <c r="E233" s="199">
        <v>59</v>
      </c>
      <c r="F233" s="174"/>
      <c r="G233" s="174"/>
      <c r="H233" s="174"/>
      <c r="I233" s="174">
        <v>2</v>
      </c>
      <c r="J233" s="174"/>
      <c r="K233" s="174"/>
      <c r="L233" s="174"/>
      <c r="M233" s="174"/>
      <c r="N233" s="174"/>
      <c r="O233" s="174"/>
      <c r="P233" s="174"/>
      <c r="Q233" s="174">
        <v>1</v>
      </c>
      <c r="R233" s="174">
        <v>2</v>
      </c>
      <c r="S233" s="174"/>
      <c r="T233" s="174">
        <v>51</v>
      </c>
      <c r="U233" s="174">
        <v>2</v>
      </c>
      <c r="V233" s="174">
        <v>1</v>
      </c>
      <c r="W233" s="174">
        <v>1</v>
      </c>
      <c r="X233" s="174"/>
      <c r="Y233" s="174">
        <f t="shared" si="31"/>
        <v>60</v>
      </c>
      <c r="Z233" s="199">
        <v>19</v>
      </c>
      <c r="AA233" s="199">
        <v>19</v>
      </c>
      <c r="AB233" s="199">
        <v>32</v>
      </c>
      <c r="AC233" s="199">
        <v>32</v>
      </c>
      <c r="AD233" s="174"/>
      <c r="AE233" s="174"/>
      <c r="AF233" s="174"/>
      <c r="AG233" s="174">
        <v>1</v>
      </c>
      <c r="AH233" s="174"/>
      <c r="AI233" s="174"/>
      <c r="AJ233" s="174"/>
      <c r="AK233" s="174"/>
      <c r="AL233" s="174"/>
      <c r="AM233" s="174"/>
      <c r="AN233" s="174"/>
      <c r="AO233" s="174">
        <v>1</v>
      </c>
      <c r="AP233" s="174">
        <v>3</v>
      </c>
      <c r="AQ233" s="174"/>
      <c r="AR233" s="174">
        <v>24</v>
      </c>
      <c r="AS233" s="174">
        <v>2</v>
      </c>
      <c r="AT233" s="174"/>
      <c r="AU233" s="174">
        <v>1</v>
      </c>
      <c r="AV233" s="174"/>
      <c r="AW233" s="174">
        <f t="shared" si="34"/>
        <v>32</v>
      </c>
      <c r="AX233" s="156">
        <v>1350</v>
      </c>
      <c r="AY233" s="203"/>
      <c r="AZ233" s="203"/>
      <c r="BA233" s="203"/>
    </row>
    <row r="234" spans="1:66" x14ac:dyDescent="0.25">
      <c r="A234" s="175" t="s">
        <v>126</v>
      </c>
      <c r="B234" s="199">
        <v>48</v>
      </c>
      <c r="D234" s="199">
        <v>70</v>
      </c>
      <c r="F234" s="174"/>
      <c r="G234" s="174"/>
      <c r="H234" s="174">
        <v>20</v>
      </c>
      <c r="I234" s="174"/>
      <c r="J234" s="174">
        <v>1</v>
      </c>
      <c r="K234" s="174">
        <v>4</v>
      </c>
      <c r="L234" s="174">
        <v>3</v>
      </c>
      <c r="M234" s="174">
        <v>3</v>
      </c>
      <c r="N234" s="174"/>
      <c r="O234" s="174"/>
      <c r="P234" s="174">
        <v>7</v>
      </c>
      <c r="Q234" s="174"/>
      <c r="R234" s="174">
        <v>25</v>
      </c>
      <c r="S234" s="174"/>
      <c r="T234" s="174"/>
      <c r="U234" s="174"/>
      <c r="V234" s="174">
        <v>6</v>
      </c>
      <c r="W234" s="174"/>
      <c r="X234" s="174">
        <v>1</v>
      </c>
      <c r="Y234" s="174">
        <f t="shared" si="31"/>
        <v>70</v>
      </c>
      <c r="Z234" s="199">
        <v>30</v>
      </c>
      <c r="AB234" s="199">
        <v>41</v>
      </c>
      <c r="AD234" s="174"/>
      <c r="AE234" s="174"/>
      <c r="AF234" s="174">
        <v>10</v>
      </c>
      <c r="AG234" s="174"/>
      <c r="AH234" s="174">
        <v>1</v>
      </c>
      <c r="AI234" s="174">
        <v>1</v>
      </c>
      <c r="AJ234" s="174">
        <v>2</v>
      </c>
      <c r="AK234" s="174">
        <v>3</v>
      </c>
      <c r="AL234" s="174"/>
      <c r="AM234" s="174"/>
      <c r="AN234" s="174">
        <v>2</v>
      </c>
      <c r="AO234" s="174"/>
      <c r="AP234" s="174">
        <v>19</v>
      </c>
      <c r="AQ234" s="174"/>
      <c r="AR234" s="174"/>
      <c r="AS234" s="174"/>
      <c r="AT234" s="174">
        <v>3</v>
      </c>
      <c r="AU234" s="174"/>
      <c r="AV234" s="174"/>
      <c r="AW234" s="174">
        <f t="shared" si="34"/>
        <v>41</v>
      </c>
      <c r="AX234" s="156">
        <v>1578.15</v>
      </c>
      <c r="AY234" s="203"/>
      <c r="AZ234" s="203"/>
      <c r="BA234" s="203"/>
    </row>
    <row r="235" spans="1:66" x14ac:dyDescent="0.25">
      <c r="A235" s="175" t="s">
        <v>127</v>
      </c>
      <c r="B235" s="199">
        <v>54</v>
      </c>
      <c r="C235" s="199">
        <v>54</v>
      </c>
      <c r="D235" s="199">
        <v>92</v>
      </c>
      <c r="E235" s="199">
        <v>92</v>
      </c>
      <c r="F235" s="174"/>
      <c r="G235" s="174"/>
      <c r="H235" s="174"/>
      <c r="I235" s="174"/>
      <c r="J235" s="174"/>
      <c r="K235" s="174"/>
      <c r="L235" s="174"/>
      <c r="M235" s="174"/>
      <c r="N235" s="174"/>
      <c r="O235" s="174">
        <v>35</v>
      </c>
      <c r="P235" s="174"/>
      <c r="Q235" s="174">
        <v>1</v>
      </c>
      <c r="R235" s="174">
        <v>3</v>
      </c>
      <c r="S235" s="174"/>
      <c r="T235" s="174">
        <v>32</v>
      </c>
      <c r="U235" s="174">
        <v>5</v>
      </c>
      <c r="V235" s="174">
        <v>15</v>
      </c>
      <c r="W235" s="174">
        <v>1</v>
      </c>
      <c r="X235" s="174"/>
      <c r="Y235" s="174">
        <f t="shared" si="31"/>
        <v>92</v>
      </c>
      <c r="Z235" s="199">
        <v>34</v>
      </c>
      <c r="AA235" s="199">
        <v>33</v>
      </c>
      <c r="AB235" s="199">
        <v>67</v>
      </c>
      <c r="AC235" s="199">
        <v>66</v>
      </c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>
        <v>1</v>
      </c>
      <c r="AN235" s="174"/>
      <c r="AO235" s="174"/>
      <c r="AP235" s="174">
        <v>3</v>
      </c>
      <c r="AQ235" s="174"/>
      <c r="AR235" s="174">
        <v>49</v>
      </c>
      <c r="AS235" s="174">
        <v>4</v>
      </c>
      <c r="AT235" s="174">
        <v>9</v>
      </c>
      <c r="AU235" s="174">
        <v>1</v>
      </c>
      <c r="AV235" s="174"/>
      <c r="AW235" s="174">
        <f t="shared" si="34"/>
        <v>67</v>
      </c>
      <c r="AX235" s="156">
        <v>1443.4705882352941</v>
      </c>
      <c r="AY235" s="203"/>
      <c r="AZ235" s="203"/>
      <c r="BA235" s="203"/>
    </row>
    <row r="236" spans="1:66" x14ac:dyDescent="0.25">
      <c r="A236" s="175" t="s">
        <v>103</v>
      </c>
      <c r="B236" s="199">
        <v>27</v>
      </c>
      <c r="C236" s="199">
        <v>3</v>
      </c>
      <c r="D236" s="199">
        <v>33</v>
      </c>
      <c r="E236" s="199">
        <v>3</v>
      </c>
      <c r="F236" s="174"/>
      <c r="G236" s="174"/>
      <c r="H236" s="174">
        <v>4</v>
      </c>
      <c r="I236" s="174"/>
      <c r="J236" s="174">
        <v>1</v>
      </c>
      <c r="K236" s="174"/>
      <c r="L236" s="174">
        <v>10</v>
      </c>
      <c r="M236" s="174">
        <v>2</v>
      </c>
      <c r="N236" s="174"/>
      <c r="O236" s="174"/>
      <c r="P236" s="174"/>
      <c r="Q236" s="174">
        <v>2</v>
      </c>
      <c r="R236" s="174">
        <v>12</v>
      </c>
      <c r="S236" s="174">
        <v>1</v>
      </c>
      <c r="T236" s="174"/>
      <c r="U236" s="174"/>
      <c r="V236" s="174">
        <v>1</v>
      </c>
      <c r="W236" s="174"/>
      <c r="X236" s="174"/>
      <c r="Y236" s="174">
        <f t="shared" si="31"/>
        <v>33</v>
      </c>
      <c r="Z236" s="199">
        <v>17</v>
      </c>
      <c r="AA236" s="199">
        <v>2</v>
      </c>
      <c r="AB236" s="199">
        <v>22</v>
      </c>
      <c r="AC236" s="199">
        <v>2</v>
      </c>
      <c r="AD236" s="174"/>
      <c r="AE236" s="174"/>
      <c r="AF236" s="174">
        <v>3</v>
      </c>
      <c r="AG236" s="174"/>
      <c r="AH236" s="174">
        <v>1</v>
      </c>
      <c r="AI236" s="174"/>
      <c r="AJ236" s="174">
        <v>7</v>
      </c>
      <c r="AK236" s="174"/>
      <c r="AL236" s="174"/>
      <c r="AM236" s="174"/>
      <c r="AN236" s="174"/>
      <c r="AO236" s="174">
        <v>2</v>
      </c>
      <c r="AP236" s="174">
        <v>7</v>
      </c>
      <c r="AQ236" s="174">
        <v>1</v>
      </c>
      <c r="AR236" s="174"/>
      <c r="AS236" s="174"/>
      <c r="AT236" s="174">
        <v>1</v>
      </c>
      <c r="AU236" s="174"/>
      <c r="AV236" s="174"/>
      <c r="AW236" s="174">
        <f t="shared" si="34"/>
        <v>22</v>
      </c>
      <c r="AX236" s="156">
        <v>3088.2666666666669</v>
      </c>
      <c r="AY236" s="203"/>
      <c r="AZ236" s="203"/>
      <c r="BA236" s="203"/>
    </row>
    <row r="237" spans="1:66" x14ac:dyDescent="0.25">
      <c r="A237" s="175" t="s">
        <v>104</v>
      </c>
      <c r="B237" s="199">
        <v>11</v>
      </c>
      <c r="C237" s="199">
        <v>2</v>
      </c>
      <c r="D237" s="199">
        <v>26</v>
      </c>
      <c r="E237" s="199">
        <v>11</v>
      </c>
      <c r="F237" s="174"/>
      <c r="G237" s="174"/>
      <c r="H237" s="174">
        <v>7</v>
      </c>
      <c r="I237" s="174"/>
      <c r="J237" s="174"/>
      <c r="K237" s="174"/>
      <c r="L237" s="174"/>
      <c r="M237" s="174"/>
      <c r="N237" s="174"/>
      <c r="O237" s="174"/>
      <c r="P237" s="174"/>
      <c r="Q237" s="174"/>
      <c r="R237" s="174">
        <v>1</v>
      </c>
      <c r="S237" s="174"/>
      <c r="T237" s="174">
        <v>10</v>
      </c>
      <c r="U237" s="174">
        <v>1</v>
      </c>
      <c r="V237" s="174"/>
      <c r="W237" s="174"/>
      <c r="X237" s="174">
        <v>7</v>
      </c>
      <c r="Y237" s="174">
        <f t="shared" si="31"/>
        <v>26</v>
      </c>
      <c r="Z237" s="199">
        <v>7</v>
      </c>
      <c r="AA237" s="199">
        <v>2</v>
      </c>
      <c r="AB237" s="199">
        <v>16</v>
      </c>
      <c r="AC237" s="199">
        <v>11</v>
      </c>
      <c r="AD237" s="174"/>
      <c r="AE237" s="174"/>
      <c r="AF237" s="174">
        <v>5</v>
      </c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74">
        <v>10</v>
      </c>
      <c r="AS237" s="174">
        <v>1</v>
      </c>
      <c r="AT237" s="174"/>
      <c r="AU237" s="174"/>
      <c r="AV237" s="174"/>
      <c r="AW237" s="174">
        <f t="shared" si="34"/>
        <v>16</v>
      </c>
      <c r="AX237" s="156">
        <v>1599.6</v>
      </c>
      <c r="AY237" s="203"/>
      <c r="AZ237" s="203"/>
      <c r="BA237" s="203"/>
    </row>
    <row r="238" spans="1:66" x14ac:dyDescent="0.25">
      <c r="A238" s="175" t="s">
        <v>105</v>
      </c>
      <c r="B238" s="199">
        <v>1</v>
      </c>
      <c r="D238" s="199">
        <v>1</v>
      </c>
      <c r="F238" s="174"/>
      <c r="G238" s="174"/>
      <c r="H238" s="174"/>
      <c r="I238" s="174">
        <v>1</v>
      </c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>
        <f t="shared" si="31"/>
        <v>1</v>
      </c>
      <c r="Z238" s="199">
        <v>1</v>
      </c>
      <c r="AB238" s="199">
        <v>1</v>
      </c>
      <c r="AD238" s="174"/>
      <c r="AE238" s="174"/>
      <c r="AF238" s="174"/>
      <c r="AG238" s="174">
        <v>1</v>
      </c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>
        <f t="shared" si="34"/>
        <v>1</v>
      </c>
      <c r="AX238" s="156">
        <v>1736</v>
      </c>
      <c r="AY238" s="203"/>
      <c r="AZ238" s="203"/>
      <c r="BA238" s="203"/>
    </row>
    <row r="239" spans="1:66" x14ac:dyDescent="0.25">
      <c r="A239" s="175" t="s">
        <v>106</v>
      </c>
      <c r="B239" s="199">
        <v>57</v>
      </c>
      <c r="C239" s="199">
        <v>12</v>
      </c>
      <c r="D239" s="199">
        <v>108</v>
      </c>
      <c r="E239" s="199">
        <v>118</v>
      </c>
      <c r="F239" s="174"/>
      <c r="G239" s="174"/>
      <c r="H239" s="174">
        <v>23</v>
      </c>
      <c r="I239" s="174"/>
      <c r="J239" s="174">
        <v>2</v>
      </c>
      <c r="K239" s="174">
        <v>23</v>
      </c>
      <c r="L239" s="174">
        <v>6</v>
      </c>
      <c r="M239" s="174"/>
      <c r="N239" s="174"/>
      <c r="O239" s="174">
        <v>1</v>
      </c>
      <c r="P239" s="174">
        <v>2</v>
      </c>
      <c r="Q239" s="174">
        <v>1</v>
      </c>
      <c r="R239" s="174">
        <v>29</v>
      </c>
      <c r="S239" s="174">
        <v>7</v>
      </c>
      <c r="T239" s="174">
        <v>2</v>
      </c>
      <c r="U239" s="174">
        <v>5</v>
      </c>
      <c r="V239" s="174">
        <v>6</v>
      </c>
      <c r="W239" s="174">
        <v>1</v>
      </c>
      <c r="X239" s="174"/>
      <c r="Y239" s="174">
        <f t="shared" si="31"/>
        <v>108</v>
      </c>
      <c r="Z239" s="199">
        <v>33</v>
      </c>
      <c r="AA239" s="199">
        <v>6</v>
      </c>
      <c r="AB239" s="199">
        <v>57</v>
      </c>
      <c r="AC239" s="199">
        <v>13</v>
      </c>
      <c r="AD239" s="174"/>
      <c r="AE239" s="174"/>
      <c r="AF239" s="174">
        <v>16</v>
      </c>
      <c r="AG239" s="174"/>
      <c r="AH239" s="174">
        <v>1</v>
      </c>
      <c r="AI239" s="174">
        <v>6</v>
      </c>
      <c r="AJ239" s="174">
        <v>4</v>
      </c>
      <c r="AK239" s="174"/>
      <c r="AL239" s="174"/>
      <c r="AM239" s="174"/>
      <c r="AN239" s="174">
        <v>2</v>
      </c>
      <c r="AO239" s="174"/>
      <c r="AP239" s="174">
        <v>13</v>
      </c>
      <c r="AQ239" s="174">
        <v>7</v>
      </c>
      <c r="AR239" s="174">
        <v>1</v>
      </c>
      <c r="AS239" s="174">
        <v>2</v>
      </c>
      <c r="AT239" s="174">
        <v>4</v>
      </c>
      <c r="AU239" s="174">
        <v>1</v>
      </c>
      <c r="AV239" s="174"/>
      <c r="AW239" s="174">
        <f t="shared" si="34"/>
        <v>57</v>
      </c>
      <c r="AX239" s="156">
        <v>2267.5769230769229</v>
      </c>
      <c r="AY239" s="203"/>
      <c r="AZ239" s="203"/>
      <c r="BA239" s="203"/>
    </row>
    <row r="240" spans="1:66" x14ac:dyDescent="0.25">
      <c r="A240" s="175" t="s">
        <v>107</v>
      </c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>
        <f t="shared" si="31"/>
        <v>0</v>
      </c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>
        <f t="shared" si="34"/>
        <v>0</v>
      </c>
      <c r="AX240" s="156"/>
      <c r="AY240" s="203"/>
      <c r="AZ240" s="203"/>
      <c r="BA240" s="203"/>
    </row>
    <row r="241" spans="1:78" x14ac:dyDescent="0.25">
      <c r="A241" s="175" t="s">
        <v>108</v>
      </c>
      <c r="B241" s="199">
        <v>4</v>
      </c>
      <c r="D241" s="199">
        <v>4</v>
      </c>
      <c r="F241" s="174"/>
      <c r="G241" s="174"/>
      <c r="H241" s="174">
        <v>1</v>
      </c>
      <c r="I241" s="174"/>
      <c r="J241" s="174"/>
      <c r="K241" s="174"/>
      <c r="L241" s="174"/>
      <c r="M241" s="174">
        <v>1</v>
      </c>
      <c r="N241" s="174"/>
      <c r="O241" s="174"/>
      <c r="P241" s="174"/>
      <c r="Q241" s="174"/>
      <c r="R241" s="174">
        <v>1</v>
      </c>
      <c r="S241" s="174">
        <v>1</v>
      </c>
      <c r="T241" s="174"/>
      <c r="U241" s="174"/>
      <c r="V241" s="174"/>
      <c r="W241" s="174"/>
      <c r="X241" s="174"/>
      <c r="Y241" s="174">
        <f t="shared" si="31"/>
        <v>4</v>
      </c>
      <c r="Z241" s="199">
        <v>2</v>
      </c>
      <c r="AB241" s="199">
        <v>2</v>
      </c>
      <c r="AD241" s="174"/>
      <c r="AE241" s="174"/>
      <c r="AF241" s="174"/>
      <c r="AG241" s="174"/>
      <c r="AH241" s="174"/>
      <c r="AI241" s="174"/>
      <c r="AJ241" s="174"/>
      <c r="AK241" s="174">
        <v>1</v>
      </c>
      <c r="AL241" s="174"/>
      <c r="AM241" s="174"/>
      <c r="AN241" s="174"/>
      <c r="AO241" s="174"/>
      <c r="AP241" s="174">
        <v>1</v>
      </c>
      <c r="AQ241" s="174"/>
      <c r="AR241" s="174"/>
      <c r="AS241" s="174"/>
      <c r="AT241" s="174"/>
      <c r="AU241" s="174"/>
      <c r="AV241" s="174"/>
      <c r="AW241" s="174">
        <f t="shared" si="34"/>
        <v>2</v>
      </c>
      <c r="AX241" s="156">
        <v>1552</v>
      </c>
      <c r="AY241" s="203"/>
      <c r="AZ241" s="203"/>
      <c r="BA241" s="203"/>
    </row>
    <row r="242" spans="1:78" x14ac:dyDescent="0.25">
      <c r="A242" s="175" t="s">
        <v>109</v>
      </c>
      <c r="B242" s="199">
        <v>4</v>
      </c>
      <c r="D242" s="199">
        <v>4</v>
      </c>
      <c r="F242" s="174"/>
      <c r="G242" s="174"/>
      <c r="H242" s="174">
        <v>1</v>
      </c>
      <c r="I242" s="174"/>
      <c r="J242" s="174"/>
      <c r="K242" s="174"/>
      <c r="L242" s="174"/>
      <c r="M242" s="174"/>
      <c r="N242" s="174"/>
      <c r="O242" s="174"/>
      <c r="P242" s="174"/>
      <c r="Q242" s="174"/>
      <c r="R242" s="174">
        <v>3</v>
      </c>
      <c r="S242" s="174"/>
      <c r="T242" s="174"/>
      <c r="U242" s="174"/>
      <c r="V242" s="174"/>
      <c r="W242" s="174"/>
      <c r="X242" s="174"/>
      <c r="Y242" s="174">
        <f t="shared" si="31"/>
        <v>4</v>
      </c>
      <c r="Z242" s="199">
        <v>3</v>
      </c>
      <c r="AB242" s="199">
        <v>3</v>
      </c>
      <c r="AD242" s="174"/>
      <c r="AE242" s="174"/>
      <c r="AF242" s="174">
        <v>1</v>
      </c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>
        <v>2</v>
      </c>
      <c r="AQ242" s="174"/>
      <c r="AR242" s="174"/>
      <c r="AS242" s="174"/>
      <c r="AT242" s="174"/>
      <c r="AU242" s="174"/>
      <c r="AV242" s="174"/>
      <c r="AW242" s="174">
        <f t="shared" si="34"/>
        <v>3</v>
      </c>
      <c r="AX242" s="156">
        <v>1687</v>
      </c>
      <c r="AY242" s="203"/>
      <c r="AZ242" s="203"/>
      <c r="BA242" s="203"/>
    </row>
    <row r="243" spans="1:78" x14ac:dyDescent="0.25">
      <c r="A243" s="175" t="s">
        <v>110</v>
      </c>
      <c r="B243" s="199">
        <v>3</v>
      </c>
      <c r="C243" s="199">
        <v>3</v>
      </c>
      <c r="D243" s="199">
        <v>3</v>
      </c>
      <c r="E243" s="199">
        <v>3</v>
      </c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>
        <v>2</v>
      </c>
      <c r="S243" s="174"/>
      <c r="T243" s="174"/>
      <c r="U243" s="174"/>
      <c r="V243" s="174">
        <v>1</v>
      </c>
      <c r="W243" s="174"/>
      <c r="X243" s="174"/>
      <c r="Y243" s="174">
        <f t="shared" si="31"/>
        <v>3</v>
      </c>
      <c r="Z243" s="199">
        <v>2</v>
      </c>
      <c r="AA243" s="199">
        <v>2</v>
      </c>
      <c r="AB243" s="199">
        <v>2</v>
      </c>
      <c r="AC243" s="199">
        <v>2</v>
      </c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>
        <v>2</v>
      </c>
      <c r="AQ243" s="174"/>
      <c r="AR243" s="174"/>
      <c r="AS243" s="174"/>
      <c r="AT243" s="174"/>
      <c r="AU243" s="174"/>
      <c r="AV243" s="174"/>
      <c r="AW243" s="174">
        <f t="shared" si="34"/>
        <v>2</v>
      </c>
      <c r="AX243" s="156">
        <v>244</v>
      </c>
      <c r="AY243" s="203"/>
      <c r="AZ243" s="203"/>
      <c r="BA243" s="203"/>
    </row>
    <row r="244" spans="1:78" x14ac:dyDescent="0.25">
      <c r="A244" s="175" t="s">
        <v>111</v>
      </c>
      <c r="B244" s="199">
        <v>12</v>
      </c>
      <c r="C244" s="199">
        <v>11</v>
      </c>
      <c r="D244" s="199">
        <v>16</v>
      </c>
      <c r="E244" s="199">
        <v>15</v>
      </c>
      <c r="F244" s="218"/>
      <c r="G244" s="218"/>
      <c r="H244" s="218">
        <v>1</v>
      </c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>
        <v>3</v>
      </c>
      <c r="U244" s="218"/>
      <c r="V244" s="218">
        <v>12</v>
      </c>
      <c r="W244" s="218"/>
      <c r="X244" s="218"/>
      <c r="Y244" s="174">
        <f t="shared" si="31"/>
        <v>16</v>
      </c>
      <c r="Z244" s="199">
        <v>10</v>
      </c>
      <c r="AA244" s="199">
        <v>9</v>
      </c>
      <c r="AB244" s="199">
        <v>13</v>
      </c>
      <c r="AC244" s="199">
        <v>12</v>
      </c>
      <c r="AD244" s="218"/>
      <c r="AE244" s="218"/>
      <c r="AF244" s="218">
        <v>1</v>
      </c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>
        <v>12</v>
      </c>
      <c r="AU244" s="218"/>
      <c r="AV244" s="218"/>
      <c r="AW244" s="174">
        <f t="shared" si="34"/>
        <v>13</v>
      </c>
      <c r="AX244" s="156">
        <v>441</v>
      </c>
      <c r="AY244" s="203"/>
      <c r="AZ244" s="203"/>
      <c r="BA244" s="203"/>
    </row>
    <row r="245" spans="1:78" x14ac:dyDescent="0.25">
      <c r="A245" s="175" t="s">
        <v>112</v>
      </c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174">
        <f t="shared" si="31"/>
        <v>0</v>
      </c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174">
        <f t="shared" si="34"/>
        <v>0</v>
      </c>
      <c r="AX245" s="156"/>
      <c r="AY245" s="203"/>
      <c r="AZ245" s="203"/>
      <c r="BA245" s="203"/>
    </row>
    <row r="246" spans="1:78" x14ac:dyDescent="0.25">
      <c r="A246" s="175" t="s">
        <v>113</v>
      </c>
      <c r="B246" s="199">
        <v>10</v>
      </c>
      <c r="C246" s="199">
        <v>6</v>
      </c>
      <c r="D246" s="199">
        <v>10</v>
      </c>
      <c r="E246" s="199">
        <v>6</v>
      </c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>
        <v>1</v>
      </c>
      <c r="Q246" s="218"/>
      <c r="R246" s="218">
        <v>1</v>
      </c>
      <c r="S246" s="218"/>
      <c r="T246" s="218">
        <v>6</v>
      </c>
      <c r="U246" s="218"/>
      <c r="V246" s="218"/>
      <c r="W246" s="218"/>
      <c r="X246" s="218">
        <v>2</v>
      </c>
      <c r="Y246" s="174">
        <f t="shared" si="31"/>
        <v>10</v>
      </c>
      <c r="Z246" s="199">
        <v>2</v>
      </c>
      <c r="AB246" s="199">
        <v>2</v>
      </c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>
        <v>2</v>
      </c>
      <c r="AW246" s="174">
        <f t="shared" si="34"/>
        <v>2</v>
      </c>
      <c r="AX246" s="156">
        <v>204</v>
      </c>
      <c r="AY246" s="203"/>
      <c r="AZ246" s="203"/>
      <c r="BA246" s="203"/>
    </row>
    <row r="247" spans="1:78" s="219" customFormat="1" x14ac:dyDescent="0.25">
      <c r="A247" s="177" t="s">
        <v>56</v>
      </c>
      <c r="B247" s="199">
        <f t="shared" ref="B247:AW247" si="37">B6+B26+B44+B63+B73+B94+B178+B181+B195+B223+B231</f>
        <v>3076</v>
      </c>
      <c r="C247" s="199">
        <f t="shared" si="37"/>
        <v>704</v>
      </c>
      <c r="D247" s="199">
        <f t="shared" si="37"/>
        <v>10752</v>
      </c>
      <c r="E247" s="199">
        <f t="shared" si="37"/>
        <v>3218</v>
      </c>
      <c r="F247" s="219">
        <f t="shared" si="37"/>
        <v>14</v>
      </c>
      <c r="G247" s="219">
        <f t="shared" si="37"/>
        <v>12</v>
      </c>
      <c r="H247" s="219">
        <f t="shared" si="37"/>
        <v>2962</v>
      </c>
      <c r="I247" s="219">
        <f t="shared" si="37"/>
        <v>19</v>
      </c>
      <c r="J247" s="219">
        <f t="shared" si="37"/>
        <v>56</v>
      </c>
      <c r="K247" s="219">
        <f t="shared" si="37"/>
        <v>599</v>
      </c>
      <c r="L247" s="219">
        <f t="shared" si="37"/>
        <v>664</v>
      </c>
      <c r="M247" s="219">
        <f t="shared" si="37"/>
        <v>235</v>
      </c>
      <c r="N247" s="219">
        <f t="shared" si="37"/>
        <v>384</v>
      </c>
      <c r="O247" s="219">
        <f t="shared" si="37"/>
        <v>155</v>
      </c>
      <c r="P247" s="219">
        <f t="shared" si="37"/>
        <v>131</v>
      </c>
      <c r="Q247" s="219">
        <f t="shared" si="37"/>
        <v>98</v>
      </c>
      <c r="R247" s="219">
        <f t="shared" si="37"/>
        <v>424</v>
      </c>
      <c r="S247" s="219">
        <f t="shared" si="37"/>
        <v>174</v>
      </c>
      <c r="T247" s="219">
        <f t="shared" si="37"/>
        <v>319</v>
      </c>
      <c r="U247" s="219">
        <f t="shared" si="37"/>
        <v>478</v>
      </c>
      <c r="V247" s="219">
        <f t="shared" si="37"/>
        <v>3024</v>
      </c>
      <c r="W247" s="219">
        <f t="shared" si="37"/>
        <v>51</v>
      </c>
      <c r="X247" s="219">
        <f t="shared" si="37"/>
        <v>953</v>
      </c>
      <c r="Y247" s="219">
        <f t="shared" si="37"/>
        <v>10752</v>
      </c>
      <c r="Z247" s="219">
        <f t="shared" si="37"/>
        <v>2036</v>
      </c>
      <c r="AA247" s="219">
        <f t="shared" si="37"/>
        <v>481</v>
      </c>
      <c r="AB247" s="219">
        <f t="shared" si="37"/>
        <v>7358</v>
      </c>
      <c r="AC247" s="219">
        <f t="shared" si="37"/>
        <v>2724</v>
      </c>
      <c r="AD247" s="219">
        <f t="shared" si="37"/>
        <v>14</v>
      </c>
      <c r="AE247" s="219">
        <f t="shared" si="37"/>
        <v>11</v>
      </c>
      <c r="AF247" s="219">
        <f t="shared" si="37"/>
        <v>2139</v>
      </c>
      <c r="AG247" s="219">
        <f t="shared" si="37"/>
        <v>15</v>
      </c>
      <c r="AH247" s="219">
        <f t="shared" si="37"/>
        <v>45</v>
      </c>
      <c r="AI247" s="219">
        <f t="shared" si="37"/>
        <v>316</v>
      </c>
      <c r="AJ247" s="219">
        <f t="shared" si="37"/>
        <v>445</v>
      </c>
      <c r="AK247" s="219">
        <f t="shared" si="37"/>
        <v>147</v>
      </c>
      <c r="AL247" s="219">
        <f t="shared" si="37"/>
        <v>253</v>
      </c>
      <c r="AM247" s="219">
        <f t="shared" si="37"/>
        <v>64</v>
      </c>
      <c r="AN247" s="219">
        <f t="shared" si="37"/>
        <v>67</v>
      </c>
      <c r="AO247" s="219">
        <f t="shared" si="37"/>
        <v>27</v>
      </c>
      <c r="AP247" s="219">
        <f t="shared" si="37"/>
        <v>259</v>
      </c>
      <c r="AQ247" s="219">
        <f t="shared" si="37"/>
        <v>131</v>
      </c>
      <c r="AR247" s="219">
        <f t="shared" si="37"/>
        <v>217</v>
      </c>
      <c r="AS247" s="219">
        <f t="shared" si="37"/>
        <v>412</v>
      </c>
      <c r="AT247" s="219">
        <f t="shared" si="37"/>
        <v>2334</v>
      </c>
      <c r="AU247" s="219">
        <f t="shared" si="37"/>
        <v>9</v>
      </c>
      <c r="AV247" s="219">
        <f t="shared" si="37"/>
        <v>453</v>
      </c>
      <c r="AW247" s="219">
        <f t="shared" si="37"/>
        <v>7358</v>
      </c>
      <c r="AX247" s="210">
        <v>2278.5500000000002</v>
      </c>
      <c r="AY247" s="156">
        <f t="shared" ref="AY247" si="38">Z247*100/B247</f>
        <v>66.18985695708713</v>
      </c>
      <c r="AZ247" s="185">
        <f t="shared" ref="AZ247" si="39">B247-Z247</f>
        <v>1040</v>
      </c>
      <c r="BA247" s="156">
        <f t="shared" ref="BA247" si="40">AZ247*100/B247</f>
        <v>33.810143042912877</v>
      </c>
      <c r="BB247" s="220"/>
      <c r="BC247" s="220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  <c r="BZ247" s="220"/>
    </row>
    <row r="248" spans="1:78" x14ac:dyDescent="0.25">
      <c r="AX248" s="178">
        <v>363011.58</v>
      </c>
      <c r="AY248" s="156"/>
      <c r="AZ248" s="185"/>
      <c r="BA248" s="156"/>
    </row>
    <row r="249" spans="1:78" x14ac:dyDescent="0.25">
      <c r="AZ249" s="144"/>
    </row>
    <row r="251" spans="1:78" x14ac:dyDescent="0.25">
      <c r="A251" s="188"/>
    </row>
  </sheetData>
  <autoFilter ref="A5:EK249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H250"/>
  <sheetViews>
    <sheetView topLeftCell="AL1" workbookViewId="0">
      <pane ySplit="5" topLeftCell="A201" activePane="bottomLeft" state="frozen"/>
      <selection activeCell="A2" sqref="A2"/>
      <selection pane="bottomLeft" activeCell="BE210" sqref="BE210"/>
    </sheetView>
  </sheetViews>
  <sheetFormatPr defaultRowHeight="15" x14ac:dyDescent="0.25"/>
  <cols>
    <col min="1" max="1" width="64.7109375" customWidth="1"/>
    <col min="2" max="2" width="8.28515625" style="1" customWidth="1"/>
    <col min="3" max="3" width="10.7109375" style="1" customWidth="1"/>
    <col min="4" max="4" width="8.5703125" style="1" customWidth="1"/>
    <col min="5" max="5" width="11.5703125" style="1" customWidth="1"/>
    <col min="6" max="7" width="4.7109375" style="1" customWidth="1"/>
    <col min="8" max="8" width="5.28515625" style="1" customWidth="1"/>
    <col min="9" max="21" width="4.7109375" style="1" customWidth="1"/>
    <col min="22" max="22" width="5.42578125" style="1" customWidth="1"/>
    <col min="23" max="23" width="4.7109375" style="1" customWidth="1"/>
    <col min="24" max="24" width="4.140625" style="1" customWidth="1"/>
    <col min="25" max="25" width="6.42578125" style="1" customWidth="1"/>
    <col min="26" max="26" width="9.140625" style="1" customWidth="1"/>
    <col min="27" max="27" width="10.42578125" style="1" customWidth="1"/>
    <col min="28" max="28" width="7.5703125" style="1" customWidth="1"/>
    <col min="29" max="29" width="11.140625" style="1" customWidth="1"/>
    <col min="30" max="31" width="6.140625" style="1" customWidth="1"/>
    <col min="32" max="32" width="5.42578125" style="1" customWidth="1"/>
    <col min="33" max="33" width="5" style="1" customWidth="1"/>
    <col min="34" max="34" width="4.7109375" style="1" customWidth="1"/>
    <col min="35" max="35" width="4.28515625" style="1" customWidth="1"/>
    <col min="36" max="49" width="6.7109375" style="1" customWidth="1"/>
    <col min="50" max="50" width="16.7109375" style="22" customWidth="1"/>
    <col min="51" max="51" width="15.5703125" customWidth="1"/>
    <col min="52" max="52" width="14.7109375" customWidth="1"/>
    <col min="53" max="53" width="10.5703125" customWidth="1"/>
    <col min="54" max="54" width="11.42578125" customWidth="1"/>
    <col min="55" max="55" width="13" customWidth="1"/>
    <col min="56" max="56" width="10.85546875" customWidth="1"/>
    <col min="57" max="57" width="10.140625" customWidth="1"/>
    <col min="58" max="59" width="10.42578125" customWidth="1"/>
    <col min="60" max="70" width="8.85546875" customWidth="1"/>
    <col min="71" max="72" width="9.28515625" customWidth="1"/>
    <col min="73" max="73" width="11.28515625" customWidth="1"/>
    <col min="74" max="137" width="8.85546875" customWidth="1"/>
  </cols>
  <sheetData>
    <row r="4" spans="1:60" s="70" customFormat="1" ht="51" customHeight="1" x14ac:dyDescent="0.25">
      <c r="B4" s="128" t="s">
        <v>0</v>
      </c>
      <c r="C4" s="129"/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  <c r="Z4" s="130" t="s">
        <v>2</v>
      </c>
      <c r="AA4" s="131"/>
      <c r="AB4" s="123" t="s">
        <v>3</v>
      </c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71"/>
    </row>
    <row r="5" spans="1:60" ht="60" x14ac:dyDescent="0.25">
      <c r="A5" s="56">
        <v>2022</v>
      </c>
      <c r="B5" s="3" t="s">
        <v>5</v>
      </c>
      <c r="C5" s="20" t="s">
        <v>6</v>
      </c>
      <c r="D5" s="4" t="s">
        <v>7</v>
      </c>
      <c r="E5" s="60" t="s">
        <v>6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/>
      <c r="Z5" s="5" t="s">
        <v>5</v>
      </c>
      <c r="AA5" s="61" t="s">
        <v>27</v>
      </c>
      <c r="AB5" s="6" t="s">
        <v>7</v>
      </c>
      <c r="AC5" s="62" t="s">
        <v>6</v>
      </c>
      <c r="AD5" s="6" t="s">
        <v>8</v>
      </c>
      <c r="AE5" s="6" t="s">
        <v>9</v>
      </c>
      <c r="AF5" s="6" t="s">
        <v>10</v>
      </c>
      <c r="AG5" s="6" t="s">
        <v>11</v>
      </c>
      <c r="AH5" s="6" t="s">
        <v>12</v>
      </c>
      <c r="AI5" s="6" t="s">
        <v>13</v>
      </c>
      <c r="AJ5" s="6" t="s">
        <v>14</v>
      </c>
      <c r="AK5" s="6" t="s">
        <v>15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6" t="s">
        <v>24</v>
      </c>
      <c r="AU5" s="6" t="s">
        <v>25</v>
      </c>
      <c r="AV5" s="6" t="s">
        <v>26</v>
      </c>
      <c r="AW5" s="6"/>
      <c r="AX5" s="68" t="s">
        <v>28</v>
      </c>
    </row>
    <row r="6" spans="1:60" s="9" customFormat="1" x14ac:dyDescent="0.25">
      <c r="A6" s="40" t="s">
        <v>29</v>
      </c>
      <c r="B6" s="8">
        <f t="shared" ref="B6:X6" si="0">B7+B8+B9+B10+B11+B12+B13+B14+B15+B16+B17+B18+B19+B20+B21+B22+B23+B24+B25</f>
        <v>53</v>
      </c>
      <c r="C6" s="8">
        <f t="shared" si="0"/>
        <v>40</v>
      </c>
      <c r="D6" s="8">
        <f t="shared" si="0"/>
        <v>179</v>
      </c>
      <c r="E6" s="8">
        <f t="shared" si="0"/>
        <v>153</v>
      </c>
      <c r="F6" s="8">
        <f t="shared" si="0"/>
        <v>0</v>
      </c>
      <c r="G6" s="8">
        <f t="shared" si="0"/>
        <v>0</v>
      </c>
      <c r="H6" s="8">
        <f t="shared" si="0"/>
        <v>18</v>
      </c>
      <c r="I6" s="8">
        <f t="shared" si="0"/>
        <v>0</v>
      </c>
      <c r="J6" s="8">
        <f t="shared" si="0"/>
        <v>1</v>
      </c>
      <c r="K6" s="8">
        <f t="shared" si="0"/>
        <v>3</v>
      </c>
      <c r="L6" s="8">
        <f t="shared" si="0"/>
        <v>1</v>
      </c>
      <c r="M6" s="8">
        <f t="shared" si="0"/>
        <v>1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1</v>
      </c>
      <c r="S6" s="8">
        <f t="shared" si="0"/>
        <v>0</v>
      </c>
      <c r="T6" s="8">
        <f t="shared" si="0"/>
        <v>90</v>
      </c>
      <c r="U6" s="8">
        <f t="shared" si="0"/>
        <v>0</v>
      </c>
      <c r="V6" s="8">
        <f t="shared" si="0"/>
        <v>56</v>
      </c>
      <c r="W6" s="8">
        <f t="shared" si="0"/>
        <v>5</v>
      </c>
      <c r="X6" s="8">
        <f t="shared" si="0"/>
        <v>3</v>
      </c>
      <c r="Y6" s="8">
        <f t="shared" ref="Y6:Y69" si="1">SUM(F6:X6)</f>
        <v>179</v>
      </c>
      <c r="Z6" s="8">
        <f t="shared" ref="Z6:AV6" si="2">SUM(Z7:Z25)</f>
        <v>44</v>
      </c>
      <c r="AA6" s="8">
        <f t="shared" si="2"/>
        <v>31</v>
      </c>
      <c r="AB6" s="8">
        <f t="shared" si="2"/>
        <v>127</v>
      </c>
      <c r="AC6" s="8">
        <f t="shared" si="2"/>
        <v>102</v>
      </c>
      <c r="AD6" s="8">
        <f t="shared" si="2"/>
        <v>0</v>
      </c>
      <c r="AE6" s="8">
        <f t="shared" si="2"/>
        <v>0</v>
      </c>
      <c r="AF6" s="8">
        <f t="shared" si="2"/>
        <v>17</v>
      </c>
      <c r="AG6" s="8">
        <f t="shared" si="2"/>
        <v>0</v>
      </c>
      <c r="AH6" s="8">
        <f t="shared" si="2"/>
        <v>1</v>
      </c>
      <c r="AI6" s="8">
        <f t="shared" si="2"/>
        <v>1</v>
      </c>
      <c r="AJ6" s="8">
        <f t="shared" si="2"/>
        <v>1</v>
      </c>
      <c r="AK6" s="8">
        <f t="shared" si="2"/>
        <v>1</v>
      </c>
      <c r="AL6" s="8">
        <f t="shared" si="2"/>
        <v>0</v>
      </c>
      <c r="AM6" s="8">
        <f t="shared" si="2"/>
        <v>0</v>
      </c>
      <c r="AN6" s="8">
        <f t="shared" si="2"/>
        <v>0</v>
      </c>
      <c r="AO6" s="8">
        <f t="shared" si="2"/>
        <v>0</v>
      </c>
      <c r="AP6" s="8">
        <f t="shared" si="2"/>
        <v>1</v>
      </c>
      <c r="AQ6" s="8">
        <f t="shared" si="2"/>
        <v>2</v>
      </c>
      <c r="AR6" s="8">
        <f t="shared" si="2"/>
        <v>71</v>
      </c>
      <c r="AS6" s="8">
        <f t="shared" si="2"/>
        <v>0</v>
      </c>
      <c r="AT6" s="8">
        <f t="shared" si="2"/>
        <v>27</v>
      </c>
      <c r="AU6" s="8">
        <f t="shared" si="2"/>
        <v>2</v>
      </c>
      <c r="AV6" s="8">
        <f t="shared" si="2"/>
        <v>3</v>
      </c>
      <c r="AW6" s="8">
        <f t="shared" ref="AW6:AW61" si="3">SUM(AD6:AV6)</f>
        <v>127</v>
      </c>
      <c r="AX6" s="23"/>
    </row>
    <row r="7" spans="1:60" x14ac:dyDescent="0.25">
      <c r="A7" s="10" t="s">
        <v>151</v>
      </c>
      <c r="B7" s="11">
        <f>1+3+1+1+1</f>
        <v>7</v>
      </c>
      <c r="C7" s="11">
        <f>1+3+1+1+1</f>
        <v>7</v>
      </c>
      <c r="D7" s="11">
        <f>2+11+2+4+3</f>
        <v>22</v>
      </c>
      <c r="E7" s="11">
        <f>2+11+2+4+3</f>
        <v>22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f>2+11+2+4+3</f>
        <v>22</v>
      </c>
      <c r="W7" s="11"/>
      <c r="X7" s="11"/>
      <c r="Y7" s="8">
        <f t="shared" si="1"/>
        <v>22</v>
      </c>
      <c r="Z7" s="11">
        <f>1+3+1</f>
        <v>5</v>
      </c>
      <c r="AA7" s="11">
        <f>1+3+1</f>
        <v>5</v>
      </c>
      <c r="AB7" s="11">
        <f>2+11+3</f>
        <v>16</v>
      </c>
      <c r="AC7" s="11">
        <f>2+11+3</f>
        <v>16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>
        <f>2+11+3</f>
        <v>16</v>
      </c>
      <c r="AU7" s="11"/>
      <c r="AV7" s="11"/>
      <c r="AW7" s="8">
        <f t="shared" si="3"/>
        <v>16</v>
      </c>
      <c r="AX7" s="14">
        <v>695.88333333333333</v>
      </c>
      <c r="AY7">
        <v>1005</v>
      </c>
      <c r="AZ7">
        <v>278.64999999999998</v>
      </c>
      <c r="BA7">
        <v>804</v>
      </c>
    </row>
    <row r="8" spans="1:60" x14ac:dyDescent="0.25">
      <c r="A8" s="10" t="s">
        <v>152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8">
        <f t="shared" si="1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8">
        <f t="shared" si="3"/>
        <v>0</v>
      </c>
      <c r="AX8" s="14"/>
    </row>
    <row r="9" spans="1:60" x14ac:dyDescent="0.25">
      <c r="A9" s="10" t="s">
        <v>153</v>
      </c>
      <c r="B9" s="11">
        <f>1+1+2+2+1+3</f>
        <v>10</v>
      </c>
      <c r="C9" s="11">
        <f>1+1+2+2+1+3</f>
        <v>10</v>
      </c>
      <c r="D9" s="11">
        <f>2+1+11+7+1+3</f>
        <v>25</v>
      </c>
      <c r="E9" s="11">
        <f>2+1+11+7+1+3</f>
        <v>25</v>
      </c>
      <c r="F9" s="11"/>
      <c r="G9" s="11"/>
      <c r="H9" s="11"/>
      <c r="I9" s="11"/>
      <c r="J9" s="11"/>
      <c r="K9" s="11"/>
      <c r="L9" s="11"/>
      <c r="M9" s="11">
        <f>1</f>
        <v>1</v>
      </c>
      <c r="N9" s="11"/>
      <c r="O9" s="11"/>
      <c r="P9" s="11"/>
      <c r="Q9" s="11"/>
      <c r="R9" s="11"/>
      <c r="S9" s="11"/>
      <c r="T9" s="11">
        <f>2+11+3</f>
        <v>16</v>
      </c>
      <c r="U9" s="11"/>
      <c r="V9" s="11">
        <f>7</f>
        <v>7</v>
      </c>
      <c r="W9" s="11">
        <f>1</f>
        <v>1</v>
      </c>
      <c r="X9" s="11"/>
      <c r="Y9" s="8">
        <f t="shared" si="1"/>
        <v>25</v>
      </c>
      <c r="Z9" s="11">
        <f>1+1+1+1+1+3</f>
        <v>8</v>
      </c>
      <c r="AA9" s="11">
        <f>1+1+1+1+1+3</f>
        <v>8</v>
      </c>
      <c r="AB9" s="11">
        <f>1+1+5+1+1+3</f>
        <v>12</v>
      </c>
      <c r="AC9" s="11">
        <f>1+1+5+1+1+3</f>
        <v>12</v>
      </c>
      <c r="AD9" s="11"/>
      <c r="AE9" s="11"/>
      <c r="AF9" s="11"/>
      <c r="AG9" s="11"/>
      <c r="AH9" s="11"/>
      <c r="AI9" s="11"/>
      <c r="AJ9" s="11"/>
      <c r="AK9" s="11">
        <f>1</f>
        <v>1</v>
      </c>
      <c r="AL9" s="11"/>
      <c r="AM9" s="11"/>
      <c r="AN9" s="11"/>
      <c r="AO9" s="11"/>
      <c r="AP9" s="11"/>
      <c r="AQ9" s="11"/>
      <c r="AR9" s="11">
        <f>1+5+3</f>
        <v>9</v>
      </c>
      <c r="AS9" s="11"/>
      <c r="AT9" s="11">
        <f>1</f>
        <v>1</v>
      </c>
      <c r="AU9" s="11">
        <f>1</f>
        <v>1</v>
      </c>
      <c r="AV9" s="11"/>
      <c r="AW9" s="8">
        <f t="shared" si="3"/>
        <v>12</v>
      </c>
      <c r="AX9" s="14">
        <v>1119.9783333333332</v>
      </c>
      <c r="AY9">
        <v>1750</v>
      </c>
      <c r="AZ9">
        <v>1752</v>
      </c>
      <c r="BA9">
        <v>680</v>
      </c>
      <c r="BB9">
        <v>287.2</v>
      </c>
      <c r="BC9">
        <v>1752</v>
      </c>
      <c r="BD9">
        <v>498.67</v>
      </c>
    </row>
    <row r="10" spans="1:60" x14ac:dyDescent="0.25">
      <c r="A10" s="10" t="s">
        <v>154</v>
      </c>
      <c r="B10" s="11">
        <f>1+1+1+1+1+1+1+1+1+1+1</f>
        <v>11</v>
      </c>
      <c r="C10" s="11">
        <f>1+1+1+1+1+1+1</f>
        <v>7</v>
      </c>
      <c r="D10" s="11">
        <f>2+4+1+1+3+1+1+1+1+1+1</f>
        <v>17</v>
      </c>
      <c r="E10" s="11">
        <f>2+4+1+1+1+1+1</f>
        <v>11</v>
      </c>
      <c r="F10" s="11"/>
      <c r="G10" s="11"/>
      <c r="H10" s="11">
        <f>1</f>
        <v>1</v>
      </c>
      <c r="I10" s="11"/>
      <c r="J10" s="11"/>
      <c r="K10" s="11">
        <f>3</f>
        <v>3</v>
      </c>
      <c r="L10" s="11">
        <f>1</f>
        <v>1</v>
      </c>
      <c r="M10" s="11"/>
      <c r="N10" s="11"/>
      <c r="O10" s="11"/>
      <c r="P10" s="11"/>
      <c r="Q10" s="11"/>
      <c r="R10" s="11">
        <f>1</f>
        <v>1</v>
      </c>
      <c r="S10" s="11"/>
      <c r="T10" s="11">
        <f>1</f>
        <v>1</v>
      </c>
      <c r="U10" s="11"/>
      <c r="V10" s="11">
        <f>6+1+1+1</f>
        <v>9</v>
      </c>
      <c r="W10" s="11"/>
      <c r="X10" s="11">
        <f>1</f>
        <v>1</v>
      </c>
      <c r="Y10" s="8">
        <f t="shared" si="1"/>
        <v>17</v>
      </c>
      <c r="Z10" s="11">
        <f>2+1+1+1+1+1+1+1+1</f>
        <v>10</v>
      </c>
      <c r="AA10" s="11">
        <f>2+1+1+1</f>
        <v>5</v>
      </c>
      <c r="AB10" s="11">
        <f>6+1+1+1+1+1+1+1+1</f>
        <v>14</v>
      </c>
      <c r="AC10" s="11">
        <f>6+1+1+1+1</f>
        <v>10</v>
      </c>
      <c r="AD10" s="11"/>
      <c r="AE10" s="11"/>
      <c r="AF10" s="11">
        <f>1</f>
        <v>1</v>
      </c>
      <c r="AG10" s="11"/>
      <c r="AH10" s="11"/>
      <c r="AI10" s="11">
        <f>1</f>
        <v>1</v>
      </c>
      <c r="AJ10" s="11">
        <f>1</f>
        <v>1</v>
      </c>
      <c r="AK10" s="11"/>
      <c r="AL10" s="11"/>
      <c r="AM10" s="11"/>
      <c r="AN10" s="11"/>
      <c r="AO10" s="11"/>
      <c r="AP10" s="11">
        <f>1</f>
        <v>1</v>
      </c>
      <c r="AQ10" s="11"/>
      <c r="AR10" s="11">
        <f>1</f>
        <v>1</v>
      </c>
      <c r="AS10" s="11"/>
      <c r="AT10" s="11">
        <f>6+1+1</f>
        <v>8</v>
      </c>
      <c r="AU10" s="11"/>
      <c r="AV10" s="11">
        <f>1</f>
        <v>1</v>
      </c>
      <c r="AW10" s="8">
        <f t="shared" si="3"/>
        <v>14</v>
      </c>
      <c r="AX10" s="14">
        <v>829.96</v>
      </c>
      <c r="AY10" s="73">
        <v>280</v>
      </c>
      <c r="AZ10" s="73">
        <v>392</v>
      </c>
      <c r="BA10">
        <v>804</v>
      </c>
      <c r="BB10">
        <v>766.4</v>
      </c>
      <c r="BC10">
        <v>1400</v>
      </c>
      <c r="BD10">
        <v>1760</v>
      </c>
      <c r="BE10">
        <v>1920</v>
      </c>
      <c r="BF10">
        <v>450</v>
      </c>
      <c r="BG10">
        <v>208</v>
      </c>
      <c r="BH10">
        <v>319.2</v>
      </c>
    </row>
    <row r="11" spans="1:60" x14ac:dyDescent="0.25">
      <c r="A11" s="10" t="s">
        <v>155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8">
        <f t="shared" si="1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8">
        <f t="shared" si="3"/>
        <v>0</v>
      </c>
      <c r="AX11" s="14"/>
    </row>
    <row r="12" spans="1:60" x14ac:dyDescent="0.25">
      <c r="A12" s="10" t="s">
        <v>156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8">
        <f t="shared" si="1"/>
        <v>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8">
        <f t="shared" si="3"/>
        <v>0</v>
      </c>
      <c r="AX12" s="14"/>
    </row>
    <row r="13" spans="1:60" x14ac:dyDescent="0.25">
      <c r="A13" s="10" t="s">
        <v>157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8">
        <f t="shared" si="1"/>
        <v>0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8">
        <f t="shared" si="3"/>
        <v>0</v>
      </c>
      <c r="AX13" s="14"/>
    </row>
    <row r="14" spans="1:60" x14ac:dyDescent="0.25">
      <c r="A14" s="10" t="s">
        <v>158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8">
        <f t="shared" si="1"/>
        <v>0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8">
        <f t="shared" si="3"/>
        <v>0</v>
      </c>
      <c r="AX14" s="14"/>
    </row>
    <row r="15" spans="1:60" x14ac:dyDescent="0.25">
      <c r="A15" s="10" t="s">
        <v>77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8">
        <f t="shared" si="1"/>
        <v>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8">
        <f t="shared" si="3"/>
        <v>0</v>
      </c>
      <c r="AX15" s="14"/>
    </row>
    <row r="16" spans="1:60" x14ac:dyDescent="0.25">
      <c r="A16" s="10" t="s">
        <v>78</v>
      </c>
      <c r="B16" s="11">
        <f>1+1+1+1+3+1+2+4</f>
        <v>14</v>
      </c>
      <c r="C16" s="11">
        <f>1+1+1+3+1+2+4</f>
        <v>13</v>
      </c>
      <c r="D16" s="11">
        <f>1+1+1+1+38+2+23+9</f>
        <v>76</v>
      </c>
      <c r="E16" s="11">
        <f>1+1+1+38+2+23+9</f>
        <v>75</v>
      </c>
      <c r="F16" s="11"/>
      <c r="G16" s="11"/>
      <c r="H16" s="11"/>
      <c r="I16" s="11"/>
      <c r="J16" s="11">
        <f>1</f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>
        <f>1+38+2+23+9</f>
        <v>73</v>
      </c>
      <c r="U16" s="11"/>
      <c r="V16" s="11">
        <f>1+1</f>
        <v>2</v>
      </c>
      <c r="W16" s="11"/>
      <c r="X16" s="11"/>
      <c r="Y16" s="8">
        <f t="shared" si="1"/>
        <v>76</v>
      </c>
      <c r="Z16" s="11">
        <f>1+1+1+3+1+2+3</f>
        <v>12</v>
      </c>
      <c r="AA16" s="11">
        <f>1+1+3+1+2+3</f>
        <v>11</v>
      </c>
      <c r="AB16" s="11">
        <f>1+1+1+2+32+23+5</f>
        <v>65</v>
      </c>
      <c r="AC16" s="11">
        <f>1+1+32+23+5</f>
        <v>62</v>
      </c>
      <c r="AD16" s="11"/>
      <c r="AE16" s="11"/>
      <c r="AF16" s="11"/>
      <c r="AG16" s="11"/>
      <c r="AH16" s="11">
        <f>1</f>
        <v>1</v>
      </c>
      <c r="AI16" s="11"/>
      <c r="AJ16" s="11"/>
      <c r="AK16" s="11"/>
      <c r="AL16" s="11"/>
      <c r="AM16" s="11"/>
      <c r="AN16" s="11"/>
      <c r="AO16" s="11"/>
      <c r="AP16" s="11"/>
      <c r="AQ16" s="11">
        <f>2</f>
        <v>2</v>
      </c>
      <c r="AR16" s="11">
        <f>1+32+23+5</f>
        <v>61</v>
      </c>
      <c r="AS16" s="11"/>
      <c r="AT16" s="11">
        <f>1</f>
        <v>1</v>
      </c>
      <c r="AU16" s="11"/>
      <c r="AV16" s="11"/>
      <c r="AW16" s="8">
        <f t="shared" si="3"/>
        <v>65</v>
      </c>
      <c r="AX16" s="14">
        <v>4165.732857142857</v>
      </c>
      <c r="AY16">
        <v>10000</v>
      </c>
      <c r="AZ16">
        <v>4200</v>
      </c>
      <c r="BA16">
        <v>6000</v>
      </c>
      <c r="BB16">
        <v>340</v>
      </c>
      <c r="BC16">
        <v>7920</v>
      </c>
      <c r="BD16">
        <v>322</v>
      </c>
      <c r="BE16">
        <v>378.13</v>
      </c>
    </row>
    <row r="17" spans="1:138" x14ac:dyDescent="0.25">
      <c r="A17" s="10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8">
        <f t="shared" si="1"/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8">
        <f t="shared" si="3"/>
        <v>0</v>
      </c>
      <c r="AX17" s="14"/>
    </row>
    <row r="18" spans="1:138" x14ac:dyDescent="0.25">
      <c r="A18" s="10" t="s">
        <v>80</v>
      </c>
      <c r="B18" s="11">
        <f>1</f>
        <v>1</v>
      </c>
      <c r="C18" s="11">
        <f>1</f>
        <v>1</v>
      </c>
      <c r="D18" s="11">
        <f>1</f>
        <v>1</v>
      </c>
      <c r="E18" s="11">
        <f>1</f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f>1</f>
        <v>1</v>
      </c>
      <c r="W18" s="11"/>
      <c r="X18" s="11"/>
      <c r="Y18" s="8">
        <f t="shared" si="1"/>
        <v>1</v>
      </c>
      <c r="Z18" s="11">
        <f>1</f>
        <v>1</v>
      </c>
      <c r="AA18" s="11">
        <f>1</f>
        <v>1</v>
      </c>
      <c r="AB18" s="11">
        <f>1</f>
        <v>1</v>
      </c>
      <c r="AC18" s="11">
        <f>1</f>
        <v>1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f>1</f>
        <v>1</v>
      </c>
      <c r="AU18" s="11"/>
      <c r="AV18" s="11"/>
      <c r="AW18" s="8">
        <f t="shared" si="3"/>
        <v>1</v>
      </c>
      <c r="AX18" s="14">
        <v>1200</v>
      </c>
      <c r="AY18">
        <v>1200</v>
      </c>
    </row>
    <row r="19" spans="1:138" x14ac:dyDescent="0.25">
      <c r="A19" s="10" t="s">
        <v>81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">
        <f t="shared" si="1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8">
        <f t="shared" si="3"/>
        <v>0</v>
      </c>
      <c r="AX19" s="14"/>
    </row>
    <row r="20" spans="1:138" x14ac:dyDescent="0.25">
      <c r="A20" s="10" t="s">
        <v>82</v>
      </c>
      <c r="B20" s="11">
        <f>1</f>
        <v>1</v>
      </c>
      <c r="C20" s="11">
        <f>1</f>
        <v>1</v>
      </c>
      <c r="D20" s="11">
        <f>4</f>
        <v>4</v>
      </c>
      <c r="E20" s="11">
        <f>4</f>
        <v>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f>4</f>
        <v>4</v>
      </c>
      <c r="X20" s="11"/>
      <c r="Y20" s="8">
        <f t="shared" si="1"/>
        <v>4</v>
      </c>
      <c r="Z20" s="11">
        <f>1</f>
        <v>1</v>
      </c>
      <c r="AA20" s="11">
        <f>1</f>
        <v>1</v>
      </c>
      <c r="AB20" s="11">
        <f>1</f>
        <v>1</v>
      </c>
      <c r="AC20" s="11">
        <f>1</f>
        <v>1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>
        <f>1</f>
        <v>1</v>
      </c>
      <c r="AV20" s="11"/>
      <c r="AW20" s="8">
        <f t="shared" si="3"/>
        <v>1</v>
      </c>
      <c r="AX20" s="14">
        <v>320</v>
      </c>
      <c r="AY20">
        <v>320</v>
      </c>
    </row>
    <row r="21" spans="1:138" x14ac:dyDescent="0.25">
      <c r="A21" s="10" t="s">
        <v>83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8">
        <f t="shared" si="1"/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8">
        <f t="shared" si="3"/>
        <v>0</v>
      </c>
      <c r="AX21" s="14"/>
    </row>
    <row r="22" spans="1:138" x14ac:dyDescent="0.25">
      <c r="A22" s="10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8">
        <f t="shared" si="1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8">
        <f t="shared" si="3"/>
        <v>0</v>
      </c>
      <c r="AX22" s="14"/>
    </row>
    <row r="23" spans="1:138" x14ac:dyDescent="0.25">
      <c r="A23" s="10" t="s">
        <v>85</v>
      </c>
      <c r="B23" s="11">
        <v>1</v>
      </c>
      <c r="C23" s="11">
        <v>1</v>
      </c>
      <c r="D23" s="11">
        <v>15</v>
      </c>
      <c r="E23" s="11">
        <v>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15</v>
      </c>
      <c r="W23" s="11"/>
      <c r="X23" s="11"/>
      <c r="Y23" s="8">
        <f t="shared" si="1"/>
        <v>15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8">
        <f t="shared" si="3"/>
        <v>0</v>
      </c>
      <c r="AX23" s="14"/>
    </row>
    <row r="24" spans="1:138" x14ac:dyDescent="0.25">
      <c r="A24" s="10" t="s">
        <v>86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8">
        <f t="shared" si="1"/>
        <v>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8">
        <f t="shared" si="3"/>
        <v>0</v>
      </c>
      <c r="AX24" s="14"/>
    </row>
    <row r="25" spans="1:138" x14ac:dyDescent="0.25">
      <c r="A25" s="10" t="s">
        <v>87</v>
      </c>
      <c r="B25" s="11">
        <f>1+3+1+1+2</f>
        <v>8</v>
      </c>
      <c r="C25" s="11"/>
      <c r="D25" s="11">
        <f>1+9+7+2</f>
        <v>19</v>
      </c>
      <c r="E25" s="11"/>
      <c r="F25" s="11"/>
      <c r="G25" s="11"/>
      <c r="H25" s="11">
        <f>1+9+7</f>
        <v>17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f>2</f>
        <v>2</v>
      </c>
      <c r="Y25" s="8">
        <f t="shared" si="1"/>
        <v>19</v>
      </c>
      <c r="Z25" s="11">
        <f>1+3+1+2</f>
        <v>7</v>
      </c>
      <c r="AA25" s="11"/>
      <c r="AB25" s="11">
        <f>1+9+6+2</f>
        <v>18</v>
      </c>
      <c r="AC25" s="11"/>
      <c r="AD25" s="11"/>
      <c r="AE25" s="11"/>
      <c r="AF25" s="11">
        <f>1+9+6</f>
        <v>16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f>2</f>
        <v>2</v>
      </c>
      <c r="AW25" s="8">
        <f t="shared" si="3"/>
        <v>18</v>
      </c>
      <c r="AX25" s="14">
        <v>1371.25</v>
      </c>
      <c r="AY25">
        <v>1200</v>
      </c>
      <c r="AZ25">
        <v>1333.33</v>
      </c>
      <c r="BA25">
        <v>956.67</v>
      </c>
      <c r="BB25">
        <v>1995</v>
      </c>
    </row>
    <row r="26" spans="1:138" s="9" customFormat="1" x14ac:dyDescent="0.25">
      <c r="A26" s="40" t="s">
        <v>30</v>
      </c>
      <c r="B26" s="8">
        <f>B27+B28+B29+B30+B31+B32+B33+B34+B35+B36+B37+B38+B39+B40+B41+B42+B43</f>
        <v>267</v>
      </c>
      <c r="C26" s="8">
        <f t="shared" ref="C26:AV26" si="4">C27+C28+C29+C30+C31+C32+C33+C34+C35+C36+C37+C38+C39+C40+C41+C42+C43</f>
        <v>37</v>
      </c>
      <c r="D26" s="8">
        <f t="shared" si="4"/>
        <v>1452</v>
      </c>
      <c r="E26" s="8">
        <f t="shared" si="4"/>
        <v>981</v>
      </c>
      <c r="F26" s="8">
        <f t="shared" si="4"/>
        <v>0</v>
      </c>
      <c r="G26" s="8">
        <f t="shared" si="4"/>
        <v>0</v>
      </c>
      <c r="H26" s="8">
        <f t="shared" si="4"/>
        <v>9</v>
      </c>
      <c r="I26" s="8">
        <f t="shared" si="4"/>
        <v>0</v>
      </c>
      <c r="J26" s="8">
        <f t="shared" si="4"/>
        <v>0</v>
      </c>
      <c r="K26" s="8">
        <f t="shared" si="4"/>
        <v>8</v>
      </c>
      <c r="L26" s="8">
        <f t="shared" si="4"/>
        <v>2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1</v>
      </c>
      <c r="S26" s="8">
        <f t="shared" si="4"/>
        <v>0</v>
      </c>
      <c r="T26" s="8">
        <f t="shared" si="4"/>
        <v>0</v>
      </c>
      <c r="U26" s="8">
        <f t="shared" si="4"/>
        <v>5</v>
      </c>
      <c r="V26" s="8">
        <f t="shared" si="4"/>
        <v>1354</v>
      </c>
      <c r="W26" s="8">
        <f t="shared" si="4"/>
        <v>22</v>
      </c>
      <c r="X26" s="8">
        <f t="shared" si="4"/>
        <v>51</v>
      </c>
      <c r="Y26" s="8">
        <f t="shared" si="4"/>
        <v>1452</v>
      </c>
      <c r="Z26" s="8">
        <f t="shared" si="4"/>
        <v>210</v>
      </c>
      <c r="AA26" s="8">
        <f t="shared" si="4"/>
        <v>32</v>
      </c>
      <c r="AB26" s="8">
        <f t="shared" si="4"/>
        <v>1075</v>
      </c>
      <c r="AC26" s="8">
        <f t="shared" si="4"/>
        <v>731</v>
      </c>
      <c r="AD26" s="8">
        <f t="shared" si="4"/>
        <v>0</v>
      </c>
      <c r="AE26" s="8">
        <f t="shared" si="4"/>
        <v>0</v>
      </c>
      <c r="AF26" s="8">
        <f t="shared" si="4"/>
        <v>4</v>
      </c>
      <c r="AG26" s="8">
        <f t="shared" si="4"/>
        <v>0</v>
      </c>
      <c r="AH26" s="8">
        <f t="shared" si="4"/>
        <v>0</v>
      </c>
      <c r="AI26" s="8">
        <f t="shared" si="4"/>
        <v>8</v>
      </c>
      <c r="AJ26" s="8">
        <f t="shared" si="4"/>
        <v>1</v>
      </c>
      <c r="AK26" s="8">
        <f t="shared" si="4"/>
        <v>0</v>
      </c>
      <c r="AL26" s="8">
        <f t="shared" si="4"/>
        <v>0</v>
      </c>
      <c r="AM26" s="8">
        <f t="shared" si="4"/>
        <v>0</v>
      </c>
      <c r="AN26" s="8">
        <f t="shared" si="4"/>
        <v>0</v>
      </c>
      <c r="AO26" s="8">
        <f t="shared" si="4"/>
        <v>0</v>
      </c>
      <c r="AP26" s="8">
        <f t="shared" si="4"/>
        <v>1</v>
      </c>
      <c r="AQ26" s="8">
        <f t="shared" si="4"/>
        <v>0</v>
      </c>
      <c r="AR26" s="8">
        <f t="shared" si="4"/>
        <v>0</v>
      </c>
      <c r="AS26" s="8">
        <f t="shared" si="4"/>
        <v>2</v>
      </c>
      <c r="AT26" s="8">
        <f t="shared" si="4"/>
        <v>1017</v>
      </c>
      <c r="AU26" s="8">
        <f t="shared" si="4"/>
        <v>18</v>
      </c>
      <c r="AV26" s="8">
        <f t="shared" si="4"/>
        <v>24</v>
      </c>
      <c r="AW26" s="8">
        <f t="shared" si="3"/>
        <v>1075</v>
      </c>
      <c r="EH26"/>
    </row>
    <row r="27" spans="1:138" x14ac:dyDescent="0.25">
      <c r="A27" s="10" t="s">
        <v>150</v>
      </c>
      <c r="B27" s="11">
        <f>2+1+2</f>
        <v>5</v>
      </c>
      <c r="C27" s="11">
        <f>2+1+2</f>
        <v>5</v>
      </c>
      <c r="D27" s="11">
        <f>29+280+66</f>
        <v>375</v>
      </c>
      <c r="E27" s="11">
        <f>29+280+66</f>
        <v>375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>29+280+66</f>
        <v>375</v>
      </c>
      <c r="W27" s="11"/>
      <c r="X27" s="11"/>
      <c r="Y27" s="8">
        <f t="shared" si="1"/>
        <v>375</v>
      </c>
      <c r="Z27" s="11">
        <f>2+1+1</f>
        <v>4</v>
      </c>
      <c r="AA27" s="11">
        <f>2+1+1</f>
        <v>4</v>
      </c>
      <c r="AB27" s="11">
        <f>25+182+22</f>
        <v>229</v>
      </c>
      <c r="AC27" s="11">
        <f>25+182+22</f>
        <v>229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f>25+182+22</f>
        <v>229</v>
      </c>
      <c r="AU27" s="11"/>
      <c r="AV27" s="11"/>
      <c r="AW27" s="8">
        <f t="shared" si="3"/>
        <v>229</v>
      </c>
      <c r="AX27" s="14">
        <v>232.53333333333333</v>
      </c>
      <c r="AY27">
        <v>92</v>
      </c>
      <c r="AZ27">
        <v>69.599999999999994</v>
      </c>
      <c r="BA27">
        <v>536</v>
      </c>
    </row>
    <row r="28" spans="1:138" x14ac:dyDescent="0.25">
      <c r="A28" s="10" t="s">
        <v>149</v>
      </c>
      <c r="B28" s="11">
        <f>1+3</f>
        <v>4</v>
      </c>
      <c r="C28" s="11">
        <f>3</f>
        <v>3</v>
      </c>
      <c r="D28" s="11">
        <f>2+65+50</f>
        <v>117</v>
      </c>
      <c r="E28" s="11">
        <f>65+50</f>
        <v>115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2</f>
        <v>2</v>
      </c>
      <c r="V28" s="11">
        <f>65+50</f>
        <v>115</v>
      </c>
      <c r="W28" s="11"/>
      <c r="X28" s="11"/>
      <c r="Y28" s="8">
        <f t="shared" si="1"/>
        <v>117</v>
      </c>
      <c r="Z28" s="11">
        <f>1+2</f>
        <v>3</v>
      </c>
      <c r="AA28" s="11">
        <f>2</f>
        <v>2</v>
      </c>
      <c r="AB28" s="11">
        <f>2+82</f>
        <v>84</v>
      </c>
      <c r="AC28" s="11">
        <f>82</f>
        <v>82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f>2</f>
        <v>2</v>
      </c>
      <c r="AT28" s="11">
        <f>82</f>
        <v>82</v>
      </c>
      <c r="AU28" s="11"/>
      <c r="AV28" s="11"/>
      <c r="AW28" s="8">
        <f t="shared" si="3"/>
        <v>84</v>
      </c>
      <c r="AX28" s="14">
        <v>770</v>
      </c>
      <c r="AY28">
        <v>900</v>
      </c>
      <c r="AZ28">
        <v>640</v>
      </c>
    </row>
    <row r="29" spans="1:138" x14ac:dyDescent="0.25">
      <c r="A29" s="10" t="s">
        <v>148</v>
      </c>
      <c r="B29" s="11">
        <f>2</f>
        <v>2</v>
      </c>
      <c r="C29" s="11">
        <f>2</f>
        <v>2</v>
      </c>
      <c r="D29" s="11">
        <f>38</f>
        <v>38</v>
      </c>
      <c r="E29" s="11">
        <f>38</f>
        <v>38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f>38</f>
        <v>38</v>
      </c>
      <c r="W29" s="11"/>
      <c r="X29" s="11"/>
      <c r="Y29" s="8">
        <f t="shared" si="1"/>
        <v>38</v>
      </c>
      <c r="Z29" s="11">
        <f>2</f>
        <v>2</v>
      </c>
      <c r="AA29" s="11">
        <f>2</f>
        <v>2</v>
      </c>
      <c r="AB29" s="11">
        <f>38</f>
        <v>38</v>
      </c>
      <c r="AC29" s="11">
        <f>38</f>
        <v>38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f>38</f>
        <v>38</v>
      </c>
      <c r="AU29" s="11"/>
      <c r="AV29" s="11"/>
      <c r="AW29" s="8">
        <f t="shared" si="3"/>
        <v>38</v>
      </c>
      <c r="AX29" s="14">
        <v>3312</v>
      </c>
      <c r="AY29">
        <v>3312</v>
      </c>
    </row>
    <row r="30" spans="1:138" x14ac:dyDescent="0.25">
      <c r="A30" s="10" t="s">
        <v>147</v>
      </c>
      <c r="B30" s="11">
        <f>4+11+3+13+1+3+3+2+1+10+3+4+2+1+1+4+6+2+5+13+1+13+1+1+26+8+13+1+30+1</f>
        <v>187</v>
      </c>
      <c r="C30" s="11">
        <f>3+1+3+1+1+5+1+2+3+2</f>
        <v>22</v>
      </c>
      <c r="D30" s="11">
        <f>8+33+6+16+1+5+5+2+1+15+3+22+8+5+4+9+43+8+27+20+1+15+4+1+51+14+56+1+147+1</f>
        <v>532</v>
      </c>
      <c r="E30" s="11">
        <f>6+1+5+5+15+27+1+17+43+50</f>
        <v>170</v>
      </c>
      <c r="F30" s="11"/>
      <c r="G30" s="11"/>
      <c r="H30" s="11">
        <f>9</f>
        <v>9</v>
      </c>
      <c r="I30" s="11"/>
      <c r="J30" s="11"/>
      <c r="K30" s="11">
        <f>8</f>
        <v>8</v>
      </c>
      <c r="L30" s="11">
        <f>1</f>
        <v>1</v>
      </c>
      <c r="M30" s="11"/>
      <c r="N30" s="11"/>
      <c r="O30" s="11"/>
      <c r="P30" s="11"/>
      <c r="Q30" s="11"/>
      <c r="R30" s="11"/>
      <c r="S30" s="11"/>
      <c r="T30" s="11"/>
      <c r="U30" s="11">
        <f>1</f>
        <v>1</v>
      </c>
      <c r="V30" s="11">
        <f>33+6+16+1+5+5+2+15+3+22+5+4+43+8+27+20+1+15+51+56+147</f>
        <v>485</v>
      </c>
      <c r="W30" s="11">
        <f>14</f>
        <v>14</v>
      </c>
      <c r="X30" s="11">
        <f>8+4+1+1</f>
        <v>14</v>
      </c>
      <c r="Y30" s="8">
        <f t="shared" si="1"/>
        <v>532</v>
      </c>
      <c r="Z30" s="11">
        <f>3+10+3+13+1+3+3+2+1+10+3+4+2+1+2+4+6+2+4+7+1+10+25+8+13+13</f>
        <v>154</v>
      </c>
      <c r="AA30" s="11">
        <f>3+1+3+1+1+4+1+2+3</f>
        <v>19</v>
      </c>
      <c r="AB30" s="11">
        <f>4+30+6+16+1+5+5+2+1+13+3+22+8+1+2+4+26+3+12+7+1+11+49+14+56+69</f>
        <v>371</v>
      </c>
      <c r="AC30" s="11">
        <f>6+1+5+1+15+12+1+17+43</f>
        <v>101</v>
      </c>
      <c r="AD30" s="11"/>
      <c r="AE30" s="11"/>
      <c r="AF30" s="11">
        <f>4</f>
        <v>4</v>
      </c>
      <c r="AG30" s="11"/>
      <c r="AH30" s="11"/>
      <c r="AI30" s="11">
        <f>8</f>
        <v>8</v>
      </c>
      <c r="AJ30" s="11">
        <f>1</f>
        <v>1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f>30+6+16+1+5+5+2+13+3+22+1+2+26+3+12+7+1+11+49+56+69</f>
        <v>340</v>
      </c>
      <c r="AU30" s="11">
        <f>14</f>
        <v>14</v>
      </c>
      <c r="AV30" s="11">
        <v>4</v>
      </c>
      <c r="AW30" s="8">
        <f t="shared" si="3"/>
        <v>371</v>
      </c>
      <c r="AX30" s="14">
        <v>2919.395</v>
      </c>
      <c r="AY30" s="2">
        <v>3213.33</v>
      </c>
      <c r="AZ30">
        <v>2729.33</v>
      </c>
      <c r="BA30">
        <v>1320</v>
      </c>
      <c r="BB30">
        <v>2934.62</v>
      </c>
      <c r="BC30">
        <v>2640</v>
      </c>
      <c r="BD30">
        <v>3066.67</v>
      </c>
      <c r="BE30">
        <v>2160</v>
      </c>
      <c r="BF30">
        <v>3675</v>
      </c>
      <c r="BG30">
        <v>2202.44</v>
      </c>
      <c r="BH30">
        <v>1571.84</v>
      </c>
      <c r="BI30">
        <v>2983.33</v>
      </c>
      <c r="BJ30">
        <v>1552</v>
      </c>
      <c r="BK30">
        <v>1147</v>
      </c>
      <c r="BL30">
        <v>2400</v>
      </c>
      <c r="BM30">
        <v>6375</v>
      </c>
      <c r="BN30">
        <v>2812.5</v>
      </c>
      <c r="BO30">
        <v>3009.87</v>
      </c>
      <c r="BP30">
        <v>4675</v>
      </c>
      <c r="BQ30">
        <v>2960</v>
      </c>
      <c r="BR30">
        <v>3950</v>
      </c>
      <c r="BS30">
        <v>5520</v>
      </c>
      <c r="BT30">
        <v>2300.6</v>
      </c>
      <c r="BU30">
        <v>2175.13</v>
      </c>
      <c r="BV30">
        <v>2752</v>
      </c>
      <c r="BW30">
        <v>2067.38</v>
      </c>
      <c r="BX30">
        <v>3711.23</v>
      </c>
    </row>
    <row r="31" spans="1:138" x14ac:dyDescent="0.25">
      <c r="A31" s="10" t="s">
        <v>146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8">
        <f t="shared" si="1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8">
        <f t="shared" si="3"/>
        <v>0</v>
      </c>
      <c r="AX31" s="14"/>
    </row>
    <row r="32" spans="1:138" x14ac:dyDescent="0.25">
      <c r="A32" s="10" t="s">
        <v>58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8">
        <f t="shared" si="1"/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8">
        <f t="shared" si="3"/>
        <v>0</v>
      </c>
      <c r="AX32" s="14"/>
    </row>
    <row r="33" spans="1:138" x14ac:dyDescent="0.25">
      <c r="A33" s="10" t="s">
        <v>88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8">
        <f t="shared" si="1"/>
        <v>0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8">
        <f t="shared" si="3"/>
        <v>0</v>
      </c>
      <c r="AX33" s="14"/>
    </row>
    <row r="34" spans="1:138" x14ac:dyDescent="0.25">
      <c r="A34" s="10" t="s">
        <v>89</v>
      </c>
      <c r="B34" s="11">
        <v>1</v>
      </c>
      <c r="C34" s="11"/>
      <c r="D34" s="11">
        <v>30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30</v>
      </c>
      <c r="W34" s="11"/>
      <c r="X34" s="11"/>
      <c r="Y34" s="8">
        <f t="shared" si="1"/>
        <v>30</v>
      </c>
      <c r="Z34" s="11">
        <v>1</v>
      </c>
      <c r="AA34" s="11"/>
      <c r="AB34" s="11">
        <v>28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>
        <v>28</v>
      </c>
      <c r="AU34" s="11"/>
      <c r="AV34" s="11"/>
      <c r="AW34" s="8">
        <f t="shared" si="3"/>
        <v>28</v>
      </c>
      <c r="AX34" s="14">
        <v>480</v>
      </c>
      <c r="AY34" s="73">
        <v>480</v>
      </c>
    </row>
    <row r="35" spans="1:138" x14ac:dyDescent="0.25">
      <c r="A35" s="10" t="s">
        <v>90</v>
      </c>
      <c r="B35" s="11">
        <f>1+2+1</f>
        <v>4</v>
      </c>
      <c r="C35" s="11">
        <f>1</f>
        <v>1</v>
      </c>
      <c r="D35" s="11">
        <f>1+2+1</f>
        <v>4</v>
      </c>
      <c r="E35" s="11">
        <f>1</f>
        <v>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f>1+2+1</f>
        <v>4</v>
      </c>
      <c r="W35" s="11"/>
      <c r="X35" s="11"/>
      <c r="Y35" s="8">
        <f t="shared" si="1"/>
        <v>4</v>
      </c>
      <c r="Z35" s="11">
        <f>1+2+1</f>
        <v>4</v>
      </c>
      <c r="AA35" s="11">
        <f>1</f>
        <v>1</v>
      </c>
      <c r="AB35" s="11">
        <f>1+2+1</f>
        <v>4</v>
      </c>
      <c r="AC35" s="11">
        <f>1</f>
        <v>1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>
        <f>1+2+1</f>
        <v>4</v>
      </c>
      <c r="AU35" s="11"/>
      <c r="AV35" s="11"/>
      <c r="AW35" s="8">
        <f t="shared" si="3"/>
        <v>4</v>
      </c>
      <c r="AX35" s="14">
        <v>2400</v>
      </c>
      <c r="AY35">
        <v>2400</v>
      </c>
      <c r="AZ35">
        <v>2080</v>
      </c>
      <c r="BA35">
        <v>2720</v>
      </c>
    </row>
    <row r="36" spans="1:138" x14ac:dyDescent="0.25">
      <c r="A36" s="10" t="s">
        <v>91</v>
      </c>
      <c r="B36" s="11">
        <f>1+16+2+1+1</f>
        <v>21</v>
      </c>
      <c r="C36" s="11"/>
      <c r="D36" s="11">
        <f>1+16+4+1+1</f>
        <v>23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">
        <f>1+16+4+1</f>
        <v>22</v>
      </c>
      <c r="W36" s="11"/>
      <c r="X36" s="11">
        <f>1</f>
        <v>1</v>
      </c>
      <c r="Y36" s="8">
        <f t="shared" si="1"/>
        <v>23</v>
      </c>
      <c r="Z36" s="11">
        <f>1+11+1+1</f>
        <v>14</v>
      </c>
      <c r="AA36" s="11"/>
      <c r="AB36" s="11">
        <f>1+11+2+1</f>
        <v>15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>
        <f>1+11+2+1</f>
        <v>15</v>
      </c>
      <c r="AU36" s="11"/>
      <c r="AV36" s="11"/>
      <c r="AW36" s="8">
        <f t="shared" si="3"/>
        <v>15</v>
      </c>
      <c r="AX36" s="14">
        <v>3537.84</v>
      </c>
      <c r="AY36" s="21">
        <v>4650</v>
      </c>
      <c r="AZ36">
        <v>3721.36</v>
      </c>
      <c r="BA36">
        <v>4820</v>
      </c>
      <c r="BB36">
        <v>960</v>
      </c>
    </row>
    <row r="37" spans="1:138" x14ac:dyDescent="0.25">
      <c r="A37" s="10" t="s">
        <v>145</v>
      </c>
      <c r="B37" s="11">
        <f>1+2</f>
        <v>3</v>
      </c>
      <c r="C37" s="11">
        <f>1</f>
        <v>1</v>
      </c>
      <c r="D37" s="11">
        <f>244+2</f>
        <v>246</v>
      </c>
      <c r="E37" s="11">
        <f>244</f>
        <v>244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f>244+2</f>
        <v>246</v>
      </c>
      <c r="W37" s="11"/>
      <c r="X37" s="11"/>
      <c r="Y37" s="8">
        <f t="shared" si="1"/>
        <v>246</v>
      </c>
      <c r="Z37" s="11">
        <f>1</f>
        <v>1</v>
      </c>
      <c r="AA37" s="11">
        <f>1</f>
        <v>1</v>
      </c>
      <c r="AB37" s="11">
        <f>244</f>
        <v>244</v>
      </c>
      <c r="AC37" s="11">
        <f>244</f>
        <v>244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>
        <f>244</f>
        <v>244</v>
      </c>
      <c r="AU37" s="11"/>
      <c r="AV37" s="11"/>
      <c r="AW37" s="8">
        <f t="shared" si="3"/>
        <v>244</v>
      </c>
      <c r="AX37" s="14">
        <v>160</v>
      </c>
      <c r="AY37">
        <v>160</v>
      </c>
    </row>
    <row r="38" spans="1:138" x14ac:dyDescent="0.25">
      <c r="A38" s="10" t="s">
        <v>144</v>
      </c>
      <c r="B38" s="11">
        <f>1</f>
        <v>1</v>
      </c>
      <c r="C38" s="11"/>
      <c r="D38" s="11">
        <f>1</f>
        <v>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f>1</f>
        <v>1</v>
      </c>
      <c r="W38" s="11"/>
      <c r="X38" s="11"/>
      <c r="Y38" s="8">
        <f t="shared" si="1"/>
        <v>1</v>
      </c>
      <c r="Z38" s="11">
        <f>1</f>
        <v>1</v>
      </c>
      <c r="AA38" s="11"/>
      <c r="AB38" s="11">
        <f>1</f>
        <v>1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>
        <f>1</f>
        <v>1</v>
      </c>
      <c r="AU38" s="11"/>
      <c r="AV38" s="11"/>
      <c r="AW38" s="8">
        <f t="shared" si="3"/>
        <v>1</v>
      </c>
      <c r="AX38" s="14">
        <v>1510</v>
      </c>
      <c r="AY38">
        <v>1510</v>
      </c>
    </row>
    <row r="39" spans="1:138" x14ac:dyDescent="0.25">
      <c r="A39" s="10" t="s">
        <v>143</v>
      </c>
      <c r="B39" s="11">
        <f>2+1+1</f>
        <v>4</v>
      </c>
      <c r="C39" s="11"/>
      <c r="D39" s="11">
        <f>2+1+1</f>
        <v>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f>1+1</f>
        <v>2</v>
      </c>
      <c r="V39" s="11"/>
      <c r="W39" s="11"/>
      <c r="X39" s="11">
        <v>2</v>
      </c>
      <c r="Y39" s="8">
        <f t="shared" si="1"/>
        <v>4</v>
      </c>
      <c r="Z39" s="11">
        <v>2</v>
      </c>
      <c r="AA39" s="11"/>
      <c r="AB39" s="11">
        <v>2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2</v>
      </c>
      <c r="AW39" s="8">
        <f t="shared" si="3"/>
        <v>2</v>
      </c>
      <c r="AX39" s="14">
        <v>3000</v>
      </c>
      <c r="AY39">
        <v>3000</v>
      </c>
    </row>
    <row r="40" spans="1:138" x14ac:dyDescent="0.25">
      <c r="A40" s="10" t="s">
        <v>92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8">
        <f t="shared" si="1"/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8">
        <f t="shared" si="3"/>
        <v>0</v>
      </c>
      <c r="AX40" s="14"/>
    </row>
    <row r="41" spans="1:138" x14ac:dyDescent="0.25">
      <c r="A41" s="10" t="s">
        <v>93</v>
      </c>
      <c r="B41" s="11">
        <f>1</f>
        <v>1</v>
      </c>
      <c r="C41" s="11">
        <f>1</f>
        <v>1</v>
      </c>
      <c r="D41" s="11">
        <f>32</f>
        <v>32</v>
      </c>
      <c r="E41" s="11">
        <f>32</f>
        <v>32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f>32</f>
        <v>32</v>
      </c>
      <c r="W41" s="11"/>
      <c r="X41" s="11"/>
      <c r="Y41" s="8">
        <f t="shared" si="1"/>
        <v>32</v>
      </c>
      <c r="Z41" s="11">
        <f>1</f>
        <v>1</v>
      </c>
      <c r="AA41" s="11">
        <f>1</f>
        <v>1</v>
      </c>
      <c r="AB41" s="11">
        <f>32</f>
        <v>32</v>
      </c>
      <c r="AC41" s="11">
        <f>32</f>
        <v>32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>
        <f>32</f>
        <v>32</v>
      </c>
      <c r="AU41" s="11"/>
      <c r="AV41" s="11"/>
      <c r="AW41" s="8">
        <f t="shared" si="3"/>
        <v>32</v>
      </c>
      <c r="AX41" s="14">
        <v>400</v>
      </c>
      <c r="AY41">
        <v>400</v>
      </c>
    </row>
    <row r="42" spans="1:138" x14ac:dyDescent="0.25">
      <c r="A42" s="10" t="s">
        <v>94</v>
      </c>
      <c r="B42" s="11">
        <f>1+1+1+9+5+3+4+1+1+5</f>
        <v>31</v>
      </c>
      <c r="C42" s="11"/>
      <c r="D42" s="11">
        <f>3+1+2+12+5+6+7+1+1+5</f>
        <v>43</v>
      </c>
      <c r="E42" s="11"/>
      <c r="F42" s="11"/>
      <c r="G42" s="11"/>
      <c r="H42" s="11"/>
      <c r="I42" s="11"/>
      <c r="J42" s="11"/>
      <c r="K42" s="11"/>
      <c r="L42" s="11">
        <f>1</f>
        <v>1</v>
      </c>
      <c r="M42" s="11"/>
      <c r="N42" s="11"/>
      <c r="O42" s="11"/>
      <c r="P42" s="11"/>
      <c r="Q42" s="11"/>
      <c r="R42" s="11"/>
      <c r="S42" s="11"/>
      <c r="T42" s="11"/>
      <c r="U42" s="11"/>
      <c r="V42" s="11">
        <f>1</f>
        <v>1</v>
      </c>
      <c r="W42" s="11">
        <f>2+6</f>
        <v>8</v>
      </c>
      <c r="X42" s="11">
        <f>3+12+5+7+1+5</f>
        <v>33</v>
      </c>
      <c r="Y42" s="8">
        <f t="shared" si="1"/>
        <v>43</v>
      </c>
      <c r="Z42" s="11">
        <f>1+1+1+9+4+3+1</f>
        <v>20</v>
      </c>
      <c r="AA42" s="11"/>
      <c r="AB42" s="11">
        <f>3+1+1+9+4+3+1</f>
        <v>22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>
        <f>1</f>
        <v>1</v>
      </c>
      <c r="AU42" s="11">
        <f>1+3</f>
        <v>4</v>
      </c>
      <c r="AV42" s="11">
        <f>16+1</f>
        <v>17</v>
      </c>
      <c r="AW42" s="8">
        <f t="shared" si="3"/>
        <v>22</v>
      </c>
      <c r="AX42" s="14">
        <v>4214.1942857142858</v>
      </c>
      <c r="AY42" s="73">
        <v>3800</v>
      </c>
      <c r="AZ42">
        <v>5500</v>
      </c>
      <c r="BA42">
        <v>6000</v>
      </c>
      <c r="BB42">
        <v>3733.11</v>
      </c>
      <c r="BC42">
        <v>3566.25</v>
      </c>
      <c r="BD42">
        <v>2400</v>
      </c>
      <c r="BE42">
        <v>4500</v>
      </c>
    </row>
    <row r="43" spans="1:138" x14ac:dyDescent="0.25">
      <c r="A43" s="10" t="s">
        <v>95</v>
      </c>
      <c r="B43" s="11">
        <f>1+1+1</f>
        <v>3</v>
      </c>
      <c r="C43" s="11">
        <f>1+1</f>
        <v>2</v>
      </c>
      <c r="D43" s="11">
        <f>1+5+1</f>
        <v>7</v>
      </c>
      <c r="E43" s="11">
        <f>5+1</f>
        <v>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>1</f>
        <v>1</v>
      </c>
      <c r="S43" s="11"/>
      <c r="T43" s="11"/>
      <c r="U43" s="11"/>
      <c r="V43" s="11">
        <f>5</f>
        <v>5</v>
      </c>
      <c r="W43" s="11"/>
      <c r="X43" s="11">
        <f>1</f>
        <v>1</v>
      </c>
      <c r="Y43" s="8">
        <f t="shared" si="1"/>
        <v>7</v>
      </c>
      <c r="Z43" s="11">
        <f>1+1+1</f>
        <v>3</v>
      </c>
      <c r="AA43" s="11">
        <f>1+1</f>
        <v>2</v>
      </c>
      <c r="AB43" s="11">
        <f>1+3+1</f>
        <v>5</v>
      </c>
      <c r="AC43" s="11">
        <f>3+1</f>
        <v>4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>1</f>
        <v>1</v>
      </c>
      <c r="AQ43" s="11"/>
      <c r="AR43" s="11"/>
      <c r="AS43" s="11"/>
      <c r="AT43" s="11">
        <f>3</f>
        <v>3</v>
      </c>
      <c r="AU43" s="11"/>
      <c r="AV43" s="11">
        <f>1</f>
        <v>1</v>
      </c>
      <c r="AW43" s="8">
        <f t="shared" si="3"/>
        <v>5</v>
      </c>
      <c r="AX43" s="14">
        <v>1253.3333333333333</v>
      </c>
      <c r="AY43">
        <v>1410</v>
      </c>
      <c r="AZ43">
        <v>960</v>
      </c>
      <c r="BA43">
        <v>1390</v>
      </c>
    </row>
    <row r="44" spans="1:138" s="9" customFormat="1" x14ac:dyDescent="0.25">
      <c r="A44" s="40" t="s">
        <v>31</v>
      </c>
      <c r="B44" s="8">
        <f t="shared" ref="B44:X44" si="5">SUM(B45:B62)</f>
        <v>70</v>
      </c>
      <c r="C44" s="8">
        <f t="shared" si="5"/>
        <v>9</v>
      </c>
      <c r="D44" s="8">
        <f t="shared" si="5"/>
        <v>479</v>
      </c>
      <c r="E44" s="8">
        <f t="shared" si="5"/>
        <v>40</v>
      </c>
      <c r="F44" s="8">
        <f t="shared" si="5"/>
        <v>0</v>
      </c>
      <c r="G44" s="8">
        <f t="shared" si="5"/>
        <v>0</v>
      </c>
      <c r="H44" s="8">
        <f t="shared" si="5"/>
        <v>60</v>
      </c>
      <c r="I44" s="8">
        <f t="shared" si="5"/>
        <v>0</v>
      </c>
      <c r="J44" s="8">
        <f t="shared" si="5"/>
        <v>0</v>
      </c>
      <c r="K44" s="8">
        <f t="shared" si="5"/>
        <v>42</v>
      </c>
      <c r="L44" s="8">
        <f t="shared" si="5"/>
        <v>200</v>
      </c>
      <c r="M44" s="8">
        <f t="shared" si="5"/>
        <v>3</v>
      </c>
      <c r="N44" s="8">
        <f t="shared" si="5"/>
        <v>3</v>
      </c>
      <c r="O44" s="8">
        <f t="shared" si="5"/>
        <v>1</v>
      </c>
      <c r="P44" s="8">
        <f t="shared" si="5"/>
        <v>78</v>
      </c>
      <c r="Q44" s="8">
        <f t="shared" si="5"/>
        <v>0</v>
      </c>
      <c r="R44" s="8">
        <f t="shared" si="5"/>
        <v>10</v>
      </c>
      <c r="S44" s="8">
        <f t="shared" si="5"/>
        <v>1</v>
      </c>
      <c r="T44" s="8">
        <f t="shared" si="5"/>
        <v>1</v>
      </c>
      <c r="U44" s="8">
        <f t="shared" si="5"/>
        <v>14</v>
      </c>
      <c r="V44" s="8">
        <f t="shared" si="5"/>
        <v>52</v>
      </c>
      <c r="W44" s="8">
        <f t="shared" si="5"/>
        <v>23</v>
      </c>
      <c r="X44" s="8">
        <f t="shared" si="5"/>
        <v>2</v>
      </c>
      <c r="Y44" s="8">
        <f t="shared" si="1"/>
        <v>490</v>
      </c>
      <c r="Z44" s="8">
        <f t="shared" ref="Z44:AV44" si="6">SUM(Z45:Z62)</f>
        <v>49</v>
      </c>
      <c r="AA44" s="8">
        <f t="shared" si="6"/>
        <v>7</v>
      </c>
      <c r="AB44" s="8">
        <f t="shared" si="6"/>
        <v>257</v>
      </c>
      <c r="AC44" s="8">
        <f t="shared" si="6"/>
        <v>12</v>
      </c>
      <c r="AD44" s="8">
        <f t="shared" si="6"/>
        <v>0</v>
      </c>
      <c r="AE44" s="8">
        <f t="shared" si="6"/>
        <v>0</v>
      </c>
      <c r="AF44" s="8">
        <f t="shared" si="6"/>
        <v>35</v>
      </c>
      <c r="AG44" s="8">
        <f t="shared" si="6"/>
        <v>0</v>
      </c>
      <c r="AH44" s="8">
        <f t="shared" si="6"/>
        <v>0</v>
      </c>
      <c r="AI44" s="8">
        <f t="shared" si="6"/>
        <v>10</v>
      </c>
      <c r="AJ44" s="8">
        <f t="shared" si="6"/>
        <v>129</v>
      </c>
      <c r="AK44" s="8">
        <f t="shared" si="6"/>
        <v>0</v>
      </c>
      <c r="AL44" s="8">
        <f t="shared" si="6"/>
        <v>2</v>
      </c>
      <c r="AM44" s="8">
        <f t="shared" si="6"/>
        <v>1</v>
      </c>
      <c r="AN44" s="8">
        <f t="shared" si="6"/>
        <v>53</v>
      </c>
      <c r="AO44" s="8">
        <f t="shared" si="6"/>
        <v>0</v>
      </c>
      <c r="AP44" s="8">
        <f t="shared" si="6"/>
        <v>6</v>
      </c>
      <c r="AQ44" s="8">
        <f t="shared" si="6"/>
        <v>1</v>
      </c>
      <c r="AR44" s="8">
        <f t="shared" si="6"/>
        <v>1</v>
      </c>
      <c r="AS44" s="8">
        <f t="shared" si="6"/>
        <v>6</v>
      </c>
      <c r="AT44" s="8">
        <f t="shared" si="6"/>
        <v>1</v>
      </c>
      <c r="AU44" s="8">
        <f t="shared" si="6"/>
        <v>12</v>
      </c>
      <c r="AV44" s="8">
        <f t="shared" si="6"/>
        <v>0</v>
      </c>
      <c r="AW44" s="8">
        <f t="shared" si="3"/>
        <v>257</v>
      </c>
      <c r="EH44"/>
    </row>
    <row r="45" spans="1:138" x14ac:dyDescent="0.25">
      <c r="A45" s="10" t="s">
        <v>142</v>
      </c>
      <c r="B45" s="11">
        <f>1+1+1+6+1+1+1+1+2+2+1+3+1</f>
        <v>22</v>
      </c>
      <c r="C45" s="11">
        <f>1+1</f>
        <v>2</v>
      </c>
      <c r="D45" s="11">
        <f>34+17+5+1+3+3+1+20+4+1+5+2</f>
        <v>96</v>
      </c>
      <c r="E45" s="11">
        <f>17</f>
        <v>17</v>
      </c>
      <c r="F45" s="11"/>
      <c r="G45" s="11"/>
      <c r="H45" s="11">
        <f>20+1</f>
        <v>21</v>
      </c>
      <c r="I45" s="11"/>
      <c r="J45" s="11"/>
      <c r="K45" s="11"/>
      <c r="L45" s="11">
        <f>5+12+4+5</f>
        <v>26</v>
      </c>
      <c r="M45" s="11">
        <f>2</f>
        <v>2</v>
      </c>
      <c r="N45" s="11"/>
      <c r="O45" s="11"/>
      <c r="P45" s="11"/>
      <c r="Q45" s="11"/>
      <c r="R45" s="11">
        <f>1+3</f>
        <v>4</v>
      </c>
      <c r="S45" s="11">
        <f>1</f>
        <v>1</v>
      </c>
      <c r="T45" s="11"/>
      <c r="U45" s="11"/>
      <c r="V45" s="11">
        <f>34+17</f>
        <v>51</v>
      </c>
      <c r="W45" s="11">
        <f>3</f>
        <v>3</v>
      </c>
      <c r="X45" s="11"/>
      <c r="Y45" s="8">
        <f t="shared" si="1"/>
        <v>108</v>
      </c>
      <c r="Z45" s="11">
        <f>6+1+1+1+1+2</f>
        <v>12</v>
      </c>
      <c r="AA45" s="11"/>
      <c r="AB45" s="11">
        <f>10+1+2+3+1+4</f>
        <v>21</v>
      </c>
      <c r="AC45" s="11"/>
      <c r="AD45" s="11"/>
      <c r="AE45" s="11"/>
      <c r="AF45" s="11"/>
      <c r="AG45" s="11"/>
      <c r="AH45" s="11"/>
      <c r="AI45" s="11"/>
      <c r="AJ45" s="11">
        <f>10+4</f>
        <v>14</v>
      </c>
      <c r="AK45" s="11"/>
      <c r="AL45" s="11"/>
      <c r="AM45" s="11"/>
      <c r="AN45" s="11"/>
      <c r="AO45" s="11"/>
      <c r="AP45" s="11">
        <f>1+2</f>
        <v>3</v>
      </c>
      <c r="AQ45" s="11">
        <f>1</f>
        <v>1</v>
      </c>
      <c r="AR45" s="11"/>
      <c r="AS45" s="11"/>
      <c r="AT45" s="11"/>
      <c r="AU45" s="11">
        <f>3</f>
        <v>3</v>
      </c>
      <c r="AV45" s="11"/>
      <c r="AW45" s="8">
        <f t="shared" si="3"/>
        <v>21</v>
      </c>
      <c r="AX45" s="14">
        <v>6590</v>
      </c>
      <c r="AY45">
        <v>6000</v>
      </c>
      <c r="AZ45">
        <v>3900</v>
      </c>
      <c r="BA45">
        <v>9900</v>
      </c>
      <c r="BB45">
        <v>3840</v>
      </c>
      <c r="BC45">
        <v>6000</v>
      </c>
      <c r="BD45">
        <v>9900</v>
      </c>
    </row>
    <row r="46" spans="1:138" x14ac:dyDescent="0.25">
      <c r="A46" s="10" t="s">
        <v>141</v>
      </c>
      <c r="B46" s="11">
        <f>1+1+1+1+1+1</f>
        <v>6</v>
      </c>
      <c r="C46" s="11">
        <f>1</f>
        <v>1</v>
      </c>
      <c r="D46" s="11">
        <f>9+1+1+1+16+12</f>
        <v>40</v>
      </c>
      <c r="E46" s="11">
        <f>1</f>
        <v>1</v>
      </c>
      <c r="F46" s="11"/>
      <c r="G46" s="11"/>
      <c r="H46" s="11">
        <f>9+16</f>
        <v>25</v>
      </c>
      <c r="I46" s="11"/>
      <c r="J46" s="11"/>
      <c r="K46" s="11"/>
      <c r="L46" s="11">
        <f>12</f>
        <v>12</v>
      </c>
      <c r="M46" s="11">
        <f>1</f>
        <v>1</v>
      </c>
      <c r="N46" s="11"/>
      <c r="O46" s="11"/>
      <c r="P46" s="11"/>
      <c r="Q46" s="11"/>
      <c r="R46" s="11">
        <f>1</f>
        <v>1</v>
      </c>
      <c r="S46" s="11"/>
      <c r="T46" s="11">
        <f>1</f>
        <v>1</v>
      </c>
      <c r="U46" s="11"/>
      <c r="V46" s="11"/>
      <c r="W46" s="11"/>
      <c r="X46" s="11"/>
      <c r="Y46" s="8">
        <f t="shared" si="1"/>
        <v>40</v>
      </c>
      <c r="Z46" s="11">
        <f>1+1+1+1+1</f>
        <v>5</v>
      </c>
      <c r="AA46" s="11">
        <f>1</f>
        <v>1</v>
      </c>
      <c r="AB46" s="11">
        <f>9+1+1+16+12</f>
        <v>39</v>
      </c>
      <c r="AC46" s="11">
        <f>1</f>
        <v>1</v>
      </c>
      <c r="AD46" s="11"/>
      <c r="AE46" s="11"/>
      <c r="AF46" s="11">
        <f>9+16</f>
        <v>25</v>
      </c>
      <c r="AG46" s="11"/>
      <c r="AH46" s="11"/>
      <c r="AI46" s="11"/>
      <c r="AJ46" s="11">
        <f>12</f>
        <v>12</v>
      </c>
      <c r="AK46" s="11"/>
      <c r="AL46" s="11"/>
      <c r="AM46" s="11"/>
      <c r="AN46" s="11"/>
      <c r="AO46" s="11"/>
      <c r="AP46" s="11">
        <f>1</f>
        <v>1</v>
      </c>
      <c r="AQ46" s="11"/>
      <c r="AR46" s="11">
        <f>1</f>
        <v>1</v>
      </c>
      <c r="AS46" s="11"/>
      <c r="AT46" s="11"/>
      <c r="AU46" s="11"/>
      <c r="AV46" s="11"/>
      <c r="AW46" s="8">
        <f t="shared" si="3"/>
        <v>39</v>
      </c>
      <c r="AX46" s="14">
        <v>2684.6400000000003</v>
      </c>
      <c r="AY46">
        <v>499.2</v>
      </c>
      <c r="AZ46">
        <v>4100</v>
      </c>
      <c r="BA46">
        <v>2880</v>
      </c>
      <c r="BB46">
        <v>2972</v>
      </c>
      <c r="BC46">
        <v>2972</v>
      </c>
    </row>
    <row r="47" spans="1:138" x14ac:dyDescent="0.25">
      <c r="A47" s="10" t="s">
        <v>140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8">
        <f t="shared" si="1"/>
        <v>0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8">
        <f t="shared" si="3"/>
        <v>0</v>
      </c>
      <c r="AX47" s="14"/>
    </row>
    <row r="48" spans="1:138" x14ac:dyDescent="0.25">
      <c r="A48" s="10" t="s">
        <v>139</v>
      </c>
      <c r="B48" s="11">
        <f>1+1+3+1+1+1+1+1+1+1+1+1+3+1+1+1</f>
        <v>20</v>
      </c>
      <c r="C48" s="11"/>
      <c r="D48" s="11">
        <f>3+1+78+1+1+1+10+3+1+34+4+5+98+1+2+1</f>
        <v>244</v>
      </c>
      <c r="E48" s="11"/>
      <c r="F48" s="11"/>
      <c r="G48" s="11"/>
      <c r="H48" s="11">
        <f>1+2</f>
        <v>3</v>
      </c>
      <c r="I48" s="11"/>
      <c r="J48" s="11"/>
      <c r="K48" s="11"/>
      <c r="L48" s="11">
        <f>3+10+3+34+4+5+98</f>
        <v>157</v>
      </c>
      <c r="M48" s="11"/>
      <c r="N48" s="11">
        <f>1+1</f>
        <v>2</v>
      </c>
      <c r="O48" s="11">
        <v>1</v>
      </c>
      <c r="P48" s="11">
        <v>78</v>
      </c>
      <c r="Q48" s="11"/>
      <c r="R48" s="11">
        <f>1</f>
        <v>1</v>
      </c>
      <c r="S48" s="11"/>
      <c r="T48" s="11"/>
      <c r="U48" s="11"/>
      <c r="V48" s="11"/>
      <c r="W48" s="11"/>
      <c r="X48" s="11">
        <v>2</v>
      </c>
      <c r="Y48" s="8">
        <f>SUM(F48:X48)</f>
        <v>244</v>
      </c>
      <c r="Z48" s="11">
        <f>1+2+1+1+1+1+1+1+3+1+1</f>
        <v>14</v>
      </c>
      <c r="AA48" s="11"/>
      <c r="AB48" s="11">
        <f>3+53+1+1+4+10+4+2+78+1+2</f>
        <v>159</v>
      </c>
      <c r="AC48" s="11"/>
      <c r="AD48" s="11"/>
      <c r="AE48" s="11"/>
      <c r="AF48" s="11">
        <f>2</f>
        <v>2</v>
      </c>
      <c r="AG48" s="11"/>
      <c r="AH48" s="11"/>
      <c r="AI48" s="11"/>
      <c r="AJ48" s="11">
        <f>3+4+10+4+2+78</f>
        <v>101</v>
      </c>
      <c r="AK48" s="11"/>
      <c r="AL48" s="11">
        <v>1</v>
      </c>
      <c r="AM48" s="11">
        <v>1</v>
      </c>
      <c r="AN48" s="11">
        <v>53</v>
      </c>
      <c r="AO48" s="11"/>
      <c r="AP48" s="11">
        <f>1</f>
        <v>1</v>
      </c>
      <c r="AQ48" s="11"/>
      <c r="AR48" s="11"/>
      <c r="AS48" s="11"/>
      <c r="AT48" s="11"/>
      <c r="AU48" s="11"/>
      <c r="AV48" s="11"/>
      <c r="AW48" s="8">
        <f t="shared" si="3"/>
        <v>159</v>
      </c>
      <c r="AX48" s="14">
        <v>2979.4727272727268</v>
      </c>
      <c r="AY48" s="73">
        <v>7920</v>
      </c>
      <c r="AZ48">
        <v>1007.2</v>
      </c>
      <c r="BA48" s="73">
        <v>5360</v>
      </c>
      <c r="BB48" s="73">
        <v>1253</v>
      </c>
      <c r="BC48" s="75">
        <v>1920</v>
      </c>
      <c r="BD48" s="75">
        <v>2304</v>
      </c>
      <c r="BE48" s="75">
        <v>4472</v>
      </c>
      <c r="BF48" s="75">
        <v>1920</v>
      </c>
      <c r="BG48" s="75">
        <v>1408</v>
      </c>
      <c r="BH48" s="75">
        <v>2090</v>
      </c>
      <c r="BI48" s="75">
        <v>3120</v>
      </c>
    </row>
    <row r="49" spans="1:138" x14ac:dyDescent="0.25">
      <c r="A49" s="10" t="s">
        <v>138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8">
        <f t="shared" si="1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8">
        <f t="shared" si="3"/>
        <v>0</v>
      </c>
      <c r="AX49" s="14"/>
    </row>
    <row r="50" spans="1:138" x14ac:dyDescent="0.25">
      <c r="A50" s="10" t="s">
        <v>137</v>
      </c>
      <c r="B50" s="11">
        <f>1+1+1+1+1+1+3+1</f>
        <v>10</v>
      </c>
      <c r="C50" s="11">
        <f>1+3</f>
        <v>4</v>
      </c>
      <c r="D50" s="11">
        <f>1+30+6+2+4+1+19+1</f>
        <v>64</v>
      </c>
      <c r="E50" s="11">
        <f>1+19</f>
        <v>20</v>
      </c>
      <c r="F50" s="11"/>
      <c r="G50" s="11"/>
      <c r="H50" s="11">
        <f>1</f>
        <v>1</v>
      </c>
      <c r="I50" s="11"/>
      <c r="J50" s="11"/>
      <c r="K50" s="11">
        <f>30+6+2</f>
        <v>38</v>
      </c>
      <c r="L50" s="11">
        <v>1</v>
      </c>
      <c r="M50" s="11"/>
      <c r="N50" s="11"/>
      <c r="O50" s="11"/>
      <c r="P50" s="11"/>
      <c r="Q50" s="11"/>
      <c r="R50" s="11">
        <f>4</f>
        <v>4</v>
      </c>
      <c r="S50" s="11"/>
      <c r="T50" s="11"/>
      <c r="U50" s="11"/>
      <c r="V50" s="11"/>
      <c r="W50" s="11">
        <f>1+19</f>
        <v>20</v>
      </c>
      <c r="X50" s="11"/>
      <c r="Y50" s="8">
        <f t="shared" si="1"/>
        <v>64</v>
      </c>
      <c r="Z50" s="11">
        <f>1+1+1+1+1+3+1</f>
        <v>9</v>
      </c>
      <c r="AA50" s="11">
        <f>1+3</f>
        <v>4</v>
      </c>
      <c r="AB50" s="11">
        <f>1+6+2+1+1+8+1</f>
        <v>20</v>
      </c>
      <c r="AC50" s="11">
        <f>1+8</f>
        <v>9</v>
      </c>
      <c r="AD50" s="11"/>
      <c r="AE50" s="11"/>
      <c r="AF50" s="11">
        <f>1</f>
        <v>1</v>
      </c>
      <c r="AG50" s="11"/>
      <c r="AH50" s="11"/>
      <c r="AI50" s="11">
        <f>6+2</f>
        <v>8</v>
      </c>
      <c r="AJ50" s="11">
        <v>1</v>
      </c>
      <c r="AK50" s="11"/>
      <c r="AL50" s="11"/>
      <c r="AM50" s="11"/>
      <c r="AN50" s="11"/>
      <c r="AO50" s="11"/>
      <c r="AP50" s="11">
        <f>1</f>
        <v>1</v>
      </c>
      <c r="AQ50" s="11"/>
      <c r="AR50" s="11"/>
      <c r="AS50" s="11"/>
      <c r="AT50" s="11"/>
      <c r="AU50" s="11">
        <f>1+8</f>
        <v>9</v>
      </c>
      <c r="AV50" s="11"/>
      <c r="AW50" s="8">
        <f t="shared" si="3"/>
        <v>20</v>
      </c>
      <c r="AX50" s="14">
        <v>2182.8957142857143</v>
      </c>
      <c r="AY50" s="73">
        <v>3960</v>
      </c>
      <c r="AZ50">
        <v>893.6</v>
      </c>
      <c r="BA50">
        <v>1472</v>
      </c>
      <c r="BB50">
        <v>3360</v>
      </c>
      <c r="BC50">
        <v>3960</v>
      </c>
      <c r="BD50">
        <v>298.67</v>
      </c>
      <c r="BE50">
        <v>1336</v>
      </c>
    </row>
    <row r="51" spans="1:138" x14ac:dyDescent="0.25">
      <c r="A51" s="10" t="s">
        <v>136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8">
        <f t="shared" si="1"/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8">
        <f t="shared" si="3"/>
        <v>0</v>
      </c>
      <c r="AX51" s="14"/>
    </row>
    <row r="52" spans="1:138" x14ac:dyDescent="0.25">
      <c r="A52" s="10" t="s">
        <v>135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8">
        <f t="shared" si="1"/>
        <v>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8">
        <f t="shared" si="3"/>
        <v>0</v>
      </c>
      <c r="AX52" s="14"/>
    </row>
    <row r="53" spans="1:138" x14ac:dyDescent="0.25">
      <c r="A53" s="10" t="s">
        <v>134</v>
      </c>
      <c r="B53" s="11">
        <f>1</f>
        <v>1</v>
      </c>
      <c r="C53" s="11">
        <f>1</f>
        <v>1</v>
      </c>
      <c r="D53" s="11">
        <f>1</f>
        <v>1</v>
      </c>
      <c r="E53" s="11">
        <f>1</f>
        <v>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f>1</f>
        <v>1</v>
      </c>
      <c r="V53" s="11"/>
      <c r="W53" s="11"/>
      <c r="X53" s="11"/>
      <c r="Y53" s="8">
        <f t="shared" si="1"/>
        <v>1</v>
      </c>
      <c r="Z53" s="11">
        <f>1</f>
        <v>1</v>
      </c>
      <c r="AA53" s="11">
        <f>1</f>
        <v>1</v>
      </c>
      <c r="AB53" s="11">
        <f>1</f>
        <v>1</v>
      </c>
      <c r="AC53" s="11">
        <f>1</f>
        <v>1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f>1</f>
        <v>1</v>
      </c>
      <c r="AT53" s="11"/>
      <c r="AU53" s="11"/>
      <c r="AV53" s="11"/>
      <c r="AW53" s="8">
        <f t="shared" si="3"/>
        <v>1</v>
      </c>
      <c r="AX53" s="14">
        <v>2959.2</v>
      </c>
      <c r="AY53">
        <v>2959.2</v>
      </c>
    </row>
    <row r="54" spans="1:138" x14ac:dyDescent="0.25">
      <c r="A54" s="10" t="s">
        <v>32</v>
      </c>
      <c r="B54" s="11">
        <f>1</f>
        <v>1</v>
      </c>
      <c r="C54" s="11"/>
      <c r="D54" s="11">
        <f>3</f>
        <v>3</v>
      </c>
      <c r="E54" s="11"/>
      <c r="F54" s="11"/>
      <c r="G54" s="11"/>
      <c r="H54" s="11">
        <f>3</f>
        <v>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8">
        <f t="shared" si="1"/>
        <v>3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8">
        <f t="shared" si="3"/>
        <v>0</v>
      </c>
      <c r="AX54" s="14"/>
    </row>
    <row r="55" spans="1:138" x14ac:dyDescent="0.25">
      <c r="A55" s="10" t="s">
        <v>33</v>
      </c>
      <c r="B55" s="11">
        <f>1+1+1</f>
        <v>3</v>
      </c>
      <c r="C55" s="11"/>
      <c r="D55" s="11">
        <f>2+2+1</f>
        <v>5</v>
      </c>
      <c r="E55" s="11"/>
      <c r="F55" s="11"/>
      <c r="G55" s="11"/>
      <c r="H55" s="11"/>
      <c r="I55" s="11"/>
      <c r="J55" s="11"/>
      <c r="K55" s="11">
        <f>2+2</f>
        <v>4</v>
      </c>
      <c r="L55" s="11">
        <f>1</f>
        <v>1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8">
        <f t="shared" si="1"/>
        <v>5</v>
      </c>
      <c r="Z55" s="11">
        <f>1+1</f>
        <v>2</v>
      </c>
      <c r="AA55" s="11"/>
      <c r="AB55" s="11">
        <f>2+1</f>
        <v>3</v>
      </c>
      <c r="AC55" s="11"/>
      <c r="AD55" s="11"/>
      <c r="AE55" s="11"/>
      <c r="AF55" s="11"/>
      <c r="AG55" s="11"/>
      <c r="AH55" s="11"/>
      <c r="AI55" s="11">
        <f>2</f>
        <v>2</v>
      </c>
      <c r="AJ55" s="11">
        <f>1</f>
        <v>1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8">
        <f t="shared" si="3"/>
        <v>3</v>
      </c>
      <c r="AX55" s="14">
        <v>2486</v>
      </c>
      <c r="AY55">
        <v>3100</v>
      </c>
      <c r="AZ55">
        <v>1872</v>
      </c>
    </row>
    <row r="56" spans="1:138" x14ac:dyDescent="0.25">
      <c r="A56" s="10" t="s">
        <v>34</v>
      </c>
      <c r="B56" s="11">
        <f>2</f>
        <v>2</v>
      </c>
      <c r="C56" s="11"/>
      <c r="D56" s="11">
        <f>12</f>
        <v>12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>
        <f>12</f>
        <v>12</v>
      </c>
      <c r="V56" s="11"/>
      <c r="W56" s="11"/>
      <c r="X56" s="11"/>
      <c r="Y56" s="8">
        <f t="shared" si="1"/>
        <v>12</v>
      </c>
      <c r="Z56" s="11">
        <f>2</f>
        <v>2</v>
      </c>
      <c r="AA56" s="11"/>
      <c r="AB56" s="11">
        <f>4</f>
        <v>4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>
        <f>4</f>
        <v>4</v>
      </c>
      <c r="AT56" s="11"/>
      <c r="AU56" s="11"/>
      <c r="AV56" s="11"/>
      <c r="AW56" s="8">
        <f t="shared" si="3"/>
        <v>4</v>
      </c>
      <c r="AX56" s="14">
        <v>3975</v>
      </c>
      <c r="AY56">
        <v>3975</v>
      </c>
    </row>
    <row r="57" spans="1:138" x14ac:dyDescent="0.25">
      <c r="A57" s="10" t="s">
        <v>35</v>
      </c>
      <c r="B57" s="11">
        <f>1+1</f>
        <v>2</v>
      </c>
      <c r="C57" s="11"/>
      <c r="D57" s="11">
        <f>7+2</f>
        <v>9</v>
      </c>
      <c r="E57" s="11"/>
      <c r="F57" s="11"/>
      <c r="G57" s="11"/>
      <c r="H57" s="11">
        <f>7</f>
        <v>7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>
        <f>1</f>
        <v>1</v>
      </c>
      <c r="V57" s="11"/>
      <c r="W57" s="11"/>
      <c r="X57" s="11"/>
      <c r="Y57" s="8">
        <f t="shared" si="1"/>
        <v>8</v>
      </c>
      <c r="Z57" s="11">
        <f>1+1</f>
        <v>2</v>
      </c>
      <c r="AA57" s="11"/>
      <c r="AB57" s="11">
        <f>7+1</f>
        <v>8</v>
      </c>
      <c r="AC57" s="11"/>
      <c r="AD57" s="11"/>
      <c r="AE57" s="11"/>
      <c r="AF57" s="11">
        <f>7</f>
        <v>7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>
        <f>1</f>
        <v>1</v>
      </c>
      <c r="AT57" s="11"/>
      <c r="AU57" s="11"/>
      <c r="AV57" s="11"/>
      <c r="AW57" s="8">
        <f t="shared" si="3"/>
        <v>8</v>
      </c>
      <c r="AX57" s="14">
        <v>3411.4</v>
      </c>
      <c r="AY57">
        <v>1152.8</v>
      </c>
      <c r="AZ57">
        <v>5670</v>
      </c>
    </row>
    <row r="58" spans="1:138" x14ac:dyDescent="0.25">
      <c r="A58" s="10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8">
        <f t="shared" si="1"/>
        <v>0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8">
        <f t="shared" si="3"/>
        <v>0</v>
      </c>
      <c r="AX58" s="14"/>
    </row>
    <row r="59" spans="1:138" x14ac:dyDescent="0.25">
      <c r="A59" s="10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8">
        <f t="shared" si="1"/>
        <v>0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8">
        <f t="shared" si="3"/>
        <v>0</v>
      </c>
      <c r="AX59" s="14"/>
    </row>
    <row r="60" spans="1:138" x14ac:dyDescent="0.25">
      <c r="A60" s="10" t="s">
        <v>38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8">
        <f t="shared" si="1"/>
        <v>0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8">
        <f t="shared" si="3"/>
        <v>0</v>
      </c>
      <c r="AX60" s="14"/>
    </row>
    <row r="61" spans="1:138" x14ac:dyDescent="0.25">
      <c r="A61" s="10" t="s">
        <v>39</v>
      </c>
      <c r="B61" s="11">
        <f>1+1</f>
        <v>2</v>
      </c>
      <c r="C61" s="11">
        <f>1</f>
        <v>1</v>
      </c>
      <c r="D61" s="11">
        <f>3+1</f>
        <v>4</v>
      </c>
      <c r="E61" s="11">
        <f>1</f>
        <v>1</v>
      </c>
      <c r="F61" s="11"/>
      <c r="G61" s="11"/>
      <c r="H61" s="11"/>
      <c r="I61" s="11"/>
      <c r="J61" s="11"/>
      <c r="K61" s="11"/>
      <c r="L61" s="11">
        <f>3</f>
        <v>3</v>
      </c>
      <c r="M61" s="11"/>
      <c r="N61" s="11"/>
      <c r="O61" s="11"/>
      <c r="P61" s="11"/>
      <c r="Q61" s="11"/>
      <c r="R61" s="11"/>
      <c r="S61" s="11"/>
      <c r="T61" s="11"/>
      <c r="U61" s="11"/>
      <c r="V61" s="11">
        <f>1</f>
        <v>1</v>
      </c>
      <c r="W61" s="11"/>
      <c r="X61" s="11"/>
      <c r="Y61" s="8">
        <f t="shared" si="1"/>
        <v>4</v>
      </c>
      <c r="Z61" s="11">
        <f>1</f>
        <v>1</v>
      </c>
      <c r="AA61" s="11">
        <f>1</f>
        <v>1</v>
      </c>
      <c r="AB61" s="11">
        <f>1</f>
        <v>1</v>
      </c>
      <c r="AC61" s="11">
        <f>1</f>
        <v>1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>
        <f>1</f>
        <v>1</v>
      </c>
      <c r="AU61" s="11"/>
      <c r="AV61" s="11"/>
      <c r="AW61" s="8">
        <f t="shared" si="3"/>
        <v>1</v>
      </c>
      <c r="AX61" s="14">
        <v>872</v>
      </c>
      <c r="AY61">
        <v>872</v>
      </c>
    </row>
    <row r="62" spans="1:138" x14ac:dyDescent="0.25">
      <c r="A62" s="10" t="s">
        <v>40</v>
      </c>
      <c r="B62" s="11">
        <f>1</f>
        <v>1</v>
      </c>
      <c r="C62" s="11"/>
      <c r="D62" s="11">
        <f>1</f>
        <v>1</v>
      </c>
      <c r="E62" s="11"/>
      <c r="F62" s="11"/>
      <c r="G62" s="11"/>
      <c r="H62" s="11"/>
      <c r="I62" s="11"/>
      <c r="J62" s="11"/>
      <c r="K62" s="11"/>
      <c r="L62" s="11"/>
      <c r="M62" s="11"/>
      <c r="N62" s="11">
        <f>1</f>
        <v>1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8">
        <f t="shared" si="1"/>
        <v>1</v>
      </c>
      <c r="Z62" s="11">
        <f>1</f>
        <v>1</v>
      </c>
      <c r="AA62" s="11"/>
      <c r="AB62" s="11">
        <f>1</f>
        <v>1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>
        <f>1</f>
        <v>1</v>
      </c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8"/>
      <c r="AX62" s="14">
        <v>5000</v>
      </c>
      <c r="AY62">
        <v>5000</v>
      </c>
    </row>
    <row r="63" spans="1:138" s="9" customFormat="1" x14ac:dyDescent="0.25">
      <c r="A63" s="40" t="s">
        <v>41</v>
      </c>
      <c r="B63" s="8">
        <f t="shared" ref="B63:H63" si="7">B64+B65+B66+B67+B68+B69++B70+B71+B92</f>
        <v>38</v>
      </c>
      <c r="C63" s="8">
        <f t="shared" si="7"/>
        <v>0</v>
      </c>
      <c r="D63" s="8">
        <f t="shared" si="7"/>
        <v>244</v>
      </c>
      <c r="E63" s="8">
        <f t="shared" si="7"/>
        <v>0</v>
      </c>
      <c r="F63" s="8">
        <f t="shared" si="7"/>
        <v>0</v>
      </c>
      <c r="G63" s="8">
        <f t="shared" si="7"/>
        <v>0</v>
      </c>
      <c r="H63" s="8">
        <f t="shared" si="7"/>
        <v>197</v>
      </c>
      <c r="I63" s="8">
        <f t="shared" ref="I63:X63" si="8">I64+I65+I66+I67+I68+I69++I70+I71+I72</f>
        <v>0</v>
      </c>
      <c r="J63" s="8">
        <f t="shared" si="8"/>
        <v>0</v>
      </c>
      <c r="K63" s="8">
        <f t="shared" si="8"/>
        <v>1</v>
      </c>
      <c r="L63" s="8">
        <f t="shared" si="8"/>
        <v>21</v>
      </c>
      <c r="M63" s="8">
        <f t="shared" si="8"/>
        <v>8</v>
      </c>
      <c r="N63" s="8">
        <f t="shared" si="8"/>
        <v>5</v>
      </c>
      <c r="O63" s="8">
        <f t="shared" si="8"/>
        <v>2</v>
      </c>
      <c r="P63" s="8">
        <f t="shared" si="8"/>
        <v>0</v>
      </c>
      <c r="Q63" s="8">
        <f t="shared" si="8"/>
        <v>0</v>
      </c>
      <c r="R63" s="8">
        <f t="shared" si="8"/>
        <v>0</v>
      </c>
      <c r="S63" s="8">
        <f t="shared" si="8"/>
        <v>0</v>
      </c>
      <c r="T63" s="8">
        <f t="shared" si="8"/>
        <v>0</v>
      </c>
      <c r="U63" s="8">
        <f t="shared" si="8"/>
        <v>0</v>
      </c>
      <c r="V63" s="8">
        <f t="shared" si="8"/>
        <v>0</v>
      </c>
      <c r="W63" s="8">
        <f t="shared" si="8"/>
        <v>0</v>
      </c>
      <c r="X63" s="8">
        <f t="shared" si="8"/>
        <v>3</v>
      </c>
      <c r="Y63" s="8">
        <f t="shared" si="1"/>
        <v>237</v>
      </c>
      <c r="Z63" s="8">
        <f t="shared" ref="Z63:AF63" si="9">Z64+Z65+Z66+Z67+Z68+Z69+Z70+Z71+Z92</f>
        <v>25</v>
      </c>
      <c r="AA63" s="8">
        <f t="shared" si="9"/>
        <v>0</v>
      </c>
      <c r="AB63" s="8">
        <f t="shared" si="9"/>
        <v>183</v>
      </c>
      <c r="AC63" s="8">
        <f t="shared" si="9"/>
        <v>0</v>
      </c>
      <c r="AD63" s="8">
        <f t="shared" si="9"/>
        <v>0</v>
      </c>
      <c r="AE63" s="8">
        <f t="shared" si="9"/>
        <v>0</v>
      </c>
      <c r="AF63" s="8">
        <f t="shared" si="9"/>
        <v>166</v>
      </c>
      <c r="AG63" s="8">
        <f t="shared" ref="AG63:AV63" si="10">AG64+AG65+AG66+AG67+AG68+AG69+AG70+AG71+AG72</f>
        <v>0</v>
      </c>
      <c r="AH63" s="8">
        <f t="shared" si="10"/>
        <v>0</v>
      </c>
      <c r="AI63" s="8">
        <f t="shared" si="10"/>
        <v>1</v>
      </c>
      <c r="AJ63" s="8">
        <f t="shared" si="10"/>
        <v>7</v>
      </c>
      <c r="AK63" s="8">
        <f t="shared" si="10"/>
        <v>2</v>
      </c>
      <c r="AL63" s="8">
        <f t="shared" si="10"/>
        <v>2</v>
      </c>
      <c r="AM63" s="8">
        <f t="shared" si="10"/>
        <v>2</v>
      </c>
      <c r="AN63" s="8">
        <f t="shared" si="10"/>
        <v>0</v>
      </c>
      <c r="AO63" s="8">
        <f t="shared" si="10"/>
        <v>0</v>
      </c>
      <c r="AP63" s="8">
        <f t="shared" si="10"/>
        <v>0</v>
      </c>
      <c r="AQ63" s="8">
        <f t="shared" si="10"/>
        <v>0</v>
      </c>
      <c r="AR63" s="8">
        <f t="shared" si="10"/>
        <v>0</v>
      </c>
      <c r="AS63" s="8">
        <f t="shared" si="10"/>
        <v>0</v>
      </c>
      <c r="AT63" s="8">
        <f t="shared" si="10"/>
        <v>0</v>
      </c>
      <c r="AU63" s="8">
        <f t="shared" si="10"/>
        <v>0</v>
      </c>
      <c r="AV63" s="8">
        <f t="shared" si="10"/>
        <v>0</v>
      </c>
      <c r="AW63" s="8">
        <f t="shared" ref="AW63:AW126" si="11">SUM(AD63:AV63)</f>
        <v>180</v>
      </c>
      <c r="AX63" s="8"/>
      <c r="EH63"/>
    </row>
    <row r="64" spans="1:138" x14ac:dyDescent="0.25">
      <c r="A64" s="10" t="s">
        <v>133</v>
      </c>
      <c r="B64" s="11">
        <f>1+1+1+2+1+2+1+1</f>
        <v>10</v>
      </c>
      <c r="C64" s="11"/>
      <c r="D64" s="11">
        <f>1+4+8+11+1+5+2+1</f>
        <v>33</v>
      </c>
      <c r="E64" s="11"/>
      <c r="F64" s="11"/>
      <c r="G64" s="11"/>
      <c r="H64" s="11">
        <f>4+8</f>
        <v>12</v>
      </c>
      <c r="I64" s="11"/>
      <c r="J64" s="11"/>
      <c r="K64" s="11"/>
      <c r="L64" s="11">
        <f>11+1</f>
        <v>12</v>
      </c>
      <c r="M64" s="11"/>
      <c r="N64" s="11">
        <f>5</f>
        <v>5</v>
      </c>
      <c r="O64" s="11">
        <f>2</f>
        <v>2</v>
      </c>
      <c r="P64" s="11"/>
      <c r="Q64" s="11"/>
      <c r="R64" s="11"/>
      <c r="S64" s="11"/>
      <c r="T64" s="11"/>
      <c r="U64" s="11"/>
      <c r="V64" s="11"/>
      <c r="W64" s="11"/>
      <c r="X64" s="11">
        <v>2</v>
      </c>
      <c r="Y64" s="8">
        <f t="shared" si="1"/>
        <v>33</v>
      </c>
      <c r="Z64" s="11">
        <f>1+1+2+1+2+1</f>
        <v>8</v>
      </c>
      <c r="AA64" s="11"/>
      <c r="AB64" s="11">
        <f>1+1+5+1+2+2</f>
        <v>12</v>
      </c>
      <c r="AC64" s="11"/>
      <c r="AD64" s="11"/>
      <c r="AE64" s="11"/>
      <c r="AF64" s="11">
        <f>1+1</f>
        <v>2</v>
      </c>
      <c r="AG64" s="11"/>
      <c r="AH64" s="11"/>
      <c r="AI64" s="11"/>
      <c r="AJ64" s="11">
        <f>5+1</f>
        <v>6</v>
      </c>
      <c r="AK64" s="11"/>
      <c r="AL64" s="11">
        <f>2</f>
        <v>2</v>
      </c>
      <c r="AM64" s="11">
        <f>2</f>
        <v>2</v>
      </c>
      <c r="AN64" s="11"/>
      <c r="AO64" s="11"/>
      <c r="AP64" s="11"/>
      <c r="AQ64" s="11"/>
      <c r="AR64" s="11"/>
      <c r="AS64" s="11"/>
      <c r="AT64" s="11"/>
      <c r="AU64" s="11"/>
      <c r="AV64" s="11"/>
      <c r="AW64" s="8">
        <f t="shared" si="11"/>
        <v>12</v>
      </c>
      <c r="AX64" s="14">
        <v>3456</v>
      </c>
      <c r="AY64">
        <v>5200</v>
      </c>
      <c r="AZ64">
        <v>2952</v>
      </c>
      <c r="BA64">
        <v>1112</v>
      </c>
      <c r="BB64">
        <v>2952</v>
      </c>
      <c r="BC64">
        <v>4200</v>
      </c>
      <c r="BD64">
        <v>4320</v>
      </c>
    </row>
    <row r="65" spans="1:138" x14ac:dyDescent="0.25">
      <c r="A65" s="10" t="s">
        <v>96</v>
      </c>
      <c r="B65" s="11">
        <f>1+2+1+1</f>
        <v>5</v>
      </c>
      <c r="C65" s="11"/>
      <c r="D65" s="11">
        <f>1+32+14+1+1</f>
        <v>49</v>
      </c>
      <c r="E65" s="11"/>
      <c r="F65" s="11"/>
      <c r="G65" s="11"/>
      <c r="H65" s="11">
        <f>32+14</f>
        <v>46</v>
      </c>
      <c r="I65" s="11"/>
      <c r="J65" s="11"/>
      <c r="K65" s="11"/>
      <c r="L65" s="11">
        <v>1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f>1</f>
        <v>1</v>
      </c>
      <c r="Y65" s="8">
        <f t="shared" si="1"/>
        <v>48</v>
      </c>
      <c r="Z65" s="11">
        <f>2+1</f>
        <v>3</v>
      </c>
      <c r="AA65" s="11"/>
      <c r="AB65" s="11">
        <f>32+14+1</f>
        <v>47</v>
      </c>
      <c r="AC65" s="11"/>
      <c r="AD65" s="11"/>
      <c r="AE65" s="11"/>
      <c r="AF65" s="11">
        <f>32+14+1</f>
        <v>47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8">
        <f t="shared" si="11"/>
        <v>47</v>
      </c>
      <c r="AX65" s="14">
        <v>2425</v>
      </c>
      <c r="AY65">
        <v>1250</v>
      </c>
      <c r="AZ65">
        <v>3600</v>
      </c>
    </row>
    <row r="66" spans="1:138" x14ac:dyDescent="0.25">
      <c r="A66" s="10" t="s">
        <v>97</v>
      </c>
      <c r="B66" s="11">
        <f>1+1+1+1</f>
        <v>4</v>
      </c>
      <c r="C66" s="11"/>
      <c r="D66" s="11">
        <f>2+2+1+8</f>
        <v>13</v>
      </c>
      <c r="E66" s="11"/>
      <c r="F66" s="11"/>
      <c r="G66" s="11"/>
      <c r="H66" s="11">
        <f>1</f>
        <v>1</v>
      </c>
      <c r="I66" s="11"/>
      <c r="J66" s="11"/>
      <c r="K66" s="11"/>
      <c r="L66" s="11">
        <f>2+2</f>
        <v>4</v>
      </c>
      <c r="M66" s="11">
        <f>8</f>
        <v>8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8">
        <f t="shared" si="1"/>
        <v>13</v>
      </c>
      <c r="Z66" s="11">
        <f>1</f>
        <v>1</v>
      </c>
      <c r="AA66" s="11"/>
      <c r="AB66" s="11">
        <f>2</f>
        <v>2</v>
      </c>
      <c r="AC66" s="11"/>
      <c r="AD66" s="11"/>
      <c r="AE66" s="11"/>
      <c r="AF66" s="11"/>
      <c r="AG66" s="11"/>
      <c r="AH66" s="11"/>
      <c r="AI66" s="11"/>
      <c r="AJ66" s="11"/>
      <c r="AK66" s="11">
        <f>2</f>
        <v>2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8">
        <f t="shared" si="11"/>
        <v>2</v>
      </c>
      <c r="AX66" s="14">
        <v>3600</v>
      </c>
      <c r="AY66">
        <v>3600</v>
      </c>
    </row>
    <row r="67" spans="1:138" x14ac:dyDescent="0.25">
      <c r="A67" s="10" t="s">
        <v>98</v>
      </c>
      <c r="B67" s="11">
        <f>1</f>
        <v>1</v>
      </c>
      <c r="C67" s="11"/>
      <c r="D67" s="11">
        <f>3</f>
        <v>3</v>
      </c>
      <c r="E67" s="11"/>
      <c r="F67" s="11"/>
      <c r="G67" s="11"/>
      <c r="H67" s="11">
        <f>3</f>
        <v>3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8">
        <f t="shared" si="1"/>
        <v>3</v>
      </c>
      <c r="Z67" s="11">
        <f>1</f>
        <v>1</v>
      </c>
      <c r="AA67" s="11"/>
      <c r="AB67" s="11">
        <f>3</f>
        <v>3</v>
      </c>
      <c r="AC67" s="11"/>
      <c r="AD67" s="11"/>
      <c r="AE67" s="11"/>
      <c r="AF67" s="11">
        <f>3</f>
        <v>3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8">
        <f t="shared" si="11"/>
        <v>3</v>
      </c>
      <c r="AX67" s="14">
        <v>1120</v>
      </c>
      <c r="AY67">
        <v>1120</v>
      </c>
    </row>
    <row r="68" spans="1:138" x14ac:dyDescent="0.25">
      <c r="A68" s="10" t="s">
        <v>99</v>
      </c>
      <c r="B68" s="11">
        <f>1+1</f>
        <v>2</v>
      </c>
      <c r="C68" s="11"/>
      <c r="D68" s="11">
        <f>12+8</f>
        <v>20</v>
      </c>
      <c r="E68" s="11"/>
      <c r="F68" s="11"/>
      <c r="G68" s="11"/>
      <c r="H68" s="11">
        <f>12+8</f>
        <v>20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8">
        <f t="shared" si="1"/>
        <v>20</v>
      </c>
      <c r="Z68" s="11">
        <f>1+1</f>
        <v>2</v>
      </c>
      <c r="AA68" s="11"/>
      <c r="AB68" s="11">
        <f>3+8</f>
        <v>11</v>
      </c>
      <c r="AC68" s="11"/>
      <c r="AD68" s="11"/>
      <c r="AE68" s="11"/>
      <c r="AF68" s="11">
        <f>3+8</f>
        <v>11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8">
        <f t="shared" si="11"/>
        <v>11</v>
      </c>
      <c r="AX68" s="14">
        <v>7567</v>
      </c>
      <c r="AY68">
        <v>12014</v>
      </c>
      <c r="AZ68">
        <v>3120</v>
      </c>
    </row>
    <row r="69" spans="1:138" x14ac:dyDescent="0.25">
      <c r="A69" s="10" t="s">
        <v>100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8">
        <f t="shared" si="1"/>
        <v>0</v>
      </c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8">
        <f t="shared" si="11"/>
        <v>0</v>
      </c>
      <c r="AX69" s="14"/>
    </row>
    <row r="70" spans="1:138" x14ac:dyDescent="0.25">
      <c r="A70" s="10" t="s">
        <v>132</v>
      </c>
      <c r="B70" s="11">
        <f>1</f>
        <v>1</v>
      </c>
      <c r="C70" s="11"/>
      <c r="D70" s="11">
        <f>2</f>
        <v>2</v>
      </c>
      <c r="E70" s="11"/>
      <c r="F70" s="11"/>
      <c r="G70" s="11"/>
      <c r="H70" s="11"/>
      <c r="I70" s="11"/>
      <c r="J70" s="11"/>
      <c r="K70" s="11"/>
      <c r="L70" s="11">
        <f>2</f>
        <v>2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8">
        <f t="shared" ref="Y70:Y133" si="12">SUM(F70:X70)</f>
        <v>2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8">
        <f t="shared" si="11"/>
        <v>0</v>
      </c>
      <c r="AX70" s="14"/>
    </row>
    <row r="71" spans="1:138" x14ac:dyDescent="0.25">
      <c r="A71" s="10" t="s">
        <v>131</v>
      </c>
      <c r="B71" s="11">
        <f>1+1+1</f>
        <v>3</v>
      </c>
      <c r="C71" s="11"/>
      <c r="D71" s="11">
        <f>1+1+1</f>
        <v>3</v>
      </c>
      <c r="E71" s="11"/>
      <c r="F71" s="11"/>
      <c r="G71" s="11"/>
      <c r="H71" s="11"/>
      <c r="I71" s="11"/>
      <c r="J71" s="11"/>
      <c r="K71" s="11">
        <f>1</f>
        <v>1</v>
      </c>
      <c r="L71" s="11">
        <f>1+1</f>
        <v>2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8">
        <f t="shared" si="12"/>
        <v>3</v>
      </c>
      <c r="Z71" s="11">
        <f>1+1</f>
        <v>2</v>
      </c>
      <c r="AA71" s="11"/>
      <c r="AB71" s="11">
        <f>1+1</f>
        <v>2</v>
      </c>
      <c r="AC71" s="11"/>
      <c r="AD71" s="11"/>
      <c r="AE71" s="11"/>
      <c r="AF71" s="11"/>
      <c r="AG71" s="11"/>
      <c r="AH71" s="11"/>
      <c r="AI71" s="11">
        <f>1</f>
        <v>1</v>
      </c>
      <c r="AJ71" s="11">
        <f>1</f>
        <v>1</v>
      </c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8">
        <f t="shared" si="11"/>
        <v>2</v>
      </c>
      <c r="AX71" s="14">
        <v>6259.1</v>
      </c>
      <c r="AY71">
        <v>2999</v>
      </c>
      <c r="AZ71">
        <v>9519.2000000000007</v>
      </c>
    </row>
    <row r="72" spans="1:138" x14ac:dyDescent="0.25">
      <c r="A72" s="10" t="s">
        <v>130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8">
        <f t="shared" si="12"/>
        <v>0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8">
        <f t="shared" si="11"/>
        <v>0</v>
      </c>
      <c r="AX72" s="14"/>
    </row>
    <row r="73" spans="1:138" s="9" customFormat="1" x14ac:dyDescent="0.25">
      <c r="A73" s="40" t="s">
        <v>42</v>
      </c>
      <c r="B73" s="8">
        <f t="shared" ref="B73:H73" si="13">SUM(B74:B92)</f>
        <v>200</v>
      </c>
      <c r="C73" s="8">
        <f t="shared" si="13"/>
        <v>55</v>
      </c>
      <c r="D73" s="8">
        <f t="shared" si="13"/>
        <v>823</v>
      </c>
      <c r="E73" s="8">
        <f t="shared" si="13"/>
        <v>255</v>
      </c>
      <c r="F73" s="8">
        <f t="shared" si="13"/>
        <v>0</v>
      </c>
      <c r="G73" s="8">
        <f t="shared" si="13"/>
        <v>0</v>
      </c>
      <c r="H73" s="8">
        <f t="shared" si="13"/>
        <v>320</v>
      </c>
      <c r="I73" s="8">
        <f t="shared" ref="I73:X73" si="14">SUM(I74:I92)</f>
        <v>0</v>
      </c>
      <c r="J73" s="8">
        <f t="shared" si="14"/>
        <v>11</v>
      </c>
      <c r="K73" s="8">
        <f t="shared" si="14"/>
        <v>11</v>
      </c>
      <c r="L73" s="8">
        <f t="shared" si="14"/>
        <v>53</v>
      </c>
      <c r="M73" s="8">
        <f t="shared" si="14"/>
        <v>10</v>
      </c>
      <c r="N73" s="8">
        <f t="shared" si="14"/>
        <v>34</v>
      </c>
      <c r="O73" s="8">
        <f t="shared" si="14"/>
        <v>25</v>
      </c>
      <c r="P73" s="8">
        <f t="shared" si="14"/>
        <v>27</v>
      </c>
      <c r="Q73" s="8">
        <f t="shared" si="14"/>
        <v>0</v>
      </c>
      <c r="R73" s="8">
        <f t="shared" si="14"/>
        <v>27</v>
      </c>
      <c r="S73" s="8">
        <f t="shared" si="14"/>
        <v>24</v>
      </c>
      <c r="T73" s="8">
        <f t="shared" si="14"/>
        <v>110</v>
      </c>
      <c r="U73" s="8">
        <f t="shared" si="14"/>
        <v>11</v>
      </c>
      <c r="V73" s="8">
        <f t="shared" si="14"/>
        <v>125</v>
      </c>
      <c r="W73" s="8">
        <f t="shared" si="14"/>
        <v>12</v>
      </c>
      <c r="X73" s="8">
        <f t="shared" si="14"/>
        <v>21</v>
      </c>
      <c r="Y73" s="8">
        <f t="shared" si="12"/>
        <v>821</v>
      </c>
      <c r="Z73" s="8">
        <f t="shared" ref="Z73:AV73" si="15">SUM(Z74:Z93)</f>
        <v>134</v>
      </c>
      <c r="AA73" s="8">
        <f t="shared" si="15"/>
        <v>30</v>
      </c>
      <c r="AB73" s="8">
        <f t="shared" si="15"/>
        <v>550</v>
      </c>
      <c r="AC73" s="8">
        <f t="shared" si="15"/>
        <v>96</v>
      </c>
      <c r="AD73" s="8">
        <f t="shared" si="15"/>
        <v>0</v>
      </c>
      <c r="AE73" s="8">
        <f t="shared" si="15"/>
        <v>0</v>
      </c>
      <c r="AF73" s="8">
        <f t="shared" si="15"/>
        <v>278</v>
      </c>
      <c r="AG73" s="8">
        <f t="shared" si="15"/>
        <v>0</v>
      </c>
      <c r="AH73" s="8">
        <f t="shared" si="15"/>
        <v>3</v>
      </c>
      <c r="AI73" s="8">
        <f t="shared" si="15"/>
        <v>6</v>
      </c>
      <c r="AJ73" s="8">
        <f t="shared" si="15"/>
        <v>31</v>
      </c>
      <c r="AK73" s="8">
        <f t="shared" si="15"/>
        <v>2</v>
      </c>
      <c r="AL73" s="8">
        <f t="shared" si="15"/>
        <v>20</v>
      </c>
      <c r="AM73" s="8">
        <f t="shared" si="15"/>
        <v>22</v>
      </c>
      <c r="AN73" s="8">
        <f t="shared" si="15"/>
        <v>27</v>
      </c>
      <c r="AO73" s="8">
        <f t="shared" si="15"/>
        <v>0</v>
      </c>
      <c r="AP73" s="8">
        <f t="shared" si="15"/>
        <v>18</v>
      </c>
      <c r="AQ73" s="8">
        <f t="shared" si="15"/>
        <v>23</v>
      </c>
      <c r="AR73" s="8">
        <f t="shared" si="15"/>
        <v>39</v>
      </c>
      <c r="AS73" s="8">
        <f t="shared" si="15"/>
        <v>7</v>
      </c>
      <c r="AT73" s="8">
        <f t="shared" si="15"/>
        <v>58</v>
      </c>
      <c r="AU73" s="8">
        <f t="shared" si="15"/>
        <v>9</v>
      </c>
      <c r="AV73" s="8">
        <f t="shared" si="15"/>
        <v>7</v>
      </c>
      <c r="AW73" s="8">
        <f t="shared" si="11"/>
        <v>550</v>
      </c>
      <c r="AX73" s="8"/>
      <c r="EH73"/>
    </row>
    <row r="74" spans="1:138" x14ac:dyDescent="0.25">
      <c r="A74" s="10" t="s">
        <v>171</v>
      </c>
      <c r="B74" s="11">
        <f>1+1+1+1+1+1+1+1+1+2+1+1+1+2+1</f>
        <v>17</v>
      </c>
      <c r="C74" s="11">
        <f>1+1</f>
        <v>2</v>
      </c>
      <c r="D74" s="11">
        <f>7+1+35+7+7+9+1+3+18+2+1+4+13+12+8</f>
        <v>128</v>
      </c>
      <c r="E74" s="11">
        <f>1+1</f>
        <v>2</v>
      </c>
      <c r="F74" s="11"/>
      <c r="G74" s="11"/>
      <c r="H74" s="11">
        <f>7+35+7+13+12</f>
        <v>74</v>
      </c>
      <c r="I74" s="11"/>
      <c r="J74" s="11"/>
      <c r="K74" s="11">
        <v>1</v>
      </c>
      <c r="L74" s="11">
        <f>7+8</f>
        <v>15</v>
      </c>
      <c r="M74" s="11"/>
      <c r="N74" s="11">
        <f>9</f>
        <v>9</v>
      </c>
      <c r="O74" s="11">
        <f>1</f>
        <v>1</v>
      </c>
      <c r="P74" s="11"/>
      <c r="Q74" s="11"/>
      <c r="R74" s="11">
        <f>3+2</f>
        <v>5</v>
      </c>
      <c r="S74" s="11">
        <f>18</f>
        <v>18</v>
      </c>
      <c r="T74" s="11"/>
      <c r="U74" s="11">
        <f>1</f>
        <v>1</v>
      </c>
      <c r="V74" s="11"/>
      <c r="W74" s="11">
        <f>4</f>
        <v>4</v>
      </c>
      <c r="X74" s="11"/>
      <c r="Y74" s="8">
        <f t="shared" si="12"/>
        <v>128</v>
      </c>
      <c r="Z74" s="11">
        <f>2+1+1+1+1+1+1+1+2+1+1+1</f>
        <v>14</v>
      </c>
      <c r="AA74" s="11">
        <f>1+1</f>
        <v>2</v>
      </c>
      <c r="AB74" s="11">
        <f>8+35+2+2+8+1+3+18+2+1+4+13</f>
        <v>97</v>
      </c>
      <c r="AC74" s="11">
        <f>1+1</f>
        <v>2</v>
      </c>
      <c r="AD74" s="11"/>
      <c r="AE74" s="11"/>
      <c r="AF74" s="11">
        <f>7+35+2+13</f>
        <v>57</v>
      </c>
      <c r="AG74" s="11"/>
      <c r="AH74" s="11"/>
      <c r="AI74" s="11">
        <v>1</v>
      </c>
      <c r="AJ74" s="11">
        <f>2</f>
        <v>2</v>
      </c>
      <c r="AK74" s="11"/>
      <c r="AL74" s="11">
        <f>8</f>
        <v>8</v>
      </c>
      <c r="AM74" s="11">
        <f>1</f>
        <v>1</v>
      </c>
      <c r="AN74" s="11"/>
      <c r="AO74" s="11"/>
      <c r="AP74" s="11">
        <f>3+2</f>
        <v>5</v>
      </c>
      <c r="AQ74" s="11">
        <f>18</f>
        <v>18</v>
      </c>
      <c r="AR74" s="11"/>
      <c r="AS74" s="11">
        <f>1</f>
        <v>1</v>
      </c>
      <c r="AT74" s="11"/>
      <c r="AU74" s="11">
        <f>4</f>
        <v>4</v>
      </c>
      <c r="AV74" s="11"/>
      <c r="AW74" s="8">
        <f t="shared" si="11"/>
        <v>97</v>
      </c>
      <c r="AX74" s="14">
        <v>2418.5384615384614</v>
      </c>
      <c r="AY74" s="73">
        <v>4940</v>
      </c>
      <c r="AZ74" s="73">
        <v>6500</v>
      </c>
      <c r="BA74">
        <v>2000</v>
      </c>
      <c r="BB74">
        <v>3428</v>
      </c>
      <c r="BC74">
        <v>3428</v>
      </c>
      <c r="BD74">
        <v>1250</v>
      </c>
      <c r="BE74">
        <v>2200</v>
      </c>
      <c r="BF74">
        <v>1500</v>
      </c>
      <c r="BG74">
        <v>1000</v>
      </c>
      <c r="BH74">
        <v>1075</v>
      </c>
      <c r="BI74">
        <v>560</v>
      </c>
      <c r="BJ74">
        <v>1800</v>
      </c>
      <c r="BK74">
        <v>1760</v>
      </c>
    </row>
    <row r="75" spans="1:138" x14ac:dyDescent="0.25">
      <c r="A75" s="10" t="s">
        <v>172</v>
      </c>
      <c r="B75" s="11">
        <f>1+2+2+1+3+1+1</f>
        <v>11</v>
      </c>
      <c r="C75" s="11"/>
      <c r="D75" s="11">
        <f>1+4+2+4+9+1+2</f>
        <v>23</v>
      </c>
      <c r="E75" s="11"/>
      <c r="F75" s="11"/>
      <c r="G75" s="11"/>
      <c r="H75" s="11"/>
      <c r="I75" s="11"/>
      <c r="J75" s="11"/>
      <c r="K75" s="11"/>
      <c r="L75" s="11">
        <v>1</v>
      </c>
      <c r="M75" s="11">
        <f>9</f>
        <v>9</v>
      </c>
      <c r="N75" s="11">
        <f>4+1</f>
        <v>5</v>
      </c>
      <c r="O75" s="11">
        <f>2</f>
        <v>2</v>
      </c>
      <c r="P75" s="11"/>
      <c r="Q75" s="11"/>
      <c r="R75" s="11"/>
      <c r="S75" s="11"/>
      <c r="T75" s="11"/>
      <c r="U75" s="11"/>
      <c r="V75" s="11"/>
      <c r="W75" s="11"/>
      <c r="X75" s="11">
        <f>4+2</f>
        <v>6</v>
      </c>
      <c r="Y75" s="8">
        <f t="shared" si="12"/>
        <v>23</v>
      </c>
      <c r="Z75" s="11">
        <f>2+2+1+1+1</f>
        <v>7</v>
      </c>
      <c r="AA75" s="11"/>
      <c r="AB75" s="11">
        <f>4+2+1+1+1</f>
        <v>9</v>
      </c>
      <c r="AC75" s="11"/>
      <c r="AD75" s="11"/>
      <c r="AE75" s="11"/>
      <c r="AF75" s="11"/>
      <c r="AG75" s="11"/>
      <c r="AH75" s="11"/>
      <c r="AI75" s="11"/>
      <c r="AJ75" s="11"/>
      <c r="AK75" s="11">
        <f>1</f>
        <v>1</v>
      </c>
      <c r="AL75" s="11">
        <f>4+1</f>
        <v>5</v>
      </c>
      <c r="AM75" s="11">
        <f>2</f>
        <v>2</v>
      </c>
      <c r="AN75" s="11"/>
      <c r="AO75" s="11"/>
      <c r="AP75" s="11"/>
      <c r="AQ75" s="11"/>
      <c r="AR75" s="11"/>
      <c r="AS75" s="11"/>
      <c r="AT75" s="11"/>
      <c r="AU75" s="11"/>
      <c r="AV75" s="11">
        <f>1</f>
        <v>1</v>
      </c>
      <c r="AW75" s="8">
        <f t="shared" si="11"/>
        <v>9</v>
      </c>
      <c r="AX75" s="14">
        <v>3197.6</v>
      </c>
      <c r="AY75">
        <v>2000</v>
      </c>
      <c r="AZ75">
        <v>4028</v>
      </c>
      <c r="BA75">
        <v>6000</v>
      </c>
      <c r="BB75">
        <v>2160</v>
      </c>
      <c r="BC75">
        <v>1800</v>
      </c>
    </row>
    <row r="76" spans="1:138" x14ac:dyDescent="0.25">
      <c r="A76" s="10" t="s">
        <v>173</v>
      </c>
      <c r="B76" s="11">
        <f>3+4+1+2+3+1+2+2+1+1+1+1+5</f>
        <v>27</v>
      </c>
      <c r="C76" s="11">
        <f>3+4+2+3+2+1+5</f>
        <v>20</v>
      </c>
      <c r="D76" s="11">
        <f>3+14+1+2+3+18+2+2+1+1+1+1+11</f>
        <v>60</v>
      </c>
      <c r="E76" s="11">
        <f>3+14+2+3+2+1+11</f>
        <v>36</v>
      </c>
      <c r="F76" s="11"/>
      <c r="G76" s="11"/>
      <c r="H76" s="11">
        <f>2</f>
        <v>2</v>
      </c>
      <c r="I76" s="11"/>
      <c r="J76" s="11">
        <f>2+3</f>
        <v>5</v>
      </c>
      <c r="K76" s="11">
        <f>1</f>
        <v>1</v>
      </c>
      <c r="L76" s="11">
        <f>18+1</f>
        <v>19</v>
      </c>
      <c r="M76" s="11"/>
      <c r="N76" s="11">
        <f>1</f>
        <v>1</v>
      </c>
      <c r="O76" s="11"/>
      <c r="P76" s="11"/>
      <c r="Q76" s="11"/>
      <c r="R76" s="11"/>
      <c r="S76" s="11"/>
      <c r="T76" s="11">
        <f>3+14+2+11</f>
        <v>30</v>
      </c>
      <c r="U76" s="11"/>
      <c r="V76" s="11">
        <f>1</f>
        <v>1</v>
      </c>
      <c r="W76" s="11"/>
      <c r="X76" s="11">
        <f>1</f>
        <v>1</v>
      </c>
      <c r="Y76" s="8">
        <f t="shared" si="12"/>
        <v>60</v>
      </c>
      <c r="Z76" s="11">
        <f>3+4+2+1+2+1+1+1+1</f>
        <v>16</v>
      </c>
      <c r="AA76" s="11">
        <f>3+4+2+2+1</f>
        <v>12</v>
      </c>
      <c r="AB76" s="11">
        <f>3+14+2+18+2+1+1+1+1</f>
        <v>43</v>
      </c>
      <c r="AC76" s="11">
        <f>3+14+2+2+1</f>
        <v>22</v>
      </c>
      <c r="AD76" s="11"/>
      <c r="AE76" s="11"/>
      <c r="AF76" s="11"/>
      <c r="AG76" s="11"/>
      <c r="AH76" s="11">
        <f>2</f>
        <v>2</v>
      </c>
      <c r="AI76" s="11">
        <f>1</f>
        <v>1</v>
      </c>
      <c r="AJ76" s="11">
        <f>18+1</f>
        <v>19</v>
      </c>
      <c r="AK76" s="11"/>
      <c r="AL76" s="11">
        <f>1</f>
        <v>1</v>
      </c>
      <c r="AM76" s="11"/>
      <c r="AN76" s="11"/>
      <c r="AO76" s="11"/>
      <c r="AP76" s="11"/>
      <c r="AQ76" s="11"/>
      <c r="AR76" s="11">
        <f>3+14+2</f>
        <v>19</v>
      </c>
      <c r="AS76" s="11"/>
      <c r="AT76" s="11">
        <f>1</f>
        <v>1</v>
      </c>
      <c r="AU76" s="11"/>
      <c r="AV76" s="11"/>
      <c r="AW76" s="8">
        <f t="shared" si="11"/>
        <v>43</v>
      </c>
      <c r="AX76" s="14">
        <v>2763.4811111111112</v>
      </c>
      <c r="AY76">
        <v>1757.33</v>
      </c>
      <c r="AZ76" s="73">
        <v>1860</v>
      </c>
      <c r="BA76">
        <v>4002</v>
      </c>
      <c r="BB76">
        <v>400</v>
      </c>
      <c r="BC76">
        <v>4160</v>
      </c>
      <c r="BD76">
        <v>2880</v>
      </c>
      <c r="BE76">
        <v>1800</v>
      </c>
      <c r="BF76">
        <v>3112</v>
      </c>
      <c r="BG76">
        <v>4900</v>
      </c>
    </row>
    <row r="77" spans="1:138" x14ac:dyDescent="0.25">
      <c r="A77" s="10" t="s">
        <v>174</v>
      </c>
      <c r="B77" s="11">
        <f>1+1+1+1+1+1</f>
        <v>6</v>
      </c>
      <c r="C77" s="11">
        <f>1+1+1+1</f>
        <v>4</v>
      </c>
      <c r="D77" s="11">
        <f>10+40+10+28+5+18</f>
        <v>111</v>
      </c>
      <c r="E77" s="11">
        <f>10+40+10+18</f>
        <v>78</v>
      </c>
      <c r="F77" s="11"/>
      <c r="G77" s="11"/>
      <c r="H77" s="11">
        <f>28</f>
        <v>28</v>
      </c>
      <c r="I77" s="11"/>
      <c r="J77" s="11"/>
      <c r="K77" s="11"/>
      <c r="L77" s="11"/>
      <c r="M77" s="11"/>
      <c r="N77" s="11">
        <f>5</f>
        <v>5</v>
      </c>
      <c r="O77" s="11"/>
      <c r="P77" s="11"/>
      <c r="Q77" s="11"/>
      <c r="R77" s="11"/>
      <c r="S77" s="11"/>
      <c r="T77" s="11"/>
      <c r="U77" s="11"/>
      <c r="V77" s="11">
        <f>10+40+10+18</f>
        <v>78</v>
      </c>
      <c r="W77" s="11"/>
      <c r="X77" s="11"/>
      <c r="Y77" s="8">
        <f t="shared" si="12"/>
        <v>111</v>
      </c>
      <c r="Z77" s="11">
        <f>1+1+1+1+1</f>
        <v>5</v>
      </c>
      <c r="AA77" s="11">
        <f>1+1+1</f>
        <v>3</v>
      </c>
      <c r="AB77" s="11">
        <f>10+6+28+5+18</f>
        <v>67</v>
      </c>
      <c r="AC77" s="11">
        <f>10+6+18</f>
        <v>34</v>
      </c>
      <c r="AD77" s="11"/>
      <c r="AE77" s="11"/>
      <c r="AF77" s="11">
        <f>28</f>
        <v>28</v>
      </c>
      <c r="AG77" s="11"/>
      <c r="AH77" s="11"/>
      <c r="AI77" s="11"/>
      <c r="AJ77" s="11"/>
      <c r="AK77" s="11"/>
      <c r="AL77" s="11">
        <f>5</f>
        <v>5</v>
      </c>
      <c r="AM77" s="11"/>
      <c r="AN77" s="11"/>
      <c r="AO77" s="11"/>
      <c r="AP77" s="11"/>
      <c r="AQ77" s="11"/>
      <c r="AR77" s="11"/>
      <c r="AS77" s="11"/>
      <c r="AT77" s="11">
        <f>10+6+18</f>
        <v>34</v>
      </c>
      <c r="AU77" s="11"/>
      <c r="AV77" s="11"/>
      <c r="AW77" s="8">
        <f t="shared" si="11"/>
        <v>67</v>
      </c>
      <c r="AX77" s="14">
        <v>1973.1200000000001</v>
      </c>
      <c r="AY77">
        <v>600</v>
      </c>
      <c r="AZ77">
        <v>2880</v>
      </c>
      <c r="BA77">
        <v>2400</v>
      </c>
      <c r="BB77">
        <v>2208</v>
      </c>
      <c r="BC77">
        <v>1777.6</v>
      </c>
    </row>
    <row r="78" spans="1:138" x14ac:dyDescent="0.25">
      <c r="A78" s="10" t="s">
        <v>175</v>
      </c>
      <c r="B78" s="11">
        <f>4+1+1</f>
        <v>6</v>
      </c>
      <c r="C78" s="11"/>
      <c r="D78" s="11">
        <f>7+8+2</f>
        <v>17</v>
      </c>
      <c r="E78" s="11"/>
      <c r="F78" s="11"/>
      <c r="G78" s="11"/>
      <c r="H78" s="11">
        <f>7+8</f>
        <v>15</v>
      </c>
      <c r="I78" s="11"/>
      <c r="J78" s="11"/>
      <c r="K78" s="11">
        <f>2</f>
        <v>2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8">
        <f t="shared" si="12"/>
        <v>17</v>
      </c>
      <c r="Z78" s="11">
        <f>4+1</f>
        <v>5</v>
      </c>
      <c r="AA78" s="11"/>
      <c r="AB78" s="11">
        <f>7+8</f>
        <v>15</v>
      </c>
      <c r="AC78" s="11"/>
      <c r="AD78" s="11"/>
      <c r="AE78" s="11"/>
      <c r="AF78" s="11">
        <f>7+8</f>
        <v>15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8">
        <f t="shared" si="11"/>
        <v>15</v>
      </c>
      <c r="AX78" s="14">
        <v>1381.25</v>
      </c>
      <c r="AY78">
        <v>1262.5</v>
      </c>
      <c r="AZ78">
        <v>1500</v>
      </c>
    </row>
    <row r="79" spans="1:138" x14ac:dyDescent="0.25">
      <c r="A79" s="10" t="s">
        <v>176</v>
      </c>
      <c r="B79" s="11">
        <f>1+3+1+1+2+1</f>
        <v>9</v>
      </c>
      <c r="C79" s="11"/>
      <c r="D79" s="11">
        <f>1+15+2+1+2+1</f>
        <v>22</v>
      </c>
      <c r="E79" s="11"/>
      <c r="F79" s="11"/>
      <c r="G79" s="11"/>
      <c r="H79" s="11">
        <f>15</f>
        <v>15</v>
      </c>
      <c r="I79" s="11"/>
      <c r="J79" s="11"/>
      <c r="K79" s="11">
        <f>2+1</f>
        <v>3</v>
      </c>
      <c r="L79" s="11">
        <f>1</f>
        <v>1</v>
      </c>
      <c r="M79" s="11"/>
      <c r="N79" s="11"/>
      <c r="O79" s="11">
        <v>1</v>
      </c>
      <c r="P79" s="11"/>
      <c r="Q79" s="11"/>
      <c r="R79" s="11"/>
      <c r="S79" s="11"/>
      <c r="T79" s="11"/>
      <c r="U79" s="11"/>
      <c r="V79" s="11"/>
      <c r="W79" s="11"/>
      <c r="X79" s="11">
        <f>2</f>
        <v>2</v>
      </c>
      <c r="Y79" s="8">
        <f t="shared" si="12"/>
        <v>22</v>
      </c>
      <c r="Z79" s="11">
        <f>1+3+1+1</f>
        <v>6</v>
      </c>
      <c r="AA79" s="11"/>
      <c r="AB79" s="11">
        <f>1+15+1+1</f>
        <v>18</v>
      </c>
      <c r="AC79" s="11"/>
      <c r="AD79" s="11"/>
      <c r="AE79" s="11"/>
      <c r="AF79" s="11">
        <f>15</f>
        <v>15</v>
      </c>
      <c r="AG79" s="11"/>
      <c r="AH79" s="11"/>
      <c r="AI79" s="11"/>
      <c r="AJ79" s="11">
        <f>1</f>
        <v>1</v>
      </c>
      <c r="AK79" s="11"/>
      <c r="AL79" s="11"/>
      <c r="AM79" s="11">
        <v>1</v>
      </c>
      <c r="AN79" s="11"/>
      <c r="AO79" s="11"/>
      <c r="AP79" s="11"/>
      <c r="AQ79" s="11"/>
      <c r="AR79" s="11"/>
      <c r="AS79" s="11"/>
      <c r="AT79" s="11"/>
      <c r="AU79" s="11"/>
      <c r="AV79" s="11">
        <f>1</f>
        <v>1</v>
      </c>
      <c r="AW79" s="8">
        <f>SUM(AD79:AV79)</f>
        <v>18</v>
      </c>
      <c r="AX79" s="14">
        <v>4145.8325000000004</v>
      </c>
      <c r="AY79" s="73">
        <v>7600</v>
      </c>
      <c r="AZ79">
        <v>2293.33</v>
      </c>
      <c r="BA79">
        <v>2890</v>
      </c>
      <c r="BB79">
        <v>3800</v>
      </c>
    </row>
    <row r="80" spans="1:138" x14ac:dyDescent="0.25">
      <c r="A80" s="10" t="s">
        <v>178</v>
      </c>
      <c r="B80" s="11">
        <f>3+2+2+1+1+1+2+1+1+1+1+2+1+1+1+2+1</f>
        <v>24</v>
      </c>
      <c r="C80" s="11">
        <f>1+1+2+1+1+2+1</f>
        <v>9</v>
      </c>
      <c r="D80" s="11">
        <f>3+27+5+1+1+16+4+2+3+2+1+35+22+6+10+12+15</f>
        <v>165</v>
      </c>
      <c r="E80" s="11">
        <f>1+16+35+6+10+12+15</f>
        <v>95</v>
      </c>
      <c r="F80" s="11"/>
      <c r="G80" s="11"/>
      <c r="H80" s="11">
        <f>5+2</f>
        <v>7</v>
      </c>
      <c r="I80" s="11"/>
      <c r="J80" s="11">
        <f>1</f>
        <v>1</v>
      </c>
      <c r="K80" s="11">
        <f>4</f>
        <v>4</v>
      </c>
      <c r="L80" s="11"/>
      <c r="M80" s="11">
        <f>1</f>
        <v>1</v>
      </c>
      <c r="N80" s="11"/>
      <c r="O80" s="11">
        <f>2</f>
        <v>2</v>
      </c>
      <c r="P80" s="11">
        <v>27</v>
      </c>
      <c r="Q80" s="11"/>
      <c r="R80" s="11">
        <f>3+3</f>
        <v>6</v>
      </c>
      <c r="S80" s="11"/>
      <c r="T80" s="11">
        <f>35+10+12+15</f>
        <v>72</v>
      </c>
      <c r="U80" s="11"/>
      <c r="V80" s="11">
        <f>16+22+6</f>
        <v>44</v>
      </c>
      <c r="W80" s="11"/>
      <c r="X80" s="11">
        <f>1</f>
        <v>1</v>
      </c>
      <c r="Y80" s="8">
        <f t="shared" si="12"/>
        <v>165</v>
      </c>
      <c r="Z80" s="11">
        <f>3+2+2+1+2+1+1+1+1+2</f>
        <v>16</v>
      </c>
      <c r="AA80" s="11">
        <f>1+2</f>
        <v>3</v>
      </c>
      <c r="AB80" s="11">
        <f>3+27+5+1+4+1+3+2+22+12</f>
        <v>80</v>
      </c>
      <c r="AC80" s="11">
        <f>1+12</f>
        <v>13</v>
      </c>
      <c r="AD80" s="11"/>
      <c r="AE80" s="11"/>
      <c r="AF80" s="11">
        <f>5+2</f>
        <v>7</v>
      </c>
      <c r="AG80" s="11"/>
      <c r="AH80" s="11">
        <f>1</f>
        <v>1</v>
      </c>
      <c r="AI80" s="11">
        <f>4</f>
        <v>4</v>
      </c>
      <c r="AJ80" s="11"/>
      <c r="AK80" s="11"/>
      <c r="AL80" s="11"/>
      <c r="AM80" s="11">
        <f>1</f>
        <v>1</v>
      </c>
      <c r="AN80" s="11">
        <v>27</v>
      </c>
      <c r="AO80" s="11"/>
      <c r="AP80" s="11">
        <f>3+3</f>
        <v>6</v>
      </c>
      <c r="AQ80" s="11"/>
      <c r="AR80" s="11">
        <f>12</f>
        <v>12</v>
      </c>
      <c r="AS80" s="11"/>
      <c r="AT80" s="11">
        <f>22</f>
        <v>22</v>
      </c>
      <c r="AU80" s="11"/>
      <c r="AV80" s="11"/>
      <c r="AW80" s="8">
        <f t="shared" si="11"/>
        <v>80</v>
      </c>
      <c r="AX80" s="14">
        <v>1157.693</v>
      </c>
      <c r="AY80">
        <v>1645.33</v>
      </c>
      <c r="AZ80">
        <v>695.6</v>
      </c>
      <c r="BA80">
        <v>660</v>
      </c>
      <c r="BB80">
        <v>1112</v>
      </c>
      <c r="BC80">
        <v>3254</v>
      </c>
      <c r="BD80">
        <v>800</v>
      </c>
      <c r="BE80">
        <v>1380</v>
      </c>
      <c r="BF80">
        <v>1112</v>
      </c>
      <c r="BG80">
        <v>272</v>
      </c>
      <c r="BH80">
        <v>646</v>
      </c>
    </row>
    <row r="81" spans="1:61" x14ac:dyDescent="0.25">
      <c r="A81" s="10" t="s">
        <v>177</v>
      </c>
      <c r="B81" s="11">
        <f>1+1+2+1+2+6+1</f>
        <v>14</v>
      </c>
      <c r="C81" s="11">
        <f>1+2</f>
        <v>3</v>
      </c>
      <c r="D81" s="11">
        <f>1+2+2+1+10+18+1</f>
        <v>35</v>
      </c>
      <c r="E81" s="11">
        <f>1+2+10</f>
        <v>13</v>
      </c>
      <c r="F81" s="11"/>
      <c r="G81" s="11"/>
      <c r="H81" s="11">
        <f>2+18</f>
        <v>20</v>
      </c>
      <c r="I81" s="11"/>
      <c r="J81" s="11"/>
      <c r="K81" s="11"/>
      <c r="L81" s="11">
        <f>1+1</f>
        <v>2</v>
      </c>
      <c r="M81" s="11"/>
      <c r="N81" s="11"/>
      <c r="O81" s="11">
        <f>1</f>
        <v>1</v>
      </c>
      <c r="P81" s="11"/>
      <c r="Q81" s="11"/>
      <c r="R81" s="11"/>
      <c r="S81" s="11">
        <f>2</f>
        <v>2</v>
      </c>
      <c r="T81" s="11"/>
      <c r="U81" s="11">
        <f>10</f>
        <v>10</v>
      </c>
      <c r="V81" s="11"/>
      <c r="W81" s="11"/>
      <c r="X81" s="11"/>
      <c r="Y81" s="8">
        <f t="shared" si="12"/>
        <v>35</v>
      </c>
      <c r="Z81" s="11">
        <f>1+1+1+2+6+1</f>
        <v>12</v>
      </c>
      <c r="AA81" s="11">
        <f>2</f>
        <v>2</v>
      </c>
      <c r="AB81" s="11">
        <f>1+1+1+6+18+1</f>
        <v>28</v>
      </c>
      <c r="AC81" s="11">
        <f>6</f>
        <v>6</v>
      </c>
      <c r="AD81" s="11"/>
      <c r="AE81" s="11"/>
      <c r="AF81" s="11">
        <f>1+18</f>
        <v>19</v>
      </c>
      <c r="AG81" s="11"/>
      <c r="AH81" s="11"/>
      <c r="AI81" s="11"/>
      <c r="AJ81" s="11">
        <f>1+1</f>
        <v>2</v>
      </c>
      <c r="AK81" s="11"/>
      <c r="AL81" s="11"/>
      <c r="AM81" s="11">
        <f>1</f>
        <v>1</v>
      </c>
      <c r="AN81" s="11"/>
      <c r="AO81" s="11"/>
      <c r="AP81" s="11"/>
      <c r="AQ81" s="11"/>
      <c r="AR81" s="11"/>
      <c r="AS81" s="11">
        <f>6</f>
        <v>6</v>
      </c>
      <c r="AT81" s="11"/>
      <c r="AU81" s="11"/>
      <c r="AV81" s="11"/>
      <c r="AW81" s="8">
        <f t="shared" si="11"/>
        <v>28</v>
      </c>
      <c r="AX81" s="14">
        <v>2597.9683333333337</v>
      </c>
      <c r="AY81" s="73">
        <v>800</v>
      </c>
      <c r="AZ81" s="76">
        <v>5527.81</v>
      </c>
      <c r="BA81">
        <v>2280</v>
      </c>
      <c r="BB81">
        <v>2400</v>
      </c>
      <c r="BC81">
        <v>2180</v>
      </c>
      <c r="BD81">
        <v>2400</v>
      </c>
    </row>
    <row r="82" spans="1:61" x14ac:dyDescent="0.25">
      <c r="A82" s="10" t="s">
        <v>159</v>
      </c>
      <c r="B82" s="11">
        <f>1+1+2</f>
        <v>4</v>
      </c>
      <c r="C82" s="11"/>
      <c r="D82" s="11">
        <f>1+5+4</f>
        <v>10</v>
      </c>
      <c r="E82" s="11"/>
      <c r="F82" s="11"/>
      <c r="G82" s="11"/>
      <c r="H82" s="11"/>
      <c r="I82" s="11"/>
      <c r="J82" s="11"/>
      <c r="K82" s="11"/>
      <c r="L82" s="11">
        <v>1</v>
      </c>
      <c r="M82" s="11"/>
      <c r="N82" s="11">
        <f>5</f>
        <v>5</v>
      </c>
      <c r="O82" s="11">
        <f>4</f>
        <v>4</v>
      </c>
      <c r="P82" s="11"/>
      <c r="Q82" s="11"/>
      <c r="R82" s="11"/>
      <c r="S82" s="11"/>
      <c r="T82" s="11"/>
      <c r="U82" s="11"/>
      <c r="V82" s="11"/>
      <c r="W82" s="11"/>
      <c r="X82" s="11"/>
      <c r="Y82" s="8">
        <f t="shared" si="12"/>
        <v>10</v>
      </c>
      <c r="Z82" s="11">
        <f>1+2</f>
        <v>3</v>
      </c>
      <c r="AA82" s="11"/>
      <c r="AB82" s="11">
        <f>1+4</f>
        <v>5</v>
      </c>
      <c r="AC82" s="11"/>
      <c r="AD82" s="11"/>
      <c r="AE82" s="11"/>
      <c r="AF82" s="11"/>
      <c r="AG82" s="11"/>
      <c r="AH82" s="11"/>
      <c r="AI82" s="11"/>
      <c r="AJ82" s="11">
        <v>1</v>
      </c>
      <c r="AK82" s="11"/>
      <c r="AL82" s="11"/>
      <c r="AM82" s="11">
        <f>4</f>
        <v>4</v>
      </c>
      <c r="AN82" s="11"/>
      <c r="AO82" s="11"/>
      <c r="AP82" s="11"/>
      <c r="AQ82" s="11"/>
      <c r="AR82" s="11"/>
      <c r="AS82" s="11"/>
      <c r="AT82" s="11"/>
      <c r="AU82" s="11"/>
      <c r="AV82" s="11"/>
      <c r="AW82" s="8">
        <f t="shared" si="11"/>
        <v>5</v>
      </c>
      <c r="AX82" s="14">
        <v>3487.5</v>
      </c>
      <c r="AY82" s="73">
        <v>3300</v>
      </c>
      <c r="AZ82">
        <v>3675</v>
      </c>
    </row>
    <row r="83" spans="1:61" x14ac:dyDescent="0.25">
      <c r="A83" s="10" t="s">
        <v>160</v>
      </c>
      <c r="B83" s="11">
        <f>2+2+1+2+1</f>
        <v>8</v>
      </c>
      <c r="C83" s="11"/>
      <c r="D83" s="11">
        <f>2+2+1+2+1</f>
        <v>8</v>
      </c>
      <c r="E83" s="11"/>
      <c r="F83" s="11"/>
      <c r="G83" s="11"/>
      <c r="H83" s="11"/>
      <c r="I83" s="11"/>
      <c r="J83" s="11"/>
      <c r="K83" s="11"/>
      <c r="L83" s="11">
        <f>2</f>
        <v>2</v>
      </c>
      <c r="M83" s="11"/>
      <c r="N83" s="11"/>
      <c r="O83" s="11">
        <f>2</f>
        <v>2</v>
      </c>
      <c r="P83" s="11"/>
      <c r="Q83" s="11"/>
      <c r="R83" s="11">
        <f>1+2+1</f>
        <v>4</v>
      </c>
      <c r="S83" s="11"/>
      <c r="T83" s="11"/>
      <c r="U83" s="11"/>
      <c r="V83" s="11"/>
      <c r="W83" s="11"/>
      <c r="X83" s="11"/>
      <c r="Y83" s="8">
        <f t="shared" si="12"/>
        <v>8</v>
      </c>
      <c r="Z83" s="11">
        <f>2+2</f>
        <v>4</v>
      </c>
      <c r="AA83" s="11"/>
      <c r="AB83" s="11">
        <f>2+2</f>
        <v>4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>
        <f>2</f>
        <v>2</v>
      </c>
      <c r="AN83" s="11"/>
      <c r="AO83" s="11"/>
      <c r="AP83" s="11">
        <f>2</f>
        <v>2</v>
      </c>
      <c r="AQ83" s="11"/>
      <c r="AR83" s="11"/>
      <c r="AS83" s="11"/>
      <c r="AT83" s="11"/>
      <c r="AU83" s="11"/>
      <c r="AV83" s="11"/>
      <c r="AW83" s="8">
        <f t="shared" si="11"/>
        <v>4</v>
      </c>
      <c r="AX83" s="14">
        <v>1479.25</v>
      </c>
      <c r="AY83" s="74">
        <v>1606</v>
      </c>
      <c r="AZ83">
        <v>1352.5</v>
      </c>
    </row>
    <row r="84" spans="1:61" x14ac:dyDescent="0.25">
      <c r="A84" s="10" t="s">
        <v>161</v>
      </c>
      <c r="B84" s="11">
        <f>1+1+1+1+1</f>
        <v>5</v>
      </c>
      <c r="C84" s="11"/>
      <c r="D84" s="11">
        <f>1+1+1+1+27</f>
        <v>31</v>
      </c>
      <c r="E84" s="11"/>
      <c r="F84" s="11"/>
      <c r="G84" s="11"/>
      <c r="H84" s="11">
        <f>1+27</f>
        <v>28</v>
      </c>
      <c r="I84" s="11"/>
      <c r="J84" s="11"/>
      <c r="K84" s="11"/>
      <c r="L84" s="11">
        <v>1</v>
      </c>
      <c r="M84" s="11"/>
      <c r="N84" s="11"/>
      <c r="O84" s="11"/>
      <c r="P84" s="11"/>
      <c r="Q84" s="11"/>
      <c r="R84" s="11">
        <f>1+1</f>
        <v>2</v>
      </c>
      <c r="S84" s="11"/>
      <c r="T84" s="11"/>
      <c r="U84" s="11"/>
      <c r="V84" s="11"/>
      <c r="W84" s="11"/>
      <c r="X84" s="11"/>
      <c r="Y84" s="8">
        <f t="shared" si="12"/>
        <v>31</v>
      </c>
      <c r="Z84" s="11">
        <f>1+1+1+1</f>
        <v>4</v>
      </c>
      <c r="AA84" s="11"/>
      <c r="AB84" s="11">
        <f>1+1+1+27</f>
        <v>30</v>
      </c>
      <c r="AC84" s="11"/>
      <c r="AD84" s="11"/>
      <c r="AE84" s="11"/>
      <c r="AF84" s="11">
        <f>27</f>
        <v>27</v>
      </c>
      <c r="AG84" s="11"/>
      <c r="AH84" s="11"/>
      <c r="AI84" s="11"/>
      <c r="AJ84" s="11">
        <v>1</v>
      </c>
      <c r="AK84" s="11"/>
      <c r="AL84" s="11"/>
      <c r="AM84" s="11"/>
      <c r="AN84" s="11"/>
      <c r="AO84" s="11"/>
      <c r="AP84" s="11">
        <f>1+1</f>
        <v>2</v>
      </c>
      <c r="AQ84" s="11"/>
      <c r="AR84" s="11"/>
      <c r="AS84" s="11"/>
      <c r="AT84" s="11"/>
      <c r="AU84" s="11"/>
      <c r="AV84" s="11"/>
      <c r="AW84" s="8">
        <f t="shared" si="11"/>
        <v>30</v>
      </c>
      <c r="AX84" s="14">
        <v>1496.0900000000001</v>
      </c>
      <c r="AY84" s="73">
        <v>1112</v>
      </c>
      <c r="AZ84" s="73">
        <v>1112</v>
      </c>
      <c r="BA84">
        <v>1390</v>
      </c>
      <c r="BB84">
        <v>2370.36</v>
      </c>
    </row>
    <row r="85" spans="1:61" x14ac:dyDescent="0.25">
      <c r="A85" s="10" t="s">
        <v>162</v>
      </c>
      <c r="B85" s="11">
        <f>1+5+1</f>
        <v>7</v>
      </c>
      <c r="C85" s="11"/>
      <c r="D85" s="11">
        <f>1+8+1</f>
        <v>10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f>1+8</f>
        <v>9</v>
      </c>
      <c r="P85" s="11"/>
      <c r="Q85" s="11"/>
      <c r="R85" s="11"/>
      <c r="S85" s="11"/>
      <c r="T85" s="11"/>
      <c r="U85" s="11"/>
      <c r="V85" s="11"/>
      <c r="W85" s="11"/>
      <c r="X85" s="11">
        <f>1</f>
        <v>1</v>
      </c>
      <c r="Y85" s="8">
        <f t="shared" si="12"/>
        <v>10</v>
      </c>
      <c r="Z85" s="11">
        <f>1+5+1</f>
        <v>7</v>
      </c>
      <c r="AA85" s="11"/>
      <c r="AB85" s="11">
        <f>1+6+1</f>
        <v>8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>
        <f>1+6</f>
        <v>7</v>
      </c>
      <c r="AN85" s="11"/>
      <c r="AO85" s="11"/>
      <c r="AP85" s="11"/>
      <c r="AQ85" s="11"/>
      <c r="AR85" s="11"/>
      <c r="AS85" s="11"/>
      <c r="AT85" s="11"/>
      <c r="AU85" s="11"/>
      <c r="AV85" s="11">
        <f>1</f>
        <v>1</v>
      </c>
      <c r="AW85" s="8">
        <f t="shared" si="11"/>
        <v>8</v>
      </c>
      <c r="AX85" s="14">
        <v>3306.6666666666665</v>
      </c>
      <c r="AY85" s="74">
        <v>3800</v>
      </c>
      <c r="AZ85">
        <v>2320</v>
      </c>
      <c r="BA85">
        <v>3800</v>
      </c>
    </row>
    <row r="86" spans="1:61" x14ac:dyDescent="0.25">
      <c r="A86" s="10" t="s">
        <v>163</v>
      </c>
      <c r="B86" s="11">
        <f>1+1</f>
        <v>2</v>
      </c>
      <c r="C86" s="11"/>
      <c r="D86" s="11">
        <f>2+1</f>
        <v>3</v>
      </c>
      <c r="E86" s="11"/>
      <c r="F86" s="11"/>
      <c r="G86" s="11"/>
      <c r="H86" s="11">
        <f>2+1</f>
        <v>3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8">
        <f t="shared" si="12"/>
        <v>3</v>
      </c>
      <c r="Z86" s="11">
        <f>1+1</f>
        <v>2</v>
      </c>
      <c r="AA86" s="11"/>
      <c r="AB86" s="11">
        <f>2+1</f>
        <v>3</v>
      </c>
      <c r="AC86" s="11"/>
      <c r="AD86" s="11"/>
      <c r="AE86" s="11"/>
      <c r="AF86" s="11">
        <f>2+1</f>
        <v>3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8">
        <f t="shared" si="11"/>
        <v>3</v>
      </c>
      <c r="AX86" s="14">
        <v>3000</v>
      </c>
      <c r="AY86" s="74">
        <v>2000</v>
      </c>
      <c r="AZ86">
        <v>4000</v>
      </c>
    </row>
    <row r="87" spans="1:61" x14ac:dyDescent="0.25">
      <c r="A87" s="10" t="s">
        <v>164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8">
        <f t="shared" si="12"/>
        <v>0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8">
        <f t="shared" si="11"/>
        <v>0</v>
      </c>
      <c r="AX87" s="14"/>
    </row>
    <row r="88" spans="1:61" x14ac:dyDescent="0.25">
      <c r="A88" s="10" t="s">
        <v>165</v>
      </c>
      <c r="B88" s="11">
        <f>1+2+2+5+1+1+2+2+4+1</f>
        <v>21</v>
      </c>
      <c r="C88" s="11">
        <f>2+2+5+1</f>
        <v>10</v>
      </c>
      <c r="D88" s="11">
        <f>8+4+4+5+1+2+2+3+4+4</f>
        <v>37</v>
      </c>
      <c r="E88" s="11">
        <f>4+4+5+4</f>
        <v>17</v>
      </c>
      <c r="F88" s="11"/>
      <c r="G88" s="11"/>
      <c r="H88" s="11">
        <f>8+2+3</f>
        <v>13</v>
      </c>
      <c r="I88" s="11"/>
      <c r="J88" s="11">
        <f>5</f>
        <v>5</v>
      </c>
      <c r="K88" s="11"/>
      <c r="L88" s="11">
        <f>1+4</f>
        <v>5</v>
      </c>
      <c r="M88" s="11"/>
      <c r="N88" s="11"/>
      <c r="O88" s="11"/>
      <c r="P88" s="11"/>
      <c r="Q88" s="11"/>
      <c r="R88" s="11"/>
      <c r="S88" s="11">
        <f>4</f>
        <v>4</v>
      </c>
      <c r="T88" s="11">
        <f>4+4</f>
        <v>8</v>
      </c>
      <c r="U88" s="11"/>
      <c r="V88" s="11">
        <f>2</f>
        <v>2</v>
      </c>
      <c r="W88" s="11"/>
      <c r="X88" s="11"/>
      <c r="Y88" s="8">
        <f t="shared" si="12"/>
        <v>37</v>
      </c>
      <c r="Z88" s="11">
        <f>2+1+1+1+2+3+1</f>
        <v>11</v>
      </c>
      <c r="AA88" s="11">
        <f>2+1</f>
        <v>3</v>
      </c>
      <c r="AB88" s="11">
        <f>4+1+1+1+3+3+4</f>
        <v>17</v>
      </c>
      <c r="AC88" s="11">
        <f>4+4</f>
        <v>8</v>
      </c>
      <c r="AD88" s="11"/>
      <c r="AE88" s="11"/>
      <c r="AF88" s="11">
        <f>1+3</f>
        <v>4</v>
      </c>
      <c r="AG88" s="11"/>
      <c r="AH88" s="11"/>
      <c r="AI88" s="11"/>
      <c r="AJ88" s="11">
        <f>1+3</f>
        <v>4</v>
      </c>
      <c r="AK88" s="11"/>
      <c r="AL88" s="11"/>
      <c r="AM88" s="11"/>
      <c r="AN88" s="11"/>
      <c r="AO88" s="11"/>
      <c r="AP88" s="11"/>
      <c r="AQ88" s="11"/>
      <c r="AR88" s="11">
        <f>4+4</f>
        <v>8</v>
      </c>
      <c r="AS88" s="11"/>
      <c r="AT88" s="11">
        <f>1</f>
        <v>1</v>
      </c>
      <c r="AU88" s="11"/>
      <c r="AV88" s="11"/>
      <c r="AW88" s="8">
        <f t="shared" si="11"/>
        <v>17</v>
      </c>
      <c r="AX88" s="14">
        <v>2762</v>
      </c>
      <c r="AY88">
        <v>2672</v>
      </c>
      <c r="AZ88">
        <v>2990</v>
      </c>
      <c r="BA88">
        <v>2000</v>
      </c>
      <c r="BB88">
        <v>2872</v>
      </c>
      <c r="BC88">
        <v>2960</v>
      </c>
      <c r="BD88">
        <v>2960</v>
      </c>
      <c r="BE88">
        <v>2880</v>
      </c>
    </row>
    <row r="89" spans="1:61" x14ac:dyDescent="0.25">
      <c r="A89" s="10" t="s">
        <v>166</v>
      </c>
      <c r="B89" s="11">
        <f>2+1+1+1+2+6</f>
        <v>13</v>
      </c>
      <c r="C89" s="11">
        <f>6</f>
        <v>6</v>
      </c>
      <c r="D89" s="11">
        <f>2+1+1+1+2+6</f>
        <v>13</v>
      </c>
      <c r="E89" s="11">
        <f>6</f>
        <v>6</v>
      </c>
      <c r="F89" s="11"/>
      <c r="G89" s="11"/>
      <c r="H89" s="11"/>
      <c r="I89" s="11"/>
      <c r="J89" s="11"/>
      <c r="K89" s="11"/>
      <c r="L89" s="11">
        <f>1</f>
        <v>1</v>
      </c>
      <c r="M89" s="11"/>
      <c r="N89" s="11"/>
      <c r="O89" s="11">
        <f>1+2</f>
        <v>3</v>
      </c>
      <c r="P89" s="11"/>
      <c r="Q89" s="11"/>
      <c r="R89" s="11">
        <f>6</f>
        <v>6</v>
      </c>
      <c r="S89" s="11"/>
      <c r="T89" s="11"/>
      <c r="U89" s="11"/>
      <c r="V89" s="11"/>
      <c r="W89" s="11"/>
      <c r="X89" s="11">
        <f>2+1</f>
        <v>3</v>
      </c>
      <c r="Y89" s="8">
        <f t="shared" si="12"/>
        <v>13</v>
      </c>
      <c r="Z89" s="11">
        <f>1+1+1</f>
        <v>3</v>
      </c>
      <c r="AA89" s="11"/>
      <c r="AB89" s="11">
        <f>1+1+1</f>
        <v>3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>
        <v>1</v>
      </c>
      <c r="AN89" s="11"/>
      <c r="AO89" s="11"/>
      <c r="AP89" s="11"/>
      <c r="AQ89" s="11"/>
      <c r="AR89" s="11"/>
      <c r="AS89" s="11"/>
      <c r="AT89" s="11"/>
      <c r="AU89" s="11"/>
      <c r="AV89" s="11">
        <f>1+1</f>
        <v>2</v>
      </c>
      <c r="AW89" s="8">
        <f t="shared" si="11"/>
        <v>3</v>
      </c>
      <c r="AX89" s="14">
        <v>8700</v>
      </c>
      <c r="AY89" s="73">
        <v>11400</v>
      </c>
      <c r="AZ89" s="73">
        <v>10900</v>
      </c>
      <c r="BA89">
        <v>3800</v>
      </c>
    </row>
    <row r="90" spans="1:61" x14ac:dyDescent="0.25">
      <c r="A90" s="10" t="s">
        <v>167</v>
      </c>
      <c r="B90" s="11">
        <f>2+1+1+1+1+1+1+1+1+4</f>
        <v>14</v>
      </c>
      <c r="C90" s="11">
        <f>1</f>
        <v>1</v>
      </c>
      <c r="D90" s="11">
        <f>2+5+2+2+1+1+8+1+2+5</f>
        <v>29</v>
      </c>
      <c r="E90" s="11">
        <f>8</f>
        <v>8</v>
      </c>
      <c r="F90" s="11"/>
      <c r="G90" s="11"/>
      <c r="H90" s="11"/>
      <c r="I90" s="11"/>
      <c r="J90" s="11"/>
      <c r="K90" s="11"/>
      <c r="L90" s="11">
        <f>2</f>
        <v>2</v>
      </c>
      <c r="M90" s="11"/>
      <c r="N90" s="11">
        <f>5+2+2</f>
        <v>9</v>
      </c>
      <c r="O90" s="11"/>
      <c r="P90" s="11"/>
      <c r="Q90" s="11"/>
      <c r="R90" s="11">
        <f>1</f>
        <v>1</v>
      </c>
      <c r="S90" s="11"/>
      <c r="T90" s="11"/>
      <c r="U90" s="11"/>
      <c r="V90" s="11"/>
      <c r="W90" s="11">
        <f>8</f>
        <v>8</v>
      </c>
      <c r="X90" s="11">
        <f>1+1+5</f>
        <v>7</v>
      </c>
      <c r="Y90" s="8">
        <f t="shared" si="12"/>
        <v>27</v>
      </c>
      <c r="Z90" s="11">
        <f>2+1+1+1+1+1</f>
        <v>7</v>
      </c>
      <c r="AA90" s="11">
        <f>1</f>
        <v>1</v>
      </c>
      <c r="AB90" s="11">
        <f>2+1+1+1+1+3</f>
        <v>9</v>
      </c>
      <c r="AC90" s="11">
        <f>3</f>
        <v>3</v>
      </c>
      <c r="AD90" s="11"/>
      <c r="AE90" s="11"/>
      <c r="AF90" s="11"/>
      <c r="AG90" s="11"/>
      <c r="AH90" s="11"/>
      <c r="AI90" s="11"/>
      <c r="AJ90" s="11">
        <f>1</f>
        <v>1</v>
      </c>
      <c r="AK90" s="11"/>
      <c r="AL90" s="11">
        <f>1</f>
        <v>1</v>
      </c>
      <c r="AM90" s="11">
        <v>2</v>
      </c>
      <c r="AN90" s="11"/>
      <c r="AO90" s="11"/>
      <c r="AP90" s="11"/>
      <c r="AQ90" s="11"/>
      <c r="AR90" s="11"/>
      <c r="AS90" s="11"/>
      <c r="AT90" s="11"/>
      <c r="AU90" s="11">
        <f>3</f>
        <v>3</v>
      </c>
      <c r="AV90" s="11">
        <f>1+1</f>
        <v>2</v>
      </c>
      <c r="AW90" s="8">
        <f t="shared" si="11"/>
        <v>9</v>
      </c>
      <c r="AX90" s="14">
        <v>3208.4016666666666</v>
      </c>
      <c r="AY90">
        <v>1554.41</v>
      </c>
      <c r="AZ90">
        <v>4200</v>
      </c>
      <c r="BA90">
        <v>4000</v>
      </c>
      <c r="BB90">
        <v>3240</v>
      </c>
      <c r="BC90">
        <v>6000</v>
      </c>
      <c r="BD90">
        <v>256</v>
      </c>
    </row>
    <row r="91" spans="1:61" x14ac:dyDescent="0.25">
      <c r="A91" s="10" t="s">
        <v>168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8">
        <f t="shared" si="12"/>
        <v>0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8">
        <f t="shared" si="11"/>
        <v>0</v>
      </c>
      <c r="AX91" s="14"/>
    </row>
    <row r="92" spans="1:61" x14ac:dyDescent="0.25">
      <c r="A92" s="10" t="s">
        <v>169</v>
      </c>
      <c r="B92" s="11">
        <f>3+1+2+1+2+1+1+1</f>
        <v>12</v>
      </c>
      <c r="C92" s="11"/>
      <c r="D92" s="11">
        <f>55+3+4+3+32+7+15+2</f>
        <v>121</v>
      </c>
      <c r="E92" s="11"/>
      <c r="F92" s="11"/>
      <c r="G92" s="11"/>
      <c r="H92" s="11">
        <f>55+4+32+7+15+2</f>
        <v>115</v>
      </c>
      <c r="I92" s="11"/>
      <c r="J92" s="11"/>
      <c r="K92" s="11"/>
      <c r="L92" s="11">
        <f>3</f>
        <v>3</v>
      </c>
      <c r="M92" s="11"/>
      <c r="N92" s="11"/>
      <c r="O92" s="11"/>
      <c r="P92" s="11"/>
      <c r="Q92" s="11"/>
      <c r="R92" s="11">
        <f>3</f>
        <v>3</v>
      </c>
      <c r="S92" s="11"/>
      <c r="T92" s="11"/>
      <c r="U92" s="11"/>
      <c r="V92" s="11"/>
      <c r="W92" s="11"/>
      <c r="X92" s="11"/>
      <c r="Y92" s="8">
        <f>SUM(F92:X92)</f>
        <v>121</v>
      </c>
      <c r="Z92" s="11">
        <f>3+1+2+1+1</f>
        <v>8</v>
      </c>
      <c r="AA92" s="11"/>
      <c r="AB92" s="11">
        <f>55+3+32+14+2</f>
        <v>106</v>
      </c>
      <c r="AC92" s="11"/>
      <c r="AD92" s="11"/>
      <c r="AE92" s="11"/>
      <c r="AF92" s="11">
        <f>55+32+14+2</f>
        <v>103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>3</f>
        <v>3</v>
      </c>
      <c r="AQ92" s="11"/>
      <c r="AR92" s="11"/>
      <c r="AS92" s="11"/>
      <c r="AT92" s="11"/>
      <c r="AU92" s="11"/>
      <c r="AV92" s="11"/>
      <c r="AW92" s="8">
        <f>SUM(AD92:AV92)</f>
        <v>106</v>
      </c>
      <c r="AX92" s="14">
        <v>1592.9779999999998</v>
      </c>
      <c r="AY92">
        <v>2448.89</v>
      </c>
      <c r="AZ92">
        <v>1500</v>
      </c>
      <c r="BA92">
        <v>560</v>
      </c>
      <c r="BB92">
        <v>1064</v>
      </c>
      <c r="BC92">
        <v>2392</v>
      </c>
    </row>
    <row r="93" spans="1:61" x14ac:dyDescent="0.25">
      <c r="A93" s="10" t="s">
        <v>170</v>
      </c>
      <c r="B93" s="11">
        <f>1+1+2</f>
        <v>4</v>
      </c>
      <c r="C93" s="11">
        <f>1+1+2</f>
        <v>4</v>
      </c>
      <c r="D93" s="11">
        <f>2+1+5</f>
        <v>8</v>
      </c>
      <c r="E93" s="11">
        <f>2+1+5</f>
        <v>8</v>
      </c>
      <c r="F93" s="11"/>
      <c r="G93" s="11"/>
      <c r="H93" s="11"/>
      <c r="I93" s="11"/>
      <c r="J93" s="11"/>
      <c r="K93" s="11"/>
      <c r="L93" s="11"/>
      <c r="M93" s="11">
        <f>1</f>
        <v>1</v>
      </c>
      <c r="N93" s="11"/>
      <c r="O93" s="11"/>
      <c r="P93" s="11"/>
      <c r="Q93" s="11"/>
      <c r="R93" s="11"/>
      <c r="S93" s="11"/>
      <c r="T93" s="11">
        <f>5</f>
        <v>5</v>
      </c>
      <c r="U93" s="11"/>
      <c r="V93" s="11"/>
      <c r="W93" s="11">
        <f>2</f>
        <v>2</v>
      </c>
      <c r="X93" s="11"/>
      <c r="Y93" s="8">
        <f t="shared" si="12"/>
        <v>8</v>
      </c>
      <c r="Z93" s="11">
        <f>1+1+2</f>
        <v>4</v>
      </c>
      <c r="AA93" s="11">
        <f>1+1+2</f>
        <v>4</v>
      </c>
      <c r="AB93" s="11">
        <f>2+1+5</f>
        <v>8</v>
      </c>
      <c r="AC93" s="11">
        <f>2+1+5</f>
        <v>8</v>
      </c>
      <c r="AD93" s="11"/>
      <c r="AE93" s="11"/>
      <c r="AF93" s="11"/>
      <c r="AG93" s="11"/>
      <c r="AH93" s="11"/>
      <c r="AI93" s="11"/>
      <c r="AJ93" s="11"/>
      <c r="AK93" s="11">
        <f>1</f>
        <v>1</v>
      </c>
      <c r="AL93" s="11"/>
      <c r="AM93" s="11"/>
      <c r="AN93" s="11"/>
      <c r="AO93" s="11"/>
      <c r="AP93" s="11"/>
      <c r="AQ93" s="11">
        <f>5</f>
        <v>5</v>
      </c>
      <c r="AR93" s="11"/>
      <c r="AS93" s="11"/>
      <c r="AT93" s="11"/>
      <c r="AU93" s="11">
        <f>2</f>
        <v>2</v>
      </c>
      <c r="AV93" s="11"/>
      <c r="AW93" s="8">
        <f t="shared" si="11"/>
        <v>8</v>
      </c>
      <c r="AX93" s="14">
        <v>2198.6666666666665</v>
      </c>
      <c r="AY93">
        <v>3024</v>
      </c>
      <c r="AZ93">
        <v>712</v>
      </c>
      <c r="BA93">
        <v>2860</v>
      </c>
    </row>
    <row r="94" spans="1:61" s="109" customFormat="1" x14ac:dyDescent="0.25">
      <c r="A94" s="106" t="s">
        <v>43</v>
      </c>
      <c r="B94" s="107">
        <f t="shared" ref="B94:X94" si="16">SUM(B95+B96+B97+B98+B99+B100+B101+B102+B103+B104+B105+B107+B106+B108+B109+B110+B111+B112+B113+B114+B115+B116+B117+B118+B119+B120+B121+B122+B123+B124+B125+B126+B127+B128+B129+B130+B131+B132+B133+B134+B135+B136+B137+B138+B139+B140+B141+B142+B144+B143+B145+B146+B147+B148+B149+B150+B151+B152+B153+B154+B155+B156+B157+B158+B159+B160+B161+B162+B163+B164+B165+B166+B167+B168+B169+B170+B171+B172+B173+B174+B175+B176+B177)</f>
        <v>616</v>
      </c>
      <c r="C94" s="107">
        <f t="shared" si="16"/>
        <v>24</v>
      </c>
      <c r="D94" s="107">
        <f t="shared" si="16"/>
        <v>3015</v>
      </c>
      <c r="E94" s="107">
        <f t="shared" si="16"/>
        <v>83</v>
      </c>
      <c r="F94" s="107">
        <f t="shared" si="16"/>
        <v>0</v>
      </c>
      <c r="G94" s="107">
        <f t="shared" si="16"/>
        <v>0</v>
      </c>
      <c r="H94" s="107">
        <f t="shared" si="16"/>
        <v>2150</v>
      </c>
      <c r="I94" s="107">
        <f t="shared" si="16"/>
        <v>0</v>
      </c>
      <c r="J94" s="107">
        <f t="shared" si="16"/>
        <v>31</v>
      </c>
      <c r="K94" s="107">
        <f t="shared" si="16"/>
        <v>127</v>
      </c>
      <c r="L94" s="107">
        <f t="shared" si="16"/>
        <v>122</v>
      </c>
      <c r="M94" s="107">
        <f t="shared" si="16"/>
        <v>3</v>
      </c>
      <c r="N94" s="107">
        <f t="shared" si="16"/>
        <v>124</v>
      </c>
      <c r="O94" s="107">
        <f t="shared" si="16"/>
        <v>0</v>
      </c>
      <c r="P94" s="107">
        <f t="shared" si="16"/>
        <v>2</v>
      </c>
      <c r="Q94" s="107">
        <f t="shared" si="16"/>
        <v>7</v>
      </c>
      <c r="R94" s="107">
        <f t="shared" si="16"/>
        <v>38</v>
      </c>
      <c r="S94" s="107">
        <f t="shared" si="16"/>
        <v>15</v>
      </c>
      <c r="T94" s="107">
        <f t="shared" si="16"/>
        <v>7</v>
      </c>
      <c r="U94" s="107">
        <f t="shared" si="16"/>
        <v>24</v>
      </c>
      <c r="V94" s="107">
        <f t="shared" si="16"/>
        <v>50</v>
      </c>
      <c r="W94" s="107">
        <f t="shared" si="16"/>
        <v>0</v>
      </c>
      <c r="X94" s="107">
        <f t="shared" si="16"/>
        <v>315</v>
      </c>
      <c r="Y94" s="107">
        <f t="shared" si="12"/>
        <v>3015</v>
      </c>
      <c r="Z94" s="107">
        <f>SUM(Z95:Z177)</f>
        <v>381</v>
      </c>
      <c r="AA94" s="107">
        <f t="shared" ref="AA94:AW94" si="17">SUM(AA95:AA177)</f>
        <v>23</v>
      </c>
      <c r="AB94" s="107">
        <f t="shared" si="17"/>
        <v>2040</v>
      </c>
      <c r="AC94" s="107">
        <f t="shared" si="17"/>
        <v>58</v>
      </c>
      <c r="AD94" s="107">
        <f t="shared" si="17"/>
        <v>0</v>
      </c>
      <c r="AE94" s="107">
        <f t="shared" si="17"/>
        <v>0</v>
      </c>
      <c r="AF94" s="107">
        <f t="shared" si="17"/>
        <v>1607</v>
      </c>
      <c r="AG94" s="107">
        <f t="shared" si="17"/>
        <v>0</v>
      </c>
      <c r="AH94" s="107">
        <f t="shared" si="17"/>
        <v>31</v>
      </c>
      <c r="AI94" s="107">
        <f t="shared" si="17"/>
        <v>87</v>
      </c>
      <c r="AJ94" s="107">
        <f t="shared" si="17"/>
        <v>56</v>
      </c>
      <c r="AK94" s="107">
        <f t="shared" si="17"/>
        <v>3</v>
      </c>
      <c r="AL94" s="107">
        <f t="shared" si="17"/>
        <v>55</v>
      </c>
      <c r="AM94" s="107">
        <f t="shared" si="17"/>
        <v>0</v>
      </c>
      <c r="AN94" s="107">
        <f t="shared" si="17"/>
        <v>2</v>
      </c>
      <c r="AO94" s="107">
        <f t="shared" si="17"/>
        <v>7</v>
      </c>
      <c r="AP94" s="107">
        <f t="shared" si="17"/>
        <v>1</v>
      </c>
      <c r="AQ94" s="107">
        <f t="shared" si="17"/>
        <v>10</v>
      </c>
      <c r="AR94" s="107">
        <f t="shared" si="17"/>
        <v>4</v>
      </c>
      <c r="AS94" s="107">
        <f t="shared" si="17"/>
        <v>15</v>
      </c>
      <c r="AT94" s="107">
        <f t="shared" si="17"/>
        <v>22</v>
      </c>
      <c r="AU94" s="107">
        <f t="shared" si="17"/>
        <v>0</v>
      </c>
      <c r="AV94" s="107">
        <f t="shared" si="17"/>
        <v>140</v>
      </c>
      <c r="AW94" s="107">
        <f t="shared" si="17"/>
        <v>2040</v>
      </c>
      <c r="AX94" s="108"/>
    </row>
    <row r="95" spans="1:61" x14ac:dyDescent="0.25">
      <c r="A95" s="10" t="s">
        <v>114</v>
      </c>
      <c r="B95" s="11">
        <f>1+1+1+1</f>
        <v>4</v>
      </c>
      <c r="C95" s="11"/>
      <c r="D95" s="11">
        <f>5+5+2+5</f>
        <v>17</v>
      </c>
      <c r="E95" s="11"/>
      <c r="F95" s="11"/>
      <c r="G95" s="11"/>
      <c r="H95" s="11"/>
      <c r="I95" s="11"/>
      <c r="J95" s="11"/>
      <c r="K95" s="11"/>
      <c r="L95" s="11">
        <f>5+2</f>
        <v>7</v>
      </c>
      <c r="M95" s="11"/>
      <c r="N95" s="11">
        <f>5+5</f>
        <v>10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8">
        <f t="shared" si="12"/>
        <v>17</v>
      </c>
      <c r="Z95" s="11">
        <f>1</f>
        <v>1</v>
      </c>
      <c r="AA95" s="11"/>
      <c r="AB95" s="11">
        <f>5</f>
        <v>5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>
        <f>5</f>
        <v>5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8">
        <f t="shared" si="11"/>
        <v>5</v>
      </c>
      <c r="AX95" s="14">
        <v>2944</v>
      </c>
      <c r="AY95">
        <v>2944</v>
      </c>
    </row>
    <row r="96" spans="1:61" x14ac:dyDescent="0.25">
      <c r="A96" s="10" t="s">
        <v>101</v>
      </c>
      <c r="B96" s="11">
        <f>1+4+2+1+6+1+6+1+1+1+5+1+1+2+1+1</f>
        <v>35</v>
      </c>
      <c r="C96" s="11">
        <f>1+2+1</f>
        <v>4</v>
      </c>
      <c r="D96" s="11">
        <f>1+7+2+3+18+9+47+4+3+2+25+3+5+7+3+3</f>
        <v>142</v>
      </c>
      <c r="E96" s="11">
        <f>1+20+3</f>
        <v>24</v>
      </c>
      <c r="F96" s="11"/>
      <c r="G96" s="11"/>
      <c r="H96" s="11">
        <f>2</f>
        <v>2</v>
      </c>
      <c r="I96" s="11"/>
      <c r="J96" s="11"/>
      <c r="K96" s="11"/>
      <c r="L96" s="11">
        <f>5</f>
        <v>5</v>
      </c>
      <c r="M96" s="11"/>
      <c r="N96" s="11">
        <f>7+2+18+47+25+7+3+3</f>
        <v>112</v>
      </c>
      <c r="O96" s="11"/>
      <c r="P96" s="11"/>
      <c r="Q96" s="11"/>
      <c r="R96" s="11">
        <f>3</f>
        <v>3</v>
      </c>
      <c r="S96" s="11">
        <f>3</f>
        <v>3</v>
      </c>
      <c r="T96" s="11"/>
      <c r="U96" s="11">
        <f>1+4</f>
        <v>5</v>
      </c>
      <c r="V96" s="11">
        <f>9+3</f>
        <v>12</v>
      </c>
      <c r="W96" s="11"/>
      <c r="X96" s="11"/>
      <c r="Y96" s="8">
        <f t="shared" si="12"/>
        <v>142</v>
      </c>
      <c r="Z96" s="11">
        <f>1+4+1+6+1+1+1+2+1+1+1</f>
        <v>20</v>
      </c>
      <c r="AA96" s="11">
        <f>1+2+1</f>
        <v>4</v>
      </c>
      <c r="AB96" s="11">
        <f>1+7+3+27+4+3+2+8+3+4+3</f>
        <v>65</v>
      </c>
      <c r="AC96" s="11">
        <f>1+8+6+3</f>
        <v>18</v>
      </c>
      <c r="AD96" s="11"/>
      <c r="AE96" s="11"/>
      <c r="AF96" s="11">
        <f>2</f>
        <v>2</v>
      </c>
      <c r="AG96" s="11"/>
      <c r="AH96" s="11"/>
      <c r="AI96" s="11"/>
      <c r="AJ96" s="11"/>
      <c r="AK96" s="11"/>
      <c r="AL96" s="11">
        <f>7+27+8+4+3</f>
        <v>49</v>
      </c>
      <c r="AM96" s="11"/>
      <c r="AN96" s="11"/>
      <c r="AO96" s="11"/>
      <c r="AP96" s="11"/>
      <c r="AQ96" s="11">
        <f>3</f>
        <v>3</v>
      </c>
      <c r="AR96" s="11"/>
      <c r="AS96" s="11">
        <f>1+4</f>
        <v>5</v>
      </c>
      <c r="AT96" s="11">
        <f>3+3</f>
        <v>6</v>
      </c>
      <c r="AU96" s="11"/>
      <c r="AV96" s="11"/>
      <c r="AW96" s="8">
        <f t="shared" si="11"/>
        <v>65</v>
      </c>
      <c r="AX96" s="14">
        <v>3343.0600000000004</v>
      </c>
      <c r="AY96" s="73">
        <v>2072</v>
      </c>
      <c r="AZ96">
        <v>9480</v>
      </c>
      <c r="BA96">
        <v>1720</v>
      </c>
      <c r="BB96">
        <v>2766.66</v>
      </c>
      <c r="BC96">
        <v>1600</v>
      </c>
      <c r="BD96">
        <v>2400</v>
      </c>
      <c r="BE96">
        <v>2000</v>
      </c>
      <c r="BF96">
        <v>3050</v>
      </c>
      <c r="BG96">
        <v>4360</v>
      </c>
      <c r="BH96">
        <v>4375</v>
      </c>
      <c r="BI96">
        <v>2950</v>
      </c>
    </row>
    <row r="97" spans="1:64" x14ac:dyDescent="0.25">
      <c r="A97" s="10" t="s">
        <v>102</v>
      </c>
      <c r="B97" s="11">
        <f>1+1</f>
        <v>2</v>
      </c>
      <c r="C97" s="11"/>
      <c r="D97" s="11">
        <f>1+2</f>
        <v>3</v>
      </c>
      <c r="E97" s="11"/>
      <c r="F97" s="11"/>
      <c r="G97" s="11"/>
      <c r="H97" s="11"/>
      <c r="I97" s="11"/>
      <c r="J97" s="11"/>
      <c r="K97" s="11"/>
      <c r="L97" s="11"/>
      <c r="M97" s="11"/>
      <c r="N97" s="11">
        <f>1</f>
        <v>1</v>
      </c>
      <c r="O97" s="11"/>
      <c r="P97" s="11"/>
      <c r="Q97" s="11"/>
      <c r="R97" s="11"/>
      <c r="S97" s="11">
        <f>2</f>
        <v>2</v>
      </c>
      <c r="T97" s="11"/>
      <c r="U97" s="11"/>
      <c r="V97" s="11"/>
      <c r="W97" s="11"/>
      <c r="X97" s="11"/>
      <c r="Y97" s="8">
        <f t="shared" si="12"/>
        <v>3</v>
      </c>
      <c r="Z97" s="11">
        <f>1</f>
        <v>1</v>
      </c>
      <c r="AA97" s="11"/>
      <c r="AB97" s="11">
        <f>1</f>
        <v>1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>
        <f>1</f>
        <v>1</v>
      </c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8">
        <f t="shared" si="11"/>
        <v>1</v>
      </c>
      <c r="AX97" s="14">
        <v>6000</v>
      </c>
      <c r="AY97">
        <v>6000</v>
      </c>
    </row>
    <row r="98" spans="1:64" x14ac:dyDescent="0.25">
      <c r="A98" s="10" t="s">
        <v>179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8">
        <f t="shared" si="12"/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8">
        <f t="shared" si="11"/>
        <v>0</v>
      </c>
      <c r="AX98" s="14"/>
    </row>
    <row r="99" spans="1:64" x14ac:dyDescent="0.25">
      <c r="A99" s="10" t="s">
        <v>180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8">
        <f t="shared" si="12"/>
        <v>0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8">
        <f t="shared" si="11"/>
        <v>0</v>
      </c>
      <c r="AX99" s="14"/>
    </row>
    <row r="100" spans="1:64" x14ac:dyDescent="0.25">
      <c r="A100" s="10" t="s">
        <v>181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8">
        <f t="shared" si="12"/>
        <v>0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8">
        <f t="shared" si="11"/>
        <v>0</v>
      </c>
      <c r="AX100" s="14"/>
    </row>
    <row r="101" spans="1:64" x14ac:dyDescent="0.25">
      <c r="A101" s="10" t="s">
        <v>182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8">
        <f t="shared" si="12"/>
        <v>0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8">
        <f t="shared" si="11"/>
        <v>0</v>
      </c>
      <c r="AX101" s="14"/>
    </row>
    <row r="102" spans="1:64" x14ac:dyDescent="0.25">
      <c r="A102" s="10" t="s">
        <v>183</v>
      </c>
      <c r="B102" s="11">
        <f>1</f>
        <v>1</v>
      </c>
      <c r="C102" s="11"/>
      <c r="D102" s="11">
        <f>3</f>
        <v>3</v>
      </c>
      <c r="E102" s="11"/>
      <c r="F102" s="11"/>
      <c r="G102" s="11"/>
      <c r="H102" s="11">
        <f>3</f>
        <v>3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8">
        <f t="shared" si="12"/>
        <v>3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8">
        <f t="shared" si="11"/>
        <v>0</v>
      </c>
      <c r="AX102" s="14"/>
    </row>
    <row r="103" spans="1:64" x14ac:dyDescent="0.25">
      <c r="A103" s="10" t="s">
        <v>184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8">
        <f t="shared" si="12"/>
        <v>0</v>
      </c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8">
        <f t="shared" si="11"/>
        <v>0</v>
      </c>
      <c r="AX103" s="14"/>
    </row>
    <row r="104" spans="1:64" x14ac:dyDescent="0.25">
      <c r="A104" s="10" t="s">
        <v>185</v>
      </c>
      <c r="B104" s="11">
        <f>1+1+1+1+1+1+1</f>
        <v>7</v>
      </c>
      <c r="C104" s="11"/>
      <c r="D104" s="11">
        <f>1+1+1+3+3+1+1</f>
        <v>11</v>
      </c>
      <c r="E104" s="11"/>
      <c r="F104" s="11"/>
      <c r="G104" s="11"/>
      <c r="H104" s="11"/>
      <c r="I104" s="11"/>
      <c r="J104" s="11">
        <f>1</f>
        <v>1</v>
      </c>
      <c r="K104" s="11">
        <f>1+3+3+1</f>
        <v>8</v>
      </c>
      <c r="L104" s="11">
        <f>1</f>
        <v>1</v>
      </c>
      <c r="M104" s="11"/>
      <c r="N104" s="11"/>
      <c r="O104" s="11"/>
      <c r="P104" s="11"/>
      <c r="Q104" s="11"/>
      <c r="R104" s="11"/>
      <c r="S104" s="11">
        <v>1</v>
      </c>
      <c r="T104" s="11"/>
      <c r="U104" s="11"/>
      <c r="V104" s="11"/>
      <c r="W104" s="11"/>
      <c r="X104" s="11"/>
      <c r="Y104" s="8">
        <f t="shared" si="12"/>
        <v>11</v>
      </c>
      <c r="Z104" s="11">
        <f>1+1+1+1+1+1</f>
        <v>6</v>
      </c>
      <c r="AA104" s="11"/>
      <c r="AB104" s="11">
        <f>1+1+3+3+1+1</f>
        <v>10</v>
      </c>
      <c r="AC104" s="11"/>
      <c r="AD104" s="11"/>
      <c r="AE104" s="11"/>
      <c r="AF104" s="11"/>
      <c r="AG104" s="11"/>
      <c r="AH104" s="11">
        <v>1</v>
      </c>
      <c r="AI104" s="11">
        <f>1+3+3+1</f>
        <v>8</v>
      </c>
      <c r="AJ104" s="11">
        <f>1</f>
        <v>1</v>
      </c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8">
        <f t="shared" si="11"/>
        <v>10</v>
      </c>
      <c r="AX104" s="14">
        <v>2010</v>
      </c>
      <c r="AY104">
        <v>1760</v>
      </c>
      <c r="AZ104">
        <v>3500</v>
      </c>
      <c r="BA104">
        <v>2500</v>
      </c>
      <c r="BB104">
        <v>1200</v>
      </c>
      <c r="BC104">
        <v>1500</v>
      </c>
      <c r="BD104">
        <v>1600</v>
      </c>
    </row>
    <row r="105" spans="1:64" x14ac:dyDescent="0.25">
      <c r="A105" s="10" t="s">
        <v>186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8">
        <f t="shared" si="12"/>
        <v>0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8">
        <f t="shared" si="11"/>
        <v>0</v>
      </c>
      <c r="AX105" s="14"/>
    </row>
    <row r="106" spans="1:64" x14ac:dyDescent="0.25">
      <c r="A106" s="10" t="s">
        <v>187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8">
        <f t="shared" si="12"/>
        <v>0</v>
      </c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8">
        <f t="shared" si="11"/>
        <v>0</v>
      </c>
      <c r="AX106" s="14"/>
    </row>
    <row r="107" spans="1:64" x14ac:dyDescent="0.25">
      <c r="A107" s="10" t="s">
        <v>188</v>
      </c>
      <c r="B107" s="11">
        <f>1+1+39+22+2+1+23+1+4+13+1+14+11+6+1+6</f>
        <v>146</v>
      </c>
      <c r="C107" s="11">
        <f>1</f>
        <v>1</v>
      </c>
      <c r="D107" s="11">
        <f>2+45+24+2+4+32+3+6+23+1+17+17+6+1+7</f>
        <v>190</v>
      </c>
      <c r="E107" s="11">
        <f>1</f>
        <v>1</v>
      </c>
      <c r="F107" s="11"/>
      <c r="G107" s="11"/>
      <c r="H107" s="11"/>
      <c r="I107" s="11"/>
      <c r="J107" s="11"/>
      <c r="K107" s="11"/>
      <c r="L107" s="11">
        <f>1</f>
        <v>1</v>
      </c>
      <c r="M107" s="11">
        <v>1</v>
      </c>
      <c r="N107" s="11"/>
      <c r="O107" s="11"/>
      <c r="P107" s="11"/>
      <c r="Q107" s="11"/>
      <c r="R107" s="11"/>
      <c r="S107" s="11"/>
      <c r="T107" s="11"/>
      <c r="U107" s="11"/>
      <c r="V107" s="11">
        <f>2+1+3+1</f>
        <v>7</v>
      </c>
      <c r="W107" s="11"/>
      <c r="X107" s="11">
        <f>45+24+4+32+6+23+17+17+6+7</f>
        <v>181</v>
      </c>
      <c r="Y107" s="8">
        <f t="shared" si="12"/>
        <v>190</v>
      </c>
      <c r="Z107" s="11">
        <f>1+39+2+4+1+4+13+1+7+2+2</f>
        <v>76</v>
      </c>
      <c r="AA107" s="11">
        <f>1</f>
        <v>1</v>
      </c>
      <c r="AB107" s="11">
        <f>1+45+2+4+1+4+13+1+7+3+2</f>
        <v>83</v>
      </c>
      <c r="AC107" s="11">
        <f>1</f>
        <v>1</v>
      </c>
      <c r="AD107" s="11"/>
      <c r="AE107" s="11"/>
      <c r="AF107" s="11"/>
      <c r="AG107" s="11"/>
      <c r="AH107" s="11"/>
      <c r="AI107" s="11"/>
      <c r="AJ107" s="11"/>
      <c r="AK107" s="11">
        <f>1</f>
        <v>1</v>
      </c>
      <c r="AL107" s="11"/>
      <c r="AM107" s="11"/>
      <c r="AN107" s="11"/>
      <c r="AO107" s="11"/>
      <c r="AP107" s="11"/>
      <c r="AQ107" s="11"/>
      <c r="AR107" s="11"/>
      <c r="AS107" s="11"/>
      <c r="AT107" s="11">
        <f>2+1+1</f>
        <v>4</v>
      </c>
      <c r="AU107" s="11"/>
      <c r="AV107" s="11">
        <f>45+4+4+13+7+3+2</f>
        <v>78</v>
      </c>
      <c r="AW107" s="8">
        <f t="shared" si="11"/>
        <v>83</v>
      </c>
      <c r="AX107" s="14">
        <v>3985.7400000000002</v>
      </c>
      <c r="AY107" s="73">
        <v>8700</v>
      </c>
      <c r="AZ107">
        <v>3247.24</v>
      </c>
      <c r="BA107" s="73">
        <v>2900</v>
      </c>
      <c r="BB107" s="73">
        <v>1250</v>
      </c>
      <c r="BC107" s="75">
        <v>2180</v>
      </c>
      <c r="BD107" s="75">
        <v>7780</v>
      </c>
      <c r="BE107" s="75">
        <v>3887.5</v>
      </c>
      <c r="BF107" s="75">
        <v>3300</v>
      </c>
      <c r="BG107" s="75">
        <v>5625</v>
      </c>
      <c r="BH107" s="75">
        <v>4730.62</v>
      </c>
      <c r="BI107" s="75">
        <v>1760</v>
      </c>
      <c r="BJ107" s="75">
        <v>2250</v>
      </c>
      <c r="BK107" s="75">
        <v>5340</v>
      </c>
      <c r="BL107" s="75">
        <v>2850</v>
      </c>
    </row>
    <row r="108" spans="1:64" x14ac:dyDescent="0.25">
      <c r="A108" s="10" t="s">
        <v>189</v>
      </c>
      <c r="B108" s="11">
        <f>1+1+2+1+2+1+1+1+2+2+1+1+1+1</f>
        <v>18</v>
      </c>
      <c r="C108" s="11"/>
      <c r="D108" s="11">
        <f>1+2+8+15+64+2+2+6+64+8+3+1+29+3</f>
        <v>208</v>
      </c>
      <c r="E108" s="11"/>
      <c r="F108" s="11"/>
      <c r="G108" s="11"/>
      <c r="H108" s="11">
        <f>1+8+15+64+2+6+64+8+1+29</f>
        <v>198</v>
      </c>
      <c r="I108" s="11"/>
      <c r="J108" s="11">
        <f>2+3</f>
        <v>5</v>
      </c>
      <c r="K108" s="11">
        <f>3</f>
        <v>3</v>
      </c>
      <c r="L108" s="11">
        <f>2</f>
        <v>2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8">
        <f t="shared" si="12"/>
        <v>208</v>
      </c>
      <c r="Z108" s="11">
        <f>1+1+2+1+1+2+2+1+1+1</f>
        <v>13</v>
      </c>
      <c r="AA108" s="11"/>
      <c r="AB108" s="11">
        <f>2+12+47+2+6+47+3+3+1+29</f>
        <v>152</v>
      </c>
      <c r="AC108" s="11"/>
      <c r="AD108" s="11"/>
      <c r="AE108" s="11"/>
      <c r="AF108" s="11">
        <f>12+47+2+6+47+3+1+29</f>
        <v>147</v>
      </c>
      <c r="AG108" s="11"/>
      <c r="AH108" s="11">
        <f>2+3</f>
        <v>5</v>
      </c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8">
        <f t="shared" si="11"/>
        <v>152</v>
      </c>
      <c r="AX108" s="14">
        <v>588.37299999999993</v>
      </c>
      <c r="AY108">
        <v>1200</v>
      </c>
      <c r="AZ108">
        <v>481.86</v>
      </c>
      <c r="BA108">
        <v>208</v>
      </c>
      <c r="BB108">
        <v>480</v>
      </c>
      <c r="BC108">
        <v>880</v>
      </c>
      <c r="BD108">
        <v>169.87</v>
      </c>
      <c r="BE108">
        <v>560</v>
      </c>
      <c r="BF108">
        <v>720</v>
      </c>
      <c r="BG108">
        <v>640</v>
      </c>
      <c r="BH108">
        <v>544</v>
      </c>
    </row>
    <row r="109" spans="1:64" x14ac:dyDescent="0.25">
      <c r="A109" s="10" t="s">
        <v>190</v>
      </c>
      <c r="B109" s="11">
        <f>9+12+17+1+1+4+12+3+5+11+2+2</f>
        <v>79</v>
      </c>
      <c r="C109" s="11"/>
      <c r="D109" s="11">
        <f>11+17+30+1+2+10+24+6+7+17+4+4</f>
        <v>133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f>2</f>
        <v>2</v>
      </c>
      <c r="W109" s="11"/>
      <c r="X109" s="11">
        <f>11+17+30+1+10+24+6+7+17+4+4</f>
        <v>131</v>
      </c>
      <c r="Y109" s="8">
        <f t="shared" si="12"/>
        <v>133</v>
      </c>
      <c r="Z109" s="11">
        <f>9+6+1+1+4+12+3+4+3+2</f>
        <v>45</v>
      </c>
      <c r="AA109" s="11"/>
      <c r="AB109" s="11">
        <f>11+9+1+1+4+17+3+5+5+4</f>
        <v>60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>
        <f>1</f>
        <v>1</v>
      </c>
      <c r="AU109" s="11"/>
      <c r="AV109" s="11">
        <f>11+9+1+4+17+3+5+5+4</f>
        <v>59</v>
      </c>
      <c r="AW109" s="8">
        <f t="shared" si="11"/>
        <v>60</v>
      </c>
      <c r="AX109" s="14">
        <v>4311.4459999999999</v>
      </c>
      <c r="AY109">
        <v>3192.22</v>
      </c>
      <c r="AZ109">
        <v>3828.57</v>
      </c>
      <c r="BA109">
        <v>3500</v>
      </c>
      <c r="BB109">
        <v>3000</v>
      </c>
      <c r="BC109">
        <v>5475</v>
      </c>
      <c r="BD109">
        <v>4883.42</v>
      </c>
      <c r="BE109">
        <v>4530</v>
      </c>
      <c r="BF109">
        <v>5063.58</v>
      </c>
      <c r="BG109">
        <v>3866.67</v>
      </c>
      <c r="BH109">
        <v>5775</v>
      </c>
    </row>
    <row r="110" spans="1:64" x14ac:dyDescent="0.25">
      <c r="A110" s="10" t="s">
        <v>191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8">
        <f t="shared" si="12"/>
        <v>0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8">
        <f t="shared" si="11"/>
        <v>0</v>
      </c>
      <c r="AX110" s="14"/>
    </row>
    <row r="111" spans="1:64" x14ac:dyDescent="0.25">
      <c r="A111" s="10" t="s">
        <v>192</v>
      </c>
      <c r="B111" s="11">
        <f>1</f>
        <v>1</v>
      </c>
      <c r="C111" s="11"/>
      <c r="D111" s="11">
        <f>8</f>
        <v>8</v>
      </c>
      <c r="E111" s="11"/>
      <c r="F111" s="11"/>
      <c r="G111" s="11"/>
      <c r="H111" s="11">
        <f>8</f>
        <v>8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8">
        <f t="shared" si="12"/>
        <v>8</v>
      </c>
      <c r="Z111" s="11">
        <f>1</f>
        <v>1</v>
      </c>
      <c r="AA111" s="11"/>
      <c r="AB111" s="11">
        <f>5</f>
        <v>5</v>
      </c>
      <c r="AC111" s="11"/>
      <c r="AD111" s="11"/>
      <c r="AE111" s="11"/>
      <c r="AF111" s="11">
        <f>5</f>
        <v>5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8">
        <f t="shared" si="11"/>
        <v>5</v>
      </c>
      <c r="AX111" s="14">
        <v>4500</v>
      </c>
      <c r="AY111">
        <v>4500</v>
      </c>
    </row>
    <row r="112" spans="1:64" x14ac:dyDescent="0.25">
      <c r="A112" s="10" t="s">
        <v>193</v>
      </c>
      <c r="B112" s="11">
        <f>1+1+2+1+2+1+2</f>
        <v>10</v>
      </c>
      <c r="C112" s="11"/>
      <c r="D112" s="11">
        <f>2+1+3+8+23+84+84+19</f>
        <v>224</v>
      </c>
      <c r="E112" s="11"/>
      <c r="F112" s="11"/>
      <c r="G112" s="11"/>
      <c r="H112" s="11">
        <f>8+23+84+84+19</f>
        <v>218</v>
      </c>
      <c r="I112" s="11"/>
      <c r="J112" s="11"/>
      <c r="K112" s="11">
        <f>1</f>
        <v>1</v>
      </c>
      <c r="L112" s="11">
        <f>3</f>
        <v>3</v>
      </c>
      <c r="M112" s="11">
        <v>2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8">
        <f t="shared" si="12"/>
        <v>224</v>
      </c>
      <c r="Z112" s="11">
        <f>1+1+1+2+1+2</f>
        <v>8</v>
      </c>
      <c r="AA112" s="11"/>
      <c r="AB112" s="11">
        <f>2+1+7+14+105+115</f>
        <v>244</v>
      </c>
      <c r="AC112" s="11"/>
      <c r="AD112" s="11"/>
      <c r="AE112" s="11"/>
      <c r="AF112" s="11">
        <f>7+14+105+115</f>
        <v>241</v>
      </c>
      <c r="AG112" s="11"/>
      <c r="AH112" s="11"/>
      <c r="AI112" s="11">
        <f>1</f>
        <v>1</v>
      </c>
      <c r="AJ112" s="11"/>
      <c r="AK112" s="11">
        <v>2</v>
      </c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8">
        <f t="shared" si="11"/>
        <v>244</v>
      </c>
      <c r="AX112" s="14">
        <v>881.62333333333333</v>
      </c>
      <c r="AY112">
        <v>750</v>
      </c>
      <c r="AZ112">
        <v>2969.87</v>
      </c>
      <c r="BA112">
        <v>536</v>
      </c>
      <c r="BB112">
        <v>688</v>
      </c>
      <c r="BC112">
        <v>176</v>
      </c>
      <c r="BD112">
        <v>169.87</v>
      </c>
    </row>
    <row r="113" spans="1:73" x14ac:dyDescent="0.25">
      <c r="A113" s="10" t="s">
        <v>194</v>
      </c>
      <c r="B113" s="11">
        <f>2+4+5+4+1+6+1+2+4+1+4+1+8+4+2+2+7+2+1+1+7+2+5+1+1+6+3+1+40+2+2+2</f>
        <v>134</v>
      </c>
      <c r="C113" s="11">
        <f>2</f>
        <v>2</v>
      </c>
      <c r="D113" s="11">
        <f>25+47+61+25+1+28+1+24+28+2+20+10+33+32+70+9+63+6+5+12+32+10+54+7+1+12+36+1+338+13+14+22</f>
        <v>1042</v>
      </c>
      <c r="E113" s="11">
        <f>10</f>
        <v>10</v>
      </c>
      <c r="F113" s="11"/>
      <c r="G113" s="11"/>
      <c r="H113" s="11">
        <f>25+47+61+25+1+1+24+28+20+10+33+32+70+63+6+32+54+7+12+36+338+13</f>
        <v>938</v>
      </c>
      <c r="I113" s="11"/>
      <c r="J113" s="11">
        <f>1</f>
        <v>1</v>
      </c>
      <c r="K113" s="11">
        <f>28+5+12+14</f>
        <v>59</v>
      </c>
      <c r="L113" s="11">
        <f>2+9+1</f>
        <v>12</v>
      </c>
      <c r="M113" s="11"/>
      <c r="N113" s="11"/>
      <c r="O113" s="11"/>
      <c r="P113" s="11"/>
      <c r="Q113" s="11"/>
      <c r="R113" s="11">
        <f>22</f>
        <v>22</v>
      </c>
      <c r="S113" s="11"/>
      <c r="T113" s="11"/>
      <c r="U113" s="11">
        <f>10</f>
        <v>10</v>
      </c>
      <c r="V113" s="11"/>
      <c r="W113" s="11"/>
      <c r="X113" s="11"/>
      <c r="Y113" s="8">
        <f t="shared" si="12"/>
        <v>1042</v>
      </c>
      <c r="Z113" s="11">
        <f>2+4+4+1+6+2+4+4+1+8+4+2+7+2+1+1+2+2+4+1+6+3+5</f>
        <v>76</v>
      </c>
      <c r="AA113" s="11">
        <f>2</f>
        <v>2</v>
      </c>
      <c r="AB113" s="11">
        <f>3+47+25+1+28+24+28+20+10+32+32+70+34+4+4+5+5+6+39+1+12+36+68</f>
        <v>534</v>
      </c>
      <c r="AC113" s="11">
        <f>6</f>
        <v>6</v>
      </c>
      <c r="AD113" s="11"/>
      <c r="AE113" s="11"/>
      <c r="AF113" s="11">
        <f>3+47+25+1+24+28+20+10+32+32+70+34+4+5+39+12+36+68</f>
        <v>490</v>
      </c>
      <c r="AG113" s="11"/>
      <c r="AH113" s="11">
        <f>1</f>
        <v>1</v>
      </c>
      <c r="AI113" s="11">
        <f>28+4+5</f>
        <v>37</v>
      </c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f>6</f>
        <v>6</v>
      </c>
      <c r="AT113" s="11"/>
      <c r="AU113" s="11"/>
      <c r="AV113" s="11"/>
      <c r="AW113" s="8">
        <f t="shared" si="11"/>
        <v>534</v>
      </c>
      <c r="AX113" s="14">
        <v>1824.6626086956521</v>
      </c>
      <c r="AY113">
        <v>2600</v>
      </c>
      <c r="AZ113">
        <v>1600</v>
      </c>
      <c r="BA113">
        <v>1600</v>
      </c>
      <c r="BB113" s="73">
        <v>2144</v>
      </c>
      <c r="BC113" s="73">
        <v>1488</v>
      </c>
      <c r="BD113">
        <v>1760</v>
      </c>
      <c r="BE113">
        <v>1600</v>
      </c>
      <c r="BF113">
        <v>1680</v>
      </c>
      <c r="BG113">
        <v>1488</v>
      </c>
      <c r="BH113">
        <v>1400</v>
      </c>
      <c r="BI113">
        <v>1616</v>
      </c>
      <c r="BJ113">
        <v>1600</v>
      </c>
      <c r="BK113">
        <v>1908.57</v>
      </c>
      <c r="BL113">
        <v>2200</v>
      </c>
      <c r="BM113">
        <v>2200</v>
      </c>
      <c r="BN113">
        <v>2760</v>
      </c>
      <c r="BO113">
        <v>1680</v>
      </c>
      <c r="BP113">
        <v>2400</v>
      </c>
      <c r="BQ113">
        <v>1760</v>
      </c>
      <c r="BR113">
        <v>1480</v>
      </c>
      <c r="BS113">
        <v>2186.67</v>
      </c>
      <c r="BT113">
        <v>960</v>
      </c>
      <c r="BU113">
        <v>1856</v>
      </c>
    </row>
    <row r="114" spans="1:73" x14ac:dyDescent="0.25">
      <c r="A114" s="10" t="s">
        <v>195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8">
        <f t="shared" si="12"/>
        <v>0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8">
        <f t="shared" si="11"/>
        <v>0</v>
      </c>
      <c r="AX114" s="14"/>
    </row>
    <row r="115" spans="1:73" x14ac:dyDescent="0.25">
      <c r="A115" s="10" t="s">
        <v>196</v>
      </c>
      <c r="B115" s="11">
        <f>3+3+1+1+1+1</f>
        <v>10</v>
      </c>
      <c r="C115" s="11">
        <v>3</v>
      </c>
      <c r="D115" s="11">
        <f>9+3+1+2+1+2</f>
        <v>18</v>
      </c>
      <c r="E115" s="11">
        <v>9</v>
      </c>
      <c r="F115" s="11"/>
      <c r="G115" s="11"/>
      <c r="H115" s="11">
        <f>3+1+2+1+2</f>
        <v>9</v>
      </c>
      <c r="I115" s="11"/>
      <c r="J115" s="11">
        <v>9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8">
        <f t="shared" si="12"/>
        <v>18</v>
      </c>
      <c r="Z115" s="11">
        <f>3+3+1+1</f>
        <v>8</v>
      </c>
      <c r="AA115" s="11">
        <v>3</v>
      </c>
      <c r="AB115" s="11">
        <f>9+3+1+2</f>
        <v>15</v>
      </c>
      <c r="AC115" s="11">
        <v>9</v>
      </c>
      <c r="AD115" s="11"/>
      <c r="AE115" s="11"/>
      <c r="AF115" s="11">
        <f>3+1+2</f>
        <v>6</v>
      </c>
      <c r="AG115" s="11"/>
      <c r="AH115" s="11">
        <v>9</v>
      </c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8">
        <f t="shared" si="11"/>
        <v>15</v>
      </c>
      <c r="AX115" s="14">
        <v>2999.3325</v>
      </c>
      <c r="AY115">
        <v>685.33</v>
      </c>
      <c r="AZ115">
        <v>4512</v>
      </c>
      <c r="BA115">
        <v>3280</v>
      </c>
      <c r="BB115">
        <v>3520</v>
      </c>
    </row>
    <row r="116" spans="1:73" x14ac:dyDescent="0.25">
      <c r="A116" s="10" t="s">
        <v>197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8">
        <f t="shared" si="12"/>
        <v>0</v>
      </c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8">
        <f t="shared" si="11"/>
        <v>0</v>
      </c>
      <c r="AX116" s="14"/>
    </row>
    <row r="117" spans="1:73" x14ac:dyDescent="0.25">
      <c r="A117" s="10" t="s">
        <v>198</v>
      </c>
      <c r="B117" s="11">
        <f>8+3+2+2+1+1+3+3</f>
        <v>23</v>
      </c>
      <c r="C117" s="11"/>
      <c r="D117" s="11">
        <f>8+7+2+6+1+2+6+8</f>
        <v>40</v>
      </c>
      <c r="E117" s="11"/>
      <c r="F117" s="11"/>
      <c r="G117" s="11"/>
      <c r="H117" s="11">
        <f>2+6</f>
        <v>8</v>
      </c>
      <c r="I117" s="11"/>
      <c r="J117" s="11"/>
      <c r="K117" s="11">
        <f>8</f>
        <v>8</v>
      </c>
      <c r="L117" s="11">
        <f>8+7+2+6+1</f>
        <v>24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8">
        <f t="shared" si="12"/>
        <v>40</v>
      </c>
      <c r="Z117" s="11">
        <f>7+2+1+1+1</f>
        <v>12</v>
      </c>
      <c r="AA117" s="11"/>
      <c r="AB117" s="11">
        <f>7+6+1+2+1</f>
        <v>17</v>
      </c>
      <c r="AC117" s="11"/>
      <c r="AD117" s="11"/>
      <c r="AE117" s="11"/>
      <c r="AF117" s="11">
        <f>2+1</f>
        <v>3</v>
      </c>
      <c r="AG117" s="11"/>
      <c r="AH117" s="11"/>
      <c r="AI117" s="11"/>
      <c r="AJ117" s="11">
        <f>7+6+1</f>
        <v>14</v>
      </c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8">
        <f t="shared" si="11"/>
        <v>17</v>
      </c>
      <c r="AX117" s="14">
        <v>1835.52</v>
      </c>
      <c r="AY117">
        <v>3627.6</v>
      </c>
      <c r="AZ117">
        <v>950</v>
      </c>
      <c r="BA117">
        <v>1200</v>
      </c>
      <c r="BB117">
        <v>1800</v>
      </c>
      <c r="BC117">
        <v>1600</v>
      </c>
    </row>
    <row r="118" spans="1:73" x14ac:dyDescent="0.25">
      <c r="A118" s="10" t="s">
        <v>199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8">
        <f t="shared" si="12"/>
        <v>0</v>
      </c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8">
        <f t="shared" si="11"/>
        <v>0</v>
      </c>
      <c r="AX118" s="14"/>
    </row>
    <row r="119" spans="1:73" x14ac:dyDescent="0.25">
      <c r="A119" s="10" t="s">
        <v>200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8">
        <f t="shared" si="12"/>
        <v>0</v>
      </c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8">
        <f t="shared" si="11"/>
        <v>0</v>
      </c>
      <c r="AX119" s="14"/>
    </row>
    <row r="120" spans="1:73" x14ac:dyDescent="0.25">
      <c r="A120" s="10" t="s">
        <v>201</v>
      </c>
      <c r="B120" s="11">
        <f>1+1+2+1</f>
        <v>5</v>
      </c>
      <c r="C120" s="11"/>
      <c r="D120" s="11">
        <f>10+5+3+6</f>
        <v>24</v>
      </c>
      <c r="E120" s="11"/>
      <c r="F120" s="11"/>
      <c r="G120" s="11"/>
      <c r="H120" s="11">
        <f>10+5+3+6</f>
        <v>24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8">
        <f t="shared" si="12"/>
        <v>24</v>
      </c>
      <c r="Z120" s="11">
        <f>1+1+2+1</f>
        <v>5</v>
      </c>
      <c r="AA120" s="11"/>
      <c r="AB120" s="11">
        <f>10+4+3+6</f>
        <v>23</v>
      </c>
      <c r="AC120" s="11"/>
      <c r="AD120" s="11"/>
      <c r="AE120" s="11"/>
      <c r="AF120" s="11">
        <f>10+4+3+6</f>
        <v>23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8">
        <f t="shared" si="11"/>
        <v>23</v>
      </c>
      <c r="AX120" s="14">
        <v>1320.45</v>
      </c>
      <c r="AY120">
        <v>781</v>
      </c>
      <c r="AZ120">
        <v>2156</v>
      </c>
      <c r="BA120">
        <v>344.8</v>
      </c>
      <c r="BB120">
        <v>2000</v>
      </c>
    </row>
    <row r="121" spans="1:73" x14ac:dyDescent="0.25">
      <c r="A121" s="10" t="s">
        <v>202</v>
      </c>
      <c r="B121" s="11">
        <f>1</f>
        <v>1</v>
      </c>
      <c r="C121" s="11"/>
      <c r="D121" s="11">
        <f>2</f>
        <v>2</v>
      </c>
      <c r="E121" s="11"/>
      <c r="F121" s="11"/>
      <c r="G121" s="11"/>
      <c r="H121" s="11"/>
      <c r="I121" s="11"/>
      <c r="J121" s="11"/>
      <c r="K121" s="11">
        <f>2</f>
        <v>2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8">
        <f t="shared" si="12"/>
        <v>2</v>
      </c>
      <c r="Z121" s="11">
        <f>1</f>
        <v>1</v>
      </c>
      <c r="AA121" s="11"/>
      <c r="AB121" s="11">
        <f>2</f>
        <v>2</v>
      </c>
      <c r="AC121" s="11"/>
      <c r="AD121" s="11"/>
      <c r="AE121" s="11"/>
      <c r="AF121" s="11"/>
      <c r="AG121" s="11"/>
      <c r="AH121" s="11"/>
      <c r="AI121" s="11">
        <f>2</f>
        <v>2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8">
        <f t="shared" si="11"/>
        <v>2</v>
      </c>
      <c r="AX121" s="14">
        <v>1500</v>
      </c>
      <c r="AY121">
        <v>1500</v>
      </c>
    </row>
    <row r="122" spans="1:73" x14ac:dyDescent="0.25">
      <c r="A122" s="10" t="s">
        <v>203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8">
        <f t="shared" si="12"/>
        <v>0</v>
      </c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8">
        <f t="shared" si="11"/>
        <v>0</v>
      </c>
      <c r="AX122" s="14"/>
    </row>
    <row r="123" spans="1:73" x14ac:dyDescent="0.25">
      <c r="A123" s="10" t="s">
        <v>204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8">
        <f t="shared" si="12"/>
        <v>0</v>
      </c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8">
        <f t="shared" si="11"/>
        <v>0</v>
      </c>
      <c r="AX123" s="14"/>
    </row>
    <row r="124" spans="1:73" x14ac:dyDescent="0.25">
      <c r="A124" s="10" t="s">
        <v>205</v>
      </c>
      <c r="B124" s="11">
        <f>4+1</f>
        <v>5</v>
      </c>
      <c r="C124" s="11"/>
      <c r="D124" s="11">
        <f>26+2</f>
        <v>28</v>
      </c>
      <c r="E124" s="11"/>
      <c r="F124" s="11"/>
      <c r="G124" s="11"/>
      <c r="H124" s="11">
        <f>26+2</f>
        <v>28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8">
        <f t="shared" si="12"/>
        <v>28</v>
      </c>
      <c r="Z124" s="11">
        <f>4+1</f>
        <v>5</v>
      </c>
      <c r="AA124" s="11"/>
      <c r="AB124" s="11">
        <f>26+2</f>
        <v>28</v>
      </c>
      <c r="AC124" s="11"/>
      <c r="AD124" s="11"/>
      <c r="AE124" s="11"/>
      <c r="AF124" s="11">
        <f>26+2</f>
        <v>28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8">
        <f t="shared" si="11"/>
        <v>28</v>
      </c>
      <c r="AX124" s="14">
        <v>1480</v>
      </c>
      <c r="AY124">
        <v>560</v>
      </c>
      <c r="AZ124">
        <v>2400</v>
      </c>
    </row>
    <row r="125" spans="1:73" x14ac:dyDescent="0.25">
      <c r="A125" s="10" t="s">
        <v>206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8">
        <f t="shared" si="12"/>
        <v>0</v>
      </c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8">
        <f t="shared" si="11"/>
        <v>0</v>
      </c>
      <c r="AX125" s="14"/>
    </row>
    <row r="126" spans="1:73" x14ac:dyDescent="0.25">
      <c r="A126" s="10" t="s">
        <v>207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8">
        <f t="shared" si="12"/>
        <v>0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8">
        <f t="shared" si="11"/>
        <v>0</v>
      </c>
      <c r="AX126" s="14"/>
    </row>
    <row r="127" spans="1:73" x14ac:dyDescent="0.25">
      <c r="A127" s="10" t="s">
        <v>208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8">
        <f t="shared" si="12"/>
        <v>0</v>
      </c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8">
        <f t="shared" ref="AW127:AW190" si="18">SUM(AD127:AV127)</f>
        <v>0</v>
      </c>
      <c r="AX127" s="14"/>
    </row>
    <row r="128" spans="1:73" x14ac:dyDescent="0.25">
      <c r="A128" s="10" t="s">
        <v>209</v>
      </c>
      <c r="B128" s="11">
        <f>1+1+4+1+3+1+3</f>
        <v>14</v>
      </c>
      <c r="C128" s="11"/>
      <c r="D128" s="11">
        <f>2+17+80+2+76+5+18</f>
        <v>200</v>
      </c>
      <c r="E128" s="11"/>
      <c r="F128" s="11"/>
      <c r="G128" s="11"/>
      <c r="H128" s="11">
        <f>17+80+76+5+18</f>
        <v>196</v>
      </c>
      <c r="I128" s="11"/>
      <c r="J128" s="11"/>
      <c r="K128" s="11"/>
      <c r="L128" s="11">
        <f>2+2</f>
        <v>4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8">
        <f t="shared" si="12"/>
        <v>200</v>
      </c>
      <c r="Z128" s="11">
        <f>1+4+3+3</f>
        <v>11</v>
      </c>
      <c r="AA128" s="11"/>
      <c r="AB128" s="11">
        <f>13+85+81+17</f>
        <v>196</v>
      </c>
      <c r="AC128" s="11"/>
      <c r="AD128" s="11"/>
      <c r="AE128" s="11"/>
      <c r="AF128" s="11">
        <f>13+85+81+17</f>
        <v>196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8">
        <f t="shared" si="18"/>
        <v>196</v>
      </c>
      <c r="AX128" s="14">
        <v>433.935</v>
      </c>
      <c r="AY128">
        <v>481.87</v>
      </c>
      <c r="AZ128">
        <v>444</v>
      </c>
      <c r="BA128">
        <v>169.87</v>
      </c>
      <c r="BB128">
        <v>640</v>
      </c>
    </row>
    <row r="129" spans="1:63" x14ac:dyDescent="0.25">
      <c r="A129" s="10" t="s">
        <v>210</v>
      </c>
      <c r="B129" s="11">
        <f>1</f>
        <v>1</v>
      </c>
      <c r="C129" s="11"/>
      <c r="D129" s="11">
        <f>5</f>
        <v>5</v>
      </c>
      <c r="E129" s="11"/>
      <c r="F129" s="11"/>
      <c r="G129" s="11"/>
      <c r="H129" s="11">
        <f>5</f>
        <v>5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8">
        <f t="shared" si="12"/>
        <v>5</v>
      </c>
      <c r="Z129" s="11">
        <f>1</f>
        <v>1</v>
      </c>
      <c r="AA129" s="11"/>
      <c r="AB129" s="11">
        <f>5</f>
        <v>5</v>
      </c>
      <c r="AC129" s="11"/>
      <c r="AD129" s="11"/>
      <c r="AE129" s="11"/>
      <c r="AF129" s="11">
        <f>5</f>
        <v>5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8">
        <f t="shared" si="18"/>
        <v>5</v>
      </c>
      <c r="AX129" s="14">
        <v>598.4</v>
      </c>
      <c r="AY129">
        <v>598.4</v>
      </c>
    </row>
    <row r="130" spans="1:63" x14ac:dyDescent="0.25">
      <c r="A130" s="10" t="s">
        <v>211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8">
        <f t="shared" si="12"/>
        <v>0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8">
        <f t="shared" si="18"/>
        <v>0</v>
      </c>
      <c r="AX130" s="14"/>
    </row>
    <row r="131" spans="1:63" x14ac:dyDescent="0.25">
      <c r="A131" s="10" t="s">
        <v>212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8">
        <f t="shared" si="12"/>
        <v>0</v>
      </c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8">
        <f t="shared" si="18"/>
        <v>0</v>
      </c>
      <c r="AX131" s="14"/>
    </row>
    <row r="132" spans="1:63" x14ac:dyDescent="0.25">
      <c r="A132" s="10" t="s">
        <v>213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8">
        <f t="shared" si="12"/>
        <v>0</v>
      </c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8">
        <f t="shared" si="18"/>
        <v>0</v>
      </c>
      <c r="AX132" s="14"/>
    </row>
    <row r="133" spans="1:63" x14ac:dyDescent="0.25">
      <c r="A133" s="10" t="s">
        <v>214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8">
        <f t="shared" si="12"/>
        <v>0</v>
      </c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8">
        <f t="shared" si="18"/>
        <v>0</v>
      </c>
      <c r="AX133" s="14"/>
    </row>
    <row r="134" spans="1:63" x14ac:dyDescent="0.25">
      <c r="A134" s="10" t="s">
        <v>215</v>
      </c>
      <c r="B134" s="11">
        <f>2+1+1</f>
        <v>4</v>
      </c>
      <c r="C134" s="11"/>
      <c r="D134" s="11">
        <f>2+3+5</f>
        <v>10</v>
      </c>
      <c r="E134" s="11"/>
      <c r="F134" s="11"/>
      <c r="G134" s="11"/>
      <c r="H134" s="11">
        <f>5</f>
        <v>5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>
        <f>2+3</f>
        <v>5</v>
      </c>
      <c r="T134" s="11"/>
      <c r="U134" s="11"/>
      <c r="V134" s="11"/>
      <c r="W134" s="11"/>
      <c r="X134" s="11"/>
      <c r="Y134" s="8">
        <f t="shared" ref="Y134:Y197" si="19">SUM(F134:X134)</f>
        <v>10</v>
      </c>
      <c r="Z134" s="11">
        <v>1</v>
      </c>
      <c r="AA134" s="11"/>
      <c r="AB134" s="11">
        <v>3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3</v>
      </c>
      <c r="AR134" s="11"/>
      <c r="AS134" s="11"/>
      <c r="AT134" s="11"/>
      <c r="AU134" s="11"/>
      <c r="AV134" s="11"/>
      <c r="AW134" s="8">
        <f t="shared" si="18"/>
        <v>3</v>
      </c>
      <c r="AX134" s="14">
        <v>4950</v>
      </c>
      <c r="AY134">
        <v>4950</v>
      </c>
    </row>
    <row r="135" spans="1:63" x14ac:dyDescent="0.25">
      <c r="A135" s="10" t="s">
        <v>216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8">
        <f t="shared" si="19"/>
        <v>0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8">
        <f t="shared" si="18"/>
        <v>0</v>
      </c>
      <c r="AX135" s="14"/>
    </row>
    <row r="136" spans="1:63" x14ac:dyDescent="0.25">
      <c r="A136" s="10" t="s">
        <v>217</v>
      </c>
      <c r="B136" s="11">
        <f>1+1+1+6+6+2</f>
        <v>17</v>
      </c>
      <c r="C136" s="11"/>
      <c r="D136" s="11">
        <f>2+2+2+16+15+8</f>
        <v>45</v>
      </c>
      <c r="E136" s="11"/>
      <c r="F136" s="11"/>
      <c r="G136" s="11"/>
      <c r="H136" s="11">
        <f>8</f>
        <v>8</v>
      </c>
      <c r="I136" s="11"/>
      <c r="J136" s="11"/>
      <c r="K136" s="11">
        <f>2+2</f>
        <v>4</v>
      </c>
      <c r="L136" s="11">
        <f>2+16+15</f>
        <v>33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8">
        <f t="shared" si="19"/>
        <v>45</v>
      </c>
      <c r="Z136" s="11">
        <f>1+1+6+6+2</f>
        <v>16</v>
      </c>
      <c r="AA136" s="11"/>
      <c r="AB136" s="11">
        <f>2+2+14+14+6</f>
        <v>38</v>
      </c>
      <c r="AC136" s="11"/>
      <c r="AD136" s="11"/>
      <c r="AE136" s="11"/>
      <c r="AF136" s="11">
        <f>6</f>
        <v>6</v>
      </c>
      <c r="AG136" s="11"/>
      <c r="AH136" s="11"/>
      <c r="AI136" s="11">
        <f>2+2</f>
        <v>4</v>
      </c>
      <c r="AJ136" s="11">
        <f>14+14</f>
        <v>28</v>
      </c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8">
        <f t="shared" si="18"/>
        <v>38</v>
      </c>
      <c r="AX136" s="14">
        <v>2841.9740000000002</v>
      </c>
      <c r="AY136">
        <v>3600</v>
      </c>
      <c r="AZ136">
        <v>3400</v>
      </c>
      <c r="BA136">
        <v>3640</v>
      </c>
      <c r="BB136">
        <v>3400</v>
      </c>
      <c r="BC136">
        <v>169.87</v>
      </c>
    </row>
    <row r="137" spans="1:63" x14ac:dyDescent="0.25">
      <c r="A137" s="10" t="s">
        <v>218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8">
        <f t="shared" si="19"/>
        <v>0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8">
        <f t="shared" si="18"/>
        <v>0</v>
      </c>
      <c r="AX137" s="14"/>
    </row>
    <row r="138" spans="1:63" x14ac:dyDescent="0.25">
      <c r="A138" s="10" t="s">
        <v>219</v>
      </c>
      <c r="B138" s="11">
        <f>1+1+1+1+1+1+1+1+1+1</f>
        <v>10</v>
      </c>
      <c r="C138" s="11"/>
      <c r="D138" s="11">
        <f>3+3+6+4+1+1+23+1+4+1</f>
        <v>47</v>
      </c>
      <c r="E138" s="11"/>
      <c r="F138" s="11"/>
      <c r="G138" s="11"/>
      <c r="H138" s="11">
        <f>3+3+6+4+23+4</f>
        <v>43</v>
      </c>
      <c r="I138" s="11"/>
      <c r="J138" s="11"/>
      <c r="K138" s="11">
        <f>1+1+1+1</f>
        <v>4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8">
        <f t="shared" si="19"/>
        <v>47</v>
      </c>
      <c r="Z138" s="11">
        <f>1+1+1+1+1+1+1+1</f>
        <v>8</v>
      </c>
      <c r="AA138" s="11"/>
      <c r="AB138" s="11">
        <f>3+5+3+1+4+1+3+1</f>
        <v>21</v>
      </c>
      <c r="AC138" s="11"/>
      <c r="AD138" s="11"/>
      <c r="AE138" s="11"/>
      <c r="AF138" s="11">
        <f>3+5+3+4+3</f>
        <v>18</v>
      </c>
      <c r="AG138" s="11"/>
      <c r="AH138" s="11"/>
      <c r="AI138" s="11">
        <f>1+1+1</f>
        <v>3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8">
        <f t="shared" si="18"/>
        <v>21</v>
      </c>
      <c r="AX138" s="14">
        <v>610.03374999999994</v>
      </c>
      <c r="AY138" s="73">
        <v>840</v>
      </c>
      <c r="AZ138">
        <v>616</v>
      </c>
      <c r="BA138">
        <v>360</v>
      </c>
      <c r="BB138">
        <v>680</v>
      </c>
      <c r="BC138">
        <v>794.4</v>
      </c>
      <c r="BD138">
        <v>1200</v>
      </c>
      <c r="BE138">
        <v>169.87</v>
      </c>
      <c r="BF138">
        <v>220</v>
      </c>
    </row>
    <row r="139" spans="1:63" x14ac:dyDescent="0.25">
      <c r="A139" s="10" t="s">
        <v>220</v>
      </c>
      <c r="B139" s="11">
        <f>4+1+1+1+1+2+2+4+1+1+1+1+4+1+1+1+2+1</f>
        <v>30</v>
      </c>
      <c r="C139" s="11">
        <v>4</v>
      </c>
      <c r="D139" s="11">
        <f>15+1+5+1+2+2+6+198+3+1+2+2+198+3+1+10+4+6</f>
        <v>460</v>
      </c>
      <c r="E139" s="11">
        <v>15</v>
      </c>
      <c r="F139" s="11"/>
      <c r="G139" s="11"/>
      <c r="H139" s="11">
        <f>1+1+6+198+2+198+3+10+4</f>
        <v>423</v>
      </c>
      <c r="I139" s="11"/>
      <c r="J139" s="11">
        <v>15</v>
      </c>
      <c r="K139" s="11">
        <f>5+2+3+1+2+1</f>
        <v>14</v>
      </c>
      <c r="L139" s="11">
        <f>2</f>
        <v>2</v>
      </c>
      <c r="M139" s="11"/>
      <c r="N139" s="11"/>
      <c r="O139" s="11"/>
      <c r="P139" s="11"/>
      <c r="Q139" s="11">
        <f>6</f>
        <v>6</v>
      </c>
      <c r="R139" s="11"/>
      <c r="S139" s="11"/>
      <c r="T139" s="11"/>
      <c r="U139" s="11"/>
      <c r="V139" s="11"/>
      <c r="W139" s="11"/>
      <c r="X139" s="11"/>
      <c r="Y139" s="8">
        <f t="shared" si="19"/>
        <v>460</v>
      </c>
      <c r="Z139" s="11">
        <f>4+1+1+1+4+1+1+1+4+1+1+1+1</f>
        <v>22</v>
      </c>
      <c r="AA139" s="11">
        <v>4</v>
      </c>
      <c r="AB139" s="11">
        <f>15+1+5+2+198+2+2+2+198+3+1+10+6</f>
        <v>445</v>
      </c>
      <c r="AC139" s="11">
        <v>15</v>
      </c>
      <c r="AD139" s="11"/>
      <c r="AE139" s="11"/>
      <c r="AF139" s="11">
        <f>1+198+2+198+3+10</f>
        <v>412</v>
      </c>
      <c r="AG139" s="11"/>
      <c r="AH139" s="11">
        <v>15</v>
      </c>
      <c r="AI139" s="11">
        <f>5+2+2+2+1</f>
        <v>12</v>
      </c>
      <c r="AJ139" s="11"/>
      <c r="AK139" s="11"/>
      <c r="AL139" s="11"/>
      <c r="AM139" s="11"/>
      <c r="AN139" s="11"/>
      <c r="AO139" s="11">
        <f>6</f>
        <v>6</v>
      </c>
      <c r="AP139" s="11"/>
      <c r="AQ139" s="11"/>
      <c r="AR139" s="11"/>
      <c r="AS139" s="11"/>
      <c r="AT139" s="11"/>
      <c r="AU139" s="11"/>
      <c r="AV139" s="11"/>
      <c r="AW139" s="8">
        <f>SUM(AD139:AV139)</f>
        <v>445</v>
      </c>
      <c r="AX139" s="14">
        <v>1496.8992307692306</v>
      </c>
      <c r="AY139">
        <v>404.2</v>
      </c>
      <c r="AZ139" s="73">
        <v>480.8</v>
      </c>
      <c r="BA139" s="73">
        <v>440</v>
      </c>
      <c r="BB139">
        <v>6400</v>
      </c>
      <c r="BC139">
        <v>8</v>
      </c>
      <c r="BD139">
        <v>2048</v>
      </c>
      <c r="BE139">
        <v>1880</v>
      </c>
      <c r="BF139">
        <v>1083.5999999999999</v>
      </c>
      <c r="BG139">
        <v>240.8</v>
      </c>
      <c r="BH139">
        <v>240.8</v>
      </c>
      <c r="BI139">
        <v>1033.49</v>
      </c>
      <c r="BJ139">
        <v>640</v>
      </c>
      <c r="BK139">
        <v>4560</v>
      </c>
    </row>
    <row r="140" spans="1:63" x14ac:dyDescent="0.25">
      <c r="A140" s="10" t="s">
        <v>221</v>
      </c>
      <c r="B140" s="11">
        <v>1</v>
      </c>
      <c r="C140" s="11"/>
      <c r="D140" s="11">
        <v>7</v>
      </c>
      <c r="E140" s="11"/>
      <c r="F140" s="11"/>
      <c r="G140" s="11"/>
      <c r="H140" s="11">
        <v>7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8">
        <f t="shared" si="19"/>
        <v>7</v>
      </c>
      <c r="Z140" s="11">
        <v>1</v>
      </c>
      <c r="AA140" s="11"/>
      <c r="AB140" s="11">
        <v>7</v>
      </c>
      <c r="AC140" s="11"/>
      <c r="AD140" s="11"/>
      <c r="AE140" s="11"/>
      <c r="AF140" s="11">
        <v>7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8">
        <f t="shared" si="18"/>
        <v>7</v>
      </c>
      <c r="AX140" s="14">
        <v>569.87</v>
      </c>
      <c r="AY140">
        <v>569.87</v>
      </c>
    </row>
    <row r="141" spans="1:63" x14ac:dyDescent="0.25">
      <c r="A141" s="10" t="s">
        <v>222</v>
      </c>
      <c r="B141" s="11">
        <f>1</f>
        <v>1</v>
      </c>
      <c r="C141" s="11"/>
      <c r="D141" s="11">
        <f>2</f>
        <v>2</v>
      </c>
      <c r="E141" s="11"/>
      <c r="F141" s="11"/>
      <c r="G141" s="11"/>
      <c r="H141" s="11"/>
      <c r="I141" s="11"/>
      <c r="J141" s="11"/>
      <c r="K141" s="11"/>
      <c r="L141" s="11">
        <f>2</f>
        <v>2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8">
        <f t="shared" si="19"/>
        <v>2</v>
      </c>
      <c r="Z141" s="11">
        <f>1</f>
        <v>1</v>
      </c>
      <c r="AA141" s="11"/>
      <c r="AB141" s="11">
        <f>2</f>
        <v>2</v>
      </c>
      <c r="AC141" s="11"/>
      <c r="AD141" s="11"/>
      <c r="AE141" s="11"/>
      <c r="AF141" s="11"/>
      <c r="AG141" s="11"/>
      <c r="AH141" s="11"/>
      <c r="AI141" s="11"/>
      <c r="AJ141" s="11">
        <f>2</f>
        <v>2</v>
      </c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8">
        <f t="shared" si="18"/>
        <v>2</v>
      </c>
      <c r="AX141" s="14">
        <v>6000</v>
      </c>
      <c r="AY141">
        <v>6000</v>
      </c>
    </row>
    <row r="142" spans="1:63" x14ac:dyDescent="0.25">
      <c r="A142" s="10" t="s">
        <v>223</v>
      </c>
      <c r="B142" s="11">
        <f>1</f>
        <v>1</v>
      </c>
      <c r="C142" s="11"/>
      <c r="D142" s="11">
        <f>4</f>
        <v>4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>
        <f>4</f>
        <v>4</v>
      </c>
      <c r="T142" s="11"/>
      <c r="U142" s="11"/>
      <c r="V142" s="11"/>
      <c r="W142" s="11"/>
      <c r="X142" s="11"/>
      <c r="Y142" s="8">
        <f t="shared" si="19"/>
        <v>4</v>
      </c>
      <c r="Z142" s="11">
        <f>1</f>
        <v>1</v>
      </c>
      <c r="AA142" s="11"/>
      <c r="AB142" s="11">
        <f>4</f>
        <v>4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f>4</f>
        <v>4</v>
      </c>
      <c r="AR142" s="11"/>
      <c r="AS142" s="11"/>
      <c r="AT142" s="11"/>
      <c r="AU142" s="11"/>
      <c r="AV142" s="11"/>
      <c r="AW142" s="8">
        <f t="shared" si="18"/>
        <v>4</v>
      </c>
      <c r="AX142" s="14">
        <v>3950</v>
      </c>
      <c r="AY142">
        <v>3950</v>
      </c>
    </row>
    <row r="143" spans="1:63" x14ac:dyDescent="0.25">
      <c r="A143" s="10" t="s">
        <v>224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8">
        <f t="shared" si="19"/>
        <v>0</v>
      </c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8">
        <f t="shared" si="18"/>
        <v>0</v>
      </c>
      <c r="AX143" s="14"/>
    </row>
    <row r="144" spans="1:63" x14ac:dyDescent="0.25">
      <c r="A144" s="10" t="s">
        <v>225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8">
        <f t="shared" si="19"/>
        <v>0</v>
      </c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8">
        <f t="shared" si="18"/>
        <v>0</v>
      </c>
      <c r="AX144" s="14"/>
    </row>
    <row r="145" spans="1:55" x14ac:dyDescent="0.25">
      <c r="A145" s="10" t="s">
        <v>226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8">
        <f t="shared" si="19"/>
        <v>0</v>
      </c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8">
        <f t="shared" si="18"/>
        <v>0</v>
      </c>
      <c r="AX145" s="14"/>
    </row>
    <row r="146" spans="1:55" x14ac:dyDescent="0.25">
      <c r="A146" s="10" t="s">
        <v>227</v>
      </c>
      <c r="B146" s="11">
        <f>1+3</f>
        <v>4</v>
      </c>
      <c r="C146" s="11">
        <f>1+3</f>
        <v>4</v>
      </c>
      <c r="D146" s="11">
        <f>4+3</f>
        <v>7</v>
      </c>
      <c r="E146" s="11">
        <f>4+3</f>
        <v>7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>
        <f>4+3</f>
        <v>7</v>
      </c>
      <c r="U146" s="11"/>
      <c r="V146" s="11"/>
      <c r="W146" s="11"/>
      <c r="X146" s="11"/>
      <c r="Y146" s="8">
        <f t="shared" si="19"/>
        <v>7</v>
      </c>
      <c r="Z146" s="11">
        <f>1+3</f>
        <v>4</v>
      </c>
      <c r="AA146" s="11">
        <f>1+3</f>
        <v>4</v>
      </c>
      <c r="AB146" s="11">
        <f>1+3</f>
        <v>4</v>
      </c>
      <c r="AC146" s="11">
        <v>3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>
        <f>1+3</f>
        <v>4</v>
      </c>
      <c r="AS146" s="11"/>
      <c r="AT146" s="11"/>
      <c r="AU146" s="11"/>
      <c r="AV146" s="11"/>
      <c r="AW146" s="8">
        <f t="shared" si="18"/>
        <v>4</v>
      </c>
      <c r="AX146" s="14">
        <v>2468</v>
      </c>
      <c r="AY146">
        <v>4000</v>
      </c>
      <c r="AZ146">
        <v>936</v>
      </c>
    </row>
    <row r="147" spans="1:55" x14ac:dyDescent="0.25">
      <c r="A147" s="10" t="s">
        <v>228</v>
      </c>
      <c r="B147" s="11">
        <f>1+1+1+1+1+3</f>
        <v>8</v>
      </c>
      <c r="C147" s="11"/>
      <c r="D147" s="11">
        <f>3+1+1+1+1+5</f>
        <v>12</v>
      </c>
      <c r="E147" s="11"/>
      <c r="F147" s="11"/>
      <c r="G147" s="11"/>
      <c r="H147" s="11">
        <v>3</v>
      </c>
      <c r="I147" s="11"/>
      <c r="J147" s="11"/>
      <c r="K147" s="11">
        <f>1+1+1</f>
        <v>3</v>
      </c>
      <c r="L147" s="11">
        <f>5</f>
        <v>5</v>
      </c>
      <c r="M147" s="11"/>
      <c r="N147" s="11">
        <f>1</f>
        <v>1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8">
        <f t="shared" si="19"/>
        <v>12</v>
      </c>
      <c r="Z147" s="11">
        <f>1+1+1+1+2</f>
        <v>6</v>
      </c>
      <c r="AA147" s="11"/>
      <c r="AB147" s="11">
        <f>3+1+1+1+4</f>
        <v>10</v>
      </c>
      <c r="AC147" s="11"/>
      <c r="AD147" s="11"/>
      <c r="AE147" s="11"/>
      <c r="AF147" s="11">
        <v>3</v>
      </c>
      <c r="AG147" s="11"/>
      <c r="AH147" s="11"/>
      <c r="AI147" s="11">
        <f>1+1+1</f>
        <v>3</v>
      </c>
      <c r="AJ147" s="11">
        <f>4</f>
        <v>4</v>
      </c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8">
        <f t="shared" si="18"/>
        <v>10</v>
      </c>
      <c r="AX147" s="14">
        <v>3941</v>
      </c>
      <c r="AY147" s="73">
        <v>720</v>
      </c>
      <c r="AZ147" s="73">
        <v>6776</v>
      </c>
      <c r="BA147">
        <v>4408</v>
      </c>
      <c r="BB147">
        <v>4900</v>
      </c>
      <c r="BC147">
        <v>2901</v>
      </c>
    </row>
    <row r="148" spans="1:55" x14ac:dyDescent="0.25">
      <c r="A148" s="10" t="s">
        <v>229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8">
        <f t="shared" si="19"/>
        <v>0</v>
      </c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8">
        <f t="shared" si="18"/>
        <v>0</v>
      </c>
      <c r="AX148" s="14"/>
    </row>
    <row r="149" spans="1:55" x14ac:dyDescent="0.25">
      <c r="A149" s="10" t="s">
        <v>230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8">
        <f t="shared" si="19"/>
        <v>0</v>
      </c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8">
        <f t="shared" si="18"/>
        <v>0</v>
      </c>
      <c r="AX149" s="14"/>
    </row>
    <row r="150" spans="1:55" x14ac:dyDescent="0.25">
      <c r="A150" s="10" t="s">
        <v>231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8">
        <f t="shared" si="19"/>
        <v>0</v>
      </c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8">
        <f t="shared" si="18"/>
        <v>0</v>
      </c>
      <c r="AX150" s="14"/>
    </row>
    <row r="151" spans="1:55" x14ac:dyDescent="0.25">
      <c r="A151" s="10" t="s">
        <v>232</v>
      </c>
      <c r="B151" s="11">
        <f>1+1+2+1</f>
        <v>5</v>
      </c>
      <c r="C151" s="11">
        <f>2</f>
        <v>2</v>
      </c>
      <c r="D151" s="11">
        <f>1+6+12+3</f>
        <v>22</v>
      </c>
      <c r="E151" s="11">
        <f>12</f>
        <v>12</v>
      </c>
      <c r="F151" s="11"/>
      <c r="G151" s="11"/>
      <c r="H151" s="11">
        <f>6</f>
        <v>6</v>
      </c>
      <c r="I151" s="11"/>
      <c r="J151" s="11"/>
      <c r="K151" s="11"/>
      <c r="L151" s="11">
        <v>1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>
        <f>12</f>
        <v>12</v>
      </c>
      <c r="W151" s="11"/>
      <c r="X151" s="11">
        <f>3</f>
        <v>3</v>
      </c>
      <c r="Y151" s="8">
        <f t="shared" si="19"/>
        <v>22</v>
      </c>
      <c r="Z151" s="11">
        <f>1+1</f>
        <v>2</v>
      </c>
      <c r="AA151" s="11">
        <f>1</f>
        <v>1</v>
      </c>
      <c r="AB151" s="11">
        <f>1+3</f>
        <v>4</v>
      </c>
      <c r="AC151" s="11">
        <f>1</f>
        <v>1</v>
      </c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>
        <f>1</f>
        <v>1</v>
      </c>
      <c r="AU151" s="11"/>
      <c r="AV151" s="11">
        <f>3</f>
        <v>3</v>
      </c>
      <c r="AW151" s="8">
        <f t="shared" si="18"/>
        <v>4</v>
      </c>
      <c r="AX151" s="14">
        <v>4000</v>
      </c>
      <c r="AY151">
        <v>4000</v>
      </c>
      <c r="AZ151">
        <v>4000</v>
      </c>
    </row>
    <row r="152" spans="1:55" x14ac:dyDescent="0.25">
      <c r="A152" s="10" t="s">
        <v>233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8">
        <f t="shared" si="19"/>
        <v>0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8">
        <f t="shared" si="18"/>
        <v>0</v>
      </c>
      <c r="AX152" s="14"/>
    </row>
    <row r="153" spans="1:55" x14ac:dyDescent="0.25">
      <c r="A153" s="10" t="s">
        <v>234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8">
        <f t="shared" si="19"/>
        <v>0</v>
      </c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8">
        <f t="shared" si="18"/>
        <v>0</v>
      </c>
      <c r="AX153" s="14"/>
    </row>
    <row r="154" spans="1:55" x14ac:dyDescent="0.25">
      <c r="A154" s="10" t="s">
        <v>235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8">
        <f t="shared" si="19"/>
        <v>0</v>
      </c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8">
        <f t="shared" si="18"/>
        <v>0</v>
      </c>
      <c r="AX154" s="14"/>
    </row>
    <row r="155" spans="1:55" x14ac:dyDescent="0.25">
      <c r="A155" s="10" t="s">
        <v>236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8">
        <f t="shared" si="19"/>
        <v>0</v>
      </c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8">
        <f t="shared" si="18"/>
        <v>0</v>
      </c>
      <c r="AX155" s="14"/>
    </row>
    <row r="156" spans="1:55" x14ac:dyDescent="0.25">
      <c r="A156" s="10" t="s">
        <v>237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8">
        <f t="shared" si="19"/>
        <v>0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8">
        <f t="shared" si="18"/>
        <v>0</v>
      </c>
      <c r="AX156" s="14"/>
    </row>
    <row r="157" spans="1:55" x14ac:dyDescent="0.25">
      <c r="A157" s="10" t="s">
        <v>238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8">
        <f t="shared" si="19"/>
        <v>0</v>
      </c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8">
        <f t="shared" si="18"/>
        <v>0</v>
      </c>
      <c r="AX157" s="14"/>
    </row>
    <row r="158" spans="1:55" x14ac:dyDescent="0.25">
      <c r="A158" s="10" t="s">
        <v>239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8">
        <f t="shared" si="19"/>
        <v>0</v>
      </c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8">
        <f t="shared" si="18"/>
        <v>0</v>
      </c>
      <c r="AX158" s="14"/>
    </row>
    <row r="159" spans="1:55" x14ac:dyDescent="0.25">
      <c r="A159" s="10" t="s">
        <v>240</v>
      </c>
      <c r="B159" s="11">
        <f>1</f>
        <v>1</v>
      </c>
      <c r="C159" s="11"/>
      <c r="D159" s="11">
        <f>2</f>
        <v>2</v>
      </c>
      <c r="E159" s="11"/>
      <c r="F159" s="11"/>
      <c r="G159" s="11"/>
      <c r="H159" s="11"/>
      <c r="I159" s="11"/>
      <c r="J159" s="11"/>
      <c r="K159" s="11">
        <f>2</f>
        <v>2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8">
        <f t="shared" si="19"/>
        <v>2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8">
        <f t="shared" si="18"/>
        <v>0</v>
      </c>
      <c r="AX159" s="14"/>
    </row>
    <row r="160" spans="1:55" x14ac:dyDescent="0.25">
      <c r="A160" s="10" t="s">
        <v>241</v>
      </c>
      <c r="B160" s="11">
        <f>1+1+1+3+1+1</f>
        <v>8</v>
      </c>
      <c r="C160" s="11"/>
      <c r="D160" s="11">
        <f>11+2+2+3+11+1</f>
        <v>30</v>
      </c>
      <c r="E160" s="11"/>
      <c r="F160" s="11"/>
      <c r="G160" s="11"/>
      <c r="H160" s="11">
        <f>2</f>
        <v>2</v>
      </c>
      <c r="I160" s="11"/>
      <c r="J160" s="11"/>
      <c r="K160" s="11">
        <f>3</f>
        <v>3</v>
      </c>
      <c r="L160" s="11">
        <f>1</f>
        <v>1</v>
      </c>
      <c r="M160" s="11"/>
      <c r="N160" s="11"/>
      <c r="O160" s="11"/>
      <c r="P160" s="11"/>
      <c r="Q160" s="11"/>
      <c r="R160" s="11">
        <f>2+11</f>
        <v>13</v>
      </c>
      <c r="S160" s="11"/>
      <c r="T160" s="11"/>
      <c r="U160" s="11"/>
      <c r="V160" s="11">
        <f>11</f>
        <v>11</v>
      </c>
      <c r="W160" s="11"/>
      <c r="X160" s="11"/>
      <c r="Y160" s="8">
        <f t="shared" si="19"/>
        <v>30</v>
      </c>
      <c r="Z160" s="11">
        <f>1+1+1+2+1</f>
        <v>6</v>
      </c>
      <c r="AA160" s="11"/>
      <c r="AB160" s="11">
        <f>4+2+1+2+1</f>
        <v>10</v>
      </c>
      <c r="AC160" s="11"/>
      <c r="AD160" s="11"/>
      <c r="AE160" s="11"/>
      <c r="AF160" s="11">
        <f>2</f>
        <v>2</v>
      </c>
      <c r="AG160" s="11"/>
      <c r="AH160" s="11"/>
      <c r="AI160" s="11">
        <f>2</f>
        <v>2</v>
      </c>
      <c r="AJ160" s="11">
        <f>1</f>
        <v>1</v>
      </c>
      <c r="AK160" s="11"/>
      <c r="AL160" s="11"/>
      <c r="AM160" s="11"/>
      <c r="AN160" s="11"/>
      <c r="AO160" s="11"/>
      <c r="AP160" s="11">
        <f>1</f>
        <v>1</v>
      </c>
      <c r="AQ160" s="11"/>
      <c r="AR160" s="11"/>
      <c r="AS160" s="11"/>
      <c r="AT160" s="11">
        <f>4</f>
        <v>4</v>
      </c>
      <c r="AU160" s="11"/>
      <c r="AV160" s="11"/>
      <c r="AW160" s="8">
        <f t="shared" si="18"/>
        <v>10</v>
      </c>
      <c r="AX160" s="14">
        <v>5150</v>
      </c>
      <c r="AY160">
        <v>6400</v>
      </c>
      <c r="AZ160">
        <v>3000</v>
      </c>
      <c r="BA160">
        <v>6000</v>
      </c>
      <c r="BB160">
        <v>8350</v>
      </c>
      <c r="BC160">
        <v>2000</v>
      </c>
    </row>
    <row r="161" spans="1:69" x14ac:dyDescent="0.25">
      <c r="A161" s="10" t="s">
        <v>242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8">
        <f t="shared" si="19"/>
        <v>0</v>
      </c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8">
        <f t="shared" si="18"/>
        <v>0</v>
      </c>
      <c r="AX161" s="14"/>
    </row>
    <row r="162" spans="1:69" x14ac:dyDescent="0.25">
      <c r="A162" s="10" t="s">
        <v>243</v>
      </c>
      <c r="B162" s="11">
        <f>1+1+2</f>
        <v>4</v>
      </c>
      <c r="C162" s="11"/>
      <c r="D162" s="11">
        <f>3+3+5</f>
        <v>11</v>
      </c>
      <c r="E162" s="11"/>
      <c r="F162" s="11"/>
      <c r="G162" s="11"/>
      <c r="H162" s="11">
        <f>5</f>
        <v>5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>
        <f>3+3</f>
        <v>6</v>
      </c>
      <c r="V162" s="11"/>
      <c r="W162" s="11"/>
      <c r="X162" s="11"/>
      <c r="Y162" s="8">
        <f t="shared" si="19"/>
        <v>11</v>
      </c>
      <c r="Z162" s="11">
        <f>1+1+1</f>
        <v>3</v>
      </c>
      <c r="AA162" s="11"/>
      <c r="AB162" s="11">
        <f>2+2+2</f>
        <v>6</v>
      </c>
      <c r="AC162" s="11"/>
      <c r="AD162" s="11"/>
      <c r="AE162" s="11"/>
      <c r="AF162" s="11">
        <f>2</f>
        <v>2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>
        <f>2+2</f>
        <v>4</v>
      </c>
      <c r="AT162" s="11"/>
      <c r="AU162" s="11"/>
      <c r="AV162" s="11"/>
      <c r="AW162" s="8">
        <f t="shared" si="18"/>
        <v>6</v>
      </c>
      <c r="AX162" s="14">
        <v>2626.6666666666665</v>
      </c>
      <c r="AY162">
        <v>2900</v>
      </c>
      <c r="AZ162">
        <v>2900</v>
      </c>
      <c r="BA162">
        <v>2080</v>
      </c>
    </row>
    <row r="163" spans="1:69" x14ac:dyDescent="0.25">
      <c r="A163" s="10" t="s">
        <v>244</v>
      </c>
      <c r="B163" s="11">
        <f>2</f>
        <v>2</v>
      </c>
      <c r="C163" s="11"/>
      <c r="D163" s="11">
        <f>6</f>
        <v>6</v>
      </c>
      <c r="E163" s="11"/>
      <c r="F163" s="11"/>
      <c r="G163" s="11"/>
      <c r="H163" s="11">
        <f>6</f>
        <v>6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8">
        <f t="shared" si="19"/>
        <v>6</v>
      </c>
      <c r="Z163" s="11">
        <f>2</f>
        <v>2</v>
      </c>
      <c r="AA163" s="11"/>
      <c r="AB163" s="11">
        <f>6</f>
        <v>6</v>
      </c>
      <c r="AC163" s="11"/>
      <c r="AD163" s="11"/>
      <c r="AE163" s="11"/>
      <c r="AF163" s="11">
        <f>6</f>
        <v>6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8">
        <f t="shared" si="18"/>
        <v>6</v>
      </c>
      <c r="AX163" s="14">
        <v>1239.2</v>
      </c>
      <c r="AY163">
        <v>1239.2</v>
      </c>
    </row>
    <row r="164" spans="1:69" x14ac:dyDescent="0.25">
      <c r="A164" s="10" t="s">
        <v>245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8">
        <f t="shared" si="19"/>
        <v>0</v>
      </c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8">
        <f t="shared" si="18"/>
        <v>0</v>
      </c>
      <c r="AX164" s="14"/>
    </row>
    <row r="165" spans="1:69" x14ac:dyDescent="0.25">
      <c r="A165" s="10" t="s">
        <v>246</v>
      </c>
      <c r="B165" s="11">
        <f>1+1</f>
        <v>2</v>
      </c>
      <c r="C165" s="11"/>
      <c r="D165" s="11">
        <f>5+5</f>
        <v>10</v>
      </c>
      <c r="E165" s="11"/>
      <c r="F165" s="11"/>
      <c r="G165" s="11"/>
      <c r="H165" s="11"/>
      <c r="I165" s="11"/>
      <c r="J165" s="11"/>
      <c r="K165" s="11"/>
      <c r="L165" s="11">
        <f>5+5</f>
        <v>10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8">
        <f t="shared" si="19"/>
        <v>10</v>
      </c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8">
        <f t="shared" si="18"/>
        <v>0</v>
      </c>
      <c r="AX165" s="14"/>
    </row>
    <row r="166" spans="1:69" x14ac:dyDescent="0.25">
      <c r="A166" s="10" t="s">
        <v>247</v>
      </c>
      <c r="B166" s="11">
        <f>3+1+1+1+1</f>
        <v>7</v>
      </c>
      <c r="C166" s="11">
        <v>3</v>
      </c>
      <c r="D166" s="11">
        <f>3+1+1+2+1</f>
        <v>8</v>
      </c>
      <c r="E166" s="11">
        <v>3</v>
      </c>
      <c r="F166" s="11"/>
      <c r="G166" s="11"/>
      <c r="H166" s="11"/>
      <c r="I166" s="11"/>
      <c r="J166" s="11"/>
      <c r="K166" s="11"/>
      <c r="L166" s="11">
        <f>1+1</f>
        <v>2</v>
      </c>
      <c r="M166" s="11"/>
      <c r="N166" s="11"/>
      <c r="O166" s="11"/>
      <c r="P166" s="11">
        <f>2</f>
        <v>2</v>
      </c>
      <c r="Q166" s="11"/>
      <c r="R166" s="11"/>
      <c r="S166" s="11"/>
      <c r="T166" s="11"/>
      <c r="U166" s="11"/>
      <c r="V166" s="11">
        <f>3+1</f>
        <v>4</v>
      </c>
      <c r="W166" s="11"/>
      <c r="X166" s="11"/>
      <c r="Y166" s="8">
        <f t="shared" si="19"/>
        <v>8</v>
      </c>
      <c r="Z166" s="11">
        <f>3+1+1+1</f>
        <v>6</v>
      </c>
      <c r="AA166" s="11">
        <v>3</v>
      </c>
      <c r="AB166" s="11">
        <f>3+1+1+2</f>
        <v>7</v>
      </c>
      <c r="AC166" s="11">
        <v>3</v>
      </c>
      <c r="AD166" s="11"/>
      <c r="AE166" s="11"/>
      <c r="AF166" s="11"/>
      <c r="AG166" s="11"/>
      <c r="AH166" s="11"/>
      <c r="AI166" s="11"/>
      <c r="AJ166" s="11">
        <v>1</v>
      </c>
      <c r="AK166" s="11"/>
      <c r="AL166" s="11"/>
      <c r="AM166" s="11"/>
      <c r="AN166" s="11">
        <f>2</f>
        <v>2</v>
      </c>
      <c r="AO166" s="11"/>
      <c r="AP166" s="11"/>
      <c r="AQ166" s="11"/>
      <c r="AR166" s="11"/>
      <c r="AS166" s="11"/>
      <c r="AT166" s="11">
        <f>3+1</f>
        <v>4</v>
      </c>
      <c r="AU166" s="11"/>
      <c r="AV166" s="11"/>
      <c r="AW166" s="8">
        <f t="shared" si="18"/>
        <v>7</v>
      </c>
      <c r="AX166" s="14">
        <v>4715</v>
      </c>
      <c r="AY166">
        <v>6000</v>
      </c>
      <c r="AZ166" s="73">
        <v>4800</v>
      </c>
      <c r="BA166">
        <v>2560</v>
      </c>
      <c r="BB166">
        <v>5500</v>
      </c>
    </row>
    <row r="167" spans="1:69" x14ac:dyDescent="0.25">
      <c r="A167" s="10" t="s">
        <v>248</v>
      </c>
      <c r="B167" s="11">
        <f>1</f>
        <v>1</v>
      </c>
      <c r="C167" s="11"/>
      <c r="D167" s="11">
        <f>2</f>
        <v>2</v>
      </c>
      <c r="E167" s="11"/>
      <c r="F167" s="11"/>
      <c r="G167" s="11"/>
      <c r="H167" s="11"/>
      <c r="I167" s="11"/>
      <c r="J167" s="11"/>
      <c r="K167" s="11"/>
      <c r="L167" s="11">
        <f>2</f>
        <v>2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8">
        <f t="shared" si="19"/>
        <v>2</v>
      </c>
      <c r="Z167" s="11">
        <f>1</f>
        <v>1</v>
      </c>
      <c r="AA167" s="11"/>
      <c r="AB167" s="11">
        <f>2</f>
        <v>2</v>
      </c>
      <c r="AC167" s="11"/>
      <c r="AD167" s="11"/>
      <c r="AE167" s="11"/>
      <c r="AF167" s="11"/>
      <c r="AG167" s="11"/>
      <c r="AH167" s="11"/>
      <c r="AI167" s="11"/>
      <c r="AJ167" s="11">
        <f>2</f>
        <v>2</v>
      </c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8">
        <f t="shared" si="18"/>
        <v>2</v>
      </c>
      <c r="AX167" s="14">
        <v>8800</v>
      </c>
      <c r="AY167" s="1">
        <v>8800</v>
      </c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9" x14ac:dyDescent="0.25">
      <c r="A168" s="10" t="s">
        <v>249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8">
        <f t="shared" si="19"/>
        <v>0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8">
        <f t="shared" si="18"/>
        <v>0</v>
      </c>
      <c r="AX168" s="14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9" x14ac:dyDescent="0.25">
      <c r="A169" s="10" t="s">
        <v>250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8">
        <f t="shared" si="19"/>
        <v>0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8">
        <f t="shared" si="18"/>
        <v>0</v>
      </c>
      <c r="AX169" s="14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9" x14ac:dyDescent="0.25">
      <c r="A170" s="10" t="s">
        <v>251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8">
        <f t="shared" si="19"/>
        <v>0</v>
      </c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8">
        <f t="shared" si="18"/>
        <v>0</v>
      </c>
      <c r="AX170" s="14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9" x14ac:dyDescent="0.25">
      <c r="A171" s="10" t="s">
        <v>252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8">
        <f t="shared" si="19"/>
        <v>0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8">
        <f t="shared" si="18"/>
        <v>0</v>
      </c>
      <c r="AX171" s="14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9" x14ac:dyDescent="0.25">
      <c r="A172" s="10" t="s">
        <v>253</v>
      </c>
      <c r="B172" s="11">
        <f>1</f>
        <v>1</v>
      </c>
      <c r="C172" s="11"/>
      <c r="D172" s="11">
        <f>3</f>
        <v>3</v>
      </c>
      <c r="E172" s="11"/>
      <c r="F172" s="11"/>
      <c r="G172" s="11"/>
      <c r="H172" s="11">
        <f>3</f>
        <v>3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8">
        <f t="shared" si="19"/>
        <v>3</v>
      </c>
      <c r="Z172" s="11">
        <f>1</f>
        <v>1</v>
      </c>
      <c r="AA172" s="11"/>
      <c r="AB172" s="11">
        <f>3</f>
        <v>3</v>
      </c>
      <c r="AC172" s="11"/>
      <c r="AD172" s="11"/>
      <c r="AE172" s="11"/>
      <c r="AF172" s="11">
        <f>3</f>
        <v>3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8">
        <f t="shared" si="18"/>
        <v>3</v>
      </c>
      <c r="AX172" s="14">
        <v>1736</v>
      </c>
      <c r="AY172" s="1">
        <v>1736</v>
      </c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9" x14ac:dyDescent="0.25">
      <c r="A173" s="10" t="s">
        <v>254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8">
        <f t="shared" si="19"/>
        <v>0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8">
        <f t="shared" si="18"/>
        <v>0</v>
      </c>
      <c r="AX173" s="14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9" x14ac:dyDescent="0.25">
      <c r="A174" s="10" t="s">
        <v>255</v>
      </c>
      <c r="B174" s="11">
        <f>2+1+2+1+1+1+1+2</f>
        <v>11</v>
      </c>
      <c r="C174" s="11"/>
      <c r="D174" s="11">
        <f>2+1+2+12+3+1+1+2</f>
        <v>24</v>
      </c>
      <c r="E174" s="11"/>
      <c r="F174" s="11"/>
      <c r="G174" s="11"/>
      <c r="H174" s="11">
        <f>2</f>
        <v>2</v>
      </c>
      <c r="I174" s="11"/>
      <c r="J174" s="11"/>
      <c r="K174" s="11">
        <f>2+1+12+1</f>
        <v>16</v>
      </c>
      <c r="L174" s="11">
        <f>3+2</f>
        <v>5</v>
      </c>
      <c r="M174" s="11"/>
      <c r="N174" s="11"/>
      <c r="O174" s="11"/>
      <c r="P174" s="11"/>
      <c r="Q174" s="11">
        <f>1</f>
        <v>1</v>
      </c>
      <c r="R174" s="11"/>
      <c r="S174" s="11"/>
      <c r="T174" s="11"/>
      <c r="U174" s="11"/>
      <c r="V174" s="11"/>
      <c r="W174" s="11"/>
      <c r="X174" s="11"/>
      <c r="Y174" s="8">
        <f t="shared" si="19"/>
        <v>24</v>
      </c>
      <c r="Z174" s="11">
        <f>2+2+1+1+1+1+1</f>
        <v>9</v>
      </c>
      <c r="AA174" s="11"/>
      <c r="AB174" s="11">
        <f>2+2+12+2+1+1+1</f>
        <v>21</v>
      </c>
      <c r="AC174" s="11"/>
      <c r="AD174" s="11"/>
      <c r="AE174" s="11"/>
      <c r="AF174" s="11">
        <f>2</f>
        <v>2</v>
      </c>
      <c r="AG174" s="11"/>
      <c r="AH174" s="11"/>
      <c r="AI174" s="11">
        <f>2+12+1</f>
        <v>15</v>
      </c>
      <c r="AJ174" s="11">
        <f>2+1</f>
        <v>3</v>
      </c>
      <c r="AK174" s="11"/>
      <c r="AL174" s="11"/>
      <c r="AM174" s="11"/>
      <c r="AN174" s="11"/>
      <c r="AO174" s="11">
        <f>1</f>
        <v>1</v>
      </c>
      <c r="AP174" s="11"/>
      <c r="AQ174" s="11"/>
      <c r="AR174" s="11"/>
      <c r="AS174" s="11"/>
      <c r="AT174" s="11"/>
      <c r="AU174" s="11"/>
      <c r="AV174" s="11"/>
      <c r="AW174" s="8">
        <f t="shared" si="18"/>
        <v>21</v>
      </c>
      <c r="AX174" s="14">
        <v>4107.7142857142853</v>
      </c>
      <c r="AY174" s="22">
        <v>5142</v>
      </c>
      <c r="AZ174" s="1">
        <v>3328</v>
      </c>
      <c r="BA174" s="1">
        <v>1160</v>
      </c>
      <c r="BB174" s="1">
        <v>5824</v>
      </c>
      <c r="BC174" s="1">
        <v>3964</v>
      </c>
      <c r="BD174" s="1">
        <v>3640</v>
      </c>
      <c r="BE174" s="1">
        <v>5696</v>
      </c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x14ac:dyDescent="0.25">
      <c r="A175" s="10" t="s">
        <v>256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8">
        <f t="shared" si="19"/>
        <v>0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8">
        <f t="shared" si="18"/>
        <v>0</v>
      </c>
      <c r="AX175" s="14"/>
      <c r="AY175" s="22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9" x14ac:dyDescent="0.25">
      <c r="A176" s="10" t="s">
        <v>257</v>
      </c>
      <c r="B176" s="11">
        <f>1+1</f>
        <v>2</v>
      </c>
      <c r="C176" s="11">
        <f>1</f>
        <v>1</v>
      </c>
      <c r="D176" s="11">
        <f>2+3</f>
        <v>5</v>
      </c>
      <c r="E176" s="11">
        <f>2</f>
        <v>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>
        <f>3</f>
        <v>3</v>
      </c>
      <c r="V176" s="11">
        <f>2</f>
        <v>2</v>
      </c>
      <c r="W176" s="11"/>
      <c r="X176" s="11"/>
      <c r="Y176" s="8">
        <f t="shared" si="19"/>
        <v>5</v>
      </c>
      <c r="Z176" s="11">
        <f>1</f>
        <v>1</v>
      </c>
      <c r="AA176" s="11">
        <f>1</f>
        <v>1</v>
      </c>
      <c r="AB176" s="11">
        <f>2</f>
        <v>2</v>
      </c>
      <c r="AC176" s="11">
        <f>2</f>
        <v>2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>
        <f>2</f>
        <v>2</v>
      </c>
      <c r="AU176" s="11"/>
      <c r="AV176" s="11"/>
      <c r="AW176" s="8">
        <f t="shared" si="18"/>
        <v>2</v>
      </c>
      <c r="AX176" s="14">
        <v>2080</v>
      </c>
      <c r="AY176" s="22">
        <v>2080</v>
      </c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138" x14ac:dyDescent="0.25">
      <c r="A177" s="10" t="s">
        <v>258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8">
        <f t="shared" si="19"/>
        <v>0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8">
        <f t="shared" si="18"/>
        <v>0</v>
      </c>
      <c r="AX177" s="14"/>
      <c r="AY177" s="22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138" s="9" customFormat="1" x14ac:dyDescent="0.25">
      <c r="A178" s="40" t="s">
        <v>44</v>
      </c>
      <c r="B178" s="8">
        <f t="shared" ref="B178:X178" si="20">SUM(B179:B180)</f>
        <v>28</v>
      </c>
      <c r="C178" s="8">
        <f t="shared" si="20"/>
        <v>10</v>
      </c>
      <c r="D178" s="8">
        <f t="shared" si="20"/>
        <v>71</v>
      </c>
      <c r="E178" s="8">
        <f t="shared" si="20"/>
        <v>23</v>
      </c>
      <c r="F178" s="8">
        <f t="shared" si="20"/>
        <v>0</v>
      </c>
      <c r="G178" s="8">
        <f t="shared" si="20"/>
        <v>0</v>
      </c>
      <c r="H178" s="8">
        <f t="shared" si="20"/>
        <v>6</v>
      </c>
      <c r="I178" s="8">
        <f t="shared" si="20"/>
        <v>0</v>
      </c>
      <c r="J178" s="8">
        <f t="shared" si="20"/>
        <v>9</v>
      </c>
      <c r="K178" s="8">
        <f t="shared" si="20"/>
        <v>1</v>
      </c>
      <c r="L178" s="8">
        <f t="shared" si="20"/>
        <v>20</v>
      </c>
      <c r="M178" s="8">
        <f t="shared" si="20"/>
        <v>3</v>
      </c>
      <c r="N178" s="8">
        <f t="shared" si="20"/>
        <v>0</v>
      </c>
      <c r="O178" s="8">
        <f t="shared" si="20"/>
        <v>0</v>
      </c>
      <c r="P178" s="8">
        <f t="shared" si="20"/>
        <v>0</v>
      </c>
      <c r="Q178" s="8">
        <f t="shared" si="20"/>
        <v>0</v>
      </c>
      <c r="R178" s="8">
        <f t="shared" si="20"/>
        <v>6</v>
      </c>
      <c r="S178" s="8">
        <f t="shared" si="20"/>
        <v>0</v>
      </c>
      <c r="T178" s="8">
        <f t="shared" si="20"/>
        <v>6</v>
      </c>
      <c r="U178" s="8">
        <f t="shared" si="20"/>
        <v>1</v>
      </c>
      <c r="V178" s="8">
        <f t="shared" si="20"/>
        <v>8</v>
      </c>
      <c r="W178" s="8">
        <f t="shared" si="20"/>
        <v>2</v>
      </c>
      <c r="X178" s="8">
        <f t="shared" si="20"/>
        <v>9</v>
      </c>
      <c r="Y178" s="8">
        <f t="shared" si="19"/>
        <v>71</v>
      </c>
      <c r="Z178" s="8">
        <f t="shared" ref="Z178:AV178" si="21">Z179+Z180</f>
        <v>15</v>
      </c>
      <c r="AA178" s="8">
        <f t="shared" si="21"/>
        <v>5</v>
      </c>
      <c r="AB178" s="8">
        <f t="shared" si="21"/>
        <v>40</v>
      </c>
      <c r="AC178" s="8">
        <f t="shared" si="21"/>
        <v>16</v>
      </c>
      <c r="AD178" s="8">
        <f t="shared" si="21"/>
        <v>0</v>
      </c>
      <c r="AE178" s="8">
        <f t="shared" si="21"/>
        <v>0</v>
      </c>
      <c r="AF178" s="8">
        <f t="shared" si="21"/>
        <v>5</v>
      </c>
      <c r="AG178" s="8">
        <f t="shared" si="21"/>
        <v>0</v>
      </c>
      <c r="AH178" s="8">
        <f t="shared" si="21"/>
        <v>9</v>
      </c>
      <c r="AI178" s="8">
        <f t="shared" si="21"/>
        <v>1</v>
      </c>
      <c r="AJ178" s="8">
        <f t="shared" si="21"/>
        <v>3</v>
      </c>
      <c r="AK178" s="8">
        <f t="shared" si="21"/>
        <v>1</v>
      </c>
      <c r="AL178" s="8">
        <f t="shared" si="21"/>
        <v>0</v>
      </c>
      <c r="AM178" s="8">
        <f t="shared" si="21"/>
        <v>0</v>
      </c>
      <c r="AN178" s="8">
        <f t="shared" si="21"/>
        <v>0</v>
      </c>
      <c r="AO178" s="8">
        <f t="shared" si="21"/>
        <v>0</v>
      </c>
      <c r="AP178" s="8">
        <f t="shared" si="21"/>
        <v>3</v>
      </c>
      <c r="AQ178" s="8">
        <f t="shared" si="21"/>
        <v>0</v>
      </c>
      <c r="AR178" s="8">
        <f t="shared" si="21"/>
        <v>6</v>
      </c>
      <c r="AS178" s="8">
        <f t="shared" si="21"/>
        <v>0</v>
      </c>
      <c r="AT178" s="8">
        <f t="shared" si="21"/>
        <v>8</v>
      </c>
      <c r="AU178" s="8">
        <f t="shared" si="21"/>
        <v>0</v>
      </c>
      <c r="AV178" s="8">
        <f t="shared" si="21"/>
        <v>3</v>
      </c>
      <c r="AW178" s="8">
        <f t="shared" si="18"/>
        <v>39</v>
      </c>
      <c r="AX178" s="69"/>
      <c r="EH178"/>
    </row>
    <row r="179" spans="1:138" x14ac:dyDescent="0.25">
      <c r="A179" s="10" t="s">
        <v>128</v>
      </c>
      <c r="B179" s="11">
        <f>1+1+1+1+1+1+1+1+1+1+1+1+1+1+1+1+2+2+7</f>
        <v>27</v>
      </c>
      <c r="C179" s="11">
        <f>1+1+1+7</f>
        <v>10</v>
      </c>
      <c r="D179" s="11">
        <f>7+1+2+2+1+1+2+1+1+6+6+3+8+1+2+9+6+3+8</f>
        <v>70</v>
      </c>
      <c r="E179" s="11">
        <f>7+2+6+8</f>
        <v>23</v>
      </c>
      <c r="F179" s="11"/>
      <c r="G179" s="11"/>
      <c r="H179" s="11">
        <f>3+1+2</f>
        <v>6</v>
      </c>
      <c r="I179" s="11"/>
      <c r="J179" s="11">
        <f>9</f>
        <v>9</v>
      </c>
      <c r="K179" s="11">
        <f>1</f>
        <v>1</v>
      </c>
      <c r="L179" s="11">
        <f>2+2+1+1+8+6</f>
        <v>20</v>
      </c>
      <c r="M179" s="11">
        <f>3</f>
        <v>3</v>
      </c>
      <c r="N179" s="11"/>
      <c r="O179" s="11"/>
      <c r="P179" s="11"/>
      <c r="Q179" s="11"/>
      <c r="R179" s="11">
        <f>6</f>
        <v>6</v>
      </c>
      <c r="S179" s="11"/>
      <c r="T179" s="11">
        <f>6</f>
        <v>6</v>
      </c>
      <c r="U179" s="11">
        <v>1</v>
      </c>
      <c r="V179" s="11">
        <v>7</v>
      </c>
      <c r="W179" s="11">
        <f>2</f>
        <v>2</v>
      </c>
      <c r="X179" s="11">
        <f>1+8</f>
        <v>9</v>
      </c>
      <c r="Y179" s="8">
        <f t="shared" si="19"/>
        <v>70</v>
      </c>
      <c r="Z179" s="11">
        <f>1+1+1+1+1+1+1+1+1+1+1+3</f>
        <v>14</v>
      </c>
      <c r="AA179" s="11">
        <f>1+1+3</f>
        <v>5</v>
      </c>
      <c r="AB179" s="11">
        <f>7+2+1+3+6+3+1+2+9+1+1+3</f>
        <v>39</v>
      </c>
      <c r="AC179" s="11">
        <f>7+6+3</f>
        <v>16</v>
      </c>
      <c r="AD179" s="11"/>
      <c r="AE179" s="11"/>
      <c r="AF179" s="11">
        <f>3+2</f>
        <v>5</v>
      </c>
      <c r="AG179" s="11"/>
      <c r="AH179" s="11">
        <f>9</f>
        <v>9</v>
      </c>
      <c r="AI179" s="11">
        <f>1</f>
        <v>1</v>
      </c>
      <c r="AJ179" s="11">
        <f>2+1</f>
        <v>3</v>
      </c>
      <c r="AK179" s="11">
        <f>1</f>
        <v>1</v>
      </c>
      <c r="AL179" s="11"/>
      <c r="AM179" s="11"/>
      <c r="AN179" s="11"/>
      <c r="AO179" s="11"/>
      <c r="AP179" s="11">
        <f>3</f>
        <v>3</v>
      </c>
      <c r="AQ179" s="11"/>
      <c r="AR179" s="11">
        <f>6</f>
        <v>6</v>
      </c>
      <c r="AS179" s="11"/>
      <c r="AT179" s="11">
        <v>7</v>
      </c>
      <c r="AU179" s="11"/>
      <c r="AV179" s="11">
        <f>3</f>
        <v>3</v>
      </c>
      <c r="AW179" s="8">
        <f t="shared" si="18"/>
        <v>38</v>
      </c>
      <c r="AX179" s="14">
        <v>5599.8574999999992</v>
      </c>
      <c r="AY179" s="73">
        <v>731.42</v>
      </c>
      <c r="AZ179">
        <v>4800</v>
      </c>
      <c r="BA179">
        <v>9360</v>
      </c>
      <c r="BB179">
        <v>2875</v>
      </c>
      <c r="BC179">
        <v>4800</v>
      </c>
      <c r="BD179">
        <v>2552</v>
      </c>
      <c r="BE179">
        <v>2552</v>
      </c>
      <c r="BF179">
        <v>3199.2</v>
      </c>
      <c r="BG179">
        <v>5200</v>
      </c>
      <c r="BH179">
        <v>11700</v>
      </c>
      <c r="BI179">
        <v>11700</v>
      </c>
      <c r="BJ179">
        <v>7728.67</v>
      </c>
    </row>
    <row r="180" spans="1:138" x14ac:dyDescent="0.25">
      <c r="A180" s="10" t="s">
        <v>129</v>
      </c>
      <c r="B180" s="11">
        <f>1</f>
        <v>1</v>
      </c>
      <c r="C180" s="11"/>
      <c r="D180" s="11">
        <f>1</f>
        <v>1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>
        <f>1</f>
        <v>1</v>
      </c>
      <c r="W180" s="11"/>
      <c r="X180" s="11"/>
      <c r="Y180" s="8">
        <f t="shared" si="19"/>
        <v>1</v>
      </c>
      <c r="Z180" s="11">
        <f>1</f>
        <v>1</v>
      </c>
      <c r="AA180" s="11"/>
      <c r="AB180" s="11">
        <f>1</f>
        <v>1</v>
      </c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>
        <f>1</f>
        <v>1</v>
      </c>
      <c r="AU180" s="11"/>
      <c r="AV180" s="11"/>
      <c r="AW180" s="8">
        <f t="shared" si="18"/>
        <v>1</v>
      </c>
      <c r="AX180" s="14">
        <v>1200</v>
      </c>
      <c r="AY180">
        <v>1200</v>
      </c>
    </row>
    <row r="181" spans="1:138" s="9" customFormat="1" x14ac:dyDescent="0.25">
      <c r="A181" s="40" t="s">
        <v>45</v>
      </c>
      <c r="B181" s="8">
        <f t="shared" ref="B181:X181" si="22">B182+B183+B184+B185+B186+B187+B188+B189+B190+B191+B192+B193+B194</f>
        <v>41</v>
      </c>
      <c r="C181" s="8">
        <f t="shared" si="22"/>
        <v>35</v>
      </c>
      <c r="D181" s="8">
        <f t="shared" si="22"/>
        <v>167</v>
      </c>
      <c r="E181" s="8">
        <f t="shared" si="22"/>
        <v>121</v>
      </c>
      <c r="F181" s="8">
        <f t="shared" si="22"/>
        <v>0</v>
      </c>
      <c r="G181" s="8">
        <f t="shared" si="22"/>
        <v>0</v>
      </c>
      <c r="H181" s="8">
        <f t="shared" si="22"/>
        <v>0</v>
      </c>
      <c r="I181" s="8">
        <f t="shared" si="22"/>
        <v>0</v>
      </c>
      <c r="J181" s="8">
        <f t="shared" si="22"/>
        <v>0</v>
      </c>
      <c r="K181" s="8">
        <f t="shared" si="22"/>
        <v>0</v>
      </c>
      <c r="L181" s="8">
        <f t="shared" si="22"/>
        <v>0</v>
      </c>
      <c r="M181" s="8">
        <f t="shared" si="22"/>
        <v>0</v>
      </c>
      <c r="N181" s="8">
        <f t="shared" si="22"/>
        <v>0</v>
      </c>
      <c r="O181" s="8">
        <f t="shared" si="22"/>
        <v>0</v>
      </c>
      <c r="P181" s="8">
        <f t="shared" si="22"/>
        <v>0</v>
      </c>
      <c r="Q181" s="8">
        <f t="shared" si="22"/>
        <v>0</v>
      </c>
      <c r="R181" s="8">
        <f t="shared" si="22"/>
        <v>2</v>
      </c>
      <c r="S181" s="8">
        <f t="shared" si="22"/>
        <v>0</v>
      </c>
      <c r="T181" s="8">
        <f t="shared" si="22"/>
        <v>47</v>
      </c>
      <c r="U181" s="8">
        <f t="shared" si="22"/>
        <v>43</v>
      </c>
      <c r="V181" s="8">
        <f t="shared" si="22"/>
        <v>55</v>
      </c>
      <c r="W181" s="8">
        <f t="shared" si="22"/>
        <v>0</v>
      </c>
      <c r="X181" s="8">
        <f t="shared" si="22"/>
        <v>20</v>
      </c>
      <c r="Y181" s="8">
        <f t="shared" si="19"/>
        <v>167</v>
      </c>
      <c r="Z181" s="8">
        <f t="shared" ref="Z181:AV181" si="23">Z182+Z183+Z184+Z185+Z186+Z187+Z188+Z189+Z190+Z191+Z192+Z193+Z194</f>
        <v>33</v>
      </c>
      <c r="AA181" s="8">
        <f t="shared" si="23"/>
        <v>28</v>
      </c>
      <c r="AB181" s="8">
        <f t="shared" si="23"/>
        <v>150</v>
      </c>
      <c r="AC181" s="8">
        <f t="shared" si="23"/>
        <v>130</v>
      </c>
      <c r="AD181" s="8">
        <f t="shared" si="23"/>
        <v>0</v>
      </c>
      <c r="AE181" s="8">
        <f t="shared" si="23"/>
        <v>0</v>
      </c>
      <c r="AF181" s="8">
        <f t="shared" si="23"/>
        <v>0</v>
      </c>
      <c r="AG181" s="8">
        <f t="shared" si="23"/>
        <v>0</v>
      </c>
      <c r="AH181" s="8">
        <f t="shared" si="23"/>
        <v>0</v>
      </c>
      <c r="AI181" s="8">
        <f t="shared" si="23"/>
        <v>0</v>
      </c>
      <c r="AJ181" s="8">
        <f t="shared" si="23"/>
        <v>0</v>
      </c>
      <c r="AK181" s="8">
        <f t="shared" si="23"/>
        <v>0</v>
      </c>
      <c r="AL181" s="8">
        <f t="shared" si="23"/>
        <v>0</v>
      </c>
      <c r="AM181" s="8">
        <f t="shared" si="23"/>
        <v>0</v>
      </c>
      <c r="AN181" s="8">
        <f t="shared" si="23"/>
        <v>0</v>
      </c>
      <c r="AO181" s="8">
        <f t="shared" si="23"/>
        <v>0</v>
      </c>
      <c r="AP181" s="8">
        <f t="shared" si="23"/>
        <v>1</v>
      </c>
      <c r="AQ181" s="8">
        <f t="shared" si="23"/>
        <v>0</v>
      </c>
      <c r="AR181" s="8">
        <f t="shared" si="23"/>
        <v>47</v>
      </c>
      <c r="AS181" s="8">
        <f t="shared" si="23"/>
        <v>37</v>
      </c>
      <c r="AT181" s="8">
        <f t="shared" si="23"/>
        <v>45</v>
      </c>
      <c r="AU181" s="8">
        <f t="shared" si="23"/>
        <v>0</v>
      </c>
      <c r="AV181" s="8">
        <f t="shared" si="23"/>
        <v>20</v>
      </c>
      <c r="AW181" s="8">
        <f t="shared" si="18"/>
        <v>150</v>
      </c>
      <c r="AX181" s="69"/>
      <c r="EH181"/>
    </row>
    <row r="182" spans="1:138" x14ac:dyDescent="0.25">
      <c r="A182" s="10" t="s">
        <v>259</v>
      </c>
      <c r="B182" s="11">
        <v>3</v>
      </c>
      <c r="C182" s="11">
        <v>3</v>
      </c>
      <c r="D182" s="11">
        <v>27</v>
      </c>
      <c r="E182" s="11">
        <v>2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>
        <v>27</v>
      </c>
      <c r="W182" s="11"/>
      <c r="X182" s="11"/>
      <c r="Y182" s="8">
        <f t="shared" si="19"/>
        <v>27</v>
      </c>
      <c r="Z182" s="11">
        <v>3</v>
      </c>
      <c r="AA182" s="11">
        <v>3</v>
      </c>
      <c r="AB182" s="11">
        <v>27</v>
      </c>
      <c r="AC182" s="11">
        <v>27</v>
      </c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>
        <v>27</v>
      </c>
      <c r="AU182" s="11"/>
      <c r="AV182" s="11"/>
      <c r="AW182" s="8">
        <f t="shared" si="18"/>
        <v>27</v>
      </c>
      <c r="AX182" s="14">
        <v>307.81</v>
      </c>
      <c r="AY182">
        <v>307.81</v>
      </c>
    </row>
    <row r="183" spans="1:138" x14ac:dyDescent="0.25">
      <c r="A183" s="10" t="s">
        <v>260</v>
      </c>
      <c r="B183" s="11">
        <v>4</v>
      </c>
      <c r="C183" s="11">
        <v>4</v>
      </c>
      <c r="D183" s="11">
        <v>39</v>
      </c>
      <c r="E183" s="11">
        <v>39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>
        <v>39</v>
      </c>
      <c r="U183" s="11"/>
      <c r="V183" s="11"/>
      <c r="W183" s="11"/>
      <c r="X183" s="11"/>
      <c r="Y183" s="8">
        <f t="shared" si="19"/>
        <v>39</v>
      </c>
      <c r="Z183" s="11">
        <v>4</v>
      </c>
      <c r="AA183" s="11">
        <v>4</v>
      </c>
      <c r="AB183" s="11">
        <v>39</v>
      </c>
      <c r="AC183" s="11">
        <v>39</v>
      </c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>
        <v>39</v>
      </c>
      <c r="AS183" s="11"/>
      <c r="AT183" s="11"/>
      <c r="AU183" s="11"/>
      <c r="AV183" s="11"/>
      <c r="AW183" s="8">
        <f t="shared" si="18"/>
        <v>39</v>
      </c>
      <c r="AX183" s="14">
        <v>400</v>
      </c>
      <c r="AY183">
        <v>400</v>
      </c>
    </row>
    <row r="184" spans="1:138" x14ac:dyDescent="0.25">
      <c r="A184" s="10" t="s">
        <v>261</v>
      </c>
      <c r="B184" s="11">
        <f>1+2+3+1</f>
        <v>7</v>
      </c>
      <c r="C184" s="11">
        <f>1+2+3+1</f>
        <v>7</v>
      </c>
      <c r="D184" s="11">
        <f>1+4+3+25</f>
        <v>33</v>
      </c>
      <c r="E184" s="11">
        <f>1+4+3+25</f>
        <v>33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>
        <f>4+3+25</f>
        <v>32</v>
      </c>
      <c r="V184" s="11">
        <f>1</f>
        <v>1</v>
      </c>
      <c r="W184" s="11"/>
      <c r="X184" s="11"/>
      <c r="Y184" s="8">
        <f t="shared" si="19"/>
        <v>33</v>
      </c>
      <c r="Z184" s="11">
        <f>2+1</f>
        <v>3</v>
      </c>
      <c r="AA184" s="11">
        <f>2+1</f>
        <v>3</v>
      </c>
      <c r="AB184" s="11">
        <f>2+25</f>
        <v>27</v>
      </c>
      <c r="AC184" s="11">
        <f>2+25</f>
        <v>27</v>
      </c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>
        <f>2+25</f>
        <v>27</v>
      </c>
      <c r="AT184" s="11"/>
      <c r="AU184" s="11"/>
      <c r="AV184" s="11"/>
      <c r="AW184" s="8">
        <f t="shared" si="18"/>
        <v>27</v>
      </c>
      <c r="AX184" s="14">
        <v>2346.6666666666665</v>
      </c>
      <c r="AY184">
        <v>2560</v>
      </c>
      <c r="AZ184">
        <v>4000</v>
      </c>
      <c r="BA184">
        <v>480</v>
      </c>
    </row>
    <row r="185" spans="1:138" x14ac:dyDescent="0.25">
      <c r="A185" s="10" t="s">
        <v>262</v>
      </c>
      <c r="B185" s="11">
        <f>1+1+2+1</f>
        <v>5</v>
      </c>
      <c r="C185" s="11">
        <f>1+1+2+1</f>
        <v>5</v>
      </c>
      <c r="D185" s="11">
        <f>8+1+5+1</f>
        <v>15</v>
      </c>
      <c r="E185" s="11">
        <f>8+1+5+1</f>
        <v>15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>
        <v>8</v>
      </c>
      <c r="U185" s="11">
        <f>1</f>
        <v>1</v>
      </c>
      <c r="V185" s="11">
        <f>5+1</f>
        <v>6</v>
      </c>
      <c r="W185" s="11"/>
      <c r="X185" s="11"/>
      <c r="Y185" s="8">
        <f t="shared" si="19"/>
        <v>15</v>
      </c>
      <c r="Z185" s="11">
        <f>1+1+2+1</f>
        <v>5</v>
      </c>
      <c r="AA185" s="11">
        <f>1+1+2+1</f>
        <v>5</v>
      </c>
      <c r="AB185" s="11">
        <f>8+1+5+1</f>
        <v>15</v>
      </c>
      <c r="AC185" s="11">
        <f>8+1+5+1</f>
        <v>15</v>
      </c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>
        <v>8</v>
      </c>
      <c r="AS185" s="11">
        <f>1</f>
        <v>1</v>
      </c>
      <c r="AT185" s="11">
        <f>5+1</f>
        <v>6</v>
      </c>
      <c r="AU185" s="11"/>
      <c r="AV185" s="11"/>
      <c r="AW185" s="8">
        <f t="shared" si="18"/>
        <v>15</v>
      </c>
      <c r="AX185" s="14">
        <v>979.05</v>
      </c>
      <c r="AY185" s="73">
        <v>432</v>
      </c>
      <c r="AZ185">
        <v>2160</v>
      </c>
      <c r="BA185">
        <v>1005</v>
      </c>
      <c r="BB185">
        <v>319.2</v>
      </c>
    </row>
    <row r="186" spans="1:138" x14ac:dyDescent="0.25">
      <c r="A186" s="10" t="s">
        <v>263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8">
        <f t="shared" si="19"/>
        <v>0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8">
        <f t="shared" si="18"/>
        <v>0</v>
      </c>
      <c r="AX186" s="14"/>
    </row>
    <row r="187" spans="1:138" x14ac:dyDescent="0.25">
      <c r="A187" s="10" t="s">
        <v>264</v>
      </c>
      <c r="B187" s="11">
        <f>1+1+1+1+1</f>
        <v>5</v>
      </c>
      <c r="C187" s="11">
        <f>1+1</f>
        <v>2</v>
      </c>
      <c r="D187" s="11">
        <f>1+1+10+7+10</f>
        <v>29</v>
      </c>
      <c r="E187" s="11">
        <f>7+10</f>
        <v>17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>
        <f>1+1+7</f>
        <v>9</v>
      </c>
      <c r="W187" s="11"/>
      <c r="X187" s="11">
        <f>10+10</f>
        <v>20</v>
      </c>
      <c r="Y187" s="8">
        <f t="shared" si="19"/>
        <v>29</v>
      </c>
      <c r="Z187" s="11">
        <f>1+1+1</f>
        <v>3</v>
      </c>
      <c r="AA187" s="11">
        <f>1</f>
        <v>1</v>
      </c>
      <c r="AB187" s="11">
        <f>1+10+10</f>
        <v>21</v>
      </c>
      <c r="AC187" s="11">
        <f>10</f>
        <v>10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>
        <v>1</v>
      </c>
      <c r="AU187" s="11"/>
      <c r="AV187" s="11">
        <f>10+10</f>
        <v>20</v>
      </c>
      <c r="AW187" s="8">
        <f t="shared" si="18"/>
        <v>21</v>
      </c>
      <c r="AX187" s="14">
        <v>2235.8666666666668</v>
      </c>
      <c r="AY187">
        <v>890</v>
      </c>
      <c r="AZ187">
        <v>5017.6000000000004</v>
      </c>
      <c r="BA187">
        <v>800</v>
      </c>
    </row>
    <row r="188" spans="1:138" x14ac:dyDescent="0.25">
      <c r="A188" s="10" t="s">
        <v>265</v>
      </c>
      <c r="B188" s="11">
        <f>1</f>
        <v>1</v>
      </c>
      <c r="C188" s="11">
        <f>1</f>
        <v>1</v>
      </c>
      <c r="D188" s="11">
        <f>1</f>
        <v>1</v>
      </c>
      <c r="E188" s="11">
        <f>1</f>
        <v>1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>
        <f>1</f>
        <v>1</v>
      </c>
      <c r="W188" s="11"/>
      <c r="X188" s="11"/>
      <c r="Y188" s="8">
        <f t="shared" si="19"/>
        <v>1</v>
      </c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8">
        <f t="shared" si="18"/>
        <v>0</v>
      </c>
      <c r="AX188" s="14"/>
    </row>
    <row r="189" spans="1:138" x14ac:dyDescent="0.25">
      <c r="A189" s="10" t="s">
        <v>266</v>
      </c>
      <c r="B189" s="11">
        <f>1+1</f>
        <v>2</v>
      </c>
      <c r="C189" s="11">
        <f>1</f>
        <v>1</v>
      </c>
      <c r="D189" s="11">
        <f>3+1</f>
        <v>4</v>
      </c>
      <c r="E189" s="11">
        <f>1</f>
        <v>1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>
        <f>1</f>
        <v>1</v>
      </c>
      <c r="V189" s="11">
        <f>3</f>
        <v>3</v>
      </c>
      <c r="W189" s="11"/>
      <c r="X189" s="11"/>
      <c r="Y189" s="8">
        <f t="shared" si="19"/>
        <v>4</v>
      </c>
      <c r="Z189" s="11">
        <f>1+1</f>
        <v>2</v>
      </c>
      <c r="AA189" s="11">
        <f>1</f>
        <v>1</v>
      </c>
      <c r="AB189" s="11">
        <f>3+1</f>
        <v>4</v>
      </c>
      <c r="AC189" s="11">
        <f>1</f>
        <v>1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>
        <f>1</f>
        <v>1</v>
      </c>
      <c r="AT189" s="11">
        <f>3</f>
        <v>3</v>
      </c>
      <c r="AU189" s="11"/>
      <c r="AV189" s="11"/>
      <c r="AW189" s="8">
        <f t="shared" si="18"/>
        <v>4</v>
      </c>
      <c r="AX189" s="14">
        <v>2298</v>
      </c>
      <c r="AY189">
        <v>3980</v>
      </c>
      <c r="AZ189">
        <v>616</v>
      </c>
    </row>
    <row r="190" spans="1:138" x14ac:dyDescent="0.25">
      <c r="A190" s="10" t="s">
        <v>267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8">
        <f t="shared" si="19"/>
        <v>0</v>
      </c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8">
        <f t="shared" si="18"/>
        <v>0</v>
      </c>
      <c r="AX190" s="14"/>
    </row>
    <row r="191" spans="1:138" x14ac:dyDescent="0.25">
      <c r="A191" s="10" t="s">
        <v>268</v>
      </c>
      <c r="B191" s="11">
        <f>1</f>
        <v>1</v>
      </c>
      <c r="C191" s="11">
        <f>1</f>
        <v>1</v>
      </c>
      <c r="D191" s="11">
        <f>1</f>
        <v>1</v>
      </c>
      <c r="E191" s="11">
        <f>1</f>
        <v>1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>
        <f>1</f>
        <v>1</v>
      </c>
      <c r="V191" s="11"/>
      <c r="W191" s="11"/>
      <c r="X191" s="11"/>
      <c r="Y191" s="8">
        <f t="shared" si="19"/>
        <v>1</v>
      </c>
      <c r="Z191" s="11">
        <f>1</f>
        <v>1</v>
      </c>
      <c r="AA191" s="11">
        <f>1</f>
        <v>1</v>
      </c>
      <c r="AB191" s="11">
        <f>1</f>
        <v>1</v>
      </c>
      <c r="AC191" s="11">
        <f>1</f>
        <v>1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>
        <f>1</f>
        <v>1</v>
      </c>
      <c r="AT191" s="11"/>
      <c r="AU191" s="11"/>
      <c r="AV191" s="11"/>
      <c r="AW191" s="8">
        <f t="shared" ref="AW191:AW246" si="24">SUM(AD191:AV191)</f>
        <v>1</v>
      </c>
      <c r="AX191" s="14">
        <v>2559.1999999999998</v>
      </c>
      <c r="AY191">
        <v>2559.1999999999998</v>
      </c>
    </row>
    <row r="192" spans="1:138" x14ac:dyDescent="0.25">
      <c r="A192" s="10" t="s">
        <v>269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8">
        <f t="shared" si="19"/>
        <v>0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8">
        <f t="shared" si="24"/>
        <v>0</v>
      </c>
      <c r="AX192" s="14"/>
    </row>
    <row r="193" spans="1:138" x14ac:dyDescent="0.25">
      <c r="A193" s="10" t="s">
        <v>270</v>
      </c>
      <c r="B193" s="11">
        <f>1+1+6+1+2+1</f>
        <v>12</v>
      </c>
      <c r="C193" s="11">
        <f>1+1+6+1+1</f>
        <v>10</v>
      </c>
      <c r="D193" s="11">
        <f>1+1+6+2+6+1</f>
        <v>17</v>
      </c>
      <c r="E193" s="11">
        <f>1+1+6+2+1</f>
        <v>11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>
        <f>2</f>
        <v>2</v>
      </c>
      <c r="S193" s="11"/>
      <c r="T193" s="11"/>
      <c r="U193" s="11">
        <f>1+6</f>
        <v>7</v>
      </c>
      <c r="V193" s="11">
        <f>1+6+1</f>
        <v>8</v>
      </c>
      <c r="W193" s="11"/>
      <c r="X193" s="11"/>
      <c r="Y193" s="8">
        <f t="shared" si="19"/>
        <v>17</v>
      </c>
      <c r="Z193" s="11">
        <f>1+1+6+1+2+1</f>
        <v>12</v>
      </c>
      <c r="AA193" s="11">
        <f>1+1+6+1+1</f>
        <v>10</v>
      </c>
      <c r="AB193" s="11">
        <f>1+1+6+1+6+1</f>
        <v>16</v>
      </c>
      <c r="AC193" s="11">
        <f>1+1+6+1+1</f>
        <v>10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>
        <f>1</f>
        <v>1</v>
      </c>
      <c r="AQ193" s="11"/>
      <c r="AR193" s="11"/>
      <c r="AS193" s="11">
        <f>1+6</f>
        <v>7</v>
      </c>
      <c r="AT193" s="11">
        <f>1+6+1</f>
        <v>8</v>
      </c>
      <c r="AU193" s="11"/>
      <c r="AV193" s="11"/>
      <c r="AW193" s="8">
        <f t="shared" si="24"/>
        <v>16</v>
      </c>
      <c r="AX193" s="14">
        <v>6694.0333333333328</v>
      </c>
      <c r="AY193" s="73">
        <v>18080</v>
      </c>
      <c r="AZ193">
        <v>5920</v>
      </c>
      <c r="BA193">
        <v>2430</v>
      </c>
      <c r="BB193">
        <v>5920</v>
      </c>
      <c r="BC193">
        <v>3895</v>
      </c>
      <c r="BD193">
        <v>3919.2</v>
      </c>
    </row>
    <row r="194" spans="1:138" x14ac:dyDescent="0.25">
      <c r="A194" s="10" t="s">
        <v>271</v>
      </c>
      <c r="B194" s="11">
        <f>1</f>
        <v>1</v>
      </c>
      <c r="C194" s="11">
        <f>1</f>
        <v>1</v>
      </c>
      <c r="D194" s="11">
        <f>1</f>
        <v>1</v>
      </c>
      <c r="E194" s="11">
        <f>1</f>
        <v>1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>
        <f>1</f>
        <v>1</v>
      </c>
      <c r="V194" s="11"/>
      <c r="W194" s="11"/>
      <c r="X194" s="11"/>
      <c r="Y194" s="8">
        <f t="shared" si="19"/>
        <v>1</v>
      </c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8">
        <f t="shared" si="24"/>
        <v>0</v>
      </c>
      <c r="AX194" s="14"/>
    </row>
    <row r="195" spans="1:138" s="9" customFormat="1" x14ac:dyDescent="0.25">
      <c r="A195" s="40" t="s">
        <v>46</v>
      </c>
      <c r="B195" s="8">
        <f t="shared" ref="B195:X195" si="25">SUM(B196:B222)</f>
        <v>26</v>
      </c>
      <c r="C195" s="8">
        <f t="shared" si="25"/>
        <v>16</v>
      </c>
      <c r="D195" s="8">
        <f t="shared" si="25"/>
        <v>193</v>
      </c>
      <c r="E195" s="8">
        <f t="shared" si="25"/>
        <v>120</v>
      </c>
      <c r="F195" s="8">
        <f t="shared" si="25"/>
        <v>0</v>
      </c>
      <c r="G195" s="8">
        <f t="shared" si="25"/>
        <v>0</v>
      </c>
      <c r="H195" s="8">
        <f t="shared" si="25"/>
        <v>0</v>
      </c>
      <c r="I195" s="8">
        <f t="shared" si="25"/>
        <v>0</v>
      </c>
      <c r="J195" s="8">
        <f t="shared" si="25"/>
        <v>0</v>
      </c>
      <c r="K195" s="8">
        <f t="shared" si="25"/>
        <v>0</v>
      </c>
      <c r="L195" s="8">
        <f t="shared" si="25"/>
        <v>1</v>
      </c>
      <c r="M195" s="8">
        <f t="shared" si="25"/>
        <v>0</v>
      </c>
      <c r="N195" s="8">
        <f t="shared" si="25"/>
        <v>0</v>
      </c>
      <c r="O195" s="8">
        <f t="shared" si="25"/>
        <v>0</v>
      </c>
      <c r="P195" s="8">
        <f t="shared" si="25"/>
        <v>0</v>
      </c>
      <c r="Q195" s="8">
        <f t="shared" si="25"/>
        <v>0</v>
      </c>
      <c r="R195" s="8">
        <f t="shared" si="25"/>
        <v>0</v>
      </c>
      <c r="S195" s="8">
        <f t="shared" si="25"/>
        <v>0</v>
      </c>
      <c r="T195" s="8">
        <f t="shared" si="25"/>
        <v>0</v>
      </c>
      <c r="U195" s="8">
        <f t="shared" si="25"/>
        <v>167</v>
      </c>
      <c r="V195" s="8">
        <f t="shared" si="25"/>
        <v>15</v>
      </c>
      <c r="W195" s="8">
        <f t="shared" si="25"/>
        <v>0</v>
      </c>
      <c r="X195" s="8">
        <f t="shared" si="25"/>
        <v>10</v>
      </c>
      <c r="Y195" s="8">
        <f t="shared" si="19"/>
        <v>193</v>
      </c>
      <c r="Z195" s="8">
        <f>SUM(Z196:Z222)</f>
        <v>17</v>
      </c>
      <c r="AA195" s="8">
        <f>SUM(AA196:AA222)</f>
        <v>11</v>
      </c>
      <c r="AB195" s="8">
        <f>SUM(AB196:AB222)</f>
        <v>108</v>
      </c>
      <c r="AC195" s="8"/>
      <c r="AD195" s="8">
        <f t="shared" ref="AD195:AV195" si="26">SUM(AD196:AD222)</f>
        <v>0</v>
      </c>
      <c r="AE195" s="8">
        <f t="shared" si="26"/>
        <v>0</v>
      </c>
      <c r="AF195" s="8">
        <f t="shared" si="26"/>
        <v>0</v>
      </c>
      <c r="AG195" s="8">
        <f t="shared" si="26"/>
        <v>0</v>
      </c>
      <c r="AH195" s="8">
        <f t="shared" si="26"/>
        <v>0</v>
      </c>
      <c r="AI195" s="8">
        <f t="shared" si="26"/>
        <v>0</v>
      </c>
      <c r="AJ195" s="8">
        <f t="shared" si="26"/>
        <v>1</v>
      </c>
      <c r="AK195" s="8">
        <f t="shared" si="26"/>
        <v>0</v>
      </c>
      <c r="AL195" s="8">
        <f t="shared" si="26"/>
        <v>0</v>
      </c>
      <c r="AM195" s="8">
        <f t="shared" si="26"/>
        <v>0</v>
      </c>
      <c r="AN195" s="8">
        <f t="shared" si="26"/>
        <v>0</v>
      </c>
      <c r="AO195" s="8">
        <f t="shared" si="26"/>
        <v>0</v>
      </c>
      <c r="AP195" s="8">
        <f t="shared" si="26"/>
        <v>0</v>
      </c>
      <c r="AQ195" s="8">
        <f t="shared" si="26"/>
        <v>0</v>
      </c>
      <c r="AR195" s="8">
        <f t="shared" si="26"/>
        <v>0</v>
      </c>
      <c r="AS195" s="8">
        <f t="shared" si="26"/>
        <v>87</v>
      </c>
      <c r="AT195" s="8">
        <f t="shared" si="26"/>
        <v>11</v>
      </c>
      <c r="AU195" s="8">
        <f t="shared" si="26"/>
        <v>0</v>
      </c>
      <c r="AV195" s="8">
        <f t="shared" si="26"/>
        <v>9</v>
      </c>
      <c r="AW195" s="8">
        <f t="shared" si="24"/>
        <v>108</v>
      </c>
      <c r="AX195" s="69"/>
      <c r="EH195"/>
    </row>
    <row r="196" spans="1:138" x14ac:dyDescent="0.25">
      <c r="A196" s="10" t="s">
        <v>115</v>
      </c>
      <c r="B196" s="11">
        <f>1+2+1+1</f>
        <v>5</v>
      </c>
      <c r="C196" s="11">
        <f>2+1</f>
        <v>3</v>
      </c>
      <c r="D196" s="11">
        <f>3+16+8+7</f>
        <v>34</v>
      </c>
      <c r="E196" s="11">
        <f>16+7</f>
        <v>23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>
        <f>16+7</f>
        <v>23</v>
      </c>
      <c r="V196" s="11">
        <f>3</f>
        <v>3</v>
      </c>
      <c r="W196" s="11"/>
      <c r="X196" s="11">
        <f>8</f>
        <v>8</v>
      </c>
      <c r="Y196" s="8">
        <f t="shared" si="19"/>
        <v>34</v>
      </c>
      <c r="Z196" s="11">
        <f>1+1</f>
        <v>2</v>
      </c>
      <c r="AA196" s="11">
        <v>1</v>
      </c>
      <c r="AB196" s="11">
        <f>15+7</f>
        <v>22</v>
      </c>
      <c r="AC196" s="11">
        <v>15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>
        <v>15</v>
      </c>
      <c r="AT196" s="11"/>
      <c r="AU196" s="11"/>
      <c r="AV196" s="11">
        <f>7</f>
        <v>7</v>
      </c>
      <c r="AW196" s="8">
        <f t="shared" si="24"/>
        <v>22</v>
      </c>
      <c r="AX196" s="14">
        <v>1350</v>
      </c>
      <c r="AY196">
        <v>2160</v>
      </c>
      <c r="AZ196">
        <v>540</v>
      </c>
    </row>
    <row r="197" spans="1:138" x14ac:dyDescent="0.25">
      <c r="A197" s="10" t="s">
        <v>116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8">
        <f t="shared" si="19"/>
        <v>0</v>
      </c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8">
        <f t="shared" si="24"/>
        <v>0</v>
      </c>
      <c r="AX197" s="14"/>
    </row>
    <row r="198" spans="1:138" x14ac:dyDescent="0.25">
      <c r="A198" s="10" t="s">
        <v>59</v>
      </c>
      <c r="B198" s="11">
        <f>1+1</f>
        <v>2</v>
      </c>
      <c r="C198" s="11">
        <v>1</v>
      </c>
      <c r="D198" s="11">
        <f>1+12</f>
        <v>13</v>
      </c>
      <c r="E198" s="11">
        <f>12</f>
        <v>12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>
        <f>1</f>
        <v>1</v>
      </c>
      <c r="V198" s="11">
        <f>12</f>
        <v>12</v>
      </c>
      <c r="W198" s="11"/>
      <c r="X198" s="11"/>
      <c r="Y198" s="8">
        <f t="shared" ref="Y198:Y246" si="27">SUM(F198:X198)</f>
        <v>13</v>
      </c>
      <c r="Z198" s="11">
        <f>1</f>
        <v>1</v>
      </c>
      <c r="AA198" s="11">
        <f>1</f>
        <v>1</v>
      </c>
      <c r="AB198" s="11">
        <f>11</f>
        <v>11</v>
      </c>
      <c r="AC198" s="11">
        <f>11</f>
        <v>11</v>
      </c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>
        <f>11</f>
        <v>11</v>
      </c>
      <c r="AU198" s="11"/>
      <c r="AV198" s="11"/>
      <c r="AW198" s="8">
        <f t="shared" si="24"/>
        <v>11</v>
      </c>
      <c r="AX198" s="14">
        <v>2800</v>
      </c>
      <c r="AY198">
        <v>2800</v>
      </c>
    </row>
    <row r="199" spans="1:138" x14ac:dyDescent="0.25">
      <c r="A199" s="10" t="s">
        <v>60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8">
        <f t="shared" si="27"/>
        <v>0</v>
      </c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8">
        <f t="shared" si="24"/>
        <v>0</v>
      </c>
      <c r="AX199" s="14"/>
    </row>
    <row r="200" spans="1:138" x14ac:dyDescent="0.25">
      <c r="A200" s="10" t="s">
        <v>117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8">
        <f t="shared" si="27"/>
        <v>0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8">
        <f t="shared" si="24"/>
        <v>0</v>
      </c>
      <c r="AX200" s="14"/>
    </row>
    <row r="201" spans="1:138" x14ac:dyDescent="0.25">
      <c r="A201" s="10" t="s">
        <v>118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8">
        <f t="shared" si="27"/>
        <v>0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8">
        <f t="shared" si="24"/>
        <v>0</v>
      </c>
      <c r="AX201" s="14"/>
    </row>
    <row r="202" spans="1:138" x14ac:dyDescent="0.25">
      <c r="A202" s="10" t="s">
        <v>119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8">
        <f t="shared" si="27"/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8">
        <f t="shared" si="24"/>
        <v>0</v>
      </c>
      <c r="AX202" s="14"/>
    </row>
    <row r="203" spans="1:138" x14ac:dyDescent="0.25">
      <c r="A203" s="10" t="s">
        <v>120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8">
        <f t="shared" si="27"/>
        <v>0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8">
        <f t="shared" si="24"/>
        <v>0</v>
      </c>
      <c r="AX203" s="14"/>
    </row>
    <row r="204" spans="1:138" x14ac:dyDescent="0.25">
      <c r="A204" s="15" t="s">
        <v>121</v>
      </c>
      <c r="B204" s="11">
        <f>1+1+1</f>
        <v>3</v>
      </c>
      <c r="C204" s="11">
        <f>1</f>
        <v>1</v>
      </c>
      <c r="D204" s="11">
        <f>1+1+1</f>
        <v>3</v>
      </c>
      <c r="E204" s="11">
        <f>1</f>
        <v>1</v>
      </c>
      <c r="F204" s="11"/>
      <c r="G204" s="11"/>
      <c r="H204" s="11"/>
      <c r="I204" s="11"/>
      <c r="J204" s="11"/>
      <c r="K204" s="11"/>
      <c r="L204" s="11">
        <f>1</f>
        <v>1</v>
      </c>
      <c r="M204" s="11"/>
      <c r="N204" s="11"/>
      <c r="O204" s="11"/>
      <c r="P204" s="11"/>
      <c r="Q204" s="11"/>
      <c r="R204" s="11"/>
      <c r="S204" s="11"/>
      <c r="T204" s="11"/>
      <c r="U204" s="11">
        <f>1</f>
        <v>1</v>
      </c>
      <c r="V204" s="11"/>
      <c r="W204" s="11"/>
      <c r="X204" s="11">
        <f>1</f>
        <v>1</v>
      </c>
      <c r="Y204" s="8">
        <f t="shared" si="27"/>
        <v>3</v>
      </c>
      <c r="Z204" s="11">
        <f>1+1+1</f>
        <v>3</v>
      </c>
      <c r="AA204" s="11">
        <f>1</f>
        <v>1</v>
      </c>
      <c r="AB204" s="11">
        <f>1+1+1</f>
        <v>3</v>
      </c>
      <c r="AC204" s="11">
        <f>1</f>
        <v>1</v>
      </c>
      <c r="AD204" s="11"/>
      <c r="AE204" s="11"/>
      <c r="AF204" s="11"/>
      <c r="AG204" s="11"/>
      <c r="AH204" s="11"/>
      <c r="AI204" s="11"/>
      <c r="AJ204" s="11">
        <f>1</f>
        <v>1</v>
      </c>
      <c r="AK204" s="11"/>
      <c r="AL204" s="11"/>
      <c r="AM204" s="11"/>
      <c r="AN204" s="11"/>
      <c r="AO204" s="11"/>
      <c r="AP204" s="11"/>
      <c r="AQ204" s="11"/>
      <c r="AR204" s="11"/>
      <c r="AS204" s="11">
        <f>1</f>
        <v>1</v>
      </c>
      <c r="AT204" s="11"/>
      <c r="AU204" s="11"/>
      <c r="AV204" s="11">
        <f>1</f>
        <v>1</v>
      </c>
      <c r="AW204" s="8">
        <f t="shared" si="24"/>
        <v>3</v>
      </c>
      <c r="AX204" s="14">
        <v>1529</v>
      </c>
      <c r="AY204">
        <v>2198</v>
      </c>
      <c r="AZ204">
        <v>1390</v>
      </c>
      <c r="BA204">
        <v>999</v>
      </c>
    </row>
    <row r="205" spans="1:138" x14ac:dyDescent="0.25">
      <c r="A205" s="15" t="s">
        <v>122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8">
        <f t="shared" si="27"/>
        <v>0</v>
      </c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8">
        <f t="shared" si="24"/>
        <v>0</v>
      </c>
      <c r="AX205" s="14"/>
    </row>
    <row r="206" spans="1:138" x14ac:dyDescent="0.25">
      <c r="A206" s="15" t="s">
        <v>123</v>
      </c>
      <c r="B206" s="11">
        <f>1+1</f>
        <v>2</v>
      </c>
      <c r="C206" s="11">
        <f>1</f>
        <v>1</v>
      </c>
      <c r="D206" s="11">
        <f>26+10</f>
        <v>36</v>
      </c>
      <c r="E206" s="11">
        <f>10</f>
        <v>10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>
        <f>26+10</f>
        <v>36</v>
      </c>
      <c r="V206" s="11"/>
      <c r="W206" s="11"/>
      <c r="X206" s="11"/>
      <c r="Y206" s="8">
        <f t="shared" si="27"/>
        <v>36</v>
      </c>
      <c r="Z206" s="11">
        <f>1+1</f>
        <v>2</v>
      </c>
      <c r="AA206" s="11">
        <f>1</f>
        <v>1</v>
      </c>
      <c r="AB206" s="11">
        <f>5+10</f>
        <v>15</v>
      </c>
      <c r="AC206" s="11">
        <f>10</f>
        <v>10</v>
      </c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>
        <f>5+10</f>
        <v>15</v>
      </c>
      <c r="AT206" s="11"/>
      <c r="AU206" s="11"/>
      <c r="AV206" s="11"/>
      <c r="AW206" s="8">
        <f t="shared" si="24"/>
        <v>15</v>
      </c>
      <c r="AX206" s="14">
        <v>1494</v>
      </c>
      <c r="AY206">
        <v>1188</v>
      </c>
      <c r="AZ206">
        <v>1800</v>
      </c>
    </row>
    <row r="207" spans="1:138" x14ac:dyDescent="0.25">
      <c r="A207" s="10" t="s">
        <v>61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8">
        <f t="shared" si="27"/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8">
        <f t="shared" si="24"/>
        <v>0</v>
      </c>
      <c r="AX207" s="14"/>
    </row>
    <row r="208" spans="1:138" x14ac:dyDescent="0.25">
      <c r="A208" s="10" t="s">
        <v>62</v>
      </c>
      <c r="B208" s="11">
        <f>1+2+3+1</f>
        <v>7</v>
      </c>
      <c r="C208" s="11">
        <f>2+3+1</f>
        <v>6</v>
      </c>
      <c r="D208" s="11">
        <f>21+20+23+7</f>
        <v>71</v>
      </c>
      <c r="E208" s="11">
        <f>20+23+7</f>
        <v>50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>
        <f>21+20+23+7</f>
        <v>71</v>
      </c>
      <c r="V208" s="11"/>
      <c r="W208" s="11"/>
      <c r="X208" s="11"/>
      <c r="Y208" s="8">
        <f t="shared" si="27"/>
        <v>71</v>
      </c>
      <c r="Z208" s="11">
        <f>2+1</f>
        <v>3</v>
      </c>
      <c r="AA208" s="11">
        <f>2+1</f>
        <v>3</v>
      </c>
      <c r="AB208" s="11">
        <f>20+11</f>
        <v>31</v>
      </c>
      <c r="AC208" s="11">
        <f>20+11</f>
        <v>31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f>20+11</f>
        <v>31</v>
      </c>
      <c r="AT208" s="11"/>
      <c r="AU208" s="11"/>
      <c r="AV208" s="11"/>
      <c r="AW208" s="8">
        <f t="shared" si="24"/>
        <v>31</v>
      </c>
      <c r="AX208" s="14">
        <v>2160</v>
      </c>
      <c r="AY208">
        <v>2160</v>
      </c>
      <c r="AZ208">
        <v>2160</v>
      </c>
    </row>
    <row r="209" spans="1:138" x14ac:dyDescent="0.25">
      <c r="A209" s="10" t="s">
        <v>63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8">
        <f t="shared" si="27"/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8">
        <f t="shared" si="24"/>
        <v>0</v>
      </c>
      <c r="AX209" s="14"/>
    </row>
    <row r="210" spans="1:138" x14ac:dyDescent="0.25">
      <c r="A210" s="10" t="s">
        <v>64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8">
        <f t="shared" si="27"/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8">
        <f t="shared" si="24"/>
        <v>0</v>
      </c>
      <c r="AX210" s="14"/>
    </row>
    <row r="211" spans="1:138" x14ac:dyDescent="0.25">
      <c r="A211" s="10" t="s">
        <v>65</v>
      </c>
      <c r="B211" s="11">
        <v>1</v>
      </c>
      <c r="C211" s="11"/>
      <c r="D211" s="11">
        <v>1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>
        <v>1</v>
      </c>
      <c r="Y211" s="8">
        <f t="shared" si="27"/>
        <v>1</v>
      </c>
      <c r="Z211" s="11">
        <v>1</v>
      </c>
      <c r="AA211" s="11"/>
      <c r="AB211" s="11">
        <v>1</v>
      </c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>
        <v>1</v>
      </c>
      <c r="AW211" s="8">
        <f t="shared" si="24"/>
        <v>1</v>
      </c>
      <c r="AX211" s="14">
        <v>2000</v>
      </c>
      <c r="AY211" s="73">
        <v>2000</v>
      </c>
    </row>
    <row r="212" spans="1:138" x14ac:dyDescent="0.25">
      <c r="A212" s="10" t="s">
        <v>66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8">
        <f t="shared" si="27"/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8">
        <f t="shared" si="24"/>
        <v>0</v>
      </c>
      <c r="AX212" s="14"/>
    </row>
    <row r="213" spans="1:138" x14ac:dyDescent="0.25">
      <c r="A213" s="10" t="s">
        <v>67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8">
        <f t="shared" si="27"/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8">
        <f t="shared" si="24"/>
        <v>0</v>
      </c>
      <c r="AX213" s="14"/>
    </row>
    <row r="214" spans="1:138" x14ac:dyDescent="0.25">
      <c r="A214" s="10" t="s">
        <v>68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8">
        <f t="shared" si="27"/>
        <v>0</v>
      </c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8">
        <f t="shared" si="24"/>
        <v>0</v>
      </c>
      <c r="AX214" s="14"/>
    </row>
    <row r="215" spans="1:138" x14ac:dyDescent="0.25">
      <c r="A215" s="10" t="s">
        <v>273</v>
      </c>
      <c r="B215" s="11">
        <f>2+1</f>
        <v>3</v>
      </c>
      <c r="C215" s="11">
        <f>2</f>
        <v>2</v>
      </c>
      <c r="D215" s="11">
        <f>20+10</f>
        <v>30</v>
      </c>
      <c r="E215" s="11">
        <f>20</f>
        <v>20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>
        <f>20+10</f>
        <v>30</v>
      </c>
      <c r="V215" s="11"/>
      <c r="W215" s="11"/>
      <c r="X215" s="11"/>
      <c r="Y215" s="8">
        <f t="shared" si="27"/>
        <v>30</v>
      </c>
      <c r="Z215" s="11">
        <f>2</f>
        <v>2</v>
      </c>
      <c r="AA215" s="11">
        <f>2</f>
        <v>2</v>
      </c>
      <c r="AB215" s="11">
        <f>20</f>
        <v>20</v>
      </c>
      <c r="AC215" s="11">
        <f>20</f>
        <v>20</v>
      </c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>
        <f>20</f>
        <v>20</v>
      </c>
      <c r="AT215" s="11"/>
      <c r="AU215" s="11"/>
      <c r="AV215" s="11"/>
      <c r="AW215" s="8">
        <f t="shared" si="24"/>
        <v>20</v>
      </c>
      <c r="AX215" s="14">
        <v>456</v>
      </c>
      <c r="AY215">
        <v>456</v>
      </c>
    </row>
    <row r="216" spans="1:138" x14ac:dyDescent="0.25">
      <c r="A216" s="10" t="s">
        <v>70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8">
        <f t="shared" si="27"/>
        <v>0</v>
      </c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8">
        <f t="shared" si="24"/>
        <v>0</v>
      </c>
      <c r="AX216" s="14"/>
    </row>
    <row r="217" spans="1:138" x14ac:dyDescent="0.25">
      <c r="A217" s="10" t="s">
        <v>71</v>
      </c>
      <c r="B217" s="11">
        <f>1</f>
        <v>1</v>
      </c>
      <c r="C217" s="11">
        <f>1</f>
        <v>1</v>
      </c>
      <c r="D217" s="11">
        <f>1</f>
        <v>1</v>
      </c>
      <c r="E217" s="11">
        <f>1</f>
        <v>1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>
        <f>1</f>
        <v>1</v>
      </c>
      <c r="V217" s="11"/>
      <c r="W217" s="11"/>
      <c r="X217" s="11"/>
      <c r="Y217" s="8">
        <f t="shared" si="27"/>
        <v>1</v>
      </c>
      <c r="Z217" s="11">
        <f>1</f>
        <v>1</v>
      </c>
      <c r="AA217" s="11">
        <f>1</f>
        <v>1</v>
      </c>
      <c r="AB217" s="11">
        <f>1</f>
        <v>1</v>
      </c>
      <c r="AC217" s="11">
        <f>1</f>
        <v>1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>
        <f>1</f>
        <v>1</v>
      </c>
      <c r="AT217" s="11"/>
      <c r="AU217" s="11"/>
      <c r="AV217" s="11"/>
      <c r="AW217" s="8">
        <f t="shared" si="24"/>
        <v>1</v>
      </c>
      <c r="AX217" s="14">
        <v>2800</v>
      </c>
      <c r="AY217">
        <v>2800</v>
      </c>
    </row>
    <row r="218" spans="1:138" x14ac:dyDescent="0.25">
      <c r="A218" s="10" t="s">
        <v>72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8">
        <f t="shared" si="27"/>
        <v>0</v>
      </c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8">
        <f t="shared" si="24"/>
        <v>0</v>
      </c>
      <c r="AX218" s="14"/>
    </row>
    <row r="219" spans="1:138" x14ac:dyDescent="0.25">
      <c r="A219" s="10" t="s">
        <v>73</v>
      </c>
      <c r="B219" s="11">
        <f>2</f>
        <v>2</v>
      </c>
      <c r="C219" s="11">
        <f>1</f>
        <v>1</v>
      </c>
      <c r="D219" s="11">
        <f>4</f>
        <v>4</v>
      </c>
      <c r="E219" s="11">
        <f>3</f>
        <v>3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>
        <f>4</f>
        <v>4</v>
      </c>
      <c r="V219" s="11"/>
      <c r="W219" s="11"/>
      <c r="X219" s="11"/>
      <c r="Y219" s="8">
        <f t="shared" si="27"/>
        <v>4</v>
      </c>
      <c r="Z219" s="11">
        <f>2</f>
        <v>2</v>
      </c>
      <c r="AA219" s="11">
        <f>1</f>
        <v>1</v>
      </c>
      <c r="AB219" s="11">
        <f>4</f>
        <v>4</v>
      </c>
      <c r="AC219" s="11">
        <f>3</f>
        <v>3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>
        <f>4</f>
        <v>4</v>
      </c>
      <c r="AT219" s="11"/>
      <c r="AU219" s="11"/>
      <c r="AV219" s="11"/>
      <c r="AW219" s="8">
        <f t="shared" si="24"/>
        <v>4</v>
      </c>
      <c r="AX219" s="14">
        <v>3200</v>
      </c>
      <c r="AY219">
        <v>3200</v>
      </c>
    </row>
    <row r="220" spans="1:138" x14ac:dyDescent="0.25">
      <c r="A220" s="10" t="s">
        <v>74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8">
        <f t="shared" si="27"/>
        <v>0</v>
      </c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8">
        <f t="shared" si="24"/>
        <v>0</v>
      </c>
      <c r="AX220" s="14"/>
    </row>
    <row r="221" spans="1:138" x14ac:dyDescent="0.25">
      <c r="A221" s="10" t="s">
        <v>75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8">
        <f t="shared" si="27"/>
        <v>0</v>
      </c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8">
        <f t="shared" si="24"/>
        <v>0</v>
      </c>
      <c r="AX221" s="14"/>
    </row>
    <row r="222" spans="1:138" x14ac:dyDescent="0.25">
      <c r="A222" s="10" t="s">
        <v>76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8">
        <f t="shared" si="27"/>
        <v>0</v>
      </c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8">
        <f t="shared" si="24"/>
        <v>0</v>
      </c>
      <c r="AX222" s="14"/>
    </row>
    <row r="223" spans="1:138" s="9" customFormat="1" x14ac:dyDescent="0.25">
      <c r="A223" s="40" t="s">
        <v>47</v>
      </c>
      <c r="B223" s="8">
        <f t="shared" ref="B223:X223" si="28">SUM(B224:B230)</f>
        <v>25</v>
      </c>
      <c r="C223" s="8">
        <f t="shared" si="28"/>
        <v>3</v>
      </c>
      <c r="D223" s="8">
        <f t="shared" si="28"/>
        <v>93</v>
      </c>
      <c r="E223" s="8">
        <f t="shared" si="28"/>
        <v>5</v>
      </c>
      <c r="F223" s="8">
        <f t="shared" si="28"/>
        <v>1</v>
      </c>
      <c r="G223" s="8">
        <f t="shared" si="28"/>
        <v>0</v>
      </c>
      <c r="H223" s="8">
        <f t="shared" si="28"/>
        <v>2</v>
      </c>
      <c r="I223" s="8">
        <f t="shared" si="28"/>
        <v>0</v>
      </c>
      <c r="J223" s="8">
        <f t="shared" si="28"/>
        <v>0</v>
      </c>
      <c r="K223" s="8">
        <f t="shared" si="28"/>
        <v>20</v>
      </c>
      <c r="L223" s="8">
        <f t="shared" si="28"/>
        <v>7</v>
      </c>
      <c r="M223" s="8">
        <f t="shared" si="28"/>
        <v>3</v>
      </c>
      <c r="N223" s="8">
        <f t="shared" si="28"/>
        <v>0</v>
      </c>
      <c r="O223" s="8">
        <f t="shared" si="28"/>
        <v>0</v>
      </c>
      <c r="P223" s="8">
        <f t="shared" si="28"/>
        <v>0</v>
      </c>
      <c r="Q223" s="8">
        <f t="shared" si="28"/>
        <v>0</v>
      </c>
      <c r="R223" s="8">
        <f t="shared" si="28"/>
        <v>1</v>
      </c>
      <c r="S223" s="8">
        <f t="shared" si="28"/>
        <v>1</v>
      </c>
      <c r="T223" s="8">
        <f t="shared" si="28"/>
        <v>0</v>
      </c>
      <c r="U223" s="8">
        <f t="shared" si="28"/>
        <v>3</v>
      </c>
      <c r="V223" s="8">
        <f t="shared" si="28"/>
        <v>54</v>
      </c>
      <c r="W223" s="8">
        <f t="shared" si="28"/>
        <v>1</v>
      </c>
      <c r="X223" s="8">
        <f t="shared" si="28"/>
        <v>0</v>
      </c>
      <c r="Y223" s="8">
        <f t="shared" si="27"/>
        <v>93</v>
      </c>
      <c r="Z223" s="8">
        <f>SUM(Z224:Z230)</f>
        <v>21</v>
      </c>
      <c r="AA223" s="8">
        <f>SUM(AA224:AA230)</f>
        <v>3</v>
      </c>
      <c r="AB223" s="8">
        <f>SUM(AB224:AB230)</f>
        <v>50</v>
      </c>
      <c r="AC223" s="8"/>
      <c r="AD223" s="8">
        <f t="shared" ref="AD223:AV223" si="29">SUM(AD224:AD230)</f>
        <v>0</v>
      </c>
      <c r="AE223" s="8">
        <f t="shared" si="29"/>
        <v>0</v>
      </c>
      <c r="AF223" s="8">
        <f t="shared" si="29"/>
        <v>1</v>
      </c>
      <c r="AG223" s="8">
        <f t="shared" si="29"/>
        <v>0</v>
      </c>
      <c r="AH223" s="8">
        <f t="shared" si="29"/>
        <v>0</v>
      </c>
      <c r="AI223" s="8">
        <f t="shared" si="29"/>
        <v>14</v>
      </c>
      <c r="AJ223" s="8">
        <f t="shared" si="29"/>
        <v>7</v>
      </c>
      <c r="AK223" s="8">
        <f t="shared" si="29"/>
        <v>2</v>
      </c>
      <c r="AL223" s="8">
        <f t="shared" si="29"/>
        <v>0</v>
      </c>
      <c r="AM223" s="8">
        <f t="shared" si="29"/>
        <v>0</v>
      </c>
      <c r="AN223" s="8">
        <f t="shared" si="29"/>
        <v>0</v>
      </c>
      <c r="AO223" s="8">
        <f t="shared" si="29"/>
        <v>0</v>
      </c>
      <c r="AP223" s="8">
        <f t="shared" si="29"/>
        <v>1</v>
      </c>
      <c r="AQ223" s="8">
        <f t="shared" si="29"/>
        <v>1</v>
      </c>
      <c r="AR223" s="8">
        <f t="shared" si="29"/>
        <v>0</v>
      </c>
      <c r="AS223" s="8">
        <f t="shared" si="29"/>
        <v>3</v>
      </c>
      <c r="AT223" s="8">
        <f t="shared" si="29"/>
        <v>20</v>
      </c>
      <c r="AU223" s="8">
        <f t="shared" si="29"/>
        <v>1</v>
      </c>
      <c r="AV223" s="8">
        <f t="shared" si="29"/>
        <v>0</v>
      </c>
      <c r="AW223" s="8">
        <f t="shared" si="24"/>
        <v>50</v>
      </c>
      <c r="AX223" s="69"/>
      <c r="EH223"/>
    </row>
    <row r="224" spans="1:138" x14ac:dyDescent="0.25">
      <c r="A224" s="10" t="s">
        <v>48</v>
      </c>
      <c r="B224" s="11">
        <f>1+1+1+1</f>
        <v>4</v>
      </c>
      <c r="C224" s="11">
        <f>1</f>
        <v>1</v>
      </c>
      <c r="D224" s="11">
        <f>1+1+1+6</f>
        <v>9</v>
      </c>
      <c r="E224" s="11">
        <f>1</f>
        <v>1</v>
      </c>
      <c r="F224" s="11"/>
      <c r="G224" s="11"/>
      <c r="H224" s="11"/>
      <c r="I224" s="11"/>
      <c r="J224" s="11"/>
      <c r="K224" s="11">
        <f>1+6</f>
        <v>7</v>
      </c>
      <c r="L224" s="11"/>
      <c r="M224" s="11"/>
      <c r="N224" s="11"/>
      <c r="O224" s="11"/>
      <c r="P224" s="11"/>
      <c r="Q224" s="11"/>
      <c r="R224" s="11"/>
      <c r="S224" s="11">
        <f>1</f>
        <v>1</v>
      </c>
      <c r="T224" s="11"/>
      <c r="U224" s="11"/>
      <c r="V224" s="11"/>
      <c r="W224" s="11">
        <f>1</f>
        <v>1</v>
      </c>
      <c r="X224" s="11"/>
      <c r="Y224" s="8">
        <f t="shared" si="27"/>
        <v>9</v>
      </c>
      <c r="Z224" s="11">
        <f>1+1+1</f>
        <v>3</v>
      </c>
      <c r="AA224" s="11">
        <f>1</f>
        <v>1</v>
      </c>
      <c r="AB224" s="11">
        <f>1+1+2</f>
        <v>4</v>
      </c>
      <c r="AC224" s="11">
        <f>1</f>
        <v>1</v>
      </c>
      <c r="AD224" s="11"/>
      <c r="AE224" s="11"/>
      <c r="AF224" s="11"/>
      <c r="AG224" s="11"/>
      <c r="AH224" s="11"/>
      <c r="AI224" s="11">
        <f>2</f>
        <v>2</v>
      </c>
      <c r="AJ224" s="11"/>
      <c r="AK224" s="11"/>
      <c r="AL224" s="11"/>
      <c r="AM224" s="11"/>
      <c r="AN224" s="11"/>
      <c r="AO224" s="11"/>
      <c r="AP224" s="11"/>
      <c r="AQ224" s="11">
        <f>1</f>
        <v>1</v>
      </c>
      <c r="AR224" s="11"/>
      <c r="AS224" s="11"/>
      <c r="AT224" s="11"/>
      <c r="AU224" s="11">
        <f>1</f>
        <v>1</v>
      </c>
      <c r="AV224" s="11"/>
      <c r="AW224" s="8">
        <f t="shared" si="24"/>
        <v>4</v>
      </c>
      <c r="AX224" s="14">
        <v>1731.6666666666667</v>
      </c>
      <c r="AY224">
        <v>1440</v>
      </c>
      <c r="AZ224">
        <v>2255</v>
      </c>
      <c r="BA224">
        <v>1500</v>
      </c>
    </row>
    <row r="225" spans="1:138" x14ac:dyDescent="0.25">
      <c r="A225" s="10" t="s">
        <v>49</v>
      </c>
      <c r="B225" s="11">
        <f>1</f>
        <v>1</v>
      </c>
      <c r="C225" s="11"/>
      <c r="D225" s="11">
        <f>1</f>
        <v>1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>
        <f>1</f>
        <v>1</v>
      </c>
      <c r="W225" s="11"/>
      <c r="X225" s="11"/>
      <c r="Y225" s="8">
        <f t="shared" si="27"/>
        <v>1</v>
      </c>
      <c r="Z225" s="11">
        <f>1</f>
        <v>1</v>
      </c>
      <c r="AA225" s="11"/>
      <c r="AB225" s="11">
        <f>1</f>
        <v>1</v>
      </c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>
        <f>1</f>
        <v>1</v>
      </c>
      <c r="AU225" s="11"/>
      <c r="AV225" s="11"/>
      <c r="AW225" s="8">
        <f t="shared" si="24"/>
        <v>1</v>
      </c>
      <c r="AX225" s="14">
        <v>6320</v>
      </c>
      <c r="AY225">
        <v>6320</v>
      </c>
    </row>
    <row r="226" spans="1:138" x14ac:dyDescent="0.25">
      <c r="A226" s="10" t="s">
        <v>50</v>
      </c>
      <c r="B226" s="11">
        <f>1+2+1+1+2+2+1+1+1+1+1+2+1+1+1</f>
        <v>19</v>
      </c>
      <c r="C226" s="11">
        <f>1</f>
        <v>1</v>
      </c>
      <c r="D226" s="11">
        <f>1+4+1+1+3+7+1+3+2+52+1+1+1+1+1</f>
        <v>80</v>
      </c>
      <c r="E226" s="11">
        <f>1</f>
        <v>1</v>
      </c>
      <c r="F226" s="11">
        <v>1</v>
      </c>
      <c r="G226" s="11"/>
      <c r="H226" s="11">
        <f>1+1</f>
        <v>2</v>
      </c>
      <c r="I226" s="11"/>
      <c r="J226" s="11"/>
      <c r="K226" s="11">
        <f>4+1+7+1</f>
        <v>13</v>
      </c>
      <c r="L226" s="11">
        <f>3+3+1</f>
        <v>7</v>
      </c>
      <c r="M226" s="11">
        <f>2+1</f>
        <v>3</v>
      </c>
      <c r="N226" s="11"/>
      <c r="O226" s="11"/>
      <c r="P226" s="11"/>
      <c r="Q226" s="11"/>
      <c r="R226" s="11">
        <f>1</f>
        <v>1</v>
      </c>
      <c r="S226" s="11"/>
      <c r="T226" s="11"/>
      <c r="U226" s="11"/>
      <c r="V226" s="11">
        <f>52+1</f>
        <v>53</v>
      </c>
      <c r="W226" s="11"/>
      <c r="X226" s="11"/>
      <c r="Y226" s="8">
        <f t="shared" si="27"/>
        <v>80</v>
      </c>
      <c r="Z226" s="11">
        <f>2+1+1+2+2+1+1+1+1+1+1+1+1</f>
        <v>16</v>
      </c>
      <c r="AA226" s="11">
        <f>1</f>
        <v>1</v>
      </c>
      <c r="AB226" s="11">
        <f>4+1+1+3+6+3+1+18+1+1+1+1+1</f>
        <v>42</v>
      </c>
      <c r="AC226" s="11">
        <f>1</f>
        <v>1</v>
      </c>
      <c r="AD226" s="11"/>
      <c r="AE226" s="11"/>
      <c r="AF226" s="11">
        <f>1</f>
        <v>1</v>
      </c>
      <c r="AG226" s="11"/>
      <c r="AH226" s="11"/>
      <c r="AI226" s="11">
        <f>4+1+6+1</f>
        <v>12</v>
      </c>
      <c r="AJ226" s="11">
        <f>3+3+1</f>
        <v>7</v>
      </c>
      <c r="AK226" s="11">
        <f>1+1</f>
        <v>2</v>
      </c>
      <c r="AL226" s="11"/>
      <c r="AM226" s="11"/>
      <c r="AN226" s="11"/>
      <c r="AO226" s="11"/>
      <c r="AP226" s="11">
        <f>1</f>
        <v>1</v>
      </c>
      <c r="AQ226" s="11"/>
      <c r="AR226" s="11"/>
      <c r="AS226" s="11"/>
      <c r="AT226" s="11">
        <f>18+1</f>
        <v>19</v>
      </c>
      <c r="AU226" s="11"/>
      <c r="AV226" s="11"/>
      <c r="AW226" s="8">
        <f t="shared" si="24"/>
        <v>42</v>
      </c>
      <c r="AX226" s="14">
        <v>4796.3846153846152</v>
      </c>
      <c r="AY226">
        <v>1350</v>
      </c>
      <c r="AZ226">
        <v>5400</v>
      </c>
      <c r="BA226">
        <v>3495</v>
      </c>
      <c r="BB226">
        <v>6540</v>
      </c>
      <c r="BC226">
        <v>1712</v>
      </c>
      <c r="BD226">
        <v>3795</v>
      </c>
      <c r="BE226">
        <v>6760</v>
      </c>
      <c r="BF226">
        <v>5100</v>
      </c>
      <c r="BG226">
        <v>3336</v>
      </c>
      <c r="BH226">
        <v>7850</v>
      </c>
      <c r="BI226">
        <v>4445</v>
      </c>
      <c r="BJ226">
        <v>4645</v>
      </c>
      <c r="BK226">
        <v>7925</v>
      </c>
    </row>
    <row r="227" spans="1:138" x14ac:dyDescent="0.25">
      <c r="A227" s="10" t="s">
        <v>51</v>
      </c>
      <c r="B227" s="11">
        <v>1</v>
      </c>
      <c r="C227" s="11">
        <v>1</v>
      </c>
      <c r="D227" s="11">
        <v>3</v>
      </c>
      <c r="E227" s="11">
        <v>3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>
        <v>3</v>
      </c>
      <c r="V227" s="11"/>
      <c r="W227" s="11"/>
      <c r="X227" s="11"/>
      <c r="Y227" s="8">
        <f t="shared" si="27"/>
        <v>3</v>
      </c>
      <c r="Z227" s="11">
        <v>1</v>
      </c>
      <c r="AA227" s="11">
        <v>1</v>
      </c>
      <c r="AB227" s="11">
        <v>3</v>
      </c>
      <c r="AC227" s="11">
        <v>3</v>
      </c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>
        <v>3</v>
      </c>
      <c r="AT227" s="11"/>
      <c r="AU227" s="11"/>
      <c r="AV227" s="11"/>
      <c r="AW227" s="8">
        <f t="shared" si="24"/>
        <v>3</v>
      </c>
      <c r="AX227" s="14">
        <v>4000</v>
      </c>
      <c r="AY227">
        <v>4000</v>
      </c>
    </row>
    <row r="228" spans="1:138" x14ac:dyDescent="0.25">
      <c r="A228" s="10" t="s">
        <v>52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8">
        <f t="shared" si="27"/>
        <v>0</v>
      </c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8">
        <f t="shared" si="24"/>
        <v>0</v>
      </c>
      <c r="AX228" s="14"/>
    </row>
    <row r="229" spans="1:138" x14ac:dyDescent="0.25">
      <c r="A229" s="10" t="s">
        <v>53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8">
        <f t="shared" si="27"/>
        <v>0</v>
      </c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8">
        <f t="shared" si="24"/>
        <v>0</v>
      </c>
      <c r="AX229" s="14"/>
    </row>
    <row r="230" spans="1:138" x14ac:dyDescent="0.25">
      <c r="A230" s="10" t="s">
        <v>54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8">
        <f t="shared" si="27"/>
        <v>0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8">
        <f t="shared" si="24"/>
        <v>0</v>
      </c>
      <c r="AX230" s="14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138" s="9" customFormat="1" x14ac:dyDescent="0.25">
      <c r="A231" s="40" t="s">
        <v>55</v>
      </c>
      <c r="B231" s="8">
        <f t="shared" ref="B231:X231" si="30">B232+B233+B234+B235+B236+B237+B238+B239+B240+B241+B242+B243+B244+B245+B246</f>
        <v>170</v>
      </c>
      <c r="C231" s="8">
        <f t="shared" si="30"/>
        <v>36</v>
      </c>
      <c r="D231" s="8">
        <f t="shared" si="30"/>
        <v>251</v>
      </c>
      <c r="E231" s="8">
        <f t="shared" si="30"/>
        <v>75</v>
      </c>
      <c r="F231" s="8">
        <f t="shared" si="30"/>
        <v>1</v>
      </c>
      <c r="G231" s="8">
        <f t="shared" si="30"/>
        <v>0</v>
      </c>
      <c r="H231" s="8">
        <f t="shared" si="30"/>
        <v>34</v>
      </c>
      <c r="I231" s="8">
        <f t="shared" si="30"/>
        <v>0</v>
      </c>
      <c r="J231" s="8">
        <f t="shared" si="30"/>
        <v>7</v>
      </c>
      <c r="K231" s="8">
        <f t="shared" si="30"/>
        <v>16</v>
      </c>
      <c r="L231" s="8">
        <f t="shared" si="30"/>
        <v>19</v>
      </c>
      <c r="M231" s="8">
        <f t="shared" si="30"/>
        <v>11</v>
      </c>
      <c r="N231" s="8">
        <f t="shared" si="30"/>
        <v>0</v>
      </c>
      <c r="O231" s="8">
        <f t="shared" si="30"/>
        <v>0</v>
      </c>
      <c r="P231" s="8">
        <f t="shared" si="30"/>
        <v>1</v>
      </c>
      <c r="Q231" s="8">
        <f t="shared" si="30"/>
        <v>1</v>
      </c>
      <c r="R231" s="8">
        <f t="shared" si="30"/>
        <v>93</v>
      </c>
      <c r="S231" s="8">
        <f t="shared" si="30"/>
        <v>3</v>
      </c>
      <c r="T231" s="8">
        <f t="shared" si="30"/>
        <v>58</v>
      </c>
      <c r="U231" s="8">
        <f t="shared" si="30"/>
        <v>4</v>
      </c>
      <c r="V231" s="8">
        <f t="shared" si="30"/>
        <v>2</v>
      </c>
      <c r="W231" s="8">
        <f t="shared" si="30"/>
        <v>2</v>
      </c>
      <c r="X231" s="8">
        <f t="shared" si="30"/>
        <v>0</v>
      </c>
      <c r="Y231" s="8">
        <f t="shared" si="27"/>
        <v>252</v>
      </c>
      <c r="Z231" s="8">
        <f t="shared" ref="Z231:AV231" si="31">Z232+Z233+Z234+Z235+Z236+Z237+Z238+Z239+Z240+Z241+Z242+Z243+Z244+Z245+Z246</f>
        <v>132</v>
      </c>
      <c r="AA231" s="8">
        <f t="shared" si="31"/>
        <v>34</v>
      </c>
      <c r="AB231" s="8">
        <f t="shared" si="31"/>
        <v>173</v>
      </c>
      <c r="AC231" s="8">
        <f t="shared" si="31"/>
        <v>60</v>
      </c>
      <c r="AD231" s="8">
        <f t="shared" si="31"/>
        <v>1</v>
      </c>
      <c r="AE231" s="8">
        <f t="shared" si="31"/>
        <v>0</v>
      </c>
      <c r="AF231" s="8">
        <f t="shared" si="31"/>
        <v>22</v>
      </c>
      <c r="AG231" s="8">
        <f t="shared" si="31"/>
        <v>0</v>
      </c>
      <c r="AH231" s="8">
        <f t="shared" si="31"/>
        <v>5</v>
      </c>
      <c r="AI231" s="8">
        <f t="shared" si="31"/>
        <v>10</v>
      </c>
      <c r="AJ231" s="8">
        <f t="shared" si="31"/>
        <v>14</v>
      </c>
      <c r="AK231" s="8">
        <f t="shared" si="31"/>
        <v>7</v>
      </c>
      <c r="AL231" s="8">
        <f t="shared" si="31"/>
        <v>0</v>
      </c>
      <c r="AM231" s="8">
        <f t="shared" si="31"/>
        <v>0</v>
      </c>
      <c r="AN231" s="8">
        <f t="shared" si="31"/>
        <v>1</v>
      </c>
      <c r="AO231" s="8">
        <f t="shared" si="31"/>
        <v>1</v>
      </c>
      <c r="AP231" s="8">
        <f t="shared" si="31"/>
        <v>70</v>
      </c>
      <c r="AQ231" s="8">
        <f t="shared" si="31"/>
        <v>1</v>
      </c>
      <c r="AR231" s="8">
        <f t="shared" si="31"/>
        <v>44</v>
      </c>
      <c r="AS231" s="8">
        <f t="shared" si="31"/>
        <v>3</v>
      </c>
      <c r="AT231" s="8">
        <f t="shared" si="31"/>
        <v>2</v>
      </c>
      <c r="AU231" s="8">
        <f t="shared" si="31"/>
        <v>2</v>
      </c>
      <c r="AV231" s="8">
        <f t="shared" si="31"/>
        <v>0</v>
      </c>
      <c r="AW231" s="8">
        <f t="shared" si="24"/>
        <v>183</v>
      </c>
      <c r="AX231" s="69"/>
      <c r="EH231"/>
    </row>
    <row r="232" spans="1:138" x14ac:dyDescent="0.25">
      <c r="A232" s="10" t="s">
        <v>124</v>
      </c>
      <c r="B232" s="11">
        <f>1+1+1+1+2+8+1+1+2+6+1+1+1+2+1+1+1+1</f>
        <v>33</v>
      </c>
      <c r="C232" s="11">
        <f>1</f>
        <v>1</v>
      </c>
      <c r="D232" s="11">
        <f>1+2+2+1+6+9+1+1+2+1+1+2+1+1+1+1</f>
        <v>33</v>
      </c>
      <c r="E232" s="11">
        <v>1</v>
      </c>
      <c r="F232" s="11"/>
      <c r="G232" s="11"/>
      <c r="H232" s="11">
        <f>1+1+1+1</f>
        <v>4</v>
      </c>
      <c r="I232" s="11"/>
      <c r="J232" s="11"/>
      <c r="K232" s="11">
        <f>6+2</f>
        <v>8</v>
      </c>
      <c r="L232" s="11"/>
      <c r="M232" s="11">
        <f>1</f>
        <v>1</v>
      </c>
      <c r="N232" s="11"/>
      <c r="O232" s="11"/>
      <c r="P232" s="11"/>
      <c r="Q232" s="11"/>
      <c r="R232" s="11">
        <f>1+2+2+9+1+2+1</f>
        <v>18</v>
      </c>
      <c r="S232" s="11">
        <f>1</f>
        <v>1</v>
      </c>
      <c r="T232" s="11">
        <f>1</f>
        <v>1</v>
      </c>
      <c r="U232" s="11"/>
      <c r="V232" s="11"/>
      <c r="W232" s="11"/>
      <c r="X232" s="11"/>
      <c r="Y232" s="8">
        <f t="shared" si="27"/>
        <v>33</v>
      </c>
      <c r="Z232" s="11">
        <f>1+1+1+1+2+8+1+1+2+1+2+1+1+1</f>
        <v>24</v>
      </c>
      <c r="AA232" s="11">
        <f>1</f>
        <v>1</v>
      </c>
      <c r="AB232" s="11">
        <f>1+2+1+1+2+1+1+2+1+2+1+1+1</f>
        <v>17</v>
      </c>
      <c r="AC232" s="11">
        <f>1</f>
        <v>1</v>
      </c>
      <c r="AD232" s="11"/>
      <c r="AE232" s="11"/>
      <c r="AF232" s="11">
        <f>1+1+1</f>
        <v>3</v>
      </c>
      <c r="AG232" s="11"/>
      <c r="AH232" s="11"/>
      <c r="AI232" s="11">
        <f>2+2</f>
        <v>4</v>
      </c>
      <c r="AJ232" s="11"/>
      <c r="AK232" s="11"/>
      <c r="AL232" s="11"/>
      <c r="AM232" s="11"/>
      <c r="AN232" s="11"/>
      <c r="AO232" s="11"/>
      <c r="AP232" s="11">
        <f>1+2+1+8+1+2</f>
        <v>15</v>
      </c>
      <c r="AQ232" s="11">
        <f>1</f>
        <v>1</v>
      </c>
      <c r="AR232" s="11">
        <f>1</f>
        <v>1</v>
      </c>
      <c r="AS232" s="11"/>
      <c r="AT232" s="11"/>
      <c r="AU232" s="11"/>
      <c r="AV232" s="11"/>
      <c r="AW232" s="8">
        <f t="shared" si="24"/>
        <v>24</v>
      </c>
      <c r="AX232" s="14">
        <v>2943.042857142857</v>
      </c>
      <c r="AY232">
        <v>3480</v>
      </c>
      <c r="AZ232">
        <v>5961</v>
      </c>
      <c r="BA232">
        <v>6870</v>
      </c>
      <c r="BB232">
        <v>431.2</v>
      </c>
      <c r="BC232">
        <v>1529.2</v>
      </c>
      <c r="BD232">
        <v>4020</v>
      </c>
      <c r="BE232">
        <v>2443</v>
      </c>
      <c r="BF232">
        <v>1672</v>
      </c>
      <c r="BG232">
        <v>2335</v>
      </c>
      <c r="BH232">
        <v>2872</v>
      </c>
      <c r="BI232">
        <v>2840</v>
      </c>
      <c r="BJ232">
        <v>3590</v>
      </c>
      <c r="BK232">
        <v>287.2</v>
      </c>
      <c r="BL232">
        <v>2872</v>
      </c>
    </row>
    <row r="233" spans="1:138" x14ac:dyDescent="0.25">
      <c r="A233" s="10" t="s">
        <v>125</v>
      </c>
      <c r="B233" s="11">
        <f>1+4+1+1+1+1+1+1</f>
        <v>11</v>
      </c>
      <c r="C233" s="11">
        <f>4+1+1+1+1+1</f>
        <v>9</v>
      </c>
      <c r="D233" s="11">
        <f>1+4+1+1+1+1+1+1</f>
        <v>11</v>
      </c>
      <c r="E233" s="11">
        <f>4+1+1+1+1+1</f>
        <v>9</v>
      </c>
      <c r="F233" s="11"/>
      <c r="G233" s="11"/>
      <c r="H233" s="11">
        <v>1</v>
      </c>
      <c r="I233" s="11"/>
      <c r="J233" s="11">
        <f>4+1</f>
        <v>5</v>
      </c>
      <c r="K233" s="11"/>
      <c r="L233" s="11"/>
      <c r="M233" s="11">
        <f>1</f>
        <v>1</v>
      </c>
      <c r="N233" s="11"/>
      <c r="O233" s="11"/>
      <c r="P233" s="11"/>
      <c r="Q233" s="11">
        <f>1</f>
        <v>1</v>
      </c>
      <c r="R233" s="11"/>
      <c r="S233" s="11"/>
      <c r="T233" s="11">
        <f>1+1+1</f>
        <v>3</v>
      </c>
      <c r="U233" s="11"/>
      <c r="V233" s="11"/>
      <c r="W233" s="11"/>
      <c r="X233" s="11"/>
      <c r="Y233" s="8">
        <f t="shared" si="27"/>
        <v>11</v>
      </c>
      <c r="Z233" s="11">
        <f>4+1+1+1+1+1</f>
        <v>9</v>
      </c>
      <c r="AA233" s="11">
        <f>4+1+1+1+1+1</f>
        <v>9</v>
      </c>
      <c r="AB233" s="11">
        <f>4+1+1+1+1+1</f>
        <v>9</v>
      </c>
      <c r="AC233" s="11">
        <f>4+1+1+1+1+1</f>
        <v>9</v>
      </c>
      <c r="AD233" s="11"/>
      <c r="AE233" s="11"/>
      <c r="AF233" s="11"/>
      <c r="AG233" s="11"/>
      <c r="AH233" s="11">
        <f>4</f>
        <v>4</v>
      </c>
      <c r="AI233" s="11"/>
      <c r="AJ233" s="11"/>
      <c r="AK233" s="11">
        <f>1</f>
        <v>1</v>
      </c>
      <c r="AL233" s="11"/>
      <c r="AM233" s="11"/>
      <c r="AN233" s="11"/>
      <c r="AO233" s="11">
        <f>1</f>
        <v>1</v>
      </c>
      <c r="AP233" s="11"/>
      <c r="AQ233" s="11"/>
      <c r="AR233" s="11">
        <f>1+1+1</f>
        <v>3</v>
      </c>
      <c r="AS233" s="11"/>
      <c r="AT233" s="11"/>
      <c r="AU233" s="11"/>
      <c r="AV233" s="11"/>
      <c r="AW233" s="8">
        <f t="shared" si="24"/>
        <v>9</v>
      </c>
      <c r="AX233" s="14">
        <v>1516</v>
      </c>
      <c r="AY233">
        <v>1292</v>
      </c>
      <c r="AZ233">
        <v>1596</v>
      </c>
      <c r="BA233">
        <v>1512</v>
      </c>
      <c r="BB233">
        <v>1672</v>
      </c>
      <c r="BC233">
        <v>1512</v>
      </c>
      <c r="BD233">
        <v>1512</v>
      </c>
    </row>
    <row r="234" spans="1:138" x14ac:dyDescent="0.25">
      <c r="A234" s="10" t="s">
        <v>126</v>
      </c>
      <c r="B234" s="11">
        <f>2+2+1+1+1+1+2+3+1+1+2+1</f>
        <v>18</v>
      </c>
      <c r="C234" s="11">
        <v>1</v>
      </c>
      <c r="D234" s="11">
        <f>3+3+2+1+1+1+2+13+1+1+2+1</f>
        <v>31</v>
      </c>
      <c r="E234" s="11">
        <v>1</v>
      </c>
      <c r="F234" s="11"/>
      <c r="G234" s="11"/>
      <c r="H234" s="11">
        <f>2+1+1</f>
        <v>4</v>
      </c>
      <c r="I234" s="11"/>
      <c r="J234" s="11">
        <f>1</f>
        <v>1</v>
      </c>
      <c r="K234" s="11"/>
      <c r="L234" s="11"/>
      <c r="M234" s="11">
        <f>1</f>
        <v>1</v>
      </c>
      <c r="N234" s="11"/>
      <c r="O234" s="11"/>
      <c r="P234" s="11"/>
      <c r="Q234" s="11"/>
      <c r="R234" s="11">
        <f>3+3+1+2+13+2+1</f>
        <v>25</v>
      </c>
      <c r="S234" s="11"/>
      <c r="T234" s="11"/>
      <c r="U234" s="11"/>
      <c r="V234" s="11"/>
      <c r="W234" s="11"/>
      <c r="X234" s="11"/>
      <c r="Y234" s="8">
        <f t="shared" si="27"/>
        <v>31</v>
      </c>
      <c r="Z234" s="11">
        <f>2+2+1+1+1+2+3+2</f>
        <v>14</v>
      </c>
      <c r="AA234" s="11">
        <v>1</v>
      </c>
      <c r="AB234" s="11">
        <f>3+1+1+1+2+13+2</f>
        <v>23</v>
      </c>
      <c r="AC234" s="11"/>
      <c r="AD234" s="11"/>
      <c r="AE234" s="11"/>
      <c r="AF234" s="11">
        <f>1+1</f>
        <v>2</v>
      </c>
      <c r="AG234" s="11"/>
      <c r="AH234" s="11"/>
      <c r="AI234" s="11"/>
      <c r="AJ234" s="11"/>
      <c r="AK234" s="11">
        <f>1</f>
        <v>1</v>
      </c>
      <c r="AL234" s="11"/>
      <c r="AM234" s="11"/>
      <c r="AN234" s="11"/>
      <c r="AO234" s="11"/>
      <c r="AP234" s="11">
        <f>3+3+2+13+2</f>
        <v>23</v>
      </c>
      <c r="AQ234" s="11"/>
      <c r="AR234" s="11"/>
      <c r="AS234" s="11"/>
      <c r="AT234" s="11"/>
      <c r="AU234" s="11"/>
      <c r="AV234" s="11"/>
      <c r="AW234" s="8">
        <f t="shared" si="24"/>
        <v>26</v>
      </c>
      <c r="AX234" s="14">
        <v>1805.0625</v>
      </c>
      <c r="AY234">
        <v>1560</v>
      </c>
      <c r="AZ234">
        <v>2296</v>
      </c>
      <c r="BA234">
        <v>2400</v>
      </c>
      <c r="BB234">
        <v>952</v>
      </c>
      <c r="BC234">
        <v>1592</v>
      </c>
      <c r="BD234">
        <v>1990</v>
      </c>
      <c r="BE234">
        <v>1932</v>
      </c>
      <c r="BF234">
        <v>1718.5</v>
      </c>
    </row>
    <row r="235" spans="1:138" x14ac:dyDescent="0.25">
      <c r="A235" s="10" t="s">
        <v>127</v>
      </c>
      <c r="B235" s="11">
        <f>2+1+1+1+1+1+1+1</f>
        <v>9</v>
      </c>
      <c r="C235" s="11">
        <f>2+1+1+1+1+1+1</f>
        <v>8</v>
      </c>
      <c r="D235" s="11">
        <f>14+1+1+1+1+1+1</f>
        <v>20</v>
      </c>
      <c r="E235" s="11">
        <f>14+1+1+1+1+1</f>
        <v>19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>
        <f>1+1</f>
        <v>2</v>
      </c>
      <c r="S235" s="11"/>
      <c r="T235" s="11">
        <f>14+1+2+1</f>
        <v>18</v>
      </c>
      <c r="U235" s="11"/>
      <c r="V235" s="11">
        <f>1</f>
        <v>1</v>
      </c>
      <c r="W235" s="11"/>
      <c r="X235" s="11"/>
      <c r="Y235" s="8">
        <f t="shared" si="27"/>
        <v>21</v>
      </c>
      <c r="Z235" s="11">
        <f>2+1+1+1+1+1+1</f>
        <v>8</v>
      </c>
      <c r="AA235" s="11">
        <f>2+1+1+1+1+1+1</f>
        <v>8</v>
      </c>
      <c r="AB235" s="11">
        <f>13+1+1+1+1+1+1</f>
        <v>19</v>
      </c>
      <c r="AC235" s="11">
        <f>1+13+1+1+1+1+1</f>
        <v>19</v>
      </c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>
        <f>1</f>
        <v>1</v>
      </c>
      <c r="AQ235" s="11"/>
      <c r="AR235" s="11">
        <f>13+1+1+1+1</f>
        <v>17</v>
      </c>
      <c r="AS235" s="11"/>
      <c r="AT235" s="11">
        <f>1</f>
        <v>1</v>
      </c>
      <c r="AU235" s="11"/>
      <c r="AV235" s="11"/>
      <c r="AW235" s="8">
        <f t="shared" si="24"/>
        <v>19</v>
      </c>
      <c r="AX235" s="14">
        <v>1665.7142857142858</v>
      </c>
      <c r="AY235" s="73">
        <v>480</v>
      </c>
      <c r="AZ235">
        <v>1672</v>
      </c>
      <c r="BA235">
        <v>1672</v>
      </c>
      <c r="BB235">
        <v>3600</v>
      </c>
      <c r="BC235">
        <v>2300</v>
      </c>
      <c r="BD235">
        <v>264</v>
      </c>
      <c r="BE235">
        <v>1672</v>
      </c>
    </row>
    <row r="236" spans="1:138" x14ac:dyDescent="0.25">
      <c r="A236" s="10" t="s">
        <v>103</v>
      </c>
      <c r="B236" s="11">
        <f>2+1+1+2+1+1+1+1+2+1+1+2+1+1</f>
        <v>18</v>
      </c>
      <c r="C236" s="11"/>
      <c r="D236" s="11">
        <f>2+2+1+2+1+1+1+3+2+1+1+5+1+1</f>
        <v>24</v>
      </c>
      <c r="E236" s="11"/>
      <c r="F236" s="11"/>
      <c r="G236" s="11"/>
      <c r="H236" s="11">
        <f>1+1</f>
        <v>2</v>
      </c>
      <c r="I236" s="11"/>
      <c r="J236" s="11"/>
      <c r="K236" s="11"/>
      <c r="L236" s="11">
        <f>2+1+1+1+1+1</f>
        <v>7</v>
      </c>
      <c r="M236" s="11">
        <f>2+3</f>
        <v>5</v>
      </c>
      <c r="N236" s="11"/>
      <c r="O236" s="11"/>
      <c r="P236" s="11"/>
      <c r="Q236" s="11"/>
      <c r="R236" s="11">
        <f>2+2+5+1</f>
        <v>10</v>
      </c>
      <c r="S236" s="11"/>
      <c r="T236" s="11"/>
      <c r="U236" s="11"/>
      <c r="V236" s="11"/>
      <c r="W236" s="11"/>
      <c r="X236" s="11"/>
      <c r="Y236" s="8">
        <f t="shared" si="27"/>
        <v>24</v>
      </c>
      <c r="Z236" s="11">
        <f>2+1+1+1+1+1+1+1+2+1+1+2+1+1</f>
        <v>17</v>
      </c>
      <c r="AA236" s="11"/>
      <c r="AB236" s="11">
        <f>2+2+1+1+1+1+1+1+2+1+1+3+1+1</f>
        <v>19</v>
      </c>
      <c r="AC236" s="11"/>
      <c r="AD236" s="11"/>
      <c r="AE236" s="11"/>
      <c r="AF236" s="11">
        <f>1+1</f>
        <v>2</v>
      </c>
      <c r="AG236" s="11"/>
      <c r="AH236" s="11"/>
      <c r="AI236" s="11"/>
      <c r="AJ236" s="11">
        <f>2+1+1+1+1+1</f>
        <v>7</v>
      </c>
      <c r="AK236" s="11">
        <f>2+1</f>
        <v>3</v>
      </c>
      <c r="AL236" s="11"/>
      <c r="AM236" s="11"/>
      <c r="AN236" s="11"/>
      <c r="AO236" s="11"/>
      <c r="AP236" s="11">
        <f>1+2+3+1</f>
        <v>7</v>
      </c>
      <c r="AQ236" s="11"/>
      <c r="AR236" s="11"/>
      <c r="AS236" s="11"/>
      <c r="AT236" s="11"/>
      <c r="AU236" s="11"/>
      <c r="AV236" s="11"/>
      <c r="AW236" s="8">
        <f t="shared" si="24"/>
        <v>19</v>
      </c>
      <c r="AX236" s="14">
        <v>3213.0666666666666</v>
      </c>
      <c r="AY236" s="73">
        <v>2872</v>
      </c>
      <c r="AZ236" s="73">
        <v>2872</v>
      </c>
      <c r="BA236">
        <v>3192</v>
      </c>
      <c r="BB236">
        <v>3120</v>
      </c>
      <c r="BC236">
        <v>3590</v>
      </c>
      <c r="BD236">
        <v>2872</v>
      </c>
      <c r="BE236">
        <v>2872</v>
      </c>
      <c r="BF236">
        <v>3590</v>
      </c>
      <c r="BG236">
        <v>3120</v>
      </c>
      <c r="BH236">
        <v>3590</v>
      </c>
      <c r="BI236">
        <v>3129</v>
      </c>
      <c r="BJ236">
        <v>3590</v>
      </c>
      <c r="BK236">
        <v>3705</v>
      </c>
      <c r="BL236">
        <v>3292</v>
      </c>
      <c r="BM236">
        <v>2790</v>
      </c>
    </row>
    <row r="237" spans="1:138" x14ac:dyDescent="0.25">
      <c r="A237" s="10" t="s">
        <v>104</v>
      </c>
      <c r="B237" s="11">
        <f>1+1+1+1+1+1+1+1+6+1+1+1</f>
        <v>17</v>
      </c>
      <c r="C237" s="11">
        <f>1+1+1</f>
        <v>3</v>
      </c>
      <c r="D237" s="11">
        <f>1+1+7+1+1+1+1+1+7+1+1+1</f>
        <v>24</v>
      </c>
      <c r="E237" s="11">
        <f>1+1+1</f>
        <v>3</v>
      </c>
      <c r="F237" s="11"/>
      <c r="G237" s="11"/>
      <c r="H237" s="11">
        <f>1+7</f>
        <v>8</v>
      </c>
      <c r="I237" s="11"/>
      <c r="J237" s="11"/>
      <c r="K237" s="11">
        <f>1</f>
        <v>1</v>
      </c>
      <c r="L237" s="11">
        <f>1+7+1</f>
        <v>9</v>
      </c>
      <c r="M237" s="11">
        <f>1</f>
        <v>1</v>
      </c>
      <c r="N237" s="11"/>
      <c r="O237" s="11"/>
      <c r="P237" s="11"/>
      <c r="Q237" s="11"/>
      <c r="R237" s="11">
        <f>1+1+1</f>
        <v>3</v>
      </c>
      <c r="S237" s="11"/>
      <c r="T237" s="11">
        <f>1</f>
        <v>1</v>
      </c>
      <c r="U237" s="11"/>
      <c r="V237" s="11"/>
      <c r="W237" s="11">
        <f>1</f>
        <v>1</v>
      </c>
      <c r="X237" s="11"/>
      <c r="Y237" s="8">
        <f t="shared" si="27"/>
        <v>24</v>
      </c>
      <c r="Z237" s="11">
        <f>1+1+1+1+1+1+1+4+1+1</f>
        <v>13</v>
      </c>
      <c r="AA237" s="11">
        <f>1+1+1</f>
        <v>3</v>
      </c>
      <c r="AB237" s="11">
        <f>1+3+1+1+1+1+1+5+1+1</f>
        <v>16</v>
      </c>
      <c r="AC237" s="11">
        <f>1+1+1</f>
        <v>3</v>
      </c>
      <c r="AD237" s="11"/>
      <c r="AE237" s="11"/>
      <c r="AF237" s="11">
        <f>1+5</f>
        <v>6</v>
      </c>
      <c r="AG237" s="11"/>
      <c r="AH237" s="11"/>
      <c r="AI237" s="11">
        <f>1</f>
        <v>1</v>
      </c>
      <c r="AJ237" s="11">
        <f>1+3+1</f>
        <v>5</v>
      </c>
      <c r="AK237" s="11"/>
      <c r="AL237" s="11"/>
      <c r="AM237" s="11"/>
      <c r="AN237" s="11"/>
      <c r="AO237" s="11"/>
      <c r="AP237" s="11">
        <f>1+1</f>
        <v>2</v>
      </c>
      <c r="AQ237" s="11"/>
      <c r="AR237" s="11">
        <f>1</f>
        <v>1</v>
      </c>
      <c r="AS237" s="11"/>
      <c r="AT237" s="11"/>
      <c r="AU237" s="11">
        <f>1</f>
        <v>1</v>
      </c>
      <c r="AV237" s="11"/>
      <c r="AW237" s="8">
        <f t="shared" si="24"/>
        <v>16</v>
      </c>
      <c r="AX237" s="14">
        <v>1994.2860000000001</v>
      </c>
      <c r="AY237">
        <v>1912</v>
      </c>
      <c r="AZ237">
        <v>5142.8599999999997</v>
      </c>
      <c r="BA237">
        <v>2390</v>
      </c>
      <c r="BB237">
        <v>1512</v>
      </c>
      <c r="BC237">
        <v>1912</v>
      </c>
      <c r="BD237">
        <v>952</v>
      </c>
      <c r="BE237">
        <v>1050</v>
      </c>
      <c r="BF237">
        <v>1460</v>
      </c>
      <c r="BG237">
        <v>2100</v>
      </c>
      <c r="BH237">
        <v>1512</v>
      </c>
    </row>
    <row r="238" spans="1:138" x14ac:dyDescent="0.25">
      <c r="A238" s="10" t="s">
        <v>105</v>
      </c>
      <c r="B238" s="11">
        <f>1+1+1</f>
        <v>3</v>
      </c>
      <c r="C238" s="11">
        <f>1</f>
        <v>1</v>
      </c>
      <c r="D238" s="11">
        <f>1+1+1</f>
        <v>3</v>
      </c>
      <c r="E238" s="11">
        <f>1</f>
        <v>1</v>
      </c>
      <c r="F238" s="11"/>
      <c r="G238" s="11"/>
      <c r="H238" s="11">
        <f>1</f>
        <v>1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>
        <f>1+1</f>
        <v>2</v>
      </c>
      <c r="S238" s="11"/>
      <c r="T238" s="11"/>
      <c r="U238" s="11"/>
      <c r="V238" s="11"/>
      <c r="W238" s="11"/>
      <c r="X238" s="11"/>
      <c r="Y238" s="8">
        <f t="shared" si="27"/>
        <v>3</v>
      </c>
      <c r="Z238" s="11">
        <f>1+1</f>
        <v>2</v>
      </c>
      <c r="AA238" s="11">
        <f>1</f>
        <v>1</v>
      </c>
      <c r="AB238" s="11">
        <f>1+1</f>
        <v>2</v>
      </c>
      <c r="AC238" s="11">
        <f>1</f>
        <v>1</v>
      </c>
      <c r="AD238" s="11"/>
      <c r="AE238" s="11"/>
      <c r="AF238" s="11">
        <f>1</f>
        <v>1</v>
      </c>
      <c r="AG238" s="11"/>
      <c r="AH238" s="11"/>
      <c r="AI238" s="11"/>
      <c r="AJ238" s="11"/>
      <c r="AK238" s="11"/>
      <c r="AL238" s="11"/>
      <c r="AM238" s="11"/>
      <c r="AN238" s="11"/>
      <c r="AO238" s="11"/>
      <c r="AP238" s="11">
        <f>1</f>
        <v>1</v>
      </c>
      <c r="AQ238" s="11"/>
      <c r="AR238" s="11"/>
      <c r="AS238" s="11"/>
      <c r="AT238" s="11"/>
      <c r="AU238" s="11"/>
      <c r="AV238" s="11"/>
      <c r="AW238" s="8">
        <f t="shared" si="24"/>
        <v>2</v>
      </c>
      <c r="AX238" s="14">
        <v>1166</v>
      </c>
      <c r="AY238">
        <v>500</v>
      </c>
      <c r="AZ238">
        <v>1832</v>
      </c>
    </row>
    <row r="239" spans="1:138" x14ac:dyDescent="0.25">
      <c r="A239" s="10" t="s">
        <v>106</v>
      </c>
      <c r="B239" s="11">
        <f>2+1+2+1+1+1+4+1+2+1+1+1+6+1+1+3+1</f>
        <v>30</v>
      </c>
      <c r="C239" s="11">
        <f>1+1+1+1</f>
        <v>4</v>
      </c>
      <c r="D239" s="11">
        <f>2+1+2+1+1+1+10+1+2+1+1+1+6+1+1+3+1</f>
        <v>36</v>
      </c>
      <c r="E239" s="11">
        <f>1+1+1+1</f>
        <v>4</v>
      </c>
      <c r="F239" s="11"/>
      <c r="G239" s="11"/>
      <c r="H239" s="11">
        <f>1+1+1+3</f>
        <v>6</v>
      </c>
      <c r="I239" s="11"/>
      <c r="J239" s="11">
        <f>1</f>
        <v>1</v>
      </c>
      <c r="K239" s="11">
        <f>1</f>
        <v>1</v>
      </c>
      <c r="L239" s="11">
        <v>2</v>
      </c>
      <c r="M239" s="11">
        <f>1</f>
        <v>1</v>
      </c>
      <c r="N239" s="11"/>
      <c r="O239" s="11"/>
      <c r="P239" s="11"/>
      <c r="Q239" s="11"/>
      <c r="R239" s="11">
        <f>1+2+10+2+6+1</f>
        <v>22</v>
      </c>
      <c r="S239" s="11">
        <f>1</f>
        <v>1</v>
      </c>
      <c r="T239" s="11"/>
      <c r="U239" s="11">
        <f>1</f>
        <v>1</v>
      </c>
      <c r="V239" s="11"/>
      <c r="W239" s="11">
        <f>1</f>
        <v>1</v>
      </c>
      <c r="X239" s="11"/>
      <c r="Y239" s="8">
        <f t="shared" si="27"/>
        <v>36</v>
      </c>
      <c r="Z239" s="11">
        <f>2+1+1+1+1+4+1+2+1+1+1+3+2+1</f>
        <v>22</v>
      </c>
      <c r="AA239" s="11">
        <f>1+1+1</f>
        <v>3</v>
      </c>
      <c r="AB239" s="11">
        <f>2+1+1+1+1+4+1+2+1+1+1+3+2+1</f>
        <v>22</v>
      </c>
      <c r="AC239" s="11">
        <f>1+1+1</f>
        <v>3</v>
      </c>
      <c r="AD239" s="11"/>
      <c r="AE239" s="11"/>
      <c r="AF239" s="11">
        <f>1+1+2</f>
        <v>4</v>
      </c>
      <c r="AG239" s="11"/>
      <c r="AH239" s="11">
        <f>1</f>
        <v>1</v>
      </c>
      <c r="AI239" s="11">
        <f>1</f>
        <v>1</v>
      </c>
      <c r="AJ239" s="11">
        <v>2</v>
      </c>
      <c r="AK239" s="11">
        <f>1</f>
        <v>1</v>
      </c>
      <c r="AL239" s="11"/>
      <c r="AM239" s="11"/>
      <c r="AN239" s="11"/>
      <c r="AO239" s="11"/>
      <c r="AP239" s="11">
        <f>1+1+4+2+3+1</f>
        <v>12</v>
      </c>
      <c r="AQ239" s="11"/>
      <c r="AR239" s="11"/>
      <c r="AS239" s="11"/>
      <c r="AT239" s="11"/>
      <c r="AU239" s="11">
        <f>1</f>
        <v>1</v>
      </c>
      <c r="AV239" s="11"/>
      <c r="AW239" s="8">
        <f t="shared" si="24"/>
        <v>22</v>
      </c>
      <c r="AX239" s="14">
        <v>2061.6153846153848</v>
      </c>
      <c r="AY239">
        <v>1428</v>
      </c>
      <c r="AZ239">
        <v>4000</v>
      </c>
      <c r="BA239">
        <v>2500</v>
      </c>
      <c r="BB239">
        <v>1352</v>
      </c>
      <c r="BC239">
        <v>952</v>
      </c>
      <c r="BD239">
        <v>2580.5</v>
      </c>
      <c r="BE239">
        <v>1352</v>
      </c>
      <c r="BF239">
        <v>1095</v>
      </c>
      <c r="BG239">
        <v>2552</v>
      </c>
      <c r="BH239">
        <v>3190</v>
      </c>
      <c r="BI239">
        <v>2552</v>
      </c>
      <c r="BJ239">
        <v>1295.5</v>
      </c>
      <c r="BK239">
        <v>1952</v>
      </c>
    </row>
    <row r="240" spans="1:138" x14ac:dyDescent="0.25">
      <c r="A240" s="10" t="s">
        <v>107</v>
      </c>
      <c r="B240" s="11">
        <f>6+1+1+1</f>
        <v>9</v>
      </c>
      <c r="C240" s="11">
        <f>6+1+1+1</f>
        <v>9</v>
      </c>
      <c r="D240" s="11">
        <f>22+13+1+1</f>
        <v>37</v>
      </c>
      <c r="E240" s="11">
        <f>22+13+1+1</f>
        <v>37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>
        <f>22+13</f>
        <v>35</v>
      </c>
      <c r="U240" s="11">
        <f>1</f>
        <v>1</v>
      </c>
      <c r="V240" s="11">
        <f>1</f>
        <v>1</v>
      </c>
      <c r="W240" s="11"/>
      <c r="X240" s="11"/>
      <c r="Y240" s="8">
        <f t="shared" si="27"/>
        <v>37</v>
      </c>
      <c r="Z240" s="11">
        <f>6+1+1</f>
        <v>8</v>
      </c>
      <c r="AA240" s="11">
        <f>6+1+1</f>
        <v>8</v>
      </c>
      <c r="AB240" s="11">
        <f>22+1+1</f>
        <v>24</v>
      </c>
      <c r="AC240" s="11">
        <f>22+1+1</f>
        <v>24</v>
      </c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>
        <f>22</f>
        <v>22</v>
      </c>
      <c r="AS240" s="11">
        <f>1</f>
        <v>1</v>
      </c>
      <c r="AT240" s="11">
        <f>1</f>
        <v>1</v>
      </c>
      <c r="AU240" s="11"/>
      <c r="AV240" s="11"/>
      <c r="AW240" s="8">
        <f t="shared" si="24"/>
        <v>24</v>
      </c>
      <c r="AX240" s="14">
        <v>1436.4433333333334</v>
      </c>
      <c r="AY240">
        <v>1141.33</v>
      </c>
      <c r="AZ240">
        <v>1584</v>
      </c>
      <c r="BA240">
        <v>1584</v>
      </c>
    </row>
    <row r="241" spans="1:75" x14ac:dyDescent="0.25">
      <c r="A241" s="10" t="s">
        <v>108</v>
      </c>
      <c r="B241" s="11">
        <f>1+1+1+1+1+1+1+1+1</f>
        <v>9</v>
      </c>
      <c r="C241" s="11"/>
      <c r="D241" s="11">
        <f>1+1+1+1+2+1+3+1+1</f>
        <v>12</v>
      </c>
      <c r="E241" s="11"/>
      <c r="F241" s="11">
        <v>1</v>
      </c>
      <c r="G241" s="11"/>
      <c r="H241" s="11">
        <f>1+2+3</f>
        <v>6</v>
      </c>
      <c r="I241" s="11"/>
      <c r="J241" s="11"/>
      <c r="K241" s="11"/>
      <c r="L241" s="11"/>
      <c r="M241" s="11">
        <v>1</v>
      </c>
      <c r="N241" s="11"/>
      <c r="O241" s="11"/>
      <c r="P241" s="11"/>
      <c r="Q241" s="11"/>
      <c r="R241" s="11">
        <f>1+1+1</f>
        <v>3</v>
      </c>
      <c r="S241" s="11">
        <f>1</f>
        <v>1</v>
      </c>
      <c r="T241" s="11"/>
      <c r="U241" s="11"/>
      <c r="V241" s="11"/>
      <c r="W241" s="11"/>
      <c r="X241" s="11"/>
      <c r="Y241" s="8">
        <f t="shared" si="27"/>
        <v>12</v>
      </c>
      <c r="Z241" s="11">
        <f>2+1+1+1+1+1</f>
        <v>7</v>
      </c>
      <c r="AA241" s="11"/>
      <c r="AB241" s="11">
        <f>2+1+1+1+3+1</f>
        <v>9</v>
      </c>
      <c r="AC241" s="11"/>
      <c r="AD241" s="11">
        <v>1</v>
      </c>
      <c r="AE241" s="11"/>
      <c r="AF241" s="11">
        <f>1+3</f>
        <v>4</v>
      </c>
      <c r="AG241" s="11"/>
      <c r="AH241" s="11"/>
      <c r="AI241" s="11"/>
      <c r="AJ241" s="11"/>
      <c r="AK241" s="11">
        <v>1</v>
      </c>
      <c r="AL241" s="11"/>
      <c r="AM241" s="11"/>
      <c r="AN241" s="11"/>
      <c r="AO241" s="11"/>
      <c r="AP241" s="11">
        <f>1+1+1</f>
        <v>3</v>
      </c>
      <c r="AQ241" s="11"/>
      <c r="AR241" s="11"/>
      <c r="AS241" s="11"/>
      <c r="AT241" s="11"/>
      <c r="AU241" s="11"/>
      <c r="AV241" s="11"/>
      <c r="AW241" s="8">
        <f t="shared" si="24"/>
        <v>9</v>
      </c>
      <c r="AX241" s="14">
        <v>1869.4285714285713</v>
      </c>
      <c r="AY241" s="73">
        <v>1672</v>
      </c>
      <c r="AZ241" s="73">
        <v>1672</v>
      </c>
      <c r="BA241">
        <v>2090</v>
      </c>
      <c r="BB241">
        <v>2800</v>
      </c>
      <c r="BC241">
        <v>1090</v>
      </c>
      <c r="BD241">
        <v>1672</v>
      </c>
      <c r="BE241">
        <v>2090</v>
      </c>
    </row>
    <row r="242" spans="1:75" x14ac:dyDescent="0.25">
      <c r="A242" s="10" t="s">
        <v>109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8">
        <f t="shared" si="27"/>
        <v>0</v>
      </c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8">
        <f t="shared" si="24"/>
        <v>0</v>
      </c>
      <c r="AX242" s="14"/>
    </row>
    <row r="243" spans="1:75" x14ac:dyDescent="0.25">
      <c r="A243" s="10" t="s">
        <v>110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8">
        <f t="shared" si="27"/>
        <v>0</v>
      </c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8">
        <f t="shared" si="24"/>
        <v>0</v>
      </c>
      <c r="AX243" s="14"/>
    </row>
    <row r="244" spans="1:75" x14ac:dyDescent="0.25">
      <c r="A244" s="10" t="s">
        <v>111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8">
        <f t="shared" si="27"/>
        <v>0</v>
      </c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8">
        <f t="shared" si="24"/>
        <v>0</v>
      </c>
      <c r="AX244" s="14"/>
    </row>
    <row r="245" spans="1:75" x14ac:dyDescent="0.25">
      <c r="A245" s="10" t="s">
        <v>112</v>
      </c>
      <c r="B245" s="16">
        <f>2+2+1+2+2+1+2+1</f>
        <v>13</v>
      </c>
      <c r="C245" s="16"/>
      <c r="D245" s="16">
        <f>4+2+1+2+2+1+6+2</f>
        <v>20</v>
      </c>
      <c r="E245" s="16"/>
      <c r="F245" s="16"/>
      <c r="G245" s="16"/>
      <c r="H245" s="16">
        <f>2</f>
        <v>2</v>
      </c>
      <c r="I245" s="16"/>
      <c r="J245" s="16"/>
      <c r="K245" s="16">
        <f>4+2</f>
        <v>6</v>
      </c>
      <c r="L245" s="16">
        <v>1</v>
      </c>
      <c r="M245" s="16"/>
      <c r="N245" s="16"/>
      <c r="O245" s="16"/>
      <c r="P245" s="16">
        <f>1</f>
        <v>1</v>
      </c>
      <c r="Q245" s="16"/>
      <c r="R245" s="16">
        <f>2+6</f>
        <v>8</v>
      </c>
      <c r="S245" s="16"/>
      <c r="T245" s="16"/>
      <c r="U245" s="16">
        <f>2</f>
        <v>2</v>
      </c>
      <c r="V245" s="16"/>
      <c r="W245" s="16"/>
      <c r="X245" s="16"/>
      <c r="Y245" s="8">
        <f t="shared" si="27"/>
        <v>20</v>
      </c>
      <c r="Z245" s="16">
        <f>2+2+1+2+1</f>
        <v>8</v>
      </c>
      <c r="AA245" s="16"/>
      <c r="AB245" s="16">
        <f>4+2+1+4+2</f>
        <v>13</v>
      </c>
      <c r="AC245" s="16"/>
      <c r="AD245" s="16"/>
      <c r="AE245" s="16"/>
      <c r="AF245" s="16"/>
      <c r="AG245" s="16"/>
      <c r="AH245" s="16"/>
      <c r="AI245" s="16">
        <v>4</v>
      </c>
      <c r="AJ245" s="16"/>
      <c r="AK245" s="16"/>
      <c r="AL245" s="16"/>
      <c r="AM245" s="16"/>
      <c r="AN245" s="16">
        <f>1</f>
        <v>1</v>
      </c>
      <c r="AO245" s="16"/>
      <c r="AP245" s="16">
        <f>2+4</f>
        <v>6</v>
      </c>
      <c r="AQ245" s="16"/>
      <c r="AR245" s="16"/>
      <c r="AS245" s="16">
        <f>2</f>
        <v>2</v>
      </c>
      <c r="AT245" s="16"/>
      <c r="AU245" s="16"/>
      <c r="AV245" s="16"/>
      <c r="AW245" s="8">
        <f t="shared" si="24"/>
        <v>13</v>
      </c>
      <c r="AX245" s="14">
        <v>2342.9</v>
      </c>
      <c r="AY245">
        <v>2194.5</v>
      </c>
      <c r="AZ245">
        <v>2500</v>
      </c>
      <c r="BA245">
        <v>2360</v>
      </c>
      <c r="BB245">
        <v>2300</v>
      </c>
      <c r="BC245">
        <v>2360</v>
      </c>
    </row>
    <row r="246" spans="1:75" x14ac:dyDescent="0.25">
      <c r="A246" s="10" t="s">
        <v>113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8">
        <f t="shared" si="27"/>
        <v>0</v>
      </c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8">
        <f t="shared" si="24"/>
        <v>0</v>
      </c>
      <c r="AX246" s="14"/>
    </row>
    <row r="247" spans="1:75" s="17" customFormat="1" x14ac:dyDescent="0.25">
      <c r="A247" s="50" t="s">
        <v>56</v>
      </c>
      <c r="B247" s="17">
        <f t="shared" ref="B247:AW247" si="32">B6+B26+B44+B63+B73+B94+B178+B181+B195+B223+B231</f>
        <v>1534</v>
      </c>
      <c r="C247" s="17">
        <f t="shared" si="32"/>
        <v>265</v>
      </c>
      <c r="D247" s="17">
        <f t="shared" si="32"/>
        <v>6967</v>
      </c>
      <c r="E247" s="17">
        <f t="shared" si="32"/>
        <v>1856</v>
      </c>
      <c r="F247" s="17">
        <f t="shared" si="32"/>
        <v>2</v>
      </c>
      <c r="G247" s="17">
        <f t="shared" si="32"/>
        <v>0</v>
      </c>
      <c r="H247" s="17">
        <f t="shared" si="32"/>
        <v>2796</v>
      </c>
      <c r="I247" s="17">
        <f t="shared" si="32"/>
        <v>0</v>
      </c>
      <c r="J247" s="17">
        <f t="shared" si="32"/>
        <v>59</v>
      </c>
      <c r="K247" s="17">
        <f t="shared" si="32"/>
        <v>229</v>
      </c>
      <c r="L247" s="17">
        <f t="shared" si="32"/>
        <v>446</v>
      </c>
      <c r="M247" s="17">
        <f t="shared" si="32"/>
        <v>42</v>
      </c>
      <c r="N247" s="17">
        <f t="shared" si="32"/>
        <v>166</v>
      </c>
      <c r="O247" s="17">
        <f t="shared" si="32"/>
        <v>28</v>
      </c>
      <c r="P247" s="17">
        <f t="shared" si="32"/>
        <v>108</v>
      </c>
      <c r="Q247" s="17">
        <f t="shared" si="32"/>
        <v>8</v>
      </c>
      <c r="R247" s="17">
        <f t="shared" si="32"/>
        <v>179</v>
      </c>
      <c r="S247" s="17">
        <f t="shared" si="32"/>
        <v>44</v>
      </c>
      <c r="T247" s="17">
        <f t="shared" si="32"/>
        <v>319</v>
      </c>
      <c r="U247" s="17">
        <f t="shared" si="32"/>
        <v>272</v>
      </c>
      <c r="V247" s="17">
        <f t="shared" si="32"/>
        <v>1771</v>
      </c>
      <c r="W247" s="17">
        <f t="shared" si="32"/>
        <v>67</v>
      </c>
      <c r="X247" s="17">
        <f t="shared" si="32"/>
        <v>434</v>
      </c>
      <c r="Y247" s="17">
        <f t="shared" si="32"/>
        <v>6970</v>
      </c>
      <c r="Z247" s="17">
        <f t="shared" si="32"/>
        <v>1061</v>
      </c>
      <c r="AA247" s="17">
        <f t="shared" si="32"/>
        <v>204</v>
      </c>
      <c r="AB247" s="17">
        <f t="shared" si="32"/>
        <v>4753</v>
      </c>
      <c r="AC247" s="17">
        <f t="shared" si="32"/>
        <v>1205</v>
      </c>
      <c r="AD247" s="17">
        <f t="shared" si="32"/>
        <v>1</v>
      </c>
      <c r="AE247" s="17">
        <f t="shared" si="32"/>
        <v>0</v>
      </c>
      <c r="AF247" s="17">
        <f t="shared" si="32"/>
        <v>2135</v>
      </c>
      <c r="AG247" s="17">
        <f t="shared" si="32"/>
        <v>0</v>
      </c>
      <c r="AH247" s="17">
        <f t="shared" si="32"/>
        <v>49</v>
      </c>
      <c r="AI247" s="17">
        <f t="shared" si="32"/>
        <v>138</v>
      </c>
      <c r="AJ247" s="17">
        <f t="shared" si="32"/>
        <v>250</v>
      </c>
      <c r="AK247" s="17">
        <f t="shared" si="32"/>
        <v>18</v>
      </c>
      <c r="AL247" s="17">
        <f t="shared" si="32"/>
        <v>79</v>
      </c>
      <c r="AM247" s="17">
        <f t="shared" si="32"/>
        <v>25</v>
      </c>
      <c r="AN247" s="17">
        <f t="shared" si="32"/>
        <v>83</v>
      </c>
      <c r="AO247" s="17">
        <f t="shared" si="32"/>
        <v>8</v>
      </c>
      <c r="AP247" s="17">
        <f t="shared" si="32"/>
        <v>102</v>
      </c>
      <c r="AQ247" s="17">
        <f t="shared" si="32"/>
        <v>38</v>
      </c>
      <c r="AR247" s="17">
        <f t="shared" si="32"/>
        <v>212</v>
      </c>
      <c r="AS247" s="17">
        <f t="shared" si="32"/>
        <v>160</v>
      </c>
      <c r="AT247" s="17">
        <f t="shared" si="32"/>
        <v>1211</v>
      </c>
      <c r="AU247" s="17">
        <f t="shared" si="32"/>
        <v>44</v>
      </c>
      <c r="AV247" s="17">
        <f t="shared" si="32"/>
        <v>206</v>
      </c>
      <c r="AW247" s="17">
        <f t="shared" si="32"/>
        <v>4759</v>
      </c>
      <c r="AX247" s="66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</row>
    <row r="250" spans="1:75" x14ac:dyDescent="0.25">
      <c r="A250" s="51"/>
    </row>
  </sheetData>
  <autoFilter ref="A4:BX247" xr:uid="{00000000-0009-0000-0000-000004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</autoFilter>
  <mergeCells count="4">
    <mergeCell ref="AB4:AW4"/>
    <mergeCell ref="D4:Y4"/>
    <mergeCell ref="B4:C4"/>
    <mergeCell ref="Z4:A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L250"/>
  <sheetViews>
    <sheetView topLeftCell="AM1" workbookViewId="0">
      <selection activeCell="BB224" sqref="BB222:BB224"/>
    </sheetView>
  </sheetViews>
  <sheetFormatPr defaultRowHeight="15" x14ac:dyDescent="0.25"/>
  <cols>
    <col min="1" max="1" width="56.140625" customWidth="1"/>
    <col min="2" max="2" width="8.28515625" style="1" customWidth="1"/>
    <col min="3" max="3" width="10.7109375" style="1" customWidth="1"/>
    <col min="4" max="4" width="8.5703125" style="1" customWidth="1"/>
    <col min="5" max="5" width="11.5703125" style="1" customWidth="1"/>
    <col min="6" max="7" width="4.7109375" style="1" customWidth="1"/>
    <col min="8" max="8" width="5.28515625" style="1" customWidth="1"/>
    <col min="9" max="21" width="4.7109375" style="1" customWidth="1"/>
    <col min="22" max="22" width="5.42578125" style="1" customWidth="1"/>
    <col min="23" max="23" width="4.7109375" style="1" customWidth="1"/>
    <col min="24" max="24" width="4.140625" style="1" customWidth="1"/>
    <col min="25" max="25" width="6.42578125" style="1" customWidth="1"/>
    <col min="26" max="26" width="9.140625" style="1" customWidth="1"/>
    <col min="27" max="27" width="10.42578125" style="1" customWidth="1"/>
    <col min="28" max="28" width="7.5703125" style="1" customWidth="1"/>
    <col min="29" max="29" width="11.140625" style="1" customWidth="1"/>
    <col min="30" max="30" width="6.7109375" style="1" customWidth="1"/>
    <col min="31" max="31" width="4.28515625" style="1" customWidth="1"/>
    <col min="32" max="32" width="5.42578125" style="1" customWidth="1"/>
    <col min="33" max="33" width="5" style="1" customWidth="1"/>
    <col min="34" max="34" width="4.7109375" style="1" customWidth="1"/>
    <col min="35" max="35" width="4.28515625" style="1" customWidth="1"/>
    <col min="36" max="49" width="6.7109375" style="1" customWidth="1"/>
    <col min="50" max="50" width="16.7109375" style="22" customWidth="1"/>
    <col min="51" max="70" width="8.85546875" customWidth="1"/>
    <col min="71" max="72" width="9.28515625" customWidth="1"/>
    <col min="73" max="73" width="11.28515625" customWidth="1"/>
    <col min="74" max="137" width="8.85546875" customWidth="1"/>
  </cols>
  <sheetData>
    <row r="1" spans="1:69" ht="10.9" customHeight="1" x14ac:dyDescent="0.25"/>
    <row r="2" spans="1:69" ht="10.9" customHeight="1" x14ac:dyDescent="0.25"/>
    <row r="3" spans="1:69" ht="15.6" customHeight="1" x14ac:dyDescent="0.25"/>
    <row r="4" spans="1:69" s="70" customFormat="1" ht="51" customHeight="1" x14ac:dyDescent="0.25">
      <c r="B4" s="128" t="s">
        <v>0</v>
      </c>
      <c r="C4" s="129"/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  <c r="Z4" s="130" t="s">
        <v>2</v>
      </c>
      <c r="AA4" s="131"/>
      <c r="AB4" s="123" t="s">
        <v>3</v>
      </c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71"/>
    </row>
    <row r="5" spans="1:69" ht="60" x14ac:dyDescent="0.25">
      <c r="A5" s="56">
        <v>2022</v>
      </c>
      <c r="B5" s="3" t="s">
        <v>5</v>
      </c>
      <c r="C5" s="20" t="s">
        <v>6</v>
      </c>
      <c r="D5" s="4" t="s">
        <v>7</v>
      </c>
      <c r="E5" s="60" t="s">
        <v>6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/>
      <c r="Z5" s="5" t="s">
        <v>5</v>
      </c>
      <c r="AA5" s="61" t="s">
        <v>27</v>
      </c>
      <c r="AB5" s="6" t="s">
        <v>7</v>
      </c>
      <c r="AC5" s="62" t="s">
        <v>6</v>
      </c>
      <c r="AD5" s="6" t="s">
        <v>8</v>
      </c>
      <c r="AE5" s="6" t="s">
        <v>9</v>
      </c>
      <c r="AF5" s="6" t="s">
        <v>10</v>
      </c>
      <c r="AG5" s="6" t="s">
        <v>11</v>
      </c>
      <c r="AH5" s="6" t="s">
        <v>12</v>
      </c>
      <c r="AI5" s="6" t="s">
        <v>13</v>
      </c>
      <c r="AJ5" s="6" t="s">
        <v>14</v>
      </c>
      <c r="AK5" s="6" t="s">
        <v>15</v>
      </c>
      <c r="AL5" s="6" t="s">
        <v>16</v>
      </c>
      <c r="AM5" s="6" t="s">
        <v>17</v>
      </c>
      <c r="AN5" s="6" t="s">
        <v>18</v>
      </c>
      <c r="AO5" s="6" t="s">
        <v>19</v>
      </c>
      <c r="AP5" s="6" t="s">
        <v>20</v>
      </c>
      <c r="AQ5" s="6" t="s">
        <v>21</v>
      </c>
      <c r="AR5" s="6" t="s">
        <v>22</v>
      </c>
      <c r="AS5" s="6" t="s">
        <v>23</v>
      </c>
      <c r="AT5" s="6" t="s">
        <v>24</v>
      </c>
      <c r="AU5" s="6" t="s">
        <v>25</v>
      </c>
      <c r="AV5" s="6" t="s">
        <v>26</v>
      </c>
      <c r="AW5" s="6"/>
      <c r="AX5" s="68" t="s">
        <v>28</v>
      </c>
    </row>
    <row r="6" spans="1:69" s="9" customFormat="1" x14ac:dyDescent="0.25">
      <c r="A6" s="40" t="s">
        <v>29</v>
      </c>
      <c r="B6" s="8">
        <f t="shared" ref="B6:X6" si="0">B7+B8+B9+B10+B11+B12+B13+B14+B15+B16+B17+B18+B19+B20+B21+B22+B23+B24+B25</f>
        <v>76</v>
      </c>
      <c r="C6" s="8">
        <f t="shared" si="0"/>
        <v>43</v>
      </c>
      <c r="D6" s="8">
        <f t="shared" si="0"/>
        <v>205</v>
      </c>
      <c r="E6" s="8">
        <f t="shared" si="0"/>
        <v>123</v>
      </c>
      <c r="F6" s="8">
        <f t="shared" si="0"/>
        <v>0</v>
      </c>
      <c r="G6" s="8">
        <f t="shared" si="0"/>
        <v>0</v>
      </c>
      <c r="H6" s="8">
        <f t="shared" si="0"/>
        <v>8</v>
      </c>
      <c r="I6" s="8">
        <f t="shared" si="0"/>
        <v>0</v>
      </c>
      <c r="J6" s="8">
        <f t="shared" si="0"/>
        <v>5</v>
      </c>
      <c r="K6" s="8">
        <f t="shared" si="0"/>
        <v>1</v>
      </c>
      <c r="L6" s="8">
        <f t="shared" si="0"/>
        <v>0</v>
      </c>
      <c r="M6" s="8">
        <f t="shared" si="0"/>
        <v>9</v>
      </c>
      <c r="N6" s="8">
        <f t="shared" si="0"/>
        <v>0</v>
      </c>
      <c r="O6" s="8">
        <f t="shared" si="0"/>
        <v>1</v>
      </c>
      <c r="P6" s="8">
        <f t="shared" si="0"/>
        <v>0</v>
      </c>
      <c r="Q6" s="8">
        <f t="shared" si="0"/>
        <v>0</v>
      </c>
      <c r="R6" s="8">
        <f t="shared" si="0"/>
        <v>4</v>
      </c>
      <c r="S6" s="8">
        <f t="shared" si="0"/>
        <v>0</v>
      </c>
      <c r="T6" s="8">
        <f t="shared" si="0"/>
        <v>68</v>
      </c>
      <c r="U6" s="8">
        <f t="shared" si="0"/>
        <v>15</v>
      </c>
      <c r="V6" s="8">
        <f t="shared" si="0"/>
        <v>80</v>
      </c>
      <c r="W6" s="8">
        <f t="shared" si="0"/>
        <v>2</v>
      </c>
      <c r="X6" s="8">
        <f t="shared" si="0"/>
        <v>12</v>
      </c>
      <c r="Y6" s="8">
        <f t="shared" ref="Y6:Y69" si="1">SUM(F6:X6)</f>
        <v>205</v>
      </c>
      <c r="Z6" s="8">
        <f t="shared" ref="Z6:AV6" si="2">SUM(Z7:Z25)</f>
        <v>39</v>
      </c>
      <c r="AA6" s="8">
        <f t="shared" si="2"/>
        <v>18</v>
      </c>
      <c r="AB6" s="8">
        <f t="shared" si="2"/>
        <v>90</v>
      </c>
      <c r="AC6" s="8">
        <f t="shared" si="2"/>
        <v>35</v>
      </c>
      <c r="AD6" s="8">
        <f t="shared" si="2"/>
        <v>0</v>
      </c>
      <c r="AE6" s="8">
        <f t="shared" si="2"/>
        <v>0</v>
      </c>
      <c r="AF6" s="8">
        <f t="shared" si="2"/>
        <v>0</v>
      </c>
      <c r="AG6" s="8">
        <f t="shared" si="2"/>
        <v>0</v>
      </c>
      <c r="AH6" s="8">
        <f t="shared" si="2"/>
        <v>2</v>
      </c>
      <c r="AI6" s="8">
        <f t="shared" si="2"/>
        <v>0</v>
      </c>
      <c r="AJ6" s="8">
        <f t="shared" si="2"/>
        <v>0</v>
      </c>
      <c r="AK6" s="8">
        <f t="shared" si="2"/>
        <v>8</v>
      </c>
      <c r="AL6" s="8">
        <f t="shared" si="2"/>
        <v>0</v>
      </c>
      <c r="AM6" s="8">
        <f t="shared" si="2"/>
        <v>1</v>
      </c>
      <c r="AN6" s="8">
        <f t="shared" si="2"/>
        <v>0</v>
      </c>
      <c r="AO6" s="8">
        <f t="shared" si="2"/>
        <v>0</v>
      </c>
      <c r="AP6" s="8">
        <f t="shared" si="2"/>
        <v>2</v>
      </c>
      <c r="AQ6" s="8">
        <f t="shared" si="2"/>
        <v>0</v>
      </c>
      <c r="AR6" s="8">
        <f t="shared" si="2"/>
        <v>8</v>
      </c>
      <c r="AS6" s="8">
        <f t="shared" si="2"/>
        <v>14</v>
      </c>
      <c r="AT6" s="8">
        <f t="shared" si="2"/>
        <v>54</v>
      </c>
      <c r="AU6" s="8">
        <f t="shared" si="2"/>
        <v>1</v>
      </c>
      <c r="AV6" s="8">
        <f t="shared" si="2"/>
        <v>0</v>
      </c>
      <c r="AW6" s="8">
        <f t="shared" ref="AW6:AW61" si="3">SUM(AD6:AV6)</f>
        <v>90</v>
      </c>
      <c r="AX6" s="23"/>
      <c r="BG6" s="77"/>
      <c r="BH6" s="77"/>
      <c r="BI6" s="77"/>
      <c r="BL6" s="77"/>
      <c r="BM6" s="77"/>
      <c r="BN6" s="77"/>
      <c r="BO6" s="77"/>
      <c r="BP6" s="77"/>
    </row>
    <row r="7" spans="1:69" x14ac:dyDescent="0.25">
      <c r="A7" s="10" t="s">
        <v>151</v>
      </c>
      <c r="B7" s="11">
        <v>32</v>
      </c>
      <c r="C7" s="11">
        <v>18</v>
      </c>
      <c r="D7" s="11">
        <v>66</v>
      </c>
      <c r="E7" s="11">
        <v>33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65</v>
      </c>
      <c r="W7" s="11"/>
      <c r="X7" s="11">
        <v>1</v>
      </c>
      <c r="Y7" s="8">
        <f t="shared" si="1"/>
        <v>66</v>
      </c>
      <c r="Z7" s="11">
        <v>18</v>
      </c>
      <c r="AA7" s="11">
        <v>7</v>
      </c>
      <c r="AB7" s="11">
        <v>48</v>
      </c>
      <c r="AC7" s="11">
        <v>22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>
        <v>48</v>
      </c>
      <c r="AU7" s="11"/>
      <c r="AV7" s="11"/>
      <c r="AW7" s="8">
        <f t="shared" si="3"/>
        <v>48</v>
      </c>
      <c r="AX7" s="14">
        <v>487.51111111111106</v>
      </c>
      <c r="AY7">
        <v>375.2</v>
      </c>
      <c r="AZ7">
        <v>375.2</v>
      </c>
      <c r="BA7">
        <v>279.2</v>
      </c>
      <c r="BB7">
        <v>327.2</v>
      </c>
      <c r="BC7">
        <v>359.2</v>
      </c>
      <c r="BD7">
        <v>375.2</v>
      </c>
      <c r="BE7">
        <v>319.2</v>
      </c>
      <c r="BF7" s="78">
        <v>319.2</v>
      </c>
      <c r="BG7" s="79">
        <v>1680</v>
      </c>
      <c r="BH7" s="80">
        <v>804</v>
      </c>
      <c r="BI7" s="80">
        <v>804</v>
      </c>
      <c r="BJ7" s="81">
        <v>344</v>
      </c>
      <c r="BK7" s="82">
        <v>375.2</v>
      </c>
      <c r="BL7" s="83">
        <v>375.2</v>
      </c>
      <c r="BM7" s="80">
        <v>319.2</v>
      </c>
      <c r="BN7" s="80">
        <v>480</v>
      </c>
      <c r="BO7" s="80">
        <v>480</v>
      </c>
      <c r="BP7" s="79">
        <v>384</v>
      </c>
      <c r="BQ7" s="84"/>
    </row>
    <row r="8" spans="1:69" x14ac:dyDescent="0.25">
      <c r="A8" s="10" t="s">
        <v>152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8">
        <f t="shared" si="1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8">
        <f t="shared" si="3"/>
        <v>0</v>
      </c>
      <c r="AX8" s="14"/>
    </row>
    <row r="9" spans="1:69" x14ac:dyDescent="0.25">
      <c r="A9" s="10" t="s">
        <v>153</v>
      </c>
      <c r="B9" s="11">
        <v>8</v>
      </c>
      <c r="C9" s="11">
        <v>6</v>
      </c>
      <c r="D9" s="11">
        <v>10</v>
      </c>
      <c r="E9" s="11">
        <v>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1</v>
      </c>
      <c r="S9" s="11"/>
      <c r="T9" s="11">
        <v>5</v>
      </c>
      <c r="U9" s="11">
        <v>1</v>
      </c>
      <c r="V9" s="11">
        <v>1</v>
      </c>
      <c r="W9" s="11">
        <v>2</v>
      </c>
      <c r="X9" s="11"/>
      <c r="Y9" s="8">
        <f t="shared" si="1"/>
        <v>10</v>
      </c>
      <c r="Z9" s="11">
        <v>3</v>
      </c>
      <c r="AA9" s="11">
        <v>2</v>
      </c>
      <c r="AB9" s="11">
        <v>5</v>
      </c>
      <c r="AC9" s="11">
        <v>4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>
        <v>1</v>
      </c>
      <c r="AQ9" s="11"/>
      <c r="AR9" s="11">
        <v>3</v>
      </c>
      <c r="AS9" s="11"/>
      <c r="AT9" s="11"/>
      <c r="AU9" s="11">
        <v>1</v>
      </c>
      <c r="AV9" s="11"/>
      <c r="AW9" s="8">
        <f t="shared" si="3"/>
        <v>5</v>
      </c>
      <c r="AX9" s="85">
        <v>1711.3333333333333</v>
      </c>
      <c r="AY9" s="86">
        <v>1192</v>
      </c>
      <c r="AZ9" s="82">
        <v>1752</v>
      </c>
      <c r="BA9" s="82">
        <v>2190</v>
      </c>
      <c r="BB9" s="82"/>
      <c r="BC9" s="82"/>
      <c r="BD9" s="82"/>
    </row>
    <row r="10" spans="1:69" x14ac:dyDescent="0.25">
      <c r="A10" s="10" t="s">
        <v>154</v>
      </c>
      <c r="B10" s="11">
        <v>12</v>
      </c>
      <c r="C10" s="11">
        <v>6</v>
      </c>
      <c r="D10" s="11">
        <v>14</v>
      </c>
      <c r="E10" s="11">
        <v>7</v>
      </c>
      <c r="F10" s="11"/>
      <c r="G10" s="11"/>
      <c r="H10" s="11"/>
      <c r="I10" s="11"/>
      <c r="J10" s="11"/>
      <c r="K10" s="11">
        <v>1</v>
      </c>
      <c r="L10" s="11"/>
      <c r="M10" s="11">
        <v>1</v>
      </c>
      <c r="N10" s="11"/>
      <c r="O10" s="11">
        <v>1</v>
      </c>
      <c r="P10" s="11"/>
      <c r="Q10" s="11"/>
      <c r="R10" s="11">
        <v>3</v>
      </c>
      <c r="S10" s="11"/>
      <c r="T10" s="11"/>
      <c r="U10" s="11"/>
      <c r="V10" s="11">
        <v>6</v>
      </c>
      <c r="W10" s="11"/>
      <c r="X10" s="11">
        <v>2</v>
      </c>
      <c r="Y10" s="8">
        <f t="shared" si="1"/>
        <v>14</v>
      </c>
      <c r="Z10" s="11">
        <v>6</v>
      </c>
      <c r="AA10" s="11">
        <v>5</v>
      </c>
      <c r="AB10" s="11">
        <v>6</v>
      </c>
      <c r="AC10" s="11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>
        <v>1</v>
      </c>
      <c r="AN10" s="11"/>
      <c r="AO10" s="11"/>
      <c r="AP10" s="11">
        <v>1</v>
      </c>
      <c r="AQ10" s="11"/>
      <c r="AR10" s="11"/>
      <c r="AS10" s="11"/>
      <c r="AT10" s="11">
        <v>4</v>
      </c>
      <c r="AU10" s="11"/>
      <c r="AV10" s="11"/>
      <c r="AW10" s="8">
        <f t="shared" si="3"/>
        <v>6</v>
      </c>
      <c r="AX10" s="85">
        <v>689.33333333333337</v>
      </c>
      <c r="AY10" s="86">
        <v>1320</v>
      </c>
      <c r="AZ10" s="82">
        <v>804</v>
      </c>
      <c r="BA10" s="82">
        <v>804</v>
      </c>
      <c r="BB10" s="82">
        <v>680</v>
      </c>
      <c r="BC10" s="82">
        <v>264</v>
      </c>
      <c r="BD10" s="82">
        <v>264</v>
      </c>
    </row>
    <row r="11" spans="1:69" x14ac:dyDescent="0.25">
      <c r="A11" s="10" t="s">
        <v>155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8">
        <f t="shared" si="1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8">
        <f t="shared" si="3"/>
        <v>0</v>
      </c>
      <c r="AX11" s="85"/>
      <c r="AY11" s="86"/>
      <c r="AZ11" s="82"/>
      <c r="BA11" s="82"/>
      <c r="BB11" s="82"/>
      <c r="BC11" s="82"/>
      <c r="BD11" s="82"/>
    </row>
    <row r="12" spans="1:69" x14ac:dyDescent="0.25">
      <c r="A12" s="10" t="s">
        <v>156</v>
      </c>
      <c r="B12" s="11">
        <v>1</v>
      </c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/>
      <c r="Y12" s="8">
        <f t="shared" si="1"/>
        <v>1</v>
      </c>
      <c r="Z12" s="11">
        <v>1</v>
      </c>
      <c r="AA12" s="11"/>
      <c r="AB12" s="11">
        <v>1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>
        <v>1</v>
      </c>
      <c r="AS12" s="11"/>
      <c r="AT12" s="11"/>
      <c r="AU12" s="11"/>
      <c r="AV12" s="11"/>
      <c r="AW12" s="8">
        <f t="shared" si="3"/>
        <v>1</v>
      </c>
      <c r="AX12" s="85">
        <v>4000</v>
      </c>
      <c r="AY12" s="86">
        <v>4000</v>
      </c>
      <c r="AZ12" s="82"/>
      <c r="BA12" s="82"/>
      <c r="BB12" s="82"/>
      <c r="BC12" s="82"/>
      <c r="BD12" s="82"/>
    </row>
    <row r="13" spans="1:69" x14ac:dyDescent="0.25">
      <c r="A13" s="10" t="s">
        <v>157</v>
      </c>
      <c r="B13" s="11">
        <v>2</v>
      </c>
      <c r="C13" s="11"/>
      <c r="D13" s="11">
        <v>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2</v>
      </c>
      <c r="W13" s="11"/>
      <c r="X13" s="11"/>
      <c r="Y13" s="8">
        <f t="shared" si="1"/>
        <v>2</v>
      </c>
      <c r="Z13" s="11">
        <v>2</v>
      </c>
      <c r="AA13" s="11"/>
      <c r="AB13" s="11">
        <v>2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>
        <v>2</v>
      </c>
      <c r="AU13" s="11"/>
      <c r="AV13" s="11"/>
      <c r="AW13" s="8">
        <f t="shared" si="3"/>
        <v>2</v>
      </c>
      <c r="AX13" s="85">
        <v>375.2</v>
      </c>
      <c r="AY13" s="86">
        <v>375.2</v>
      </c>
      <c r="AZ13" s="82">
        <v>375.2</v>
      </c>
      <c r="BA13" s="82"/>
      <c r="BB13" s="82"/>
      <c r="BC13" s="82"/>
      <c r="BD13" s="82"/>
    </row>
    <row r="14" spans="1:69" x14ac:dyDescent="0.25">
      <c r="A14" s="10" t="s">
        <v>158</v>
      </c>
      <c r="B14" s="11">
        <v>1</v>
      </c>
      <c r="C14" s="11">
        <v>1</v>
      </c>
      <c r="D14" s="11">
        <v>1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</v>
      </c>
      <c r="W14" s="11"/>
      <c r="X14" s="11"/>
      <c r="Y14" s="8">
        <f t="shared" si="1"/>
        <v>1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8">
        <f t="shared" si="3"/>
        <v>0</v>
      </c>
      <c r="AX14" s="85"/>
      <c r="AY14" s="86"/>
      <c r="AZ14" s="82"/>
      <c r="BA14" s="82"/>
      <c r="BB14" s="82"/>
      <c r="BC14" s="82"/>
      <c r="BD14" s="82"/>
    </row>
    <row r="15" spans="1:69" x14ac:dyDescent="0.25">
      <c r="A15" s="10" t="s">
        <v>77</v>
      </c>
      <c r="B15" s="11">
        <v>1</v>
      </c>
      <c r="C15" s="11"/>
      <c r="D15" s="11">
        <v>8</v>
      </c>
      <c r="E15" s="11"/>
      <c r="F15" s="11"/>
      <c r="G15" s="11"/>
      <c r="H15" s="11"/>
      <c r="I15" s="11"/>
      <c r="J15" s="11"/>
      <c r="K15" s="11"/>
      <c r="L15" s="11"/>
      <c r="M15" s="11">
        <v>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8">
        <f t="shared" si="1"/>
        <v>8</v>
      </c>
      <c r="Z15" s="11">
        <v>1</v>
      </c>
      <c r="AA15" s="11"/>
      <c r="AB15" s="11">
        <v>8</v>
      </c>
      <c r="AC15" s="11"/>
      <c r="AD15" s="11"/>
      <c r="AE15" s="11"/>
      <c r="AF15" s="11"/>
      <c r="AG15" s="11"/>
      <c r="AH15" s="11"/>
      <c r="AI15" s="11"/>
      <c r="AJ15" s="11"/>
      <c r="AK15" s="11">
        <v>8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8">
        <f t="shared" si="3"/>
        <v>8</v>
      </c>
      <c r="AX15" s="85">
        <v>3580</v>
      </c>
      <c r="AY15" s="86">
        <v>3580</v>
      </c>
      <c r="AZ15" s="82"/>
      <c r="BA15" s="82"/>
      <c r="BB15" s="82"/>
      <c r="BC15" s="82"/>
      <c r="BD15" s="82"/>
    </row>
    <row r="16" spans="1:69" x14ac:dyDescent="0.25">
      <c r="A16" s="10" t="s">
        <v>78</v>
      </c>
      <c r="B16" s="11">
        <v>8</v>
      </c>
      <c r="C16" s="11">
        <v>6</v>
      </c>
      <c r="D16" s="11">
        <v>62</v>
      </c>
      <c r="E16" s="11">
        <v>60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60</v>
      </c>
      <c r="U16" s="11"/>
      <c r="V16" s="11">
        <v>2</v>
      </c>
      <c r="W16" s="11"/>
      <c r="X16" s="11"/>
      <c r="Y16" s="8">
        <f t="shared" si="1"/>
        <v>62</v>
      </c>
      <c r="Z16" s="11">
        <v>2</v>
      </c>
      <c r="AA16" s="11">
        <v>2</v>
      </c>
      <c r="AB16" s="11">
        <v>2</v>
      </c>
      <c r="AC16" s="11">
        <v>2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>
        <v>2</v>
      </c>
      <c r="AS16" s="11"/>
      <c r="AT16" s="11"/>
      <c r="AU16" s="11"/>
      <c r="AV16" s="11"/>
      <c r="AW16" s="8">
        <f t="shared" si="3"/>
        <v>2</v>
      </c>
      <c r="AX16" s="85">
        <v>5892</v>
      </c>
      <c r="AY16" s="86">
        <v>11520</v>
      </c>
      <c r="AZ16" s="82">
        <v>264</v>
      </c>
      <c r="BA16" s="82"/>
      <c r="BB16" s="82"/>
      <c r="BC16" s="82"/>
      <c r="BD16" s="82"/>
    </row>
    <row r="17" spans="1:194" x14ac:dyDescent="0.25">
      <c r="A17" s="10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8">
        <f t="shared" si="1"/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8">
        <f t="shared" si="3"/>
        <v>0</v>
      </c>
      <c r="AX17" s="85"/>
      <c r="AY17" s="86"/>
      <c r="AZ17" s="82"/>
      <c r="BA17" s="82"/>
      <c r="BB17" s="82"/>
      <c r="BC17" s="82"/>
      <c r="BD17" s="82"/>
    </row>
    <row r="18" spans="1:194" x14ac:dyDescent="0.25">
      <c r="A18" s="10" t="s">
        <v>80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8">
        <f t="shared" si="1"/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8">
        <f t="shared" si="3"/>
        <v>0</v>
      </c>
      <c r="AX18" s="85"/>
      <c r="AY18" s="86"/>
      <c r="AZ18" s="82"/>
      <c r="BA18" s="82"/>
      <c r="BB18" s="82"/>
      <c r="BC18" s="82"/>
      <c r="BD18" s="82"/>
    </row>
    <row r="19" spans="1:194" x14ac:dyDescent="0.25">
      <c r="A19" s="10" t="s">
        <v>81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">
        <f t="shared" si="1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8">
        <f t="shared" si="3"/>
        <v>0</v>
      </c>
      <c r="AX19" s="85"/>
      <c r="AY19" s="86"/>
      <c r="AZ19" s="82"/>
      <c r="BA19" s="82"/>
      <c r="BB19" s="82"/>
      <c r="BC19" s="82"/>
      <c r="BD19" s="82"/>
    </row>
    <row r="20" spans="1:194" x14ac:dyDescent="0.25">
      <c r="A20" s="10" t="s">
        <v>82</v>
      </c>
      <c r="B20" s="11">
        <v>3</v>
      </c>
      <c r="C20" s="11">
        <v>2</v>
      </c>
      <c r="D20" s="11">
        <v>10</v>
      </c>
      <c r="E20" s="11">
        <v>2</v>
      </c>
      <c r="F20" s="11"/>
      <c r="G20" s="11"/>
      <c r="H20" s="11">
        <v>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2</v>
      </c>
      <c r="U20" s="11"/>
      <c r="V20" s="11"/>
      <c r="W20" s="11"/>
      <c r="X20" s="11"/>
      <c r="Y20" s="8">
        <f t="shared" si="1"/>
        <v>10</v>
      </c>
      <c r="Z20" s="11">
        <v>2</v>
      </c>
      <c r="AA20" s="11">
        <v>2</v>
      </c>
      <c r="AB20" s="11">
        <v>2</v>
      </c>
      <c r="AC20" s="11">
        <v>2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>
        <v>2</v>
      </c>
      <c r="AS20" s="11"/>
      <c r="AT20" s="11"/>
      <c r="AU20" s="11"/>
      <c r="AV20" s="11"/>
      <c r="AW20" s="8">
        <f t="shared" si="3"/>
        <v>2</v>
      </c>
      <c r="AX20" s="85">
        <v>264</v>
      </c>
      <c r="AY20" s="86">
        <v>264</v>
      </c>
      <c r="AZ20" s="82">
        <v>264</v>
      </c>
      <c r="BA20" s="82"/>
      <c r="BB20" s="82"/>
      <c r="BC20" s="82"/>
      <c r="BD20" s="82"/>
    </row>
    <row r="21" spans="1:194" x14ac:dyDescent="0.25">
      <c r="A21" s="10" t="s">
        <v>83</v>
      </c>
      <c r="B21" s="11">
        <v>1</v>
      </c>
      <c r="C21" s="11"/>
      <c r="D21" s="11">
        <v>5</v>
      </c>
      <c r="E21" s="11"/>
      <c r="F21" s="11"/>
      <c r="G21" s="11"/>
      <c r="H21" s="11"/>
      <c r="I21" s="11"/>
      <c r="J21" s="11">
        <v>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8">
        <f t="shared" si="1"/>
        <v>5</v>
      </c>
      <c r="Z21" s="11">
        <v>1</v>
      </c>
      <c r="AA21" s="11"/>
      <c r="AB21" s="11">
        <v>2</v>
      </c>
      <c r="AC21" s="11"/>
      <c r="AD21" s="11"/>
      <c r="AE21" s="11"/>
      <c r="AF21" s="11"/>
      <c r="AG21" s="11"/>
      <c r="AH21" s="11">
        <v>2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8">
        <f t="shared" si="3"/>
        <v>2</v>
      </c>
      <c r="AX21" s="85">
        <v>12792</v>
      </c>
      <c r="AY21" s="86">
        <v>12792</v>
      </c>
      <c r="AZ21" s="82"/>
      <c r="BA21" s="82"/>
      <c r="BB21" s="82"/>
    </row>
    <row r="22" spans="1:194" x14ac:dyDescent="0.25">
      <c r="A22" s="10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8">
        <f t="shared" si="1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8">
        <f t="shared" si="3"/>
        <v>0</v>
      </c>
      <c r="AX22" s="85"/>
      <c r="AY22" s="86"/>
      <c r="AZ22" s="82"/>
      <c r="BA22" s="82"/>
      <c r="BB22" s="82"/>
    </row>
    <row r="23" spans="1:194" x14ac:dyDescent="0.25">
      <c r="A23" s="10" t="s">
        <v>85</v>
      </c>
      <c r="B23" s="11">
        <v>6</v>
      </c>
      <c r="C23" s="11">
        <v>3</v>
      </c>
      <c r="D23" s="11">
        <v>25</v>
      </c>
      <c r="E23" s="11">
        <v>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14</v>
      </c>
      <c r="V23" s="11">
        <v>2</v>
      </c>
      <c r="W23" s="11"/>
      <c r="X23" s="11">
        <v>9</v>
      </c>
      <c r="Y23" s="8">
        <f t="shared" si="1"/>
        <v>25</v>
      </c>
      <c r="Z23" s="11">
        <v>3</v>
      </c>
      <c r="AA23" s="11"/>
      <c r="AB23" s="11">
        <v>14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14</v>
      </c>
      <c r="AT23" s="11"/>
      <c r="AU23" s="11"/>
      <c r="AV23" s="11"/>
      <c r="AW23" s="8">
        <f t="shared" si="3"/>
        <v>14</v>
      </c>
      <c r="AX23" s="85">
        <v>466.66666666666669</v>
      </c>
      <c r="AY23" s="86">
        <v>500</v>
      </c>
      <c r="AZ23" s="82">
        <v>500</v>
      </c>
      <c r="BA23" s="82">
        <v>400</v>
      </c>
      <c r="BB23" s="82"/>
    </row>
    <row r="24" spans="1:194" x14ac:dyDescent="0.25">
      <c r="A24" s="10" t="s">
        <v>86</v>
      </c>
      <c r="B24" s="11">
        <v>1</v>
      </c>
      <c r="C24" s="11">
        <v>1</v>
      </c>
      <c r="D24" s="11">
        <v>1</v>
      </c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1</v>
      </c>
      <c r="W24" s="11"/>
      <c r="X24" s="11"/>
      <c r="Y24" s="8">
        <f t="shared" si="1"/>
        <v>1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8">
        <f t="shared" si="3"/>
        <v>0</v>
      </c>
      <c r="AX24" s="14"/>
    </row>
    <row r="25" spans="1:194" x14ac:dyDescent="0.25">
      <c r="A25" s="10" t="s">
        <v>87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8">
        <f t="shared" si="1"/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8">
        <f t="shared" si="3"/>
        <v>0</v>
      </c>
      <c r="AX25" s="14"/>
    </row>
    <row r="26" spans="1:194" s="9" customFormat="1" x14ac:dyDescent="0.25">
      <c r="A26" s="40" t="s">
        <v>30</v>
      </c>
      <c r="B26" s="8">
        <f>B27+B28+B29+B30+B31+B32+B33+B34+B35+B36+B37+B38+B39+B40+B41+B42+B43</f>
        <v>304</v>
      </c>
      <c r="C26" s="8">
        <f t="shared" ref="C26:AV26" si="4">C27+C28+C29+C30+C31+C32+C33+C34+C35+C36+C37+C38+C39+C40+C41+C42+C43</f>
        <v>61</v>
      </c>
      <c r="D26" s="8">
        <f t="shared" si="4"/>
        <v>897</v>
      </c>
      <c r="E26" s="8">
        <f t="shared" si="4"/>
        <v>196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9</v>
      </c>
      <c r="M26" s="8">
        <f t="shared" si="4"/>
        <v>0</v>
      </c>
      <c r="N26" s="8">
        <f t="shared" si="4"/>
        <v>8</v>
      </c>
      <c r="O26" s="8">
        <f t="shared" si="4"/>
        <v>0</v>
      </c>
      <c r="P26" s="8">
        <f t="shared" si="4"/>
        <v>0</v>
      </c>
      <c r="Q26" s="8">
        <f t="shared" si="4"/>
        <v>3</v>
      </c>
      <c r="R26" s="8">
        <f t="shared" si="4"/>
        <v>0</v>
      </c>
      <c r="S26" s="8">
        <f t="shared" si="4"/>
        <v>0</v>
      </c>
      <c r="T26" s="8">
        <f t="shared" si="4"/>
        <v>0</v>
      </c>
      <c r="U26" s="8">
        <f t="shared" si="4"/>
        <v>20</v>
      </c>
      <c r="V26" s="8">
        <f t="shared" si="4"/>
        <v>764</v>
      </c>
      <c r="W26" s="8">
        <f t="shared" si="4"/>
        <v>0</v>
      </c>
      <c r="X26" s="8">
        <f t="shared" si="4"/>
        <v>93</v>
      </c>
      <c r="Y26" s="8">
        <f t="shared" si="4"/>
        <v>897</v>
      </c>
      <c r="Z26" s="8">
        <f t="shared" si="4"/>
        <v>196</v>
      </c>
      <c r="AA26" s="8">
        <f t="shared" si="4"/>
        <v>36</v>
      </c>
      <c r="AB26" s="8">
        <f t="shared" si="4"/>
        <v>680</v>
      </c>
      <c r="AC26" s="8">
        <f t="shared" si="4"/>
        <v>129</v>
      </c>
      <c r="AD26" s="8">
        <f t="shared" si="4"/>
        <v>0</v>
      </c>
      <c r="AE26" s="8">
        <f t="shared" si="4"/>
        <v>0</v>
      </c>
      <c r="AF26" s="8">
        <f t="shared" si="4"/>
        <v>0</v>
      </c>
      <c r="AG26" s="8">
        <f t="shared" si="4"/>
        <v>0</v>
      </c>
      <c r="AH26" s="8">
        <f t="shared" si="4"/>
        <v>0</v>
      </c>
      <c r="AI26" s="8">
        <f t="shared" si="4"/>
        <v>0</v>
      </c>
      <c r="AJ26" s="8">
        <f t="shared" si="4"/>
        <v>9</v>
      </c>
      <c r="AK26" s="8">
        <f t="shared" si="4"/>
        <v>0</v>
      </c>
      <c r="AL26" s="8">
        <f t="shared" si="4"/>
        <v>0</v>
      </c>
      <c r="AM26" s="8">
        <f t="shared" si="4"/>
        <v>0</v>
      </c>
      <c r="AN26" s="8">
        <f t="shared" si="4"/>
        <v>0</v>
      </c>
      <c r="AO26" s="8">
        <f t="shared" si="4"/>
        <v>1</v>
      </c>
      <c r="AP26" s="8">
        <f t="shared" si="4"/>
        <v>0</v>
      </c>
      <c r="AQ26" s="8">
        <f t="shared" si="4"/>
        <v>0</v>
      </c>
      <c r="AR26" s="8">
        <f t="shared" si="4"/>
        <v>0</v>
      </c>
      <c r="AS26" s="8">
        <f t="shared" si="4"/>
        <v>13</v>
      </c>
      <c r="AT26" s="8">
        <f t="shared" si="4"/>
        <v>613</v>
      </c>
      <c r="AU26" s="8">
        <f t="shared" si="4"/>
        <v>0</v>
      </c>
      <c r="AV26" s="8">
        <f t="shared" si="4"/>
        <v>44</v>
      </c>
      <c r="AW26" s="8">
        <f t="shared" si="3"/>
        <v>680</v>
      </c>
      <c r="EH26"/>
    </row>
    <row r="27" spans="1:194" x14ac:dyDescent="0.25">
      <c r="A27" s="10" t="s">
        <v>150</v>
      </c>
      <c r="B27" s="11">
        <v>19</v>
      </c>
      <c r="C27" s="11">
        <v>4</v>
      </c>
      <c r="D27" s="11">
        <v>185</v>
      </c>
      <c r="E27" s="11">
        <v>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177</v>
      </c>
      <c r="W27" s="11"/>
      <c r="X27" s="11">
        <v>8</v>
      </c>
      <c r="Y27" s="8">
        <f t="shared" si="1"/>
        <v>185</v>
      </c>
      <c r="Z27" s="11">
        <v>15</v>
      </c>
      <c r="AA27" s="11">
        <v>4</v>
      </c>
      <c r="AB27" s="11">
        <v>176</v>
      </c>
      <c r="AC27" s="11">
        <v>24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v>174</v>
      </c>
      <c r="AU27" s="11"/>
      <c r="AV27" s="11">
        <v>2</v>
      </c>
      <c r="AW27" s="8">
        <f t="shared" si="3"/>
        <v>176</v>
      </c>
      <c r="AX27" s="85">
        <v>6645.3200000000006</v>
      </c>
      <c r="AY27">
        <v>1672</v>
      </c>
      <c r="AZ27">
        <v>440</v>
      </c>
      <c r="BA27">
        <v>440</v>
      </c>
      <c r="BB27" s="82">
        <v>16800</v>
      </c>
      <c r="BC27" s="82">
        <v>36000</v>
      </c>
      <c r="BD27" s="82">
        <v>12320</v>
      </c>
      <c r="BE27" s="82">
        <v>1520</v>
      </c>
      <c r="BF27" s="82">
        <v>1120</v>
      </c>
      <c r="BG27" s="82">
        <v>1256</v>
      </c>
      <c r="BH27" s="82">
        <v>1397.6</v>
      </c>
      <c r="BI27" s="82">
        <v>1112</v>
      </c>
      <c r="BJ27" s="82">
        <v>6000</v>
      </c>
      <c r="BK27" s="82">
        <v>640</v>
      </c>
      <c r="BL27" s="82">
        <v>963.2</v>
      </c>
      <c r="BM27" s="87">
        <v>17999</v>
      </c>
    </row>
    <row r="28" spans="1:194" x14ac:dyDescent="0.25">
      <c r="A28" s="10" t="s">
        <v>149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8">
        <f t="shared" si="1"/>
        <v>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8">
        <f t="shared" si="3"/>
        <v>0</v>
      </c>
      <c r="AX28" s="85"/>
    </row>
    <row r="29" spans="1:194" x14ac:dyDescent="0.25">
      <c r="A29" s="10" t="s">
        <v>148</v>
      </c>
      <c r="B29" s="11">
        <v>1</v>
      </c>
      <c r="C29" s="11"/>
      <c r="D29" s="11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v>22</v>
      </c>
      <c r="W29" s="11"/>
      <c r="X29" s="11"/>
      <c r="Y29" s="8">
        <f t="shared" si="1"/>
        <v>22</v>
      </c>
      <c r="Z29" s="11">
        <v>1</v>
      </c>
      <c r="AA29" s="11"/>
      <c r="AB29" s="11">
        <v>22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v>22</v>
      </c>
      <c r="AU29" s="11"/>
      <c r="AV29" s="11"/>
      <c r="AW29" s="8">
        <f t="shared" si="3"/>
        <v>22</v>
      </c>
      <c r="AX29" s="85">
        <v>280</v>
      </c>
      <c r="AY29">
        <v>280</v>
      </c>
    </row>
    <row r="30" spans="1:194" x14ac:dyDescent="0.25">
      <c r="A30" s="10" t="s">
        <v>147</v>
      </c>
      <c r="B30" s="11">
        <v>209</v>
      </c>
      <c r="C30" s="11">
        <v>45</v>
      </c>
      <c r="D30" s="11">
        <v>458</v>
      </c>
      <c r="E30" s="11">
        <v>110</v>
      </c>
      <c r="F30" s="11"/>
      <c r="G30" s="11"/>
      <c r="H30" s="11"/>
      <c r="I30" s="11"/>
      <c r="J30" s="11"/>
      <c r="K30" s="11"/>
      <c r="L30" s="11">
        <v>9</v>
      </c>
      <c r="M30" s="11"/>
      <c r="N30" s="11"/>
      <c r="O30" s="11"/>
      <c r="P30" s="11"/>
      <c r="Q30" s="11"/>
      <c r="R30" s="11"/>
      <c r="S30" s="11"/>
      <c r="T30" s="11"/>
      <c r="U30" s="11">
        <v>18</v>
      </c>
      <c r="V30" s="11">
        <v>415</v>
      </c>
      <c r="W30" s="11"/>
      <c r="X30" s="11">
        <v>16</v>
      </c>
      <c r="Y30" s="8">
        <f t="shared" si="1"/>
        <v>458</v>
      </c>
      <c r="Z30" s="11">
        <v>144</v>
      </c>
      <c r="AA30" s="11">
        <v>29</v>
      </c>
      <c r="AB30" s="11">
        <v>342</v>
      </c>
      <c r="AC30" s="11">
        <v>85</v>
      </c>
      <c r="AD30" s="11"/>
      <c r="AE30" s="11"/>
      <c r="AF30" s="11"/>
      <c r="AG30" s="11"/>
      <c r="AH30" s="11"/>
      <c r="AI30" s="11"/>
      <c r="AJ30" s="11">
        <v>9</v>
      </c>
      <c r="AK30" s="11"/>
      <c r="AL30" s="11"/>
      <c r="AM30" s="11"/>
      <c r="AN30" s="11"/>
      <c r="AO30" s="11"/>
      <c r="AP30" s="11"/>
      <c r="AQ30" s="11"/>
      <c r="AR30" s="11"/>
      <c r="AS30" s="11">
        <v>11</v>
      </c>
      <c r="AT30" s="11">
        <v>316</v>
      </c>
      <c r="AU30" s="11"/>
      <c r="AV30" s="11">
        <v>6</v>
      </c>
      <c r="AW30" s="8">
        <f t="shared" si="3"/>
        <v>342</v>
      </c>
      <c r="AX30" s="85">
        <v>2841.8383234126986</v>
      </c>
      <c r="AY30" s="2">
        <v>6200</v>
      </c>
      <c r="AZ30">
        <v>2640</v>
      </c>
      <c r="BA30">
        <v>1360</v>
      </c>
      <c r="BB30">
        <v>4950</v>
      </c>
      <c r="BC30">
        <v>2500</v>
      </c>
      <c r="BD30">
        <v>2500</v>
      </c>
      <c r="BE30">
        <v>1281.5999999999999</v>
      </c>
      <c r="BF30">
        <v>1281.5999999999999</v>
      </c>
      <c r="BG30" s="82">
        <v>41600</v>
      </c>
      <c r="BH30" s="82">
        <v>6000</v>
      </c>
      <c r="BI30" s="82">
        <v>3000</v>
      </c>
      <c r="BJ30" s="82">
        <v>7000</v>
      </c>
      <c r="BK30" s="82">
        <v>2100</v>
      </c>
      <c r="BL30" s="82">
        <v>10560</v>
      </c>
      <c r="BM30" s="82">
        <v>8640</v>
      </c>
      <c r="BN30" s="82">
        <v>1520</v>
      </c>
      <c r="BO30" s="82">
        <v>1120</v>
      </c>
      <c r="BP30" s="82">
        <v>1440</v>
      </c>
      <c r="BQ30" s="82">
        <v>1440</v>
      </c>
      <c r="BR30" s="82">
        <v>36000</v>
      </c>
      <c r="BS30" s="82">
        <v>7200</v>
      </c>
      <c r="BT30" s="82">
        <v>2400</v>
      </c>
      <c r="BU30" s="82">
        <v>2640</v>
      </c>
      <c r="BV30" s="82">
        <v>1360</v>
      </c>
      <c r="BW30" s="82">
        <v>2880</v>
      </c>
      <c r="BX30" s="82">
        <v>1440</v>
      </c>
      <c r="BY30" s="82">
        <v>4382.6078571428598</v>
      </c>
      <c r="BZ30" s="82">
        <v>2640</v>
      </c>
      <c r="CA30" s="82">
        <v>1950</v>
      </c>
      <c r="CB30" s="82">
        <v>1750</v>
      </c>
      <c r="CC30" s="82">
        <v>1900</v>
      </c>
      <c r="CD30" s="82">
        <v>1950</v>
      </c>
      <c r="CE30" s="82">
        <v>3500</v>
      </c>
      <c r="CF30" s="82">
        <v>1800</v>
      </c>
      <c r="CG30" s="82">
        <v>6900</v>
      </c>
      <c r="CH30" s="82">
        <v>2400</v>
      </c>
      <c r="CI30" s="82">
        <v>1120</v>
      </c>
      <c r="CJ30" s="82">
        <v>880</v>
      </c>
      <c r="CK30" s="82">
        <v>880</v>
      </c>
      <c r="CL30" s="82">
        <v>1440</v>
      </c>
      <c r="CM30" s="82">
        <v>4228.5107142857096</v>
      </c>
      <c r="CN30" s="82">
        <v>2000</v>
      </c>
      <c r="CO30" s="82">
        <v>1560</v>
      </c>
      <c r="CP30" s="82">
        <v>1680</v>
      </c>
      <c r="CQ30" s="82">
        <v>2640</v>
      </c>
      <c r="CR30" s="82">
        <v>2640</v>
      </c>
      <c r="CS30" s="82">
        <v>1560</v>
      </c>
      <c r="CT30" s="82">
        <v>728</v>
      </c>
      <c r="CU30" s="82">
        <v>728</v>
      </c>
      <c r="CV30" s="82">
        <v>2400</v>
      </c>
      <c r="CW30" s="82">
        <v>1197.5999999999999</v>
      </c>
      <c r="CX30" s="82">
        <v>1490</v>
      </c>
      <c r="CY30" s="82">
        <v>1490</v>
      </c>
      <c r="CZ30" s="82">
        <v>1490</v>
      </c>
      <c r="DA30" s="82">
        <v>1440</v>
      </c>
      <c r="DB30" s="82">
        <v>2000</v>
      </c>
      <c r="DC30" s="82">
        <v>1680</v>
      </c>
      <c r="DD30" s="82">
        <v>2000</v>
      </c>
      <c r="DE30" s="82">
        <v>1520</v>
      </c>
      <c r="DF30" s="82">
        <v>2400</v>
      </c>
      <c r="DG30" s="82">
        <v>5840</v>
      </c>
      <c r="DH30" s="82">
        <v>1440</v>
      </c>
      <c r="DI30" s="82">
        <v>2000</v>
      </c>
      <c r="DJ30" s="82">
        <v>1520</v>
      </c>
      <c r="DK30" s="82">
        <v>1440</v>
      </c>
      <c r="DL30" s="82">
        <v>2000</v>
      </c>
      <c r="DM30" s="82">
        <v>4500</v>
      </c>
      <c r="DN30" s="82">
        <v>880</v>
      </c>
      <c r="DO30" s="82">
        <v>880</v>
      </c>
      <c r="DP30" s="82">
        <v>2640</v>
      </c>
      <c r="DQ30" s="82">
        <v>1440</v>
      </c>
      <c r="DR30" s="82">
        <v>880</v>
      </c>
      <c r="DS30" s="82">
        <v>1440</v>
      </c>
      <c r="DT30" s="82">
        <v>2080</v>
      </c>
      <c r="DU30" s="82">
        <v>2080</v>
      </c>
      <c r="DV30" s="82">
        <v>1440</v>
      </c>
      <c r="DW30" s="82">
        <v>1920</v>
      </c>
      <c r="DX30" s="82">
        <v>2640</v>
      </c>
      <c r="DY30" s="82">
        <v>1360</v>
      </c>
      <c r="DZ30" s="82">
        <v>1560</v>
      </c>
      <c r="EA30" s="82">
        <v>1400</v>
      </c>
      <c r="EB30" s="82">
        <v>1920</v>
      </c>
      <c r="EC30" s="82">
        <v>1680</v>
      </c>
      <c r="ED30" s="82">
        <v>3300</v>
      </c>
      <c r="EE30" s="82">
        <v>1560</v>
      </c>
      <c r="EF30" s="82">
        <v>4000</v>
      </c>
      <c r="EG30" s="82">
        <v>13400</v>
      </c>
      <c r="EH30" s="82">
        <v>1560</v>
      </c>
      <c r="EI30" s="82">
        <v>3500</v>
      </c>
      <c r="EJ30" s="82">
        <v>1560</v>
      </c>
      <c r="EK30" s="82">
        <v>1560</v>
      </c>
      <c r="EL30" s="82">
        <v>1440</v>
      </c>
      <c r="EM30" s="82">
        <v>1560</v>
      </c>
      <c r="EN30" s="82">
        <v>1197.5999999999999</v>
      </c>
      <c r="EO30" s="82">
        <v>1440</v>
      </c>
      <c r="EP30" s="82">
        <v>1560</v>
      </c>
      <c r="EQ30" s="82">
        <v>1950</v>
      </c>
      <c r="ER30" s="82">
        <v>2640</v>
      </c>
      <c r="ES30" s="82">
        <v>1400</v>
      </c>
      <c r="ET30" s="82">
        <v>5520</v>
      </c>
      <c r="EU30" s="82">
        <v>1560</v>
      </c>
      <c r="EV30" s="82">
        <v>1560</v>
      </c>
      <c r="EW30" s="82">
        <v>1560</v>
      </c>
      <c r="EX30" s="82">
        <v>952</v>
      </c>
      <c r="EY30" s="82">
        <v>3300</v>
      </c>
      <c r="EZ30" s="82">
        <v>1950</v>
      </c>
      <c r="FA30" s="82">
        <v>1950</v>
      </c>
      <c r="FB30" s="82">
        <v>1560</v>
      </c>
      <c r="FC30" s="82">
        <v>1560</v>
      </c>
      <c r="FD30" s="82">
        <v>1560</v>
      </c>
      <c r="FE30" s="82">
        <v>1560</v>
      </c>
      <c r="FF30" s="82">
        <v>1560</v>
      </c>
      <c r="FG30" s="82">
        <v>1560</v>
      </c>
      <c r="FH30" s="82">
        <v>984</v>
      </c>
      <c r="FI30" s="82">
        <v>1360</v>
      </c>
      <c r="FJ30" s="82">
        <v>1360</v>
      </c>
      <c r="FK30" s="82">
        <v>1760</v>
      </c>
      <c r="FL30" s="82">
        <v>2500</v>
      </c>
      <c r="FM30" s="82">
        <v>2500</v>
      </c>
      <c r="FN30" s="82">
        <v>2500</v>
      </c>
      <c r="FO30" s="82">
        <v>1600</v>
      </c>
      <c r="FP30" s="82">
        <v>1100</v>
      </c>
      <c r="FQ30" s="82">
        <v>3600</v>
      </c>
      <c r="FR30" s="82">
        <v>640</v>
      </c>
      <c r="FS30" s="82">
        <v>1400</v>
      </c>
      <c r="FT30" s="82">
        <v>1400</v>
      </c>
      <c r="FU30" s="82">
        <v>3000</v>
      </c>
      <c r="FV30" s="82">
        <v>2400</v>
      </c>
      <c r="FW30" s="82">
        <v>2400</v>
      </c>
      <c r="FX30" s="82">
        <v>2160</v>
      </c>
      <c r="FY30" s="82">
        <v>2640</v>
      </c>
      <c r="FZ30" s="82">
        <v>2400</v>
      </c>
      <c r="GA30" s="82">
        <v>2000</v>
      </c>
      <c r="GB30" s="82">
        <v>1360</v>
      </c>
      <c r="GC30" s="82">
        <v>1560</v>
      </c>
      <c r="GD30" s="82">
        <v>2000</v>
      </c>
      <c r="GE30" s="82">
        <v>1007.2</v>
      </c>
      <c r="GF30" s="82">
        <v>984</v>
      </c>
      <c r="GG30" s="82">
        <v>1120</v>
      </c>
      <c r="GH30" s="82">
        <v>4800</v>
      </c>
      <c r="GI30" s="82">
        <v>792</v>
      </c>
      <c r="GJ30" s="82">
        <v>1560</v>
      </c>
      <c r="GK30" s="82">
        <v>3960</v>
      </c>
      <c r="GL30" s="82">
        <v>2640</v>
      </c>
    </row>
    <row r="31" spans="1:194" x14ac:dyDescent="0.25">
      <c r="A31" s="10" t="s">
        <v>146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8">
        <f t="shared" si="1"/>
        <v>0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8">
        <f t="shared" si="3"/>
        <v>0</v>
      </c>
      <c r="AX31" s="85"/>
    </row>
    <row r="32" spans="1:194" x14ac:dyDescent="0.25">
      <c r="A32" s="10" t="s">
        <v>58</v>
      </c>
      <c r="B32" s="11">
        <v>3</v>
      </c>
      <c r="C32" s="11"/>
      <c r="D32" s="11">
        <v>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3</v>
      </c>
      <c r="W32" s="11"/>
      <c r="X32" s="11"/>
      <c r="Y32" s="8">
        <f t="shared" si="1"/>
        <v>3</v>
      </c>
      <c r="Z32" s="11">
        <v>1</v>
      </c>
      <c r="AA32" s="11"/>
      <c r="AB32" s="11">
        <v>1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>
        <v>1</v>
      </c>
      <c r="AU32" s="11"/>
      <c r="AV32" s="11"/>
      <c r="AW32" s="8">
        <f t="shared" si="3"/>
        <v>1</v>
      </c>
      <c r="AX32" s="85">
        <v>2900</v>
      </c>
      <c r="AY32" s="86">
        <v>2900</v>
      </c>
      <c r="AZ32" s="82"/>
      <c r="BA32" s="82"/>
      <c r="BB32" s="82"/>
      <c r="BC32" s="82"/>
      <c r="BD32" s="82"/>
      <c r="BE32" s="82"/>
      <c r="BF32" s="82"/>
      <c r="BG32" s="82"/>
    </row>
    <row r="33" spans="1:138" x14ac:dyDescent="0.25">
      <c r="A33" s="10" t="s">
        <v>88</v>
      </c>
      <c r="B33" s="11">
        <v>1</v>
      </c>
      <c r="C33" s="11"/>
      <c r="D33" s="11">
        <v>18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18</v>
      </c>
      <c r="Y33" s="8">
        <f t="shared" si="1"/>
        <v>18</v>
      </c>
      <c r="Z33" s="11">
        <v>1</v>
      </c>
      <c r="AA33" s="11"/>
      <c r="AB33" s="11">
        <v>10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>
        <v>10</v>
      </c>
      <c r="AW33" s="8">
        <f t="shared" si="3"/>
        <v>10</v>
      </c>
      <c r="AX33" s="85">
        <v>1440</v>
      </c>
      <c r="AY33" s="86">
        <v>1440</v>
      </c>
      <c r="AZ33" s="82"/>
      <c r="BA33" s="82"/>
      <c r="BB33" s="82"/>
      <c r="BC33" s="82"/>
      <c r="BD33" s="82"/>
      <c r="BE33" s="82"/>
      <c r="BF33" s="82"/>
      <c r="BG33" s="82"/>
    </row>
    <row r="34" spans="1:138" x14ac:dyDescent="0.25">
      <c r="A34" s="10" t="s">
        <v>89</v>
      </c>
      <c r="B34" s="11">
        <v>3</v>
      </c>
      <c r="C34" s="11">
        <v>1</v>
      </c>
      <c r="D34" s="11">
        <v>13</v>
      </c>
      <c r="E34" s="11">
        <v>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4</v>
      </c>
      <c r="W34" s="11"/>
      <c r="X34" s="11">
        <v>9</v>
      </c>
      <c r="Y34" s="8">
        <f t="shared" si="1"/>
        <v>13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8">
        <f t="shared" si="3"/>
        <v>0</v>
      </c>
      <c r="AX34" s="85"/>
      <c r="AY34" s="86"/>
      <c r="AZ34" s="82"/>
      <c r="BA34" s="82"/>
      <c r="BB34" s="82"/>
      <c r="BC34" s="82"/>
      <c r="BD34" s="82"/>
      <c r="BE34" s="82"/>
      <c r="BF34" s="82"/>
      <c r="BG34" s="82"/>
    </row>
    <row r="35" spans="1:138" x14ac:dyDescent="0.25">
      <c r="A35" s="10" t="s">
        <v>90</v>
      </c>
      <c r="B35" s="11">
        <v>17</v>
      </c>
      <c r="C35" s="11">
        <v>7</v>
      </c>
      <c r="D35" s="11">
        <v>57</v>
      </c>
      <c r="E35" s="11">
        <v>22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>
        <v>2</v>
      </c>
      <c r="V35" s="11">
        <v>55</v>
      </c>
      <c r="W35" s="11"/>
      <c r="X35" s="11"/>
      <c r="Y35" s="8">
        <f t="shared" si="1"/>
        <v>57</v>
      </c>
      <c r="Z35" s="11">
        <v>8</v>
      </c>
      <c r="AA35" s="11">
        <v>2</v>
      </c>
      <c r="AB35" s="11">
        <v>38</v>
      </c>
      <c r="AC35" s="11">
        <v>2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2</v>
      </c>
      <c r="AT35" s="11">
        <v>36</v>
      </c>
      <c r="AU35" s="11"/>
      <c r="AV35" s="11"/>
      <c r="AW35" s="8">
        <f t="shared" si="3"/>
        <v>38</v>
      </c>
      <c r="AX35" s="85">
        <v>2775.6</v>
      </c>
      <c r="AY35" s="86">
        <v>468.8</v>
      </c>
      <c r="AZ35" s="82">
        <v>8640</v>
      </c>
      <c r="BA35" s="82">
        <v>1992</v>
      </c>
      <c r="BB35" s="82">
        <v>6480</v>
      </c>
      <c r="BC35" s="82">
        <v>1000</v>
      </c>
      <c r="BD35" s="82">
        <v>1000</v>
      </c>
      <c r="BE35" s="82">
        <v>1352</v>
      </c>
      <c r="BF35" s="82">
        <v>1272</v>
      </c>
      <c r="BG35" s="82"/>
    </row>
    <row r="36" spans="1:138" x14ac:dyDescent="0.25">
      <c r="A36" s="10" t="s">
        <v>91</v>
      </c>
      <c r="B36" s="11">
        <v>16</v>
      </c>
      <c r="C36" s="11">
        <v>1</v>
      </c>
      <c r="D36" s="11">
        <v>19</v>
      </c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">
        <v>19</v>
      </c>
      <c r="W36" s="11"/>
      <c r="X36" s="11"/>
      <c r="Y36" s="8">
        <f t="shared" si="1"/>
        <v>19</v>
      </c>
      <c r="Z36" s="11">
        <v>9</v>
      </c>
      <c r="AA36" s="11"/>
      <c r="AB36" s="11">
        <v>11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>
        <v>11</v>
      </c>
      <c r="AU36" s="11"/>
      <c r="AV36" s="11"/>
      <c r="AW36" s="8">
        <f t="shared" si="3"/>
        <v>11</v>
      </c>
      <c r="AX36" s="85">
        <v>2849.4444444444443</v>
      </c>
      <c r="AY36" s="88">
        <v>2500</v>
      </c>
      <c r="AZ36" s="82">
        <v>1900</v>
      </c>
      <c r="BA36" s="82">
        <v>1995</v>
      </c>
      <c r="BB36" s="82">
        <v>4390</v>
      </c>
      <c r="BC36" s="82">
        <v>8900</v>
      </c>
      <c r="BD36" s="82">
        <v>1520</v>
      </c>
      <c r="BE36" s="82">
        <v>1520</v>
      </c>
      <c r="BF36" s="82">
        <v>1520</v>
      </c>
      <c r="BG36" s="82">
        <v>1400</v>
      </c>
    </row>
    <row r="37" spans="1:138" x14ac:dyDescent="0.25">
      <c r="A37" s="10" t="s">
        <v>145</v>
      </c>
      <c r="B37" s="11">
        <v>4</v>
      </c>
      <c r="C37" s="11">
        <v>2</v>
      </c>
      <c r="D37" s="11">
        <v>61</v>
      </c>
      <c r="E37" s="11">
        <v>28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51</v>
      </c>
      <c r="W37" s="11"/>
      <c r="X37" s="11">
        <v>10</v>
      </c>
      <c r="Y37" s="8">
        <f t="shared" si="1"/>
        <v>61</v>
      </c>
      <c r="Z37" s="11">
        <v>2</v>
      </c>
      <c r="AA37" s="11">
        <v>1</v>
      </c>
      <c r="AB37" s="11">
        <v>44</v>
      </c>
      <c r="AC37" s="11">
        <v>18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>
        <v>44</v>
      </c>
      <c r="AU37" s="11"/>
      <c r="AV37" s="11"/>
      <c r="AW37" s="8">
        <f t="shared" si="3"/>
        <v>44</v>
      </c>
      <c r="AX37" s="85">
        <v>1056.8</v>
      </c>
      <c r="AY37" s="86">
        <v>353.6</v>
      </c>
      <c r="AZ37" s="82">
        <v>1760</v>
      </c>
      <c r="BA37" s="82"/>
      <c r="BB37" s="82"/>
      <c r="BC37" s="82"/>
      <c r="BD37" s="82"/>
      <c r="BE37" s="82"/>
      <c r="BF37" s="82"/>
      <c r="BG37" s="82"/>
    </row>
    <row r="38" spans="1:138" x14ac:dyDescent="0.25">
      <c r="A38" s="10" t="s">
        <v>144</v>
      </c>
      <c r="B38" s="11">
        <v>1</v>
      </c>
      <c r="C38" s="11"/>
      <c r="D38" s="11">
        <v>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1</v>
      </c>
      <c r="W38" s="11"/>
      <c r="X38" s="11"/>
      <c r="Y38" s="8">
        <f t="shared" si="1"/>
        <v>1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8">
        <f t="shared" si="3"/>
        <v>0</v>
      </c>
      <c r="AX38" s="85"/>
      <c r="AY38" s="86"/>
      <c r="AZ38" s="82"/>
      <c r="BA38" s="82"/>
      <c r="BB38" s="82"/>
      <c r="BC38" s="82"/>
      <c r="BD38" s="82"/>
      <c r="BE38" s="82"/>
      <c r="BF38" s="82"/>
      <c r="BG38" s="82"/>
    </row>
    <row r="39" spans="1:138" x14ac:dyDescent="0.25">
      <c r="A39" s="10" t="s">
        <v>143</v>
      </c>
      <c r="B39" s="11">
        <v>3</v>
      </c>
      <c r="C39" s="11">
        <v>1</v>
      </c>
      <c r="D39" s="11">
        <v>25</v>
      </c>
      <c r="E39" s="11">
        <v>1</v>
      </c>
      <c r="F39" s="11"/>
      <c r="G39" s="11"/>
      <c r="H39" s="11"/>
      <c r="I39" s="11"/>
      <c r="J39" s="11"/>
      <c r="K39" s="11"/>
      <c r="L39" s="11"/>
      <c r="M39" s="11"/>
      <c r="N39" s="11">
        <v>8</v>
      </c>
      <c r="O39" s="11"/>
      <c r="P39" s="11"/>
      <c r="Q39" s="11"/>
      <c r="R39" s="11"/>
      <c r="S39" s="11"/>
      <c r="T39" s="11"/>
      <c r="U39" s="11"/>
      <c r="V39" s="11">
        <v>1</v>
      </c>
      <c r="W39" s="11"/>
      <c r="X39" s="11">
        <v>16</v>
      </c>
      <c r="Y39" s="8">
        <f t="shared" si="1"/>
        <v>25</v>
      </c>
      <c r="Z39" s="11">
        <v>1</v>
      </c>
      <c r="AA39" s="11"/>
      <c r="AB39" s="11">
        <v>16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16</v>
      </c>
      <c r="AW39" s="8">
        <f t="shared" si="3"/>
        <v>16</v>
      </c>
      <c r="AX39" s="85">
        <v>1120</v>
      </c>
      <c r="AY39" s="86">
        <v>1120</v>
      </c>
      <c r="AZ39" s="82"/>
      <c r="BA39" s="82"/>
      <c r="BB39" s="82"/>
      <c r="BC39" s="82"/>
      <c r="BD39" s="82"/>
      <c r="BE39" s="82"/>
      <c r="BF39" s="82"/>
      <c r="BG39" s="82"/>
    </row>
    <row r="40" spans="1:138" x14ac:dyDescent="0.25">
      <c r="A40" s="10" t="s">
        <v>92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8">
        <f t="shared" si="1"/>
        <v>0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8">
        <f t="shared" si="3"/>
        <v>0</v>
      </c>
      <c r="AX40" s="14"/>
    </row>
    <row r="41" spans="1:138" x14ac:dyDescent="0.25">
      <c r="A41" s="10" t="s">
        <v>93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8">
        <f t="shared" si="1"/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8">
        <f t="shared" si="3"/>
        <v>0</v>
      </c>
      <c r="AX41" s="14"/>
    </row>
    <row r="42" spans="1:138" x14ac:dyDescent="0.25">
      <c r="A42" s="10" t="s">
        <v>94</v>
      </c>
      <c r="B42" s="11">
        <v>27</v>
      </c>
      <c r="C42" s="11"/>
      <c r="D42" s="11">
        <v>35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3</v>
      </c>
      <c r="R42" s="11"/>
      <c r="S42" s="11"/>
      <c r="T42" s="11"/>
      <c r="U42" s="11"/>
      <c r="V42" s="11">
        <v>16</v>
      </c>
      <c r="W42" s="11"/>
      <c r="X42" s="11">
        <v>16</v>
      </c>
      <c r="Y42" s="8">
        <f t="shared" si="1"/>
        <v>35</v>
      </c>
      <c r="Z42" s="11">
        <v>14</v>
      </c>
      <c r="AA42" s="11"/>
      <c r="AB42" s="11">
        <v>20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>
        <v>1</v>
      </c>
      <c r="AP42" s="11"/>
      <c r="AQ42" s="11"/>
      <c r="AR42" s="11"/>
      <c r="AS42" s="11"/>
      <c r="AT42" s="11">
        <v>9</v>
      </c>
      <c r="AU42" s="11"/>
      <c r="AV42" s="11">
        <v>10</v>
      </c>
      <c r="AW42" s="8">
        <f t="shared" si="3"/>
        <v>20</v>
      </c>
      <c r="AX42" s="89">
        <v>4728.5714285714284</v>
      </c>
      <c r="AY42" s="90">
        <v>3500</v>
      </c>
      <c r="AZ42" s="82">
        <v>5500</v>
      </c>
      <c r="BA42" s="82">
        <v>5500</v>
      </c>
      <c r="BB42" s="82">
        <v>5500</v>
      </c>
      <c r="BC42" s="82">
        <v>4400</v>
      </c>
      <c r="BD42" s="82">
        <v>2500</v>
      </c>
      <c r="BE42" s="82">
        <v>2200</v>
      </c>
      <c r="BF42" s="82">
        <v>1920</v>
      </c>
      <c r="BG42" s="82">
        <v>10000</v>
      </c>
      <c r="BH42" s="82">
        <v>17280</v>
      </c>
      <c r="BI42" s="82">
        <v>2900</v>
      </c>
      <c r="BJ42" s="82">
        <v>500</v>
      </c>
      <c r="BK42" s="82">
        <v>2500</v>
      </c>
      <c r="BL42" s="82">
        <v>2000</v>
      </c>
    </row>
    <row r="43" spans="1:138" x14ac:dyDescent="0.25">
      <c r="A43" s="10" t="s">
        <v>95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8">
        <f t="shared" si="1"/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8">
        <f t="shared" si="3"/>
        <v>0</v>
      </c>
      <c r="AX43" s="14"/>
    </row>
    <row r="44" spans="1:138" s="9" customFormat="1" x14ac:dyDescent="0.25">
      <c r="A44" s="40" t="s">
        <v>31</v>
      </c>
      <c r="B44" s="8">
        <f t="shared" ref="B44:X44" si="5">SUM(B45:B62)</f>
        <v>27</v>
      </c>
      <c r="C44" s="8">
        <f t="shared" si="5"/>
        <v>3</v>
      </c>
      <c r="D44" s="8">
        <f t="shared" si="5"/>
        <v>233</v>
      </c>
      <c r="E44" s="8">
        <f t="shared" si="5"/>
        <v>24</v>
      </c>
      <c r="F44" s="8">
        <f t="shared" si="5"/>
        <v>0</v>
      </c>
      <c r="G44" s="8">
        <f t="shared" si="5"/>
        <v>0</v>
      </c>
      <c r="H44" s="8">
        <f t="shared" si="5"/>
        <v>14</v>
      </c>
      <c r="I44" s="8">
        <f t="shared" si="5"/>
        <v>5</v>
      </c>
      <c r="J44" s="8">
        <f t="shared" si="5"/>
        <v>0</v>
      </c>
      <c r="K44" s="8">
        <f t="shared" si="5"/>
        <v>0</v>
      </c>
      <c r="L44" s="8">
        <f t="shared" si="5"/>
        <v>97</v>
      </c>
      <c r="M44" s="8">
        <f t="shared" si="5"/>
        <v>0</v>
      </c>
      <c r="N44" s="8">
        <f t="shared" si="5"/>
        <v>29</v>
      </c>
      <c r="O44" s="8">
        <f t="shared" si="5"/>
        <v>0</v>
      </c>
      <c r="P44" s="8">
        <f t="shared" si="5"/>
        <v>0</v>
      </c>
      <c r="Q44" s="8">
        <f t="shared" si="5"/>
        <v>0</v>
      </c>
      <c r="R44" s="8">
        <f t="shared" si="5"/>
        <v>0</v>
      </c>
      <c r="S44" s="8">
        <f t="shared" si="5"/>
        <v>0</v>
      </c>
      <c r="T44" s="8">
        <f t="shared" si="5"/>
        <v>0</v>
      </c>
      <c r="U44" s="8">
        <f t="shared" si="5"/>
        <v>4</v>
      </c>
      <c r="V44" s="8">
        <f t="shared" si="5"/>
        <v>50</v>
      </c>
      <c r="W44" s="8">
        <f t="shared" si="5"/>
        <v>14</v>
      </c>
      <c r="X44" s="8">
        <f t="shared" si="5"/>
        <v>20</v>
      </c>
      <c r="Y44" s="8">
        <f t="shared" si="1"/>
        <v>233</v>
      </c>
      <c r="Z44" s="8">
        <f t="shared" ref="Z44:AV44" si="6">SUM(Z45:Z62)</f>
        <v>14</v>
      </c>
      <c r="AA44" s="8">
        <f t="shared" si="6"/>
        <v>3</v>
      </c>
      <c r="AB44" s="8">
        <f t="shared" si="6"/>
        <v>154</v>
      </c>
      <c r="AC44" s="8">
        <f t="shared" si="6"/>
        <v>24</v>
      </c>
      <c r="AD44" s="8">
        <f t="shared" si="6"/>
        <v>0</v>
      </c>
      <c r="AE44" s="8">
        <f t="shared" si="6"/>
        <v>0</v>
      </c>
      <c r="AF44" s="8">
        <f t="shared" si="6"/>
        <v>5</v>
      </c>
      <c r="AG44" s="8">
        <f t="shared" si="6"/>
        <v>2</v>
      </c>
      <c r="AH44" s="8">
        <f t="shared" si="6"/>
        <v>0</v>
      </c>
      <c r="AI44" s="8">
        <f t="shared" si="6"/>
        <v>0</v>
      </c>
      <c r="AJ44" s="8">
        <f t="shared" si="6"/>
        <v>75</v>
      </c>
      <c r="AK44" s="8">
        <f t="shared" si="6"/>
        <v>0</v>
      </c>
      <c r="AL44" s="8">
        <f t="shared" si="6"/>
        <v>29</v>
      </c>
      <c r="AM44" s="8">
        <f t="shared" si="6"/>
        <v>0</v>
      </c>
      <c r="AN44" s="8">
        <f t="shared" si="6"/>
        <v>0</v>
      </c>
      <c r="AO44" s="8">
        <f t="shared" si="6"/>
        <v>0</v>
      </c>
      <c r="AP44" s="8">
        <f t="shared" si="6"/>
        <v>0</v>
      </c>
      <c r="AQ44" s="8">
        <f t="shared" si="6"/>
        <v>0</v>
      </c>
      <c r="AR44" s="8">
        <f t="shared" si="6"/>
        <v>0</v>
      </c>
      <c r="AS44" s="8">
        <f t="shared" si="6"/>
        <v>2</v>
      </c>
      <c r="AT44" s="8">
        <f t="shared" si="6"/>
        <v>39</v>
      </c>
      <c r="AU44" s="8">
        <f t="shared" si="6"/>
        <v>0</v>
      </c>
      <c r="AV44" s="8">
        <f t="shared" si="6"/>
        <v>2</v>
      </c>
      <c r="AW44" s="8">
        <f t="shared" si="3"/>
        <v>154</v>
      </c>
      <c r="EH44"/>
    </row>
    <row r="45" spans="1:138" x14ac:dyDescent="0.25">
      <c r="A45" s="10" t="s">
        <v>142</v>
      </c>
      <c r="B45" s="11">
        <v>2</v>
      </c>
      <c r="C45" s="11"/>
      <c r="D45" s="11">
        <v>15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1</v>
      </c>
      <c r="W45" s="11"/>
      <c r="X45" s="11">
        <v>14</v>
      </c>
      <c r="Y45" s="8">
        <f t="shared" si="1"/>
        <v>15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8">
        <f t="shared" si="3"/>
        <v>0</v>
      </c>
      <c r="AX45" s="14"/>
    </row>
    <row r="46" spans="1:138" x14ac:dyDescent="0.25">
      <c r="A46" s="10" t="s">
        <v>141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8">
        <f t="shared" si="1"/>
        <v>0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8">
        <f t="shared" si="3"/>
        <v>0</v>
      </c>
      <c r="AX46" s="14"/>
    </row>
    <row r="47" spans="1:138" x14ac:dyDescent="0.25">
      <c r="A47" s="10" t="s">
        <v>140</v>
      </c>
      <c r="B47" s="11">
        <v>5</v>
      </c>
      <c r="C47" s="11"/>
      <c r="D47" s="11">
        <v>40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26</v>
      </c>
      <c r="W47" s="11">
        <v>14</v>
      </c>
      <c r="X47" s="11"/>
      <c r="Y47" s="8">
        <f t="shared" si="1"/>
        <v>40</v>
      </c>
      <c r="Z47" s="11">
        <v>2</v>
      </c>
      <c r="AA47" s="11"/>
      <c r="AB47" s="11">
        <v>17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v>17</v>
      </c>
      <c r="AU47" s="11"/>
      <c r="AV47" s="11"/>
      <c r="AW47" s="8">
        <f t="shared" si="3"/>
        <v>17</v>
      </c>
      <c r="AX47" s="85">
        <v>10540</v>
      </c>
      <c r="AY47" s="86">
        <v>9920</v>
      </c>
      <c r="AZ47" s="82">
        <v>11160</v>
      </c>
      <c r="BA47" s="82"/>
      <c r="BB47" s="82"/>
    </row>
    <row r="48" spans="1:138" x14ac:dyDescent="0.25">
      <c r="A48" s="10" t="s">
        <v>139</v>
      </c>
      <c r="B48" s="11">
        <v>8</v>
      </c>
      <c r="C48" s="11"/>
      <c r="D48" s="11">
        <v>106</v>
      </c>
      <c r="E48" s="11"/>
      <c r="F48" s="11"/>
      <c r="G48" s="11"/>
      <c r="H48" s="11">
        <v>3</v>
      </c>
      <c r="I48" s="11"/>
      <c r="J48" s="11"/>
      <c r="K48" s="11"/>
      <c r="L48" s="11">
        <v>96</v>
      </c>
      <c r="M48" s="11"/>
      <c r="N48" s="11"/>
      <c r="O48" s="11"/>
      <c r="P48" s="11"/>
      <c r="Q48" s="11"/>
      <c r="R48" s="11"/>
      <c r="S48" s="11"/>
      <c r="T48" s="11"/>
      <c r="U48" s="11">
        <v>2</v>
      </c>
      <c r="V48" s="11"/>
      <c r="W48" s="11"/>
      <c r="X48" s="11">
        <v>5</v>
      </c>
      <c r="Y48" s="8">
        <f t="shared" si="1"/>
        <v>106</v>
      </c>
      <c r="Z48" s="11">
        <v>4</v>
      </c>
      <c r="AA48" s="11"/>
      <c r="AB48" s="11">
        <v>77</v>
      </c>
      <c r="AC48" s="11"/>
      <c r="AD48" s="11"/>
      <c r="AE48" s="11"/>
      <c r="AF48" s="11"/>
      <c r="AG48" s="11"/>
      <c r="AH48" s="11"/>
      <c r="AI48" s="11"/>
      <c r="AJ48" s="11">
        <v>75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>
        <v>2</v>
      </c>
      <c r="AW48" s="8">
        <f t="shared" si="3"/>
        <v>77</v>
      </c>
      <c r="AX48" s="85">
        <v>2785.2</v>
      </c>
      <c r="AY48" s="86">
        <v>1920</v>
      </c>
      <c r="AZ48" s="82">
        <v>1060.8</v>
      </c>
      <c r="BA48" s="82">
        <v>960</v>
      </c>
      <c r="BB48" s="82">
        <v>7200</v>
      </c>
    </row>
    <row r="49" spans="1:138" x14ac:dyDescent="0.25">
      <c r="A49" s="10" t="s">
        <v>138</v>
      </c>
      <c r="B49" s="11">
        <v>3</v>
      </c>
      <c r="C49" s="11">
        <v>2</v>
      </c>
      <c r="D49" s="11">
        <v>5</v>
      </c>
      <c r="E49" s="11">
        <v>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2</v>
      </c>
      <c r="V49" s="11">
        <v>2</v>
      </c>
      <c r="W49" s="11"/>
      <c r="X49" s="11">
        <v>1</v>
      </c>
      <c r="Y49" s="8">
        <f t="shared" si="1"/>
        <v>5</v>
      </c>
      <c r="Z49" s="11">
        <v>2</v>
      </c>
      <c r="AA49" s="11">
        <v>2</v>
      </c>
      <c r="AB49" s="11">
        <v>4</v>
      </c>
      <c r="AC49" s="11">
        <v>4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2</v>
      </c>
      <c r="AT49" s="11">
        <v>2</v>
      </c>
      <c r="AU49" s="11"/>
      <c r="AV49" s="11"/>
      <c r="AW49" s="8">
        <f t="shared" si="3"/>
        <v>4</v>
      </c>
      <c r="AX49" s="85">
        <v>876</v>
      </c>
      <c r="AY49" s="86">
        <v>1360</v>
      </c>
      <c r="AZ49" s="82">
        <v>392</v>
      </c>
      <c r="BA49" s="82"/>
      <c r="BB49" s="82"/>
    </row>
    <row r="50" spans="1:138" x14ac:dyDescent="0.25">
      <c r="A50" s="10" t="s">
        <v>137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8">
        <f t="shared" si="1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8">
        <f t="shared" si="3"/>
        <v>0</v>
      </c>
      <c r="AX50" s="14"/>
      <c r="AY50" s="2"/>
    </row>
    <row r="51" spans="1:138" x14ac:dyDescent="0.25">
      <c r="A51" s="10" t="s">
        <v>136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8">
        <f t="shared" si="1"/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8">
        <f t="shared" si="3"/>
        <v>0</v>
      </c>
      <c r="AX51" s="14"/>
    </row>
    <row r="52" spans="1:138" x14ac:dyDescent="0.25">
      <c r="A52" s="10" t="s">
        <v>135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8">
        <f t="shared" si="1"/>
        <v>0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8">
        <f t="shared" si="3"/>
        <v>0</v>
      </c>
      <c r="AX52" s="14"/>
    </row>
    <row r="53" spans="1:138" x14ac:dyDescent="0.25">
      <c r="A53" s="10" t="s">
        <v>134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8">
        <f t="shared" si="1"/>
        <v>0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8">
        <f t="shared" si="3"/>
        <v>0</v>
      </c>
      <c r="AX53" s="14"/>
    </row>
    <row r="54" spans="1:138" x14ac:dyDescent="0.25">
      <c r="A54" s="10" t="s">
        <v>32</v>
      </c>
      <c r="B54" s="11">
        <v>1</v>
      </c>
      <c r="C54" s="11"/>
      <c r="D54" s="11">
        <v>1</v>
      </c>
      <c r="E54" s="11"/>
      <c r="F54" s="11"/>
      <c r="G54" s="11"/>
      <c r="H54" s="11"/>
      <c r="I54" s="11"/>
      <c r="J54" s="11"/>
      <c r="K54" s="11"/>
      <c r="L54" s="11">
        <v>1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8">
        <f t="shared" si="1"/>
        <v>1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8">
        <f t="shared" si="3"/>
        <v>0</v>
      </c>
      <c r="AX54" s="14"/>
    </row>
    <row r="55" spans="1:138" x14ac:dyDescent="0.25">
      <c r="A55" s="10" t="s">
        <v>33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8">
        <f t="shared" si="1"/>
        <v>0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8">
        <f t="shared" si="3"/>
        <v>0</v>
      </c>
      <c r="AX55" s="14"/>
    </row>
    <row r="56" spans="1:138" x14ac:dyDescent="0.25">
      <c r="A56" s="10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8">
        <f t="shared" si="1"/>
        <v>0</v>
      </c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U56" s="11"/>
      <c r="AV56" s="11"/>
      <c r="AW56" s="8">
        <f t="shared" si="3"/>
        <v>0</v>
      </c>
      <c r="AX56" s="14"/>
    </row>
    <row r="57" spans="1:138" x14ac:dyDescent="0.25">
      <c r="A57" s="10" t="s">
        <v>35</v>
      </c>
      <c r="B57" s="11">
        <v>3</v>
      </c>
      <c r="C57" s="11">
        <v>1</v>
      </c>
      <c r="D57" s="11">
        <v>54</v>
      </c>
      <c r="E57" s="11">
        <v>20</v>
      </c>
      <c r="F57" s="11"/>
      <c r="G57" s="11"/>
      <c r="H57" s="11"/>
      <c r="I57" s="11">
        <v>5</v>
      </c>
      <c r="J57" s="11"/>
      <c r="K57" s="11"/>
      <c r="L57" s="11"/>
      <c r="M57" s="11"/>
      <c r="N57" s="11">
        <v>29</v>
      </c>
      <c r="O57" s="11"/>
      <c r="P57" s="11"/>
      <c r="Q57" s="11"/>
      <c r="R57" s="11"/>
      <c r="S57" s="11"/>
      <c r="T57" s="11"/>
      <c r="U57" s="11"/>
      <c r="V57" s="11">
        <v>20</v>
      </c>
      <c r="W57" s="11"/>
      <c r="X57" s="11"/>
      <c r="Y57" s="8">
        <f t="shared" si="1"/>
        <v>54</v>
      </c>
      <c r="Z57" s="11">
        <v>3</v>
      </c>
      <c r="AA57" s="11">
        <v>1</v>
      </c>
      <c r="AB57" s="11">
        <v>51</v>
      </c>
      <c r="AC57" s="11">
        <v>20</v>
      </c>
      <c r="AD57" s="11"/>
      <c r="AE57" s="11"/>
      <c r="AF57" s="11"/>
      <c r="AG57" s="11">
        <v>2</v>
      </c>
      <c r="AH57" s="11"/>
      <c r="AI57" s="11"/>
      <c r="AJ57" s="11"/>
      <c r="AK57" s="11"/>
      <c r="AL57" s="11">
        <v>29</v>
      </c>
      <c r="AM57" s="11"/>
      <c r="AN57" s="11"/>
      <c r="AO57" s="11"/>
      <c r="AP57" s="11"/>
      <c r="AQ57" s="11"/>
      <c r="AR57" s="11"/>
      <c r="AS57" s="11"/>
      <c r="AT57" s="11">
        <v>20</v>
      </c>
      <c r="AU57" s="11"/>
      <c r="AV57" s="11"/>
      <c r="AW57" s="8">
        <f t="shared" si="3"/>
        <v>51</v>
      </c>
      <c r="AX57" s="85">
        <v>960</v>
      </c>
      <c r="AY57" s="86">
        <v>80</v>
      </c>
      <c r="AZ57" s="82">
        <v>2080</v>
      </c>
      <c r="BA57" s="82">
        <v>720</v>
      </c>
      <c r="BB57" s="82"/>
    </row>
    <row r="58" spans="1:138" x14ac:dyDescent="0.25">
      <c r="A58" s="10" t="s">
        <v>36</v>
      </c>
      <c r="B58" s="11">
        <v>1</v>
      </c>
      <c r="C58" s="11"/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1"/>
      <c r="X58" s="11"/>
      <c r="Y58" s="8">
        <f t="shared" si="1"/>
        <v>1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8">
        <f t="shared" si="3"/>
        <v>0</v>
      </c>
      <c r="AX58" s="85"/>
      <c r="AY58" s="86"/>
      <c r="AZ58" s="82"/>
      <c r="BA58" s="82"/>
      <c r="BB58" s="82"/>
    </row>
    <row r="59" spans="1:138" x14ac:dyDescent="0.25">
      <c r="A59" s="10" t="s">
        <v>37</v>
      </c>
      <c r="B59" s="11">
        <v>1</v>
      </c>
      <c r="C59" s="11"/>
      <c r="D59" s="11">
        <v>7</v>
      </c>
      <c r="E59" s="11"/>
      <c r="F59" s="11"/>
      <c r="G59" s="11"/>
      <c r="H59" s="11">
        <v>7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8">
        <f t="shared" si="1"/>
        <v>7</v>
      </c>
      <c r="Z59" s="11">
        <v>1</v>
      </c>
      <c r="AA59" s="11"/>
      <c r="AB59" s="11">
        <v>2</v>
      </c>
      <c r="AC59" s="11"/>
      <c r="AD59" s="11"/>
      <c r="AE59" s="11"/>
      <c r="AF59" s="11">
        <v>2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8">
        <f t="shared" si="3"/>
        <v>2</v>
      </c>
      <c r="AX59" s="85">
        <v>1512</v>
      </c>
      <c r="AY59" s="86">
        <v>1512</v>
      </c>
      <c r="AZ59" s="82"/>
      <c r="BA59" s="82"/>
      <c r="BB59" s="82"/>
    </row>
    <row r="60" spans="1:138" x14ac:dyDescent="0.25">
      <c r="A60" s="10" t="s">
        <v>38</v>
      </c>
      <c r="B60" s="11">
        <v>2</v>
      </c>
      <c r="C60" s="11"/>
      <c r="D60" s="11">
        <v>3</v>
      </c>
      <c r="E60" s="11"/>
      <c r="F60" s="11"/>
      <c r="G60" s="11"/>
      <c r="H60" s="11">
        <v>3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8">
        <f t="shared" si="1"/>
        <v>3</v>
      </c>
      <c r="Z60" s="11">
        <v>1</v>
      </c>
      <c r="AA60" s="11"/>
      <c r="AB60" s="11">
        <v>2</v>
      </c>
      <c r="AC60" s="11"/>
      <c r="AD60" s="11"/>
      <c r="AE60" s="11"/>
      <c r="AF60" s="11">
        <v>2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8">
        <f t="shared" si="3"/>
        <v>2</v>
      </c>
      <c r="AX60" s="85">
        <v>1032</v>
      </c>
      <c r="AY60" s="86">
        <v>1032</v>
      </c>
      <c r="AZ60" s="82"/>
      <c r="BA60" s="82"/>
      <c r="BB60" s="82"/>
    </row>
    <row r="61" spans="1:138" x14ac:dyDescent="0.25">
      <c r="A61" s="10" t="s">
        <v>39</v>
      </c>
      <c r="B61" s="11">
        <v>1</v>
      </c>
      <c r="C61" s="11"/>
      <c r="D61" s="11">
        <v>1</v>
      </c>
      <c r="E61" s="11"/>
      <c r="F61" s="11"/>
      <c r="G61" s="11"/>
      <c r="H61" s="11">
        <v>1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8">
        <f t="shared" si="1"/>
        <v>1</v>
      </c>
      <c r="Z61" s="11">
        <v>1</v>
      </c>
      <c r="AA61" s="11"/>
      <c r="AB61" s="11">
        <v>1</v>
      </c>
      <c r="AC61" s="11"/>
      <c r="AD61" s="11"/>
      <c r="AE61" s="11"/>
      <c r="AF61" s="11">
        <v>1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8">
        <f t="shared" si="3"/>
        <v>1</v>
      </c>
      <c r="AX61" s="85">
        <v>1192</v>
      </c>
      <c r="AY61" s="86">
        <v>1192</v>
      </c>
      <c r="AZ61" s="82"/>
      <c r="BA61" s="82"/>
      <c r="BB61" s="82"/>
    </row>
    <row r="62" spans="1:138" x14ac:dyDescent="0.25">
      <c r="A62" s="10" t="s">
        <v>40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8">
        <f t="shared" si="1"/>
        <v>0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8"/>
      <c r="AX62" s="14"/>
    </row>
    <row r="63" spans="1:138" s="9" customFormat="1" x14ac:dyDescent="0.25">
      <c r="A63" s="40" t="s">
        <v>41</v>
      </c>
      <c r="B63" s="8">
        <f t="shared" ref="B63:X63" si="7">B64+B65+B66+B67+B68+B69++B70+B71+B72</f>
        <v>47</v>
      </c>
      <c r="C63" s="8">
        <f t="shared" si="7"/>
        <v>1</v>
      </c>
      <c r="D63" s="8">
        <f t="shared" si="7"/>
        <v>130</v>
      </c>
      <c r="E63" s="8">
        <f t="shared" si="7"/>
        <v>1</v>
      </c>
      <c r="F63" s="8">
        <f t="shared" si="7"/>
        <v>0</v>
      </c>
      <c r="G63" s="8">
        <f t="shared" si="7"/>
        <v>0</v>
      </c>
      <c r="H63" s="8">
        <f t="shared" si="7"/>
        <v>31</v>
      </c>
      <c r="I63" s="8">
        <f t="shared" si="7"/>
        <v>0</v>
      </c>
      <c r="J63" s="8">
        <f t="shared" si="7"/>
        <v>2</v>
      </c>
      <c r="K63" s="8">
        <f t="shared" si="7"/>
        <v>2</v>
      </c>
      <c r="L63" s="8">
        <f t="shared" si="7"/>
        <v>16</v>
      </c>
      <c r="M63" s="8">
        <f t="shared" si="7"/>
        <v>3</v>
      </c>
      <c r="N63" s="8">
        <f t="shared" si="7"/>
        <v>25</v>
      </c>
      <c r="O63" s="8">
        <f t="shared" si="7"/>
        <v>8</v>
      </c>
      <c r="P63" s="8">
        <f t="shared" si="7"/>
        <v>0</v>
      </c>
      <c r="Q63" s="8">
        <f t="shared" si="7"/>
        <v>0</v>
      </c>
      <c r="R63" s="8">
        <f t="shared" si="7"/>
        <v>1</v>
      </c>
      <c r="S63" s="8">
        <f t="shared" si="7"/>
        <v>0</v>
      </c>
      <c r="T63" s="8">
        <f t="shared" si="7"/>
        <v>0</v>
      </c>
      <c r="U63" s="8">
        <f t="shared" si="7"/>
        <v>23</v>
      </c>
      <c r="V63" s="8">
        <f t="shared" si="7"/>
        <v>1</v>
      </c>
      <c r="W63" s="8">
        <f t="shared" si="7"/>
        <v>1</v>
      </c>
      <c r="X63" s="8">
        <f t="shared" si="7"/>
        <v>17</v>
      </c>
      <c r="Y63" s="8">
        <f t="shared" si="1"/>
        <v>130</v>
      </c>
      <c r="Z63" s="8">
        <f t="shared" ref="Z63:AV63" si="8">Z64+Z65+Z66+Z67+Z68+Z69+Z70+Z71+Z72</f>
        <v>17</v>
      </c>
      <c r="AA63" s="8">
        <f t="shared" si="8"/>
        <v>1</v>
      </c>
      <c r="AB63" s="8">
        <f t="shared" si="8"/>
        <v>42</v>
      </c>
      <c r="AC63" s="8">
        <f t="shared" si="8"/>
        <v>1</v>
      </c>
      <c r="AD63" s="8">
        <f t="shared" si="8"/>
        <v>0</v>
      </c>
      <c r="AE63" s="8">
        <f t="shared" si="8"/>
        <v>0</v>
      </c>
      <c r="AF63" s="8">
        <f t="shared" si="8"/>
        <v>10</v>
      </c>
      <c r="AG63" s="8">
        <f t="shared" si="8"/>
        <v>0</v>
      </c>
      <c r="AH63" s="8">
        <f t="shared" si="8"/>
        <v>1</v>
      </c>
      <c r="AI63" s="8">
        <f t="shared" si="8"/>
        <v>2</v>
      </c>
      <c r="AJ63" s="8">
        <f t="shared" si="8"/>
        <v>16</v>
      </c>
      <c r="AK63" s="8">
        <f t="shared" si="8"/>
        <v>0</v>
      </c>
      <c r="AL63" s="8">
        <f t="shared" si="8"/>
        <v>3</v>
      </c>
      <c r="AM63" s="8">
        <f t="shared" si="8"/>
        <v>3</v>
      </c>
      <c r="AN63" s="8">
        <f t="shared" si="8"/>
        <v>0</v>
      </c>
      <c r="AO63" s="8">
        <f t="shared" si="8"/>
        <v>0</v>
      </c>
      <c r="AP63" s="8">
        <f t="shared" si="8"/>
        <v>0</v>
      </c>
      <c r="AQ63" s="8">
        <f t="shared" si="8"/>
        <v>0</v>
      </c>
      <c r="AR63" s="8">
        <f t="shared" si="8"/>
        <v>0</v>
      </c>
      <c r="AS63" s="8">
        <f t="shared" si="8"/>
        <v>6</v>
      </c>
      <c r="AT63" s="8">
        <f t="shared" si="8"/>
        <v>1</v>
      </c>
      <c r="AU63" s="8">
        <f t="shared" si="8"/>
        <v>0</v>
      </c>
      <c r="AV63" s="8">
        <f t="shared" si="8"/>
        <v>0</v>
      </c>
      <c r="AW63" s="8">
        <f t="shared" ref="AW63:AW126" si="9">SUM(AD63:AV63)</f>
        <v>42</v>
      </c>
      <c r="AX63" s="8"/>
      <c r="EH63"/>
    </row>
    <row r="64" spans="1:138" x14ac:dyDescent="0.25">
      <c r="A64" s="10" t="s">
        <v>133</v>
      </c>
      <c r="B64" s="11">
        <v>14</v>
      </c>
      <c r="C64" s="11"/>
      <c r="D64" s="11">
        <v>45</v>
      </c>
      <c r="E64" s="11"/>
      <c r="F64" s="11"/>
      <c r="G64" s="11"/>
      <c r="H64" s="11">
        <v>2</v>
      </c>
      <c r="I64" s="11"/>
      <c r="J64" s="11">
        <v>1</v>
      </c>
      <c r="K64" s="11"/>
      <c r="L64" s="11">
        <v>15</v>
      </c>
      <c r="M64" s="11">
        <v>3</v>
      </c>
      <c r="N64" s="11">
        <v>4</v>
      </c>
      <c r="O64" s="11">
        <v>5</v>
      </c>
      <c r="P64" s="11"/>
      <c r="Q64" s="11"/>
      <c r="R64" s="11"/>
      <c r="S64" s="11"/>
      <c r="T64" s="11"/>
      <c r="U64" s="11">
        <v>14</v>
      </c>
      <c r="V64" s="11"/>
      <c r="W64" s="11">
        <v>1</v>
      </c>
      <c r="X64" s="11"/>
      <c r="Y64" s="8">
        <f t="shared" si="1"/>
        <v>45</v>
      </c>
      <c r="Z64" s="11">
        <v>5</v>
      </c>
      <c r="AA64" s="11"/>
      <c r="AB64" s="11">
        <v>23</v>
      </c>
      <c r="AC64" s="11"/>
      <c r="AD64" s="11"/>
      <c r="AE64" s="11"/>
      <c r="AF64" s="11"/>
      <c r="AG64" s="11"/>
      <c r="AH64" s="11"/>
      <c r="AI64" s="11"/>
      <c r="AJ64" s="11">
        <v>15</v>
      </c>
      <c r="AK64" s="11"/>
      <c r="AL64" s="11">
        <v>3</v>
      </c>
      <c r="AM64" s="11">
        <v>2</v>
      </c>
      <c r="AN64" s="11"/>
      <c r="AO64" s="11"/>
      <c r="AP64" s="11"/>
      <c r="AQ64" s="11"/>
      <c r="AR64" s="11"/>
      <c r="AS64" s="11">
        <v>3</v>
      </c>
      <c r="AT64" s="11"/>
      <c r="AU64" s="11"/>
      <c r="AV64" s="11"/>
      <c r="AW64" s="8">
        <f t="shared" si="9"/>
        <v>23</v>
      </c>
      <c r="AX64" s="85">
        <v>5264</v>
      </c>
      <c r="AY64" s="86">
        <v>2090</v>
      </c>
      <c r="AZ64" s="82">
        <v>1280</v>
      </c>
      <c r="BA64" s="82">
        <v>13600</v>
      </c>
      <c r="BB64" s="82">
        <v>5400</v>
      </c>
      <c r="BC64" s="82">
        <v>3950</v>
      </c>
      <c r="BD64" s="82"/>
      <c r="BE64" s="82"/>
      <c r="BF64" s="82"/>
      <c r="BG64" s="82"/>
    </row>
    <row r="65" spans="1:138" x14ac:dyDescent="0.25">
      <c r="A65" s="10" t="s">
        <v>96</v>
      </c>
      <c r="B65" s="11">
        <v>25</v>
      </c>
      <c r="C65" s="11">
        <v>1</v>
      </c>
      <c r="D65" s="11">
        <v>53</v>
      </c>
      <c r="E65" s="11">
        <v>1</v>
      </c>
      <c r="F65" s="11"/>
      <c r="G65" s="11"/>
      <c r="H65" s="11">
        <v>29</v>
      </c>
      <c r="I65" s="11"/>
      <c r="J65" s="11">
        <v>1</v>
      </c>
      <c r="K65" s="11">
        <v>1</v>
      </c>
      <c r="L65" s="11">
        <v>1</v>
      </c>
      <c r="M65" s="11"/>
      <c r="N65" s="11">
        <v>11</v>
      </c>
      <c r="O65" s="11">
        <v>1</v>
      </c>
      <c r="P65" s="11"/>
      <c r="Q65" s="11"/>
      <c r="R65" s="11">
        <v>1</v>
      </c>
      <c r="S65" s="11"/>
      <c r="T65" s="11"/>
      <c r="U65" s="11">
        <v>6</v>
      </c>
      <c r="V65" s="11">
        <v>1</v>
      </c>
      <c r="W65" s="11"/>
      <c r="X65" s="11">
        <v>1</v>
      </c>
      <c r="Y65" s="8">
        <f t="shared" si="1"/>
        <v>53</v>
      </c>
      <c r="Z65" s="11">
        <v>9</v>
      </c>
      <c r="AA65" s="11">
        <v>1</v>
      </c>
      <c r="AB65" s="11">
        <v>14</v>
      </c>
      <c r="AC65" s="11">
        <v>1</v>
      </c>
      <c r="AD65" s="11"/>
      <c r="AE65" s="11"/>
      <c r="AF65" s="11">
        <v>10</v>
      </c>
      <c r="AG65" s="11"/>
      <c r="AH65" s="11">
        <v>1</v>
      </c>
      <c r="AI65" s="11">
        <v>1</v>
      </c>
      <c r="AJ65" s="11">
        <v>1</v>
      </c>
      <c r="AK65" s="11"/>
      <c r="AL65" s="11"/>
      <c r="AM65" s="11"/>
      <c r="AN65" s="11"/>
      <c r="AO65" s="11"/>
      <c r="AP65" s="11"/>
      <c r="AQ65" s="11"/>
      <c r="AR65" s="11"/>
      <c r="AS65" s="11"/>
      <c r="AT65" s="11">
        <v>1</v>
      </c>
      <c r="AU65" s="11"/>
      <c r="AV65" s="11"/>
      <c r="AW65" s="8">
        <f t="shared" si="9"/>
        <v>14</v>
      </c>
      <c r="AX65" s="85">
        <v>3672.3777777777777</v>
      </c>
      <c r="AY65" s="86">
        <v>3499</v>
      </c>
      <c r="AZ65" s="82">
        <v>1352</v>
      </c>
      <c r="BA65" s="82">
        <v>6160</v>
      </c>
      <c r="BB65" s="82">
        <v>1352</v>
      </c>
      <c r="BC65" s="82">
        <v>1352</v>
      </c>
      <c r="BD65" s="82">
        <v>1690</v>
      </c>
      <c r="BE65" s="82">
        <v>3800</v>
      </c>
      <c r="BF65" s="82">
        <v>13520</v>
      </c>
      <c r="BG65" s="82">
        <v>326.39999999999998</v>
      </c>
    </row>
    <row r="66" spans="1:138" x14ac:dyDescent="0.25">
      <c r="A66" s="10" t="s">
        <v>97</v>
      </c>
      <c r="B66" s="11">
        <v>1</v>
      </c>
      <c r="C66" s="11"/>
      <c r="D66" s="11">
        <v>4</v>
      </c>
      <c r="E66" s="11"/>
      <c r="F66" s="11"/>
      <c r="G66" s="11"/>
      <c r="H66" s="11"/>
      <c r="I66" s="11"/>
      <c r="J66" s="11"/>
      <c r="K66" s="11"/>
      <c r="L66" s="11"/>
      <c r="M66" s="11"/>
      <c r="N66" s="11">
        <v>4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8">
        <f t="shared" si="1"/>
        <v>4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8">
        <f t="shared" si="9"/>
        <v>0</v>
      </c>
      <c r="AX66" s="85"/>
      <c r="AY66" s="86"/>
      <c r="AZ66" s="82"/>
      <c r="BA66" s="82"/>
      <c r="BB66" s="82"/>
      <c r="BC66" s="82"/>
      <c r="BD66" s="82"/>
      <c r="BE66" s="82"/>
      <c r="BF66" s="82"/>
      <c r="BG66" s="82"/>
    </row>
    <row r="67" spans="1:138" x14ac:dyDescent="0.25">
      <c r="A67" s="10" t="s">
        <v>98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8">
        <f t="shared" si="1"/>
        <v>0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8">
        <f t="shared" si="9"/>
        <v>0</v>
      </c>
      <c r="AX67" s="85"/>
      <c r="AY67" s="86"/>
      <c r="AZ67" s="82"/>
      <c r="BA67" s="82"/>
      <c r="BB67" s="82"/>
      <c r="BC67" s="82"/>
      <c r="BD67" s="82"/>
      <c r="BE67" s="82"/>
      <c r="BF67" s="82"/>
      <c r="BG67" s="82"/>
    </row>
    <row r="68" spans="1:138" x14ac:dyDescent="0.25">
      <c r="A68" s="10" t="s">
        <v>99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8">
        <f t="shared" si="1"/>
        <v>0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8">
        <f t="shared" si="9"/>
        <v>0</v>
      </c>
      <c r="AX68" s="85"/>
      <c r="AY68" s="86"/>
      <c r="AZ68" s="82"/>
      <c r="BA68" s="82"/>
      <c r="BB68" s="82"/>
      <c r="BC68" s="82"/>
      <c r="BD68" s="82"/>
      <c r="BE68" s="82"/>
      <c r="BF68" s="82"/>
      <c r="BG68" s="82"/>
    </row>
    <row r="69" spans="1:138" x14ac:dyDescent="0.25">
      <c r="A69" s="10" t="s">
        <v>100</v>
      </c>
      <c r="B69" s="11">
        <v>3</v>
      </c>
      <c r="C69" s="11"/>
      <c r="D69" s="11">
        <v>12</v>
      </c>
      <c r="E69" s="11"/>
      <c r="F69" s="11"/>
      <c r="G69" s="11"/>
      <c r="H69" s="11"/>
      <c r="I69" s="11"/>
      <c r="J69" s="11"/>
      <c r="K69" s="11"/>
      <c r="L69" s="11"/>
      <c r="M69" s="11"/>
      <c r="N69" s="11">
        <v>6</v>
      </c>
      <c r="O69" s="11"/>
      <c r="P69" s="11"/>
      <c r="Q69" s="11"/>
      <c r="R69" s="11"/>
      <c r="S69" s="11"/>
      <c r="T69" s="11"/>
      <c r="U69" s="11">
        <v>3</v>
      </c>
      <c r="V69" s="11"/>
      <c r="W69" s="11"/>
      <c r="X69" s="11">
        <v>3</v>
      </c>
      <c r="Y69" s="8">
        <f t="shared" si="1"/>
        <v>12</v>
      </c>
      <c r="Z69" s="11">
        <v>1</v>
      </c>
      <c r="AA69" s="11"/>
      <c r="AB69" s="11">
        <v>3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3</v>
      </c>
      <c r="AT69" s="11"/>
      <c r="AU69" s="11"/>
      <c r="AV69" s="11"/>
      <c r="AW69" s="8">
        <f t="shared" si="9"/>
        <v>3</v>
      </c>
      <c r="AX69" s="85">
        <v>960</v>
      </c>
      <c r="AY69" s="86">
        <v>960</v>
      </c>
      <c r="AZ69" s="82"/>
      <c r="BA69" s="82"/>
      <c r="BB69" s="82"/>
      <c r="BC69" s="82"/>
      <c r="BD69" s="82"/>
      <c r="BE69" s="82"/>
      <c r="BF69" s="82"/>
      <c r="BG69" s="82"/>
    </row>
    <row r="70" spans="1:138" x14ac:dyDescent="0.25">
      <c r="A70" s="10" t="s">
        <v>132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8">
        <f t="shared" ref="Y70:Y133" si="10">SUM(F70:X70)</f>
        <v>0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8">
        <f t="shared" si="9"/>
        <v>0</v>
      </c>
      <c r="AX70" s="85"/>
      <c r="AY70" s="86"/>
      <c r="AZ70" s="82"/>
      <c r="BA70" s="82"/>
      <c r="BB70" s="82"/>
      <c r="BC70" s="82"/>
      <c r="BD70" s="82"/>
      <c r="BE70" s="82"/>
      <c r="BF70" s="82"/>
      <c r="BG70" s="82"/>
    </row>
    <row r="71" spans="1:138" x14ac:dyDescent="0.25">
      <c r="A71" s="10" t="s">
        <v>131</v>
      </c>
      <c r="B71" s="11">
        <v>3</v>
      </c>
      <c r="C71" s="11"/>
      <c r="D71" s="11">
        <v>3</v>
      </c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2</v>
      </c>
      <c r="P71" s="11"/>
      <c r="Q71" s="11"/>
      <c r="R71" s="11"/>
      <c r="S71" s="11"/>
      <c r="T71" s="11"/>
      <c r="U71" s="11"/>
      <c r="V71" s="11"/>
      <c r="W71" s="11"/>
      <c r="X71" s="11"/>
      <c r="Y71" s="8">
        <f t="shared" si="10"/>
        <v>3</v>
      </c>
      <c r="Z71" s="11">
        <v>2</v>
      </c>
      <c r="AA71" s="11"/>
      <c r="AB71" s="11">
        <v>2</v>
      </c>
      <c r="AC71" s="11"/>
      <c r="AD71" s="11"/>
      <c r="AE71" s="11"/>
      <c r="AF71" s="11"/>
      <c r="AG71" s="11"/>
      <c r="AH71" s="11"/>
      <c r="AI71" s="11">
        <v>1</v>
      </c>
      <c r="AJ71" s="11"/>
      <c r="AK71" s="11"/>
      <c r="AL71" s="11"/>
      <c r="AM71" s="11">
        <v>1</v>
      </c>
      <c r="AN71" s="11"/>
      <c r="AO71" s="11"/>
      <c r="AP71" s="11"/>
      <c r="AQ71" s="11"/>
      <c r="AR71" s="11"/>
      <c r="AS71" s="11"/>
      <c r="AT71" s="11"/>
      <c r="AU71" s="11"/>
      <c r="AV71" s="11"/>
      <c r="AW71" s="8">
        <f t="shared" si="9"/>
        <v>2</v>
      </c>
      <c r="AX71" s="85">
        <v>2896</v>
      </c>
      <c r="AY71" s="86">
        <v>2432</v>
      </c>
      <c r="AZ71" s="82">
        <v>3360</v>
      </c>
      <c r="BA71" s="82"/>
      <c r="BB71" s="82"/>
      <c r="BC71" s="82"/>
      <c r="BD71" s="82"/>
      <c r="BE71" s="82"/>
      <c r="BF71" s="82"/>
      <c r="BG71" s="82"/>
    </row>
    <row r="72" spans="1:138" x14ac:dyDescent="0.25">
      <c r="A72" s="10" t="s">
        <v>130</v>
      </c>
      <c r="B72" s="11">
        <v>1</v>
      </c>
      <c r="C72" s="11"/>
      <c r="D72" s="11">
        <v>13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>
        <v>13</v>
      </c>
      <c r="Y72" s="8">
        <f t="shared" si="10"/>
        <v>13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8">
        <f t="shared" si="9"/>
        <v>0</v>
      </c>
      <c r="AX72" s="85"/>
      <c r="AY72" s="91"/>
      <c r="AZ72" s="91"/>
      <c r="BA72" s="78"/>
    </row>
    <row r="73" spans="1:138" s="9" customFormat="1" x14ac:dyDescent="0.25">
      <c r="A73" s="40" t="s">
        <v>42</v>
      </c>
      <c r="B73" s="8">
        <f t="shared" ref="B73:X73" si="11">SUM(B74:B92)</f>
        <v>140</v>
      </c>
      <c r="C73" s="8">
        <f t="shared" si="11"/>
        <v>10</v>
      </c>
      <c r="D73" s="8">
        <f t="shared" si="11"/>
        <v>661</v>
      </c>
      <c r="E73" s="8">
        <f t="shared" si="11"/>
        <v>158</v>
      </c>
      <c r="F73" s="8">
        <f t="shared" si="11"/>
        <v>0</v>
      </c>
      <c r="G73" s="8">
        <f t="shared" si="11"/>
        <v>0</v>
      </c>
      <c r="H73" s="8">
        <f t="shared" si="11"/>
        <v>80</v>
      </c>
      <c r="I73" s="8">
        <f t="shared" si="11"/>
        <v>5</v>
      </c>
      <c r="J73" s="8">
        <f t="shared" si="11"/>
        <v>0</v>
      </c>
      <c r="K73" s="8">
        <f t="shared" si="11"/>
        <v>11</v>
      </c>
      <c r="L73" s="8">
        <f t="shared" si="11"/>
        <v>104</v>
      </c>
      <c r="M73" s="8">
        <f t="shared" si="11"/>
        <v>5</v>
      </c>
      <c r="N73" s="8">
        <f t="shared" si="11"/>
        <v>33</v>
      </c>
      <c r="O73" s="8">
        <f t="shared" si="11"/>
        <v>23</v>
      </c>
      <c r="P73" s="8">
        <f t="shared" si="11"/>
        <v>40</v>
      </c>
      <c r="Q73" s="8">
        <f t="shared" si="11"/>
        <v>1</v>
      </c>
      <c r="R73" s="8">
        <f t="shared" si="11"/>
        <v>28</v>
      </c>
      <c r="S73" s="8">
        <f t="shared" si="11"/>
        <v>2</v>
      </c>
      <c r="T73" s="8">
        <f t="shared" si="11"/>
        <v>157</v>
      </c>
      <c r="U73" s="8">
        <f t="shared" si="11"/>
        <v>11</v>
      </c>
      <c r="V73" s="8">
        <f t="shared" si="11"/>
        <v>145</v>
      </c>
      <c r="W73" s="8">
        <f t="shared" si="11"/>
        <v>3</v>
      </c>
      <c r="X73" s="8">
        <f t="shared" si="11"/>
        <v>13</v>
      </c>
      <c r="Y73" s="8">
        <f t="shared" si="10"/>
        <v>661</v>
      </c>
      <c r="Z73" s="8">
        <f t="shared" ref="Z73:AV73" si="12">SUM(Z74:Z93)</f>
        <v>64</v>
      </c>
      <c r="AA73" s="8">
        <f t="shared" si="12"/>
        <v>7</v>
      </c>
      <c r="AB73" s="8">
        <f t="shared" si="12"/>
        <v>308</v>
      </c>
      <c r="AC73" s="8">
        <f t="shared" si="12"/>
        <v>98</v>
      </c>
      <c r="AD73" s="8">
        <f t="shared" si="12"/>
        <v>0</v>
      </c>
      <c r="AE73" s="8">
        <f t="shared" si="12"/>
        <v>0</v>
      </c>
      <c r="AF73" s="8">
        <f t="shared" si="12"/>
        <v>26</v>
      </c>
      <c r="AG73" s="8">
        <f t="shared" si="12"/>
        <v>5</v>
      </c>
      <c r="AH73" s="8">
        <f t="shared" si="12"/>
        <v>0</v>
      </c>
      <c r="AI73" s="8">
        <f t="shared" si="12"/>
        <v>4</v>
      </c>
      <c r="AJ73" s="8">
        <f t="shared" si="12"/>
        <v>18</v>
      </c>
      <c r="AK73" s="8">
        <f t="shared" si="12"/>
        <v>0</v>
      </c>
      <c r="AL73" s="8">
        <f t="shared" si="12"/>
        <v>25</v>
      </c>
      <c r="AM73" s="8">
        <f t="shared" si="12"/>
        <v>10</v>
      </c>
      <c r="AN73" s="8">
        <f t="shared" si="12"/>
        <v>40</v>
      </c>
      <c r="AO73" s="8">
        <f t="shared" si="12"/>
        <v>1</v>
      </c>
      <c r="AP73" s="8">
        <f t="shared" si="12"/>
        <v>20</v>
      </c>
      <c r="AQ73" s="8">
        <f t="shared" si="12"/>
        <v>0</v>
      </c>
      <c r="AR73" s="8">
        <f t="shared" si="12"/>
        <v>99</v>
      </c>
      <c r="AS73" s="8">
        <f t="shared" si="12"/>
        <v>5</v>
      </c>
      <c r="AT73" s="8">
        <f t="shared" si="12"/>
        <v>52</v>
      </c>
      <c r="AU73" s="8">
        <f t="shared" si="12"/>
        <v>3</v>
      </c>
      <c r="AV73" s="8">
        <f t="shared" si="12"/>
        <v>0</v>
      </c>
      <c r="AW73" s="8">
        <f t="shared" si="9"/>
        <v>308</v>
      </c>
      <c r="AX73" s="92"/>
      <c r="EH73"/>
    </row>
    <row r="74" spans="1:138" x14ac:dyDescent="0.25">
      <c r="A74" s="10" t="s">
        <v>171</v>
      </c>
      <c r="B74" s="11">
        <v>13</v>
      </c>
      <c r="C74" s="11"/>
      <c r="D74" s="11">
        <v>106</v>
      </c>
      <c r="E74" s="11"/>
      <c r="F74" s="11"/>
      <c r="G74" s="11"/>
      <c r="H74" s="11">
        <v>12</v>
      </c>
      <c r="I74" s="11"/>
      <c r="J74" s="11"/>
      <c r="K74" s="11"/>
      <c r="L74" s="11">
        <v>70</v>
      </c>
      <c r="M74" s="11"/>
      <c r="N74" s="11">
        <v>16</v>
      </c>
      <c r="O74" s="11"/>
      <c r="P74" s="11"/>
      <c r="Q74" s="11"/>
      <c r="R74" s="11"/>
      <c r="S74" s="11">
        <v>2</v>
      </c>
      <c r="T74" s="11"/>
      <c r="U74" s="11"/>
      <c r="V74" s="11">
        <v>6</v>
      </c>
      <c r="W74" s="11"/>
      <c r="X74" s="11"/>
      <c r="Y74" s="8">
        <f t="shared" si="10"/>
        <v>106</v>
      </c>
      <c r="Z74" s="11">
        <v>7</v>
      </c>
      <c r="AA74" s="11"/>
      <c r="AB74" s="11">
        <v>30</v>
      </c>
      <c r="AC74" s="11"/>
      <c r="AD74" s="11"/>
      <c r="AE74" s="11"/>
      <c r="AF74" s="11">
        <v>6</v>
      </c>
      <c r="AG74" s="11"/>
      <c r="AH74" s="11"/>
      <c r="AI74" s="11"/>
      <c r="AJ74" s="11">
        <v>8</v>
      </c>
      <c r="AK74" s="11"/>
      <c r="AL74" s="11">
        <v>16</v>
      </c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8">
        <f t="shared" si="9"/>
        <v>30</v>
      </c>
      <c r="AX74" s="85">
        <v>2592.502857142857</v>
      </c>
      <c r="AY74" s="86">
        <v>2250</v>
      </c>
      <c r="AZ74" s="82">
        <v>1200</v>
      </c>
      <c r="BA74" s="82">
        <v>1200</v>
      </c>
      <c r="BB74" s="82">
        <v>960</v>
      </c>
      <c r="BC74" s="82">
        <v>7435.2</v>
      </c>
      <c r="BD74" s="82">
        <v>3590.32</v>
      </c>
      <c r="BE74" s="82">
        <v>1512</v>
      </c>
      <c r="BF74" s="82"/>
      <c r="BG74" s="82"/>
      <c r="BH74" s="82"/>
    </row>
    <row r="75" spans="1:138" x14ac:dyDescent="0.25">
      <c r="A75" s="10" t="s">
        <v>172</v>
      </c>
      <c r="B75" s="11">
        <v>2</v>
      </c>
      <c r="C75" s="11"/>
      <c r="D75" s="11">
        <v>3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1"/>
      <c r="R75" s="11"/>
      <c r="S75" s="11"/>
      <c r="T75" s="11"/>
      <c r="U75" s="11"/>
      <c r="V75" s="11"/>
      <c r="W75" s="11"/>
      <c r="X75" s="11">
        <v>2</v>
      </c>
      <c r="Y75" s="8">
        <f t="shared" si="10"/>
        <v>3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8">
        <f t="shared" si="9"/>
        <v>0</v>
      </c>
      <c r="AX75" s="85"/>
      <c r="AY75" s="86"/>
      <c r="AZ75" s="82"/>
      <c r="BA75" s="82"/>
      <c r="BB75" s="82"/>
      <c r="BC75" s="82"/>
      <c r="BD75" s="82"/>
      <c r="BE75" s="82"/>
      <c r="BF75" s="82"/>
      <c r="BG75" s="82"/>
      <c r="BH75" s="82"/>
    </row>
    <row r="76" spans="1:138" x14ac:dyDescent="0.25">
      <c r="A76" s="10" t="s">
        <v>173</v>
      </c>
      <c r="B76" s="11">
        <v>15</v>
      </c>
      <c r="C76" s="11">
        <v>5</v>
      </c>
      <c r="D76" s="11">
        <v>222</v>
      </c>
      <c r="E76" s="11">
        <v>153</v>
      </c>
      <c r="F76" s="11"/>
      <c r="G76" s="11"/>
      <c r="H76" s="11">
        <v>4</v>
      </c>
      <c r="I76" s="11">
        <v>5</v>
      </c>
      <c r="J76" s="11"/>
      <c r="K76" s="11"/>
      <c r="L76" s="11"/>
      <c r="M76" s="11"/>
      <c r="N76" s="11">
        <v>4</v>
      </c>
      <c r="O76" s="11">
        <v>2</v>
      </c>
      <c r="P76" s="11">
        <v>40</v>
      </c>
      <c r="Q76" s="11"/>
      <c r="R76" s="11">
        <v>12</v>
      </c>
      <c r="S76" s="11"/>
      <c r="T76" s="11">
        <v>154</v>
      </c>
      <c r="U76" s="11"/>
      <c r="V76" s="11"/>
      <c r="W76" s="11">
        <v>1</v>
      </c>
      <c r="X76" s="11"/>
      <c r="Y76" s="8">
        <f t="shared" si="10"/>
        <v>222</v>
      </c>
      <c r="Z76" s="11">
        <v>10</v>
      </c>
      <c r="AA76" s="11">
        <v>4</v>
      </c>
      <c r="AB76" s="11">
        <v>157</v>
      </c>
      <c r="AC76" s="11">
        <v>95</v>
      </c>
      <c r="AD76" s="11"/>
      <c r="AE76" s="11"/>
      <c r="AF76" s="11"/>
      <c r="AG76" s="11">
        <v>5</v>
      </c>
      <c r="AH76" s="11"/>
      <c r="AI76" s="11"/>
      <c r="AJ76" s="11"/>
      <c r="AK76" s="11"/>
      <c r="AL76" s="11">
        <v>4</v>
      </c>
      <c r="AM76" s="11"/>
      <c r="AN76" s="11">
        <v>40</v>
      </c>
      <c r="AO76" s="11"/>
      <c r="AP76" s="11">
        <v>11</v>
      </c>
      <c r="AQ76" s="11"/>
      <c r="AR76" s="11">
        <v>96</v>
      </c>
      <c r="AS76" s="11"/>
      <c r="AT76" s="11"/>
      <c r="AU76" s="11">
        <v>1</v>
      </c>
      <c r="AV76" s="11"/>
      <c r="AW76" s="8">
        <f t="shared" si="9"/>
        <v>157</v>
      </c>
      <c r="AX76" s="85">
        <v>2823.6</v>
      </c>
      <c r="AY76" s="86">
        <v>1680</v>
      </c>
      <c r="AZ76" s="82">
        <v>5200</v>
      </c>
      <c r="BA76" s="82">
        <v>440</v>
      </c>
      <c r="BB76" s="82">
        <v>400</v>
      </c>
      <c r="BC76" s="82">
        <v>1300</v>
      </c>
      <c r="BD76" s="82">
        <v>1512</v>
      </c>
      <c r="BE76" s="82">
        <v>16800</v>
      </c>
      <c r="BF76" s="82">
        <v>160</v>
      </c>
      <c r="BG76" s="82">
        <v>264</v>
      </c>
      <c r="BH76" s="82">
        <v>480</v>
      </c>
    </row>
    <row r="77" spans="1:138" x14ac:dyDescent="0.25">
      <c r="A77" s="10" t="s">
        <v>174</v>
      </c>
      <c r="B77" s="11">
        <v>3</v>
      </c>
      <c r="C77" s="11"/>
      <c r="D77" s="11">
        <v>125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>
        <v>5</v>
      </c>
      <c r="V77" s="11">
        <v>120</v>
      </c>
      <c r="W77" s="11"/>
      <c r="X77" s="11"/>
      <c r="Y77" s="8">
        <f t="shared" si="10"/>
        <v>125</v>
      </c>
      <c r="Z77" s="11">
        <v>2</v>
      </c>
      <c r="AA77" s="11"/>
      <c r="AB77" s="11">
        <v>47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>
        <v>5</v>
      </c>
      <c r="AT77" s="11">
        <v>42</v>
      </c>
      <c r="AU77" s="11"/>
      <c r="AV77" s="11"/>
      <c r="AW77" s="8">
        <f t="shared" si="9"/>
        <v>47</v>
      </c>
      <c r="AX77" s="85">
        <v>3069.3225000000002</v>
      </c>
      <c r="AY77" s="86">
        <v>2738.645</v>
      </c>
      <c r="AZ77" s="82">
        <v>3400</v>
      </c>
      <c r="BA77" s="82"/>
      <c r="BB77" s="82"/>
      <c r="BC77" s="82"/>
      <c r="BD77" s="82"/>
      <c r="BE77" s="82"/>
      <c r="BF77" s="82"/>
      <c r="BG77" s="82"/>
      <c r="BH77" s="82"/>
    </row>
    <row r="78" spans="1:138" x14ac:dyDescent="0.25">
      <c r="A78" s="10" t="s">
        <v>175</v>
      </c>
      <c r="B78" s="11">
        <v>12</v>
      </c>
      <c r="C78" s="11"/>
      <c r="D78" s="11">
        <v>35</v>
      </c>
      <c r="E78" s="11"/>
      <c r="F78" s="11"/>
      <c r="G78" s="11"/>
      <c r="H78" s="11">
        <v>17</v>
      </c>
      <c r="I78" s="11"/>
      <c r="J78" s="11"/>
      <c r="K78" s="11">
        <v>4</v>
      </c>
      <c r="L78" s="11">
        <v>4</v>
      </c>
      <c r="M78" s="11"/>
      <c r="N78" s="11"/>
      <c r="O78" s="11"/>
      <c r="P78" s="11"/>
      <c r="Q78" s="11"/>
      <c r="R78" s="11">
        <v>10</v>
      </c>
      <c r="S78" s="11"/>
      <c r="T78" s="11"/>
      <c r="U78" s="11"/>
      <c r="V78" s="11"/>
      <c r="W78" s="11"/>
      <c r="X78" s="11"/>
      <c r="Y78" s="8">
        <f t="shared" si="10"/>
        <v>35</v>
      </c>
      <c r="Z78" s="11">
        <v>10</v>
      </c>
      <c r="AA78" s="11"/>
      <c r="AB78" s="11">
        <v>20</v>
      </c>
      <c r="AC78" s="11"/>
      <c r="AD78" s="11"/>
      <c r="AE78" s="11"/>
      <c r="AF78" s="11">
        <v>6</v>
      </c>
      <c r="AG78" s="11"/>
      <c r="AH78" s="11"/>
      <c r="AI78" s="11">
        <v>4</v>
      </c>
      <c r="AJ78" s="11">
        <v>4</v>
      </c>
      <c r="AK78" s="11"/>
      <c r="AL78" s="11"/>
      <c r="AM78" s="11"/>
      <c r="AN78" s="11"/>
      <c r="AO78" s="11"/>
      <c r="AP78" s="11">
        <v>6</v>
      </c>
      <c r="AQ78" s="11"/>
      <c r="AR78" s="11"/>
      <c r="AS78" s="11"/>
      <c r="AT78" s="11"/>
      <c r="AU78" s="11"/>
      <c r="AV78" s="11"/>
      <c r="AW78" s="8">
        <f t="shared" si="9"/>
        <v>20</v>
      </c>
      <c r="AX78" s="85">
        <v>4303</v>
      </c>
      <c r="AY78" s="86">
        <v>14880</v>
      </c>
      <c r="AZ78" s="82">
        <v>14880</v>
      </c>
      <c r="BA78" s="82">
        <v>4080</v>
      </c>
      <c r="BB78" s="82">
        <v>557.20000000000005</v>
      </c>
      <c r="BC78" s="82">
        <v>2532.8000000000002</v>
      </c>
      <c r="BD78" s="82">
        <v>1500</v>
      </c>
      <c r="BE78" s="82">
        <v>1100</v>
      </c>
      <c r="BF78" s="82">
        <v>1200</v>
      </c>
      <c r="BG78" s="82">
        <v>1100</v>
      </c>
      <c r="BH78" s="82">
        <v>1200</v>
      </c>
    </row>
    <row r="79" spans="1:138" x14ac:dyDescent="0.25">
      <c r="A79" s="10" t="s">
        <v>176</v>
      </c>
      <c r="B79" s="11">
        <v>4</v>
      </c>
      <c r="C79" s="11"/>
      <c r="D79" s="11">
        <v>4</v>
      </c>
      <c r="E79" s="11"/>
      <c r="F79" s="11"/>
      <c r="G79" s="11"/>
      <c r="H79" s="11"/>
      <c r="I79" s="11"/>
      <c r="J79" s="11"/>
      <c r="K79" s="11"/>
      <c r="L79" s="11">
        <v>1</v>
      </c>
      <c r="M79" s="11"/>
      <c r="N79" s="11"/>
      <c r="O79" s="11">
        <v>3</v>
      </c>
      <c r="P79" s="11"/>
      <c r="Q79" s="11"/>
      <c r="R79" s="11"/>
      <c r="S79" s="11"/>
      <c r="T79" s="11"/>
      <c r="U79" s="11"/>
      <c r="V79" s="11"/>
      <c r="W79" s="11"/>
      <c r="X79" s="11"/>
      <c r="Y79" s="8">
        <f t="shared" si="10"/>
        <v>4</v>
      </c>
      <c r="Z79" s="11">
        <v>1</v>
      </c>
      <c r="AA79" s="11"/>
      <c r="AB79" s="11">
        <v>1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>
        <v>1</v>
      </c>
      <c r="AN79" s="11"/>
      <c r="AO79" s="11"/>
      <c r="AP79" s="11"/>
      <c r="AQ79" s="11"/>
      <c r="AR79" s="11"/>
      <c r="AS79" s="11"/>
      <c r="AT79" s="11"/>
      <c r="AU79" s="11"/>
      <c r="AV79" s="11"/>
      <c r="AW79" s="8">
        <f t="shared" si="9"/>
        <v>1</v>
      </c>
      <c r="AX79" s="85">
        <v>7600</v>
      </c>
      <c r="AY79" s="86">
        <v>7600</v>
      </c>
      <c r="AZ79" s="82"/>
      <c r="BA79" s="82"/>
      <c r="BB79" s="82"/>
      <c r="BC79" s="82"/>
      <c r="BD79" s="82"/>
      <c r="BE79" s="82"/>
      <c r="BF79" s="82"/>
      <c r="BG79" s="82"/>
      <c r="BH79" s="82"/>
    </row>
    <row r="80" spans="1:138" x14ac:dyDescent="0.25">
      <c r="A80" s="10" t="s">
        <v>178</v>
      </c>
      <c r="B80" s="11">
        <v>12</v>
      </c>
      <c r="C80" s="11">
        <v>1</v>
      </c>
      <c r="D80" s="11">
        <v>46</v>
      </c>
      <c r="E80" s="11">
        <v>1</v>
      </c>
      <c r="F80" s="11"/>
      <c r="G80" s="11"/>
      <c r="H80" s="11">
        <v>27</v>
      </c>
      <c r="I80" s="11"/>
      <c r="J80" s="11"/>
      <c r="K80" s="11"/>
      <c r="L80" s="11"/>
      <c r="M80" s="11">
        <v>3</v>
      </c>
      <c r="N80" s="11">
        <v>4</v>
      </c>
      <c r="O80" s="11"/>
      <c r="P80" s="11"/>
      <c r="Q80" s="11"/>
      <c r="R80" s="11"/>
      <c r="S80" s="11"/>
      <c r="T80" s="11"/>
      <c r="U80" s="11"/>
      <c r="V80" s="11">
        <v>6</v>
      </c>
      <c r="W80" s="11">
        <v>2</v>
      </c>
      <c r="X80" s="11">
        <v>4</v>
      </c>
      <c r="Y80" s="8">
        <f t="shared" si="10"/>
        <v>46</v>
      </c>
      <c r="Z80" s="11">
        <v>5</v>
      </c>
      <c r="AA80" s="11">
        <v>1</v>
      </c>
      <c r="AB80" s="11">
        <v>17</v>
      </c>
      <c r="AC80" s="11">
        <v>1</v>
      </c>
      <c r="AD80" s="11"/>
      <c r="AE80" s="11"/>
      <c r="AF80" s="11">
        <v>12</v>
      </c>
      <c r="AG80" s="11"/>
      <c r="AH80" s="11"/>
      <c r="AI80" s="11"/>
      <c r="AJ80" s="11"/>
      <c r="AK80" s="11"/>
      <c r="AL80" s="11">
        <v>3</v>
      </c>
      <c r="AM80" s="11"/>
      <c r="AN80" s="11"/>
      <c r="AO80" s="11"/>
      <c r="AP80" s="11"/>
      <c r="AQ80" s="11"/>
      <c r="AR80" s="11"/>
      <c r="AS80" s="11"/>
      <c r="AT80" s="11"/>
      <c r="AU80" s="11">
        <v>2</v>
      </c>
      <c r="AV80" s="11"/>
      <c r="AW80" s="8">
        <f t="shared" si="9"/>
        <v>17</v>
      </c>
      <c r="AX80" s="85">
        <v>1058.72</v>
      </c>
      <c r="AY80" s="86">
        <v>2160</v>
      </c>
      <c r="AZ80" s="82">
        <v>1112</v>
      </c>
      <c r="BA80" s="82">
        <v>1112</v>
      </c>
      <c r="BB80" s="82">
        <v>553.6</v>
      </c>
      <c r="BC80" s="82">
        <v>356</v>
      </c>
      <c r="BD80" s="82"/>
      <c r="BE80" s="82"/>
      <c r="BF80" s="82"/>
      <c r="BG80" s="82"/>
      <c r="BH80" s="82"/>
    </row>
    <row r="81" spans="1:138" x14ac:dyDescent="0.25">
      <c r="A81" s="10" t="s">
        <v>177</v>
      </c>
      <c r="B81" s="11">
        <v>14</v>
      </c>
      <c r="C81" s="11"/>
      <c r="D81" s="11">
        <v>25</v>
      </c>
      <c r="E81" s="11"/>
      <c r="F81" s="11"/>
      <c r="G81" s="11"/>
      <c r="H81" s="11">
        <v>7</v>
      </c>
      <c r="I81" s="11"/>
      <c r="J81" s="11"/>
      <c r="K81" s="11"/>
      <c r="L81" s="11">
        <v>13</v>
      </c>
      <c r="M81" s="11">
        <v>1</v>
      </c>
      <c r="N81" s="11"/>
      <c r="O81" s="11">
        <v>3</v>
      </c>
      <c r="P81" s="11"/>
      <c r="Q81" s="11"/>
      <c r="R81" s="11"/>
      <c r="S81" s="11"/>
      <c r="T81" s="11"/>
      <c r="U81" s="11"/>
      <c r="V81" s="11">
        <v>1</v>
      </c>
      <c r="W81" s="11"/>
      <c r="X81" s="11"/>
      <c r="Y81" s="8">
        <f t="shared" si="10"/>
        <v>25</v>
      </c>
      <c r="Z81" s="11">
        <v>2</v>
      </c>
      <c r="AA81" s="11"/>
      <c r="AB81" s="11">
        <v>2</v>
      </c>
      <c r="AC81" s="11"/>
      <c r="AD81" s="11"/>
      <c r="AE81" s="11"/>
      <c r="AF81" s="11"/>
      <c r="AG81" s="11"/>
      <c r="AH81" s="11"/>
      <c r="AI81" s="11"/>
      <c r="AJ81" s="11">
        <v>1</v>
      </c>
      <c r="AK81" s="11"/>
      <c r="AL81" s="11"/>
      <c r="AM81" s="11">
        <v>1</v>
      </c>
      <c r="AN81" s="11"/>
      <c r="AO81" s="11"/>
      <c r="AP81" s="11"/>
      <c r="AQ81" s="11"/>
      <c r="AR81" s="11"/>
      <c r="AS81" s="11"/>
      <c r="AT81" s="11"/>
      <c r="AU81" s="11"/>
      <c r="AV81" s="11"/>
      <c r="AW81" s="8">
        <f t="shared" si="9"/>
        <v>2</v>
      </c>
      <c r="AX81" s="85">
        <v>8030</v>
      </c>
      <c r="AY81" s="86">
        <v>12500</v>
      </c>
      <c r="AZ81" s="82">
        <v>3560</v>
      </c>
      <c r="BA81" s="82"/>
      <c r="BB81" s="82"/>
      <c r="BC81" s="82"/>
      <c r="BD81" s="82"/>
      <c r="BE81" s="82"/>
      <c r="BF81" s="82"/>
      <c r="BG81" s="82"/>
      <c r="BH81" s="82"/>
    </row>
    <row r="82" spans="1:138" x14ac:dyDescent="0.25">
      <c r="A82" s="10" t="s">
        <v>159</v>
      </c>
      <c r="B82" s="11">
        <v>2</v>
      </c>
      <c r="C82" s="11"/>
      <c r="D82" s="11">
        <v>8</v>
      </c>
      <c r="E82" s="11"/>
      <c r="F82" s="11"/>
      <c r="G82" s="11"/>
      <c r="H82" s="11"/>
      <c r="I82" s="11"/>
      <c r="J82" s="11"/>
      <c r="K82" s="11"/>
      <c r="L82" s="11"/>
      <c r="M82" s="11"/>
      <c r="N82" s="11">
        <v>6</v>
      </c>
      <c r="O82" s="11"/>
      <c r="P82" s="11"/>
      <c r="Q82" s="11"/>
      <c r="R82" s="11"/>
      <c r="S82" s="11"/>
      <c r="T82" s="11"/>
      <c r="U82" s="11"/>
      <c r="V82" s="11"/>
      <c r="W82" s="11"/>
      <c r="X82" s="11">
        <v>2</v>
      </c>
      <c r="Y82" s="8">
        <f t="shared" si="10"/>
        <v>8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8">
        <f t="shared" si="9"/>
        <v>0</v>
      </c>
      <c r="AX82" s="85"/>
      <c r="AY82" s="86"/>
      <c r="AZ82" s="82"/>
      <c r="BA82" s="82"/>
      <c r="BB82" s="82"/>
      <c r="BC82" s="82"/>
      <c r="BD82" s="82"/>
      <c r="BE82" s="82"/>
      <c r="BF82" s="82"/>
      <c r="BG82" s="82"/>
      <c r="BH82" s="82"/>
    </row>
    <row r="83" spans="1:138" x14ac:dyDescent="0.25">
      <c r="A83" s="10" t="s">
        <v>160</v>
      </c>
      <c r="B83" s="11">
        <v>19</v>
      </c>
      <c r="C83" s="11">
        <v>2</v>
      </c>
      <c r="D83" s="11">
        <v>23</v>
      </c>
      <c r="E83" s="11">
        <v>2</v>
      </c>
      <c r="F83" s="11"/>
      <c r="G83" s="11"/>
      <c r="H83" s="11">
        <v>5</v>
      </c>
      <c r="I83" s="11"/>
      <c r="J83" s="11"/>
      <c r="K83" s="11">
        <v>1</v>
      </c>
      <c r="L83" s="11">
        <v>3</v>
      </c>
      <c r="M83" s="11">
        <v>1</v>
      </c>
      <c r="N83" s="11">
        <v>3</v>
      </c>
      <c r="O83" s="11">
        <v>1</v>
      </c>
      <c r="P83" s="11"/>
      <c r="Q83" s="11">
        <v>1</v>
      </c>
      <c r="R83" s="11">
        <v>6</v>
      </c>
      <c r="S83" s="11"/>
      <c r="T83" s="11"/>
      <c r="U83" s="11"/>
      <c r="V83" s="11">
        <v>2</v>
      </c>
      <c r="W83" s="11"/>
      <c r="X83" s="11"/>
      <c r="Y83" s="8">
        <f t="shared" si="10"/>
        <v>23</v>
      </c>
      <c r="Z83" s="11">
        <v>9</v>
      </c>
      <c r="AA83" s="11">
        <v>1</v>
      </c>
      <c r="AB83" s="11">
        <v>10</v>
      </c>
      <c r="AC83" s="11">
        <v>1</v>
      </c>
      <c r="AD83" s="11"/>
      <c r="AE83" s="11"/>
      <c r="AF83" s="11">
        <v>1</v>
      </c>
      <c r="AG83" s="11"/>
      <c r="AH83" s="11"/>
      <c r="AI83" s="11"/>
      <c r="AJ83" s="11">
        <v>2</v>
      </c>
      <c r="AK83" s="11"/>
      <c r="AL83" s="11">
        <v>2</v>
      </c>
      <c r="AM83" s="11"/>
      <c r="AN83" s="11"/>
      <c r="AO83" s="11">
        <v>1</v>
      </c>
      <c r="AP83" s="11">
        <v>3</v>
      </c>
      <c r="AQ83" s="11"/>
      <c r="AR83" s="11"/>
      <c r="AS83" s="11"/>
      <c r="AT83" s="11">
        <v>1</v>
      </c>
      <c r="AU83" s="11"/>
      <c r="AV83" s="11"/>
      <c r="AW83" s="8">
        <f t="shared" si="9"/>
        <v>10</v>
      </c>
      <c r="AX83" s="85">
        <v>1532.2222222222222</v>
      </c>
      <c r="AY83" s="86">
        <v>2216</v>
      </c>
      <c r="AZ83" s="82">
        <v>1390</v>
      </c>
      <c r="BA83" s="82">
        <v>1390</v>
      </c>
      <c r="BB83" s="82">
        <v>2400</v>
      </c>
      <c r="BC83" s="82">
        <v>1390</v>
      </c>
      <c r="BD83" s="82">
        <v>1390</v>
      </c>
      <c r="BE83" s="82">
        <v>1390</v>
      </c>
      <c r="BF83" s="82">
        <v>1112</v>
      </c>
      <c r="BG83" s="82">
        <v>1112</v>
      </c>
      <c r="BH83" s="82"/>
    </row>
    <row r="84" spans="1:138" x14ac:dyDescent="0.25">
      <c r="A84" s="10" t="s">
        <v>161</v>
      </c>
      <c r="B84" s="11">
        <v>1</v>
      </c>
      <c r="C84" s="11"/>
      <c r="D84" s="11">
        <v>1</v>
      </c>
      <c r="E84" s="11"/>
      <c r="F84" s="11"/>
      <c r="G84" s="11"/>
      <c r="H84" s="11"/>
      <c r="I84" s="11"/>
      <c r="J84" s="11"/>
      <c r="K84" s="11">
        <v>1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8">
        <f t="shared" si="10"/>
        <v>1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8">
        <f t="shared" si="9"/>
        <v>0</v>
      </c>
      <c r="AX84" s="14"/>
    </row>
    <row r="85" spans="1:138" x14ac:dyDescent="0.25">
      <c r="A85" s="10" t="s">
        <v>162</v>
      </c>
      <c r="B85" s="11">
        <v>1</v>
      </c>
      <c r="C85" s="11"/>
      <c r="D85" s="11">
        <v>1</v>
      </c>
      <c r="E85" s="11"/>
      <c r="F85" s="11"/>
      <c r="G85" s="11"/>
      <c r="H85" s="11">
        <v>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8">
        <f t="shared" si="10"/>
        <v>1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8">
        <f t="shared" si="9"/>
        <v>0</v>
      </c>
      <c r="AX85" s="14"/>
    </row>
    <row r="86" spans="1:138" x14ac:dyDescent="0.25">
      <c r="A86" s="10" t="s">
        <v>163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8">
        <f t="shared" si="10"/>
        <v>0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8">
        <f t="shared" si="9"/>
        <v>0</v>
      </c>
      <c r="AX86" s="14"/>
    </row>
    <row r="87" spans="1:138" x14ac:dyDescent="0.25">
      <c r="A87" s="10" t="s">
        <v>164</v>
      </c>
      <c r="B87" s="11">
        <v>1</v>
      </c>
      <c r="C87" s="11"/>
      <c r="D87" s="11">
        <v>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>
        <v>2</v>
      </c>
      <c r="P87" s="11"/>
      <c r="Q87" s="11"/>
      <c r="R87" s="11"/>
      <c r="S87" s="11"/>
      <c r="T87" s="11"/>
      <c r="U87" s="11"/>
      <c r="V87" s="11"/>
      <c r="W87" s="11"/>
      <c r="X87" s="11"/>
      <c r="Y87" s="8">
        <f t="shared" si="10"/>
        <v>2</v>
      </c>
      <c r="Z87" s="11">
        <v>1</v>
      </c>
      <c r="AA87" s="11"/>
      <c r="AB87" s="11">
        <v>2</v>
      </c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>
        <v>2</v>
      </c>
      <c r="AN87" s="11"/>
      <c r="AO87" s="11"/>
      <c r="AP87" s="11"/>
      <c r="AQ87" s="11"/>
      <c r="AR87" s="11"/>
      <c r="AS87" s="11"/>
      <c r="AT87" s="11"/>
      <c r="AU87" s="11"/>
      <c r="AV87" s="11"/>
      <c r="AW87" s="8">
        <f t="shared" si="9"/>
        <v>2</v>
      </c>
      <c r="AX87" s="85">
        <v>4640</v>
      </c>
      <c r="AY87" s="86">
        <v>4640</v>
      </c>
      <c r="AZ87" s="82"/>
      <c r="BA87" s="82"/>
      <c r="BB87" s="82"/>
      <c r="BC87" s="82"/>
      <c r="BD87" s="82"/>
      <c r="BE87" s="82"/>
      <c r="BF87" s="82"/>
      <c r="BG87" s="82"/>
    </row>
    <row r="88" spans="1:138" x14ac:dyDescent="0.25">
      <c r="A88" s="10" t="s">
        <v>165</v>
      </c>
      <c r="B88" s="11">
        <v>16</v>
      </c>
      <c r="C88" s="11">
        <v>1</v>
      </c>
      <c r="D88" s="11">
        <v>22</v>
      </c>
      <c r="E88" s="11">
        <v>1</v>
      </c>
      <c r="F88" s="11"/>
      <c r="G88" s="11"/>
      <c r="H88" s="11"/>
      <c r="I88" s="11"/>
      <c r="J88" s="11"/>
      <c r="K88" s="11"/>
      <c r="L88" s="11"/>
      <c r="M88" s="11"/>
      <c r="N88" s="11"/>
      <c r="O88" s="11">
        <v>8</v>
      </c>
      <c r="P88" s="11"/>
      <c r="Q88" s="11"/>
      <c r="R88" s="11"/>
      <c r="S88" s="11"/>
      <c r="T88" s="11">
        <v>1</v>
      </c>
      <c r="U88" s="11"/>
      <c r="V88" s="11">
        <v>10</v>
      </c>
      <c r="W88" s="11"/>
      <c r="X88" s="11">
        <v>3</v>
      </c>
      <c r="Y88" s="8">
        <f t="shared" si="10"/>
        <v>22</v>
      </c>
      <c r="Z88" s="11">
        <v>9</v>
      </c>
      <c r="AA88" s="11">
        <v>1</v>
      </c>
      <c r="AB88" s="11">
        <v>14</v>
      </c>
      <c r="AC88" s="11">
        <v>1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>
        <v>4</v>
      </c>
      <c r="AN88" s="11"/>
      <c r="AO88" s="11"/>
      <c r="AP88" s="11"/>
      <c r="AQ88" s="11"/>
      <c r="AR88" s="11">
        <v>1</v>
      </c>
      <c r="AS88" s="11"/>
      <c r="AT88" s="11">
        <v>9</v>
      </c>
      <c r="AU88" s="11"/>
      <c r="AV88" s="11"/>
      <c r="AW88" s="8">
        <f t="shared" si="9"/>
        <v>14</v>
      </c>
      <c r="AX88" s="85">
        <v>3461.3333333333335</v>
      </c>
      <c r="AY88" s="86">
        <v>9000</v>
      </c>
      <c r="AZ88" s="82">
        <v>3040</v>
      </c>
      <c r="BA88" s="82">
        <v>3040</v>
      </c>
      <c r="BB88" s="82">
        <v>4424</v>
      </c>
      <c r="BC88" s="82">
        <v>2400</v>
      </c>
      <c r="BD88" s="82">
        <v>2632</v>
      </c>
      <c r="BE88" s="82">
        <v>2472</v>
      </c>
      <c r="BF88" s="82">
        <v>1272</v>
      </c>
      <c r="BG88" s="82">
        <v>2872</v>
      </c>
    </row>
    <row r="89" spans="1:138" x14ac:dyDescent="0.25">
      <c r="A89" s="10" t="s">
        <v>166</v>
      </c>
      <c r="B89" s="11">
        <v>15</v>
      </c>
      <c r="C89" s="11">
        <v>1</v>
      </c>
      <c r="D89" s="11">
        <v>15</v>
      </c>
      <c r="E89" s="11">
        <v>1</v>
      </c>
      <c r="F89" s="11"/>
      <c r="G89" s="11"/>
      <c r="H89" s="11"/>
      <c r="I89" s="11"/>
      <c r="J89" s="11"/>
      <c r="K89" s="11"/>
      <c r="L89" s="11">
        <v>11</v>
      </c>
      <c r="M89" s="11"/>
      <c r="N89" s="11"/>
      <c r="O89" s="11">
        <v>3</v>
      </c>
      <c r="P89" s="11"/>
      <c r="Q89" s="11"/>
      <c r="R89" s="11"/>
      <c r="S89" s="11"/>
      <c r="T89" s="11"/>
      <c r="U89" s="11">
        <v>1</v>
      </c>
      <c r="V89" s="11"/>
      <c r="W89" s="11"/>
      <c r="X89" s="11"/>
      <c r="Y89" s="8">
        <f t="shared" si="10"/>
        <v>15</v>
      </c>
      <c r="Z89" s="11">
        <v>3</v>
      </c>
      <c r="AA89" s="11"/>
      <c r="AB89" s="11">
        <v>3</v>
      </c>
      <c r="AC89" s="11"/>
      <c r="AD89" s="11"/>
      <c r="AE89" s="11"/>
      <c r="AF89" s="11"/>
      <c r="AG89" s="11"/>
      <c r="AH89" s="11"/>
      <c r="AI89" s="11"/>
      <c r="AJ89" s="11">
        <v>1</v>
      </c>
      <c r="AK89" s="11"/>
      <c r="AL89" s="11"/>
      <c r="AM89" s="11">
        <v>2</v>
      </c>
      <c r="AN89" s="11"/>
      <c r="AO89" s="11"/>
      <c r="AP89" s="11"/>
      <c r="AQ89" s="11"/>
      <c r="AR89" s="11"/>
      <c r="AS89" s="11"/>
      <c r="AT89" s="11"/>
      <c r="AU89" s="11"/>
      <c r="AV89" s="11"/>
      <c r="AW89" s="8">
        <f t="shared" si="9"/>
        <v>3</v>
      </c>
      <c r="AX89" s="85">
        <v>8000</v>
      </c>
      <c r="AY89" s="86">
        <v>3800</v>
      </c>
      <c r="AZ89" s="82">
        <v>8800</v>
      </c>
      <c r="BA89" s="82">
        <v>11400</v>
      </c>
      <c r="BB89" s="82"/>
      <c r="BC89" s="82"/>
      <c r="BD89" s="82"/>
      <c r="BE89" s="82"/>
      <c r="BF89" s="82"/>
      <c r="BG89" s="82"/>
    </row>
    <row r="90" spans="1:138" x14ac:dyDescent="0.25">
      <c r="A90" s="10" t="s">
        <v>167</v>
      </c>
      <c r="B90" s="11">
        <v>3</v>
      </c>
      <c r="C90" s="11"/>
      <c r="D90" s="11">
        <v>7</v>
      </c>
      <c r="E90" s="11"/>
      <c r="F90" s="11"/>
      <c r="G90" s="11"/>
      <c r="H90" s="11"/>
      <c r="I90" s="11"/>
      <c r="J90" s="11"/>
      <c r="K90" s="11">
        <v>5</v>
      </c>
      <c r="L90" s="11">
        <v>1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>
        <v>1</v>
      </c>
      <c r="Y90" s="8">
        <f t="shared" si="10"/>
        <v>7</v>
      </c>
      <c r="Z90" s="11">
        <v>1</v>
      </c>
      <c r="AA90" s="11"/>
      <c r="AB90" s="11">
        <v>1</v>
      </c>
      <c r="AC90" s="11"/>
      <c r="AD90" s="11"/>
      <c r="AE90" s="11"/>
      <c r="AF90" s="11"/>
      <c r="AG90" s="11"/>
      <c r="AH90" s="11"/>
      <c r="AI90" s="11"/>
      <c r="AJ90" s="11">
        <v>1</v>
      </c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8">
        <f t="shared" si="9"/>
        <v>1</v>
      </c>
      <c r="AX90" s="85">
        <v>4800</v>
      </c>
      <c r="AY90" s="86">
        <v>4800</v>
      </c>
      <c r="AZ90" s="82"/>
      <c r="BA90" s="82"/>
      <c r="BB90" s="82"/>
      <c r="BC90" s="82"/>
      <c r="BD90" s="82"/>
      <c r="BE90" s="82"/>
      <c r="BF90" s="82"/>
      <c r="BG90" s="82"/>
    </row>
    <row r="91" spans="1:138" x14ac:dyDescent="0.25">
      <c r="A91" s="10" t="s">
        <v>168</v>
      </c>
      <c r="B91" s="11">
        <v>1</v>
      </c>
      <c r="C91" s="11"/>
      <c r="D91" s="11">
        <v>1</v>
      </c>
      <c r="E91" s="11"/>
      <c r="F91" s="11"/>
      <c r="G91" s="11"/>
      <c r="H91" s="11"/>
      <c r="I91" s="11"/>
      <c r="J91" s="11"/>
      <c r="K91" s="11"/>
      <c r="L91" s="11">
        <v>1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8">
        <f t="shared" si="10"/>
        <v>1</v>
      </c>
      <c r="Z91" s="11">
        <v>1</v>
      </c>
      <c r="AA91" s="11"/>
      <c r="AB91" s="11">
        <v>1</v>
      </c>
      <c r="AC91" s="11"/>
      <c r="AD91" s="11"/>
      <c r="AE91" s="11"/>
      <c r="AF91" s="11"/>
      <c r="AG91" s="11"/>
      <c r="AH91" s="11"/>
      <c r="AI91" s="11"/>
      <c r="AJ91" s="11">
        <v>1</v>
      </c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8">
        <f t="shared" si="9"/>
        <v>1</v>
      </c>
      <c r="AX91" s="85">
        <v>6400</v>
      </c>
      <c r="AY91" s="86">
        <v>6400</v>
      </c>
      <c r="AZ91" s="82"/>
      <c r="BA91" s="82"/>
      <c r="BB91" s="82"/>
      <c r="BC91" s="82"/>
      <c r="BD91" s="82"/>
      <c r="BE91" s="82"/>
      <c r="BF91" s="82"/>
      <c r="BG91" s="82"/>
    </row>
    <row r="92" spans="1:138" x14ac:dyDescent="0.25">
      <c r="A92" s="10" t="s">
        <v>169</v>
      </c>
      <c r="B92" s="11">
        <v>6</v>
      </c>
      <c r="C92" s="11"/>
      <c r="D92" s="11">
        <v>15</v>
      </c>
      <c r="E92" s="11"/>
      <c r="F92" s="11"/>
      <c r="G92" s="11"/>
      <c r="H92" s="11">
        <v>7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>
        <v>2</v>
      </c>
      <c r="U92" s="11">
        <v>5</v>
      </c>
      <c r="V92" s="11"/>
      <c r="W92" s="11"/>
      <c r="X92" s="11">
        <v>1</v>
      </c>
      <c r="Y92" s="8">
        <f t="shared" si="10"/>
        <v>15</v>
      </c>
      <c r="Z92" s="11">
        <v>3</v>
      </c>
      <c r="AA92" s="11"/>
      <c r="AB92" s="11">
        <v>3</v>
      </c>
      <c r="AC92" s="11"/>
      <c r="AD92" s="11"/>
      <c r="AE92" s="11"/>
      <c r="AF92" s="11">
        <v>1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>
        <v>2</v>
      </c>
      <c r="AS92" s="11"/>
      <c r="AT92" s="11"/>
      <c r="AU92" s="11"/>
      <c r="AV92" s="11"/>
      <c r="AW92" s="8">
        <f t="shared" si="9"/>
        <v>3</v>
      </c>
      <c r="AX92" s="85">
        <v>1197.3333333333333</v>
      </c>
      <c r="AY92" s="86">
        <v>1120</v>
      </c>
      <c r="AZ92" s="82">
        <v>800</v>
      </c>
      <c r="BA92" s="82">
        <v>1672</v>
      </c>
      <c r="BB92" s="82"/>
      <c r="BC92" s="82"/>
      <c r="BD92" s="82"/>
      <c r="BE92" s="82"/>
      <c r="BF92" s="82"/>
      <c r="BG92" s="82"/>
    </row>
    <row r="93" spans="1:138" x14ac:dyDescent="0.25">
      <c r="A93" s="10" t="s">
        <v>170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8">
        <f t="shared" si="10"/>
        <v>0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8">
        <f t="shared" si="9"/>
        <v>0</v>
      </c>
      <c r="AX93" s="14"/>
    </row>
    <row r="94" spans="1:138" s="9" customFormat="1" x14ac:dyDescent="0.25">
      <c r="A94" s="40" t="s">
        <v>43</v>
      </c>
      <c r="B94" s="8">
        <f t="shared" ref="B94:V94" si="13">SUM(B95+B96+B97+B98+B99+B100+B101+B102+B103+B104+B105+B107+B106+B108+B109+B110+B111+B112+B113+B114+B115+B116+B117+B118+B119+B120+B121+B122+B123+B124+B125+B126+B127+B128+B129+B130+B131+B132+B133+B134+B135+B136+B137+B138+B139+B140+B141+B142+B144+B143+B145+B146+B147+B148+B149+B150+B151+B152+B153+B154+B155+B156+B157+B158+B159+B160+B161+B162+B163+B164+B165+B166+B167+B168+B169+B170+B171+B172+B173+B174+B175+B176+B177)</f>
        <v>443</v>
      </c>
      <c r="C94" s="8">
        <f t="shared" si="13"/>
        <v>17</v>
      </c>
      <c r="D94" s="8">
        <f t="shared" si="13"/>
        <v>1915</v>
      </c>
      <c r="E94" s="8">
        <f t="shared" si="13"/>
        <v>100</v>
      </c>
      <c r="F94" s="8">
        <f t="shared" si="13"/>
        <v>0</v>
      </c>
      <c r="G94" s="8">
        <f t="shared" si="13"/>
        <v>10</v>
      </c>
      <c r="H94" s="8">
        <f t="shared" si="13"/>
        <v>927</v>
      </c>
      <c r="I94" s="8">
        <f t="shared" si="13"/>
        <v>0</v>
      </c>
      <c r="J94" s="8">
        <f t="shared" si="13"/>
        <v>12</v>
      </c>
      <c r="K94" s="8">
        <f t="shared" si="13"/>
        <v>267</v>
      </c>
      <c r="L94" s="8">
        <f t="shared" si="13"/>
        <v>46</v>
      </c>
      <c r="M94" s="8">
        <f t="shared" si="13"/>
        <v>17</v>
      </c>
      <c r="N94" s="8">
        <f t="shared" si="13"/>
        <v>177</v>
      </c>
      <c r="O94" s="8">
        <f t="shared" si="13"/>
        <v>56</v>
      </c>
      <c r="P94" s="8">
        <f t="shared" si="13"/>
        <v>2</v>
      </c>
      <c r="Q94" s="8">
        <f t="shared" si="13"/>
        <v>3</v>
      </c>
      <c r="R94" s="8">
        <f t="shared" si="13"/>
        <v>17</v>
      </c>
      <c r="S94" s="8">
        <f t="shared" si="13"/>
        <v>17</v>
      </c>
      <c r="T94" s="8">
        <f t="shared" si="13"/>
        <v>1</v>
      </c>
      <c r="U94" s="8">
        <f t="shared" si="13"/>
        <v>48</v>
      </c>
      <c r="V94" s="8">
        <f t="shared" si="13"/>
        <v>80</v>
      </c>
      <c r="W94" s="8">
        <f>SUM(W95+W96+W97+W98+W99+W100+W101+W102+W103+W104+W105+W107+W106+W108+W109+W110+W111+W112+W113+W114+W115+W116+W117+W118+W119+W120+W121+W122+W123+W124+W125+W126+W127+W128+W129+W130+W131+W132+W133+W134+W135+W136+W137+W138+W139+W140+W141+W142+W144+W143+W145+W146+W147+W148+W149+W150+W151+W152+W153+W154+W155+W156+W157+W158+W159+W160+W161+W162+W163+W164+W165+W166+W167+W168+W169+W170+W171+W172+W173+W174+W175+W176+W177)</f>
        <v>0</v>
      </c>
      <c r="X94" s="8">
        <f>SUM(X95+X96+X97+X98+X99+X100+X101+X102+X103+X104+X105+X107+X106+X108+X109+X110+X111+X112+X113+X114+X115+X116+X117+X118+X119+X120+X121+X122+X123+X124+X125+X126+X127+X128+X129+X130+X131+X132+X133+X134+X135+X136+X137+X138+X139+X140+X141+X142+X144+X143+X145+X146+X147+X148+X149+X150+X151+X152+X153+X154+X155+X156+X157+X158+X159+X160+X161+X162+X163+X164+X165+X166+X167+X168+X169+X170+X171+X172+X173+X174+X175+X176+X177)</f>
        <v>235</v>
      </c>
      <c r="Y94" s="8">
        <f t="shared" si="10"/>
        <v>1915</v>
      </c>
      <c r="Z94" s="8">
        <f>Z95+Z96+Z97+Z98+Z99+Z100+Z101+Z102+Z103+Z104+Z105+Z106+Z107+Z108+Z109+Z110+Z111+Z112+Z113+Z114+Z115+Z116+Z117+Z118+Z119+Z120+Z121+Z122+Z123+Z124+Z125+Z126+Z127+Z128+Z129+Z130+Z131+Z132+Z133+Z134+Z135+Z136+Z137+Z138+Z139+Z140+Z141+Z142+Z143+Z144+Z145+Z146+Z147+Z148+Z149+Z150+Z151+Z152+Z153+Z154+Z155+Z156+Z157+Z158+Z159+Z160+Z161+Z162+Z163+Z164+Z165+Z166+Z167+Z168+Z169+Z170+Z171+Z172+Z173+Z174+Z175+Z176+Z177</f>
        <v>278</v>
      </c>
      <c r="AA94" s="8">
        <f t="shared" ref="AA94:AV94" si="14">AA95+AA96+AA97+AA98+AA99+AA100+AA101+AA102+AA103+AA104+AA105+AA106+AA107+AA108+AA109+AA110+AA111+AA112+AA113+AA114+AA115+AA116+AA117+AA118+AA119+AA120+AA121+AA122+AA123+AA124+AA125+AA126+AA127+AA128+AA129+AA130+AA131+AA132+AA133+AA134+AA135+AA136+AA137+AA138+AA139+AA140+AA141+AA142+AA143+AA144+AA145+AA146+AA147+AA148+AA149+AA150+AA151+AA152+AA153+AA154+AA155+AA156+AA157+AA158+AA159+AA160+AA161+AA162+AA163+AA164+AA165+AA166+AA167+AA168+AA169+AA170+AA171+AA172+AA173+AA174+AA175+AA176+AA177</f>
        <v>10</v>
      </c>
      <c r="AB94" s="8">
        <f t="shared" si="14"/>
        <v>1111</v>
      </c>
      <c r="AC94" s="8">
        <f t="shared" si="14"/>
        <v>76</v>
      </c>
      <c r="AD94" s="8">
        <f t="shared" si="14"/>
        <v>0</v>
      </c>
      <c r="AE94" s="8">
        <f t="shared" si="14"/>
        <v>5</v>
      </c>
      <c r="AF94" s="8">
        <f t="shared" si="14"/>
        <v>498</v>
      </c>
      <c r="AG94" s="8">
        <f t="shared" si="14"/>
        <v>0</v>
      </c>
      <c r="AH94" s="8">
        <f t="shared" si="14"/>
        <v>8</v>
      </c>
      <c r="AI94" s="8">
        <f t="shared" si="14"/>
        <v>183</v>
      </c>
      <c r="AJ94" s="8">
        <f t="shared" si="14"/>
        <v>31</v>
      </c>
      <c r="AK94" s="8">
        <f t="shared" si="14"/>
        <v>14</v>
      </c>
      <c r="AL94" s="8">
        <f t="shared" si="14"/>
        <v>115</v>
      </c>
      <c r="AM94" s="8">
        <f t="shared" si="14"/>
        <v>36</v>
      </c>
      <c r="AN94" s="8">
        <f t="shared" si="14"/>
        <v>2</v>
      </c>
      <c r="AO94" s="8">
        <f t="shared" si="14"/>
        <v>2</v>
      </c>
      <c r="AP94" s="8">
        <f t="shared" si="14"/>
        <v>15</v>
      </c>
      <c r="AQ94" s="8">
        <f t="shared" si="14"/>
        <v>2</v>
      </c>
      <c r="AR94" s="8">
        <f t="shared" si="14"/>
        <v>1</v>
      </c>
      <c r="AS94" s="8">
        <f t="shared" si="14"/>
        <v>31</v>
      </c>
      <c r="AT94" s="8">
        <f t="shared" si="14"/>
        <v>74</v>
      </c>
      <c r="AU94" s="8">
        <f>AU95+AU96+AU97+AU98+AU99+AU100+AU101+AU102+AU103+AU104+AU105+AU106+AU107+AU108+AU109+AU110+AU111+AU112+AU113+AU114+AU115+AU116+AU117+AU118+AU119+AU120+AU121+AU122+AU123+AU124+AU125+AU126+AU127+AU128+AU129+AU130+AU131+AU132+AU133+AU134+AU135+AU136+AU137+AU138+AU139+AU140+AU141+AU142+AU143+AU144+AU145+AU146+AU147+AU148+AU149+AU150+AU151+AU152+AU153+AU154+AU155+AU156+AU157+AU158+AU159+AU160+AU161+AU162+AU163+AU164+AU165+AU166+AU167+AU168+AU169+AU170+AU171+AU172+AU173+AU174+AU175+AU176+AU177</f>
        <v>0</v>
      </c>
      <c r="AV94" s="8">
        <f t="shared" si="14"/>
        <v>94</v>
      </c>
      <c r="AW94" s="8">
        <f>SUM(AD94:AV94)</f>
        <v>1111</v>
      </c>
      <c r="AX94" s="69"/>
      <c r="EH94"/>
    </row>
    <row r="95" spans="1:138" x14ac:dyDescent="0.25">
      <c r="A95" s="10" t="s">
        <v>114</v>
      </c>
      <c r="B95" s="11">
        <v>14</v>
      </c>
      <c r="C95" s="11">
        <v>4</v>
      </c>
      <c r="D95" s="11">
        <v>78</v>
      </c>
      <c r="E95" s="11">
        <v>16</v>
      </c>
      <c r="F95" s="11"/>
      <c r="G95" s="11"/>
      <c r="H95" s="11"/>
      <c r="I95" s="11"/>
      <c r="J95" s="11"/>
      <c r="K95" s="11"/>
      <c r="L95" s="11"/>
      <c r="M95" s="11"/>
      <c r="N95" s="11">
        <v>61</v>
      </c>
      <c r="O95" s="11"/>
      <c r="P95" s="11"/>
      <c r="Q95" s="11"/>
      <c r="R95" s="11"/>
      <c r="S95" s="11">
        <v>7</v>
      </c>
      <c r="T95" s="11"/>
      <c r="U95" s="11"/>
      <c r="V95" s="11">
        <v>10</v>
      </c>
      <c r="W95" s="11"/>
      <c r="X95" s="11"/>
      <c r="Y95" s="8">
        <f t="shared" si="10"/>
        <v>78</v>
      </c>
      <c r="Z95" s="11">
        <v>8</v>
      </c>
      <c r="AA95" s="11">
        <v>1</v>
      </c>
      <c r="AB95" s="11">
        <v>51</v>
      </c>
      <c r="AC95" s="11">
        <v>5</v>
      </c>
      <c r="AD95" s="11"/>
      <c r="AE95" s="11"/>
      <c r="AF95" s="11"/>
      <c r="AG95" s="11"/>
      <c r="AH95" s="11"/>
      <c r="AI95" s="11"/>
      <c r="AJ95" s="11"/>
      <c r="AK95" s="11"/>
      <c r="AL95" s="11">
        <v>44</v>
      </c>
      <c r="AM95" s="11"/>
      <c r="AN95" s="11"/>
      <c r="AO95" s="11"/>
      <c r="AP95" s="11"/>
      <c r="AQ95" s="11"/>
      <c r="AR95" s="11"/>
      <c r="AS95" s="11"/>
      <c r="AT95" s="11">
        <v>7</v>
      </c>
      <c r="AU95" s="11"/>
      <c r="AV95" s="11"/>
      <c r="AW95" s="8">
        <f t="shared" si="9"/>
        <v>51</v>
      </c>
      <c r="AX95" s="85">
        <v>5378.25</v>
      </c>
      <c r="AY95" s="86">
        <v>2020</v>
      </c>
      <c r="AZ95" s="82">
        <v>3200</v>
      </c>
      <c r="BA95" s="82">
        <v>3200</v>
      </c>
      <c r="BB95" s="82">
        <v>1280</v>
      </c>
      <c r="BC95" s="82">
        <v>14366</v>
      </c>
      <c r="BD95" s="82">
        <v>13760</v>
      </c>
      <c r="BE95" s="82">
        <v>4000</v>
      </c>
      <c r="BF95" s="82">
        <v>1200</v>
      </c>
      <c r="BG95" s="82"/>
      <c r="BH95" s="82"/>
      <c r="BI95" s="82"/>
      <c r="BJ95" s="82"/>
      <c r="BK95" s="82"/>
      <c r="BL95" s="82"/>
      <c r="BM95" s="82"/>
    </row>
    <row r="96" spans="1:138" x14ac:dyDescent="0.25">
      <c r="A96" s="10" t="s">
        <v>101</v>
      </c>
      <c r="B96" s="11">
        <v>33</v>
      </c>
      <c r="C96" s="11">
        <v>4</v>
      </c>
      <c r="D96" s="11">
        <v>181</v>
      </c>
      <c r="E96" s="11">
        <v>10</v>
      </c>
      <c r="F96" s="11"/>
      <c r="G96" s="11"/>
      <c r="H96" s="11">
        <v>17</v>
      </c>
      <c r="I96" s="11"/>
      <c r="J96" s="11"/>
      <c r="K96" s="11"/>
      <c r="L96" s="11">
        <v>3</v>
      </c>
      <c r="M96" s="11"/>
      <c r="N96" s="11">
        <v>64</v>
      </c>
      <c r="O96" s="11"/>
      <c r="P96" s="11"/>
      <c r="Q96" s="11"/>
      <c r="R96" s="11">
        <v>12</v>
      </c>
      <c r="S96" s="11">
        <v>2</v>
      </c>
      <c r="T96" s="11"/>
      <c r="U96" s="11">
        <v>31</v>
      </c>
      <c r="V96" s="11"/>
      <c r="W96" s="11"/>
      <c r="X96" s="11">
        <v>52</v>
      </c>
      <c r="Y96" s="8">
        <f t="shared" si="10"/>
        <v>181</v>
      </c>
      <c r="Z96" s="11">
        <v>24</v>
      </c>
      <c r="AA96" s="11">
        <v>3</v>
      </c>
      <c r="AB96" s="11">
        <v>120</v>
      </c>
      <c r="AC96" s="11">
        <v>8</v>
      </c>
      <c r="AD96" s="11"/>
      <c r="AE96" s="11"/>
      <c r="AF96" s="11">
        <v>17</v>
      </c>
      <c r="AG96" s="11"/>
      <c r="AH96" s="11"/>
      <c r="AI96" s="11"/>
      <c r="AJ96" s="11"/>
      <c r="AK96" s="11"/>
      <c r="AL96" s="11">
        <v>47</v>
      </c>
      <c r="AM96" s="11"/>
      <c r="AN96" s="11"/>
      <c r="AO96" s="11"/>
      <c r="AP96" s="11">
        <v>12</v>
      </c>
      <c r="AQ96" s="11"/>
      <c r="AR96" s="11"/>
      <c r="AS96" s="11">
        <v>21</v>
      </c>
      <c r="AT96" s="11"/>
      <c r="AU96" s="11"/>
      <c r="AV96" s="11">
        <v>23</v>
      </c>
      <c r="AW96" s="8">
        <f t="shared" si="9"/>
        <v>120</v>
      </c>
      <c r="AX96" s="85">
        <v>2347.688565656566</v>
      </c>
      <c r="AY96" s="86">
        <v>2000</v>
      </c>
      <c r="AZ96" s="82">
        <v>2000</v>
      </c>
      <c r="BA96" s="82">
        <v>3532.8</v>
      </c>
      <c r="BB96" s="82">
        <v>1466.6666666666699</v>
      </c>
      <c r="BC96" s="82">
        <v>895.48800000000006</v>
      </c>
      <c r="BD96" s="82">
        <v>6400</v>
      </c>
      <c r="BE96" s="82">
        <v>2304</v>
      </c>
      <c r="BF96" s="82">
        <v>2304</v>
      </c>
      <c r="BG96" s="82">
        <v>1984</v>
      </c>
      <c r="BH96" s="82">
        <v>4160</v>
      </c>
      <c r="BI96" s="82">
        <v>2850</v>
      </c>
      <c r="BJ96" s="82">
        <v>1600</v>
      </c>
      <c r="BK96" s="82">
        <v>1309.0909090909099</v>
      </c>
      <c r="BL96" s="82">
        <v>960</v>
      </c>
      <c r="BM96" s="82">
        <v>4370</v>
      </c>
      <c r="BN96" s="82">
        <v>4960</v>
      </c>
      <c r="BO96" s="82">
        <v>264</v>
      </c>
      <c r="BP96" s="82">
        <v>1280</v>
      </c>
      <c r="BQ96" s="82">
        <v>1520</v>
      </c>
      <c r="BR96" s="82">
        <v>3600</v>
      </c>
      <c r="BS96" s="82">
        <v>2800</v>
      </c>
      <c r="BT96" s="82">
        <v>1608.48</v>
      </c>
      <c r="BU96" s="82">
        <v>1120</v>
      </c>
      <c r="BV96" s="82">
        <v>1056</v>
      </c>
      <c r="BW96" s="82"/>
    </row>
    <row r="97" spans="1:86" x14ac:dyDescent="0.25">
      <c r="A97" s="10" t="s">
        <v>102</v>
      </c>
      <c r="B97" s="11">
        <v>8</v>
      </c>
      <c r="C97" s="11"/>
      <c r="D97" s="11">
        <v>29</v>
      </c>
      <c r="E97" s="11"/>
      <c r="F97" s="11"/>
      <c r="G97" s="11"/>
      <c r="H97" s="11"/>
      <c r="I97" s="11"/>
      <c r="J97" s="11"/>
      <c r="K97" s="11">
        <v>4</v>
      </c>
      <c r="L97" s="11"/>
      <c r="M97" s="11"/>
      <c r="N97" s="11">
        <v>17</v>
      </c>
      <c r="O97" s="11"/>
      <c r="P97" s="11"/>
      <c r="Q97" s="11"/>
      <c r="R97" s="11"/>
      <c r="S97" s="11"/>
      <c r="T97" s="11"/>
      <c r="U97" s="11"/>
      <c r="V97" s="11"/>
      <c r="W97" s="11"/>
      <c r="X97" s="11">
        <v>8</v>
      </c>
      <c r="Y97" s="8">
        <f t="shared" si="10"/>
        <v>29</v>
      </c>
      <c r="Z97" s="11">
        <v>5</v>
      </c>
      <c r="AA97" s="11"/>
      <c r="AB97" s="11">
        <v>18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>
        <v>13</v>
      </c>
      <c r="AM97" s="11"/>
      <c r="AN97" s="11"/>
      <c r="AO97" s="11"/>
      <c r="AP97" s="11"/>
      <c r="AQ97" s="11"/>
      <c r="AR97" s="11"/>
      <c r="AS97" s="11"/>
      <c r="AT97" s="11"/>
      <c r="AU97" s="11"/>
      <c r="AV97" s="11">
        <v>5</v>
      </c>
      <c r="AW97" s="8">
        <f t="shared" si="9"/>
        <v>18</v>
      </c>
      <c r="AX97" s="85">
        <v>3950.4</v>
      </c>
      <c r="AY97" s="86">
        <v>400</v>
      </c>
      <c r="AZ97" s="82">
        <v>3840</v>
      </c>
      <c r="BA97" s="82">
        <v>672</v>
      </c>
      <c r="BB97" s="82">
        <v>13720</v>
      </c>
      <c r="BC97" s="82">
        <v>1120</v>
      </c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</row>
    <row r="98" spans="1:86" x14ac:dyDescent="0.25">
      <c r="A98" s="10" t="s">
        <v>179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8">
        <f t="shared" si="10"/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8">
        <f t="shared" si="9"/>
        <v>0</v>
      </c>
      <c r="AX98" s="85"/>
      <c r="AY98" s="86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</row>
    <row r="99" spans="1:86" x14ac:dyDescent="0.25">
      <c r="A99" s="10" t="s">
        <v>180</v>
      </c>
      <c r="B99" s="11">
        <v>1</v>
      </c>
      <c r="C99" s="11"/>
      <c r="D99" s="11">
        <v>1</v>
      </c>
      <c r="E99" s="11"/>
      <c r="F99" s="11"/>
      <c r="G99" s="11"/>
      <c r="H99" s="11"/>
      <c r="I99" s="11"/>
      <c r="J99" s="11"/>
      <c r="K99" s="11">
        <v>1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8">
        <f t="shared" si="10"/>
        <v>1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8">
        <f t="shared" si="9"/>
        <v>0</v>
      </c>
      <c r="AX99" s="85"/>
      <c r="AY99" s="86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</row>
    <row r="100" spans="1:86" x14ac:dyDescent="0.25">
      <c r="A100" s="10" t="s">
        <v>181</v>
      </c>
      <c r="B100" s="11">
        <v>2</v>
      </c>
      <c r="C100" s="11"/>
      <c r="D100" s="11">
        <v>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>
        <v>2</v>
      </c>
      <c r="Y100" s="8">
        <f t="shared" si="10"/>
        <v>2</v>
      </c>
      <c r="Z100" s="11">
        <v>1</v>
      </c>
      <c r="AA100" s="11"/>
      <c r="AB100" s="11">
        <v>1</v>
      </c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1</v>
      </c>
      <c r="AW100" s="8">
        <f t="shared" si="9"/>
        <v>1</v>
      </c>
      <c r="AX100" s="85">
        <v>552</v>
      </c>
      <c r="AY100" s="86">
        <v>552</v>
      </c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</row>
    <row r="101" spans="1:86" x14ac:dyDescent="0.25">
      <c r="A101" s="10" t="s">
        <v>182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8">
        <f t="shared" si="10"/>
        <v>0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8">
        <f t="shared" si="9"/>
        <v>0</v>
      </c>
      <c r="AX101" s="85"/>
      <c r="AY101" s="86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</row>
    <row r="102" spans="1:86" x14ac:dyDescent="0.25">
      <c r="A102" s="10" t="s">
        <v>183</v>
      </c>
      <c r="B102" s="11">
        <v>1</v>
      </c>
      <c r="C102" s="11"/>
      <c r="D102" s="11">
        <v>1</v>
      </c>
      <c r="E102" s="11"/>
      <c r="F102" s="11"/>
      <c r="G102" s="11"/>
      <c r="H102" s="11"/>
      <c r="I102" s="11"/>
      <c r="J102" s="11"/>
      <c r="K102" s="11">
        <v>1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8">
        <f t="shared" si="10"/>
        <v>1</v>
      </c>
      <c r="Z102" s="11">
        <v>1</v>
      </c>
      <c r="AA102" s="11"/>
      <c r="AB102" s="11">
        <v>1</v>
      </c>
      <c r="AC102" s="11"/>
      <c r="AD102" s="11"/>
      <c r="AE102" s="11"/>
      <c r="AF102" s="11"/>
      <c r="AG102" s="11"/>
      <c r="AH102" s="11"/>
      <c r="AI102" s="11">
        <v>1</v>
      </c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8">
        <f t="shared" si="9"/>
        <v>1</v>
      </c>
      <c r="AX102" s="85">
        <v>1500</v>
      </c>
      <c r="AY102" s="86">
        <v>1500</v>
      </c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</row>
    <row r="103" spans="1:86" x14ac:dyDescent="0.25">
      <c r="A103" s="10" t="s">
        <v>184</v>
      </c>
      <c r="B103" s="11">
        <v>3</v>
      </c>
      <c r="C103" s="11"/>
      <c r="D103" s="11">
        <v>20</v>
      </c>
      <c r="E103" s="11"/>
      <c r="F103" s="11"/>
      <c r="G103" s="11"/>
      <c r="H103" s="11"/>
      <c r="I103" s="11"/>
      <c r="J103" s="11"/>
      <c r="K103" s="11">
        <v>20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8">
        <f t="shared" si="10"/>
        <v>20</v>
      </c>
      <c r="Z103" s="11">
        <v>2</v>
      </c>
      <c r="AA103" s="11"/>
      <c r="AB103" s="11">
        <v>15</v>
      </c>
      <c r="AC103" s="11"/>
      <c r="AD103" s="11"/>
      <c r="AE103" s="11"/>
      <c r="AF103" s="11"/>
      <c r="AG103" s="11"/>
      <c r="AH103" s="11"/>
      <c r="AI103" s="11">
        <v>15</v>
      </c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8">
        <f t="shared" si="9"/>
        <v>15</v>
      </c>
      <c r="AX103" s="85">
        <v>540</v>
      </c>
      <c r="AY103" s="86">
        <v>440</v>
      </c>
      <c r="AZ103" s="82">
        <v>640</v>
      </c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</row>
    <row r="104" spans="1:86" x14ac:dyDescent="0.25">
      <c r="A104" s="10" t="s">
        <v>185</v>
      </c>
      <c r="B104" s="11">
        <v>22</v>
      </c>
      <c r="C104" s="11"/>
      <c r="D104" s="11">
        <v>33</v>
      </c>
      <c r="E104" s="11"/>
      <c r="F104" s="11"/>
      <c r="G104" s="11">
        <v>4</v>
      </c>
      <c r="H104" s="11">
        <v>2</v>
      </c>
      <c r="I104" s="11"/>
      <c r="J104" s="11">
        <v>2</v>
      </c>
      <c r="K104" s="11">
        <v>24</v>
      </c>
      <c r="L104" s="11"/>
      <c r="M104" s="11">
        <v>1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8">
        <f t="shared" si="10"/>
        <v>33</v>
      </c>
      <c r="Z104" s="11">
        <v>19</v>
      </c>
      <c r="AA104" s="11"/>
      <c r="AB104" s="11">
        <v>29</v>
      </c>
      <c r="AC104" s="11"/>
      <c r="AD104" s="11"/>
      <c r="AE104" s="11">
        <v>2</v>
      </c>
      <c r="AF104" s="11">
        <v>2</v>
      </c>
      <c r="AG104" s="11"/>
      <c r="AH104" s="11">
        <v>2</v>
      </c>
      <c r="AI104" s="11">
        <v>22</v>
      </c>
      <c r="AJ104" s="11"/>
      <c r="AK104" s="11">
        <v>1</v>
      </c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8">
        <f t="shared" si="9"/>
        <v>29</v>
      </c>
      <c r="AX104" s="85">
        <v>1963.7368421052631</v>
      </c>
      <c r="AY104" s="86">
        <v>1760</v>
      </c>
      <c r="AZ104" s="82">
        <v>1850</v>
      </c>
      <c r="BA104" s="82">
        <v>2560</v>
      </c>
      <c r="BB104" s="82">
        <v>3300</v>
      </c>
      <c r="BC104" s="82">
        <v>3250</v>
      </c>
      <c r="BD104" s="82">
        <v>1360</v>
      </c>
      <c r="BE104" s="82">
        <v>1360</v>
      </c>
      <c r="BF104" s="82">
        <v>1360</v>
      </c>
      <c r="BG104" s="82">
        <v>1120</v>
      </c>
      <c r="BH104" s="82">
        <v>2900</v>
      </c>
      <c r="BI104" s="82">
        <v>1711</v>
      </c>
      <c r="BJ104" s="82">
        <v>2900</v>
      </c>
      <c r="BK104" s="82">
        <v>1990</v>
      </c>
      <c r="BL104" s="82">
        <v>1680</v>
      </c>
      <c r="BM104" s="82">
        <v>1800</v>
      </c>
      <c r="BN104" s="82">
        <v>1800</v>
      </c>
      <c r="BO104" s="82">
        <v>1800</v>
      </c>
      <c r="BP104" s="82">
        <v>1450</v>
      </c>
      <c r="BQ104" s="82">
        <v>1360</v>
      </c>
      <c r="BR104" s="82"/>
      <c r="BS104" s="82"/>
      <c r="BT104" s="82"/>
      <c r="BU104" s="82"/>
      <c r="BV104" s="82"/>
      <c r="BW104" s="82"/>
    </row>
    <row r="105" spans="1:86" x14ac:dyDescent="0.25">
      <c r="A105" s="10" t="s">
        <v>186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8">
        <f t="shared" si="10"/>
        <v>0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8">
        <f t="shared" si="9"/>
        <v>0</v>
      </c>
      <c r="AX105" s="85"/>
      <c r="AY105" s="86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</row>
    <row r="106" spans="1:86" x14ac:dyDescent="0.25">
      <c r="A106" s="10" t="s">
        <v>187</v>
      </c>
      <c r="B106" s="11">
        <v>1</v>
      </c>
      <c r="C106" s="11">
        <v>1</v>
      </c>
      <c r="D106" s="11">
        <v>54</v>
      </c>
      <c r="E106" s="11">
        <v>54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54</v>
      </c>
      <c r="W106" s="11"/>
      <c r="X106" s="11"/>
      <c r="Y106" s="8">
        <f t="shared" si="10"/>
        <v>54</v>
      </c>
      <c r="Z106" s="11">
        <v>1</v>
      </c>
      <c r="AA106" s="11">
        <v>1</v>
      </c>
      <c r="AB106" s="11">
        <v>54</v>
      </c>
      <c r="AC106" s="11">
        <v>54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>
        <v>54</v>
      </c>
      <c r="AU106" s="11"/>
      <c r="AV106" s="11"/>
      <c r="AW106" s="8">
        <f t="shared" si="9"/>
        <v>54</v>
      </c>
      <c r="AX106" s="85">
        <v>560</v>
      </c>
      <c r="AY106" s="86">
        <v>560</v>
      </c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</row>
    <row r="107" spans="1:86" x14ac:dyDescent="0.25">
      <c r="A107" s="10" t="s">
        <v>188</v>
      </c>
      <c r="B107" s="11">
        <v>65</v>
      </c>
      <c r="C107" s="11"/>
      <c r="D107" s="11">
        <v>93</v>
      </c>
      <c r="E107" s="11"/>
      <c r="F107" s="11"/>
      <c r="G107" s="11"/>
      <c r="H107" s="11"/>
      <c r="I107" s="11"/>
      <c r="J107" s="11"/>
      <c r="K107" s="11"/>
      <c r="L107" s="11">
        <v>2</v>
      </c>
      <c r="M107" s="11"/>
      <c r="N107" s="11">
        <v>3</v>
      </c>
      <c r="O107" s="11"/>
      <c r="P107" s="11"/>
      <c r="Q107" s="11">
        <v>3</v>
      </c>
      <c r="R107" s="11"/>
      <c r="S107" s="11"/>
      <c r="T107" s="11"/>
      <c r="U107" s="11"/>
      <c r="V107" s="11">
        <v>15</v>
      </c>
      <c r="W107" s="11"/>
      <c r="X107" s="11">
        <v>70</v>
      </c>
      <c r="Y107" s="8">
        <f t="shared" si="10"/>
        <v>93</v>
      </c>
      <c r="Z107" s="11">
        <v>25</v>
      </c>
      <c r="AA107" s="11"/>
      <c r="AB107" s="11">
        <v>40</v>
      </c>
      <c r="AC107" s="11"/>
      <c r="AD107" s="11"/>
      <c r="AE107" s="11"/>
      <c r="AF107" s="11"/>
      <c r="AG107" s="11"/>
      <c r="AH107" s="11"/>
      <c r="AI107" s="11"/>
      <c r="AJ107" s="11">
        <v>2</v>
      </c>
      <c r="AK107" s="11"/>
      <c r="AL107" s="11">
        <v>3</v>
      </c>
      <c r="AM107" s="11"/>
      <c r="AN107" s="11"/>
      <c r="AO107" s="11">
        <v>2</v>
      </c>
      <c r="AP107" s="11"/>
      <c r="AQ107" s="11"/>
      <c r="AR107" s="11"/>
      <c r="AS107" s="11"/>
      <c r="AT107" s="11">
        <v>12</v>
      </c>
      <c r="AU107" s="11"/>
      <c r="AV107" s="11">
        <v>21</v>
      </c>
      <c r="AW107" s="8">
        <f t="shared" si="9"/>
        <v>40</v>
      </c>
      <c r="AX107" s="85">
        <v>4591.2864</v>
      </c>
      <c r="AY107" s="86">
        <v>7700</v>
      </c>
      <c r="AZ107" s="82">
        <v>7000</v>
      </c>
      <c r="BA107" s="82">
        <v>4700</v>
      </c>
      <c r="BB107" s="82">
        <v>2500</v>
      </c>
      <c r="BC107" s="82">
        <v>933.16</v>
      </c>
      <c r="BD107" s="82">
        <v>1800</v>
      </c>
      <c r="BE107" s="82">
        <v>1520</v>
      </c>
      <c r="BF107" s="82">
        <v>8600</v>
      </c>
      <c r="BG107" s="82">
        <v>3400</v>
      </c>
      <c r="BH107" s="82">
        <v>3400</v>
      </c>
      <c r="BI107" s="82">
        <v>2000</v>
      </c>
      <c r="BJ107" s="82">
        <v>4000</v>
      </c>
      <c r="BK107" s="82">
        <v>15000</v>
      </c>
      <c r="BL107" s="82">
        <v>11304</v>
      </c>
      <c r="BM107" s="82">
        <v>5000</v>
      </c>
      <c r="BN107" s="82">
        <v>5700</v>
      </c>
      <c r="BO107" s="82">
        <v>3500</v>
      </c>
      <c r="BP107" s="82">
        <v>5000</v>
      </c>
      <c r="BQ107" s="82">
        <v>1250</v>
      </c>
      <c r="BR107" s="82">
        <v>3500</v>
      </c>
      <c r="BS107" s="82">
        <v>375</v>
      </c>
      <c r="BT107" s="82">
        <v>2500</v>
      </c>
      <c r="BU107" s="82">
        <v>6000</v>
      </c>
      <c r="BV107" s="82">
        <v>3600</v>
      </c>
      <c r="BW107" s="82">
        <v>4500</v>
      </c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</row>
    <row r="108" spans="1:86" x14ac:dyDescent="0.25">
      <c r="A108" s="10" t="s">
        <v>189</v>
      </c>
      <c r="B108" s="11">
        <v>10</v>
      </c>
      <c r="C108" s="11"/>
      <c r="D108" s="11">
        <v>41</v>
      </c>
      <c r="E108" s="11"/>
      <c r="F108" s="11"/>
      <c r="G108" s="11"/>
      <c r="H108" s="11">
        <v>31</v>
      </c>
      <c r="I108" s="11"/>
      <c r="J108" s="11"/>
      <c r="K108" s="11">
        <v>7</v>
      </c>
      <c r="L108" s="11">
        <v>1</v>
      </c>
      <c r="M108" s="11">
        <v>2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8">
        <f t="shared" si="10"/>
        <v>41</v>
      </c>
      <c r="Z108" s="11">
        <v>7</v>
      </c>
      <c r="AA108" s="11"/>
      <c r="AB108" s="11">
        <v>24</v>
      </c>
      <c r="AC108" s="11"/>
      <c r="AD108" s="11"/>
      <c r="AE108" s="11"/>
      <c r="AF108" s="11">
        <v>14</v>
      </c>
      <c r="AG108" s="11"/>
      <c r="AH108" s="11"/>
      <c r="AI108" s="11">
        <v>7</v>
      </c>
      <c r="AJ108" s="11">
        <v>1</v>
      </c>
      <c r="AK108" s="11">
        <v>2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8">
        <f t="shared" si="9"/>
        <v>24</v>
      </c>
      <c r="AX108" s="85">
        <v>825.24857142857138</v>
      </c>
      <c r="AY108" s="86">
        <v>880</v>
      </c>
      <c r="AZ108" s="82">
        <v>752.34</v>
      </c>
      <c r="BA108" s="82">
        <v>484</v>
      </c>
      <c r="BB108" s="82">
        <v>1150</v>
      </c>
      <c r="BC108" s="82">
        <v>920</v>
      </c>
      <c r="BD108" s="82">
        <v>900</v>
      </c>
      <c r="BE108" s="82">
        <v>690.4</v>
      </c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</row>
    <row r="109" spans="1:86" x14ac:dyDescent="0.25">
      <c r="A109" s="10" t="s">
        <v>190</v>
      </c>
      <c r="B109" s="11">
        <v>55</v>
      </c>
      <c r="C109" s="11"/>
      <c r="D109" s="11">
        <v>96</v>
      </c>
      <c r="E109" s="11"/>
      <c r="F109" s="11"/>
      <c r="G109" s="11"/>
      <c r="H109" s="11"/>
      <c r="I109" s="11"/>
      <c r="J109" s="11"/>
      <c r="K109" s="11"/>
      <c r="L109" s="11">
        <v>2</v>
      </c>
      <c r="M109" s="11"/>
      <c r="N109" s="11"/>
      <c r="O109" s="11"/>
      <c r="P109" s="11"/>
      <c r="Q109" s="11"/>
      <c r="R109" s="11"/>
      <c r="S109" s="11"/>
      <c r="T109" s="11">
        <v>1</v>
      </c>
      <c r="U109" s="11">
        <v>2</v>
      </c>
      <c r="V109" s="11"/>
      <c r="W109" s="11"/>
      <c r="X109" s="11">
        <v>91</v>
      </c>
      <c r="Y109" s="8">
        <f t="shared" si="10"/>
        <v>96</v>
      </c>
      <c r="Z109" s="11">
        <v>29</v>
      </c>
      <c r="AA109" s="11"/>
      <c r="AB109" s="11">
        <v>45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>
        <v>1</v>
      </c>
      <c r="AS109" s="11">
        <v>2</v>
      </c>
      <c r="AT109" s="11"/>
      <c r="AU109" s="11"/>
      <c r="AV109" s="11">
        <v>42</v>
      </c>
      <c r="AW109" s="8">
        <f t="shared" si="9"/>
        <v>45</v>
      </c>
      <c r="AX109" s="85">
        <v>6021.6896551724139</v>
      </c>
      <c r="AY109" s="86">
        <v>55000</v>
      </c>
      <c r="AZ109" s="82">
        <v>4000</v>
      </c>
      <c r="BA109" s="93">
        <v>4590</v>
      </c>
      <c r="BB109" s="82">
        <v>9900</v>
      </c>
      <c r="BC109" s="82">
        <v>2200</v>
      </c>
      <c r="BD109" s="82">
        <v>3000</v>
      </c>
      <c r="BE109" s="82">
        <v>3000</v>
      </c>
      <c r="BF109" s="82">
        <v>10800</v>
      </c>
      <c r="BG109" s="82">
        <v>4400</v>
      </c>
      <c r="BH109" s="82">
        <v>2500</v>
      </c>
      <c r="BI109" s="82">
        <v>1360</v>
      </c>
      <c r="BJ109" s="82">
        <v>2880</v>
      </c>
      <c r="BK109" s="82">
        <v>5900</v>
      </c>
      <c r="BL109" s="82">
        <v>3960</v>
      </c>
      <c r="BM109" s="82">
        <v>6000</v>
      </c>
      <c r="BN109" s="82">
        <v>3490</v>
      </c>
      <c r="BO109" s="82">
        <v>3490</v>
      </c>
      <c r="BP109" s="82">
        <v>3430</v>
      </c>
      <c r="BQ109" s="82">
        <v>3750</v>
      </c>
      <c r="BR109" s="82">
        <v>4000</v>
      </c>
      <c r="BS109" s="82">
        <v>4590</v>
      </c>
      <c r="BT109" s="82">
        <v>2999</v>
      </c>
      <c r="BU109" s="82">
        <v>4590</v>
      </c>
      <c r="BV109" s="82">
        <v>3000</v>
      </c>
      <c r="BW109" s="82">
        <v>3000</v>
      </c>
      <c r="BX109" s="82">
        <v>3000</v>
      </c>
      <c r="BY109" s="82">
        <v>2800</v>
      </c>
      <c r="BZ109" s="82">
        <v>4600</v>
      </c>
      <c r="CA109" s="82">
        <v>8400</v>
      </c>
      <c r="CB109" s="82"/>
      <c r="CC109" s="82"/>
      <c r="CD109" s="82"/>
      <c r="CE109" s="82"/>
      <c r="CF109" s="82"/>
      <c r="CG109" s="82"/>
      <c r="CH109" s="82"/>
    </row>
    <row r="110" spans="1:86" x14ac:dyDescent="0.25">
      <c r="A110" s="10" t="s">
        <v>191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8">
        <f t="shared" si="10"/>
        <v>0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8">
        <f t="shared" si="9"/>
        <v>0</v>
      </c>
      <c r="AX110" s="85"/>
      <c r="AY110" s="86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</row>
    <row r="111" spans="1:86" x14ac:dyDescent="0.25">
      <c r="A111" s="10" t="s">
        <v>192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8">
        <f t="shared" si="10"/>
        <v>0</v>
      </c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8">
        <f t="shared" si="9"/>
        <v>0</v>
      </c>
      <c r="AX111" s="85"/>
      <c r="AY111" s="86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</row>
    <row r="112" spans="1:86" x14ac:dyDescent="0.25">
      <c r="A112" s="10" t="s">
        <v>193</v>
      </c>
      <c r="B112" s="11">
        <v>7</v>
      </c>
      <c r="C112" s="11"/>
      <c r="D112" s="11">
        <v>15</v>
      </c>
      <c r="E112" s="11"/>
      <c r="F112" s="11"/>
      <c r="G112" s="11"/>
      <c r="H112" s="11">
        <v>1</v>
      </c>
      <c r="I112" s="11"/>
      <c r="J112" s="11"/>
      <c r="K112" s="11">
        <v>11</v>
      </c>
      <c r="L112" s="11">
        <v>2</v>
      </c>
      <c r="M112" s="11">
        <v>1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8">
        <f t="shared" si="10"/>
        <v>15</v>
      </c>
      <c r="Z112" s="11">
        <v>6</v>
      </c>
      <c r="AA112" s="11"/>
      <c r="AB112" s="11">
        <v>13</v>
      </c>
      <c r="AC112" s="11"/>
      <c r="AD112" s="11"/>
      <c r="AE112" s="11"/>
      <c r="AF112" s="11"/>
      <c r="AG112" s="11"/>
      <c r="AH112" s="11"/>
      <c r="AI112" s="11">
        <v>10</v>
      </c>
      <c r="AJ112" s="11">
        <v>2</v>
      </c>
      <c r="AK112" s="11">
        <v>1</v>
      </c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8">
        <f t="shared" si="9"/>
        <v>13</v>
      </c>
      <c r="AX112" s="85">
        <v>1122.7016666666666</v>
      </c>
      <c r="AY112" s="86">
        <v>2000</v>
      </c>
      <c r="AZ112" s="82">
        <v>556</v>
      </c>
      <c r="BA112" s="82">
        <v>717.87</v>
      </c>
      <c r="BB112" s="82">
        <v>1212.3399999999999</v>
      </c>
      <c r="BC112" s="82">
        <v>1250</v>
      </c>
      <c r="BD112" s="82">
        <v>1000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</row>
    <row r="113" spans="1:121" x14ac:dyDescent="0.25">
      <c r="A113" s="10" t="s">
        <v>194</v>
      </c>
      <c r="B113" s="11">
        <v>97</v>
      </c>
      <c r="C113" s="11"/>
      <c r="D113" s="11">
        <v>729</v>
      </c>
      <c r="E113" s="11"/>
      <c r="F113" s="11"/>
      <c r="G113" s="11">
        <v>6</v>
      </c>
      <c r="H113" s="11">
        <v>615</v>
      </c>
      <c r="I113" s="11"/>
      <c r="J113" s="11">
        <v>7</v>
      </c>
      <c r="K113" s="11">
        <v>82</v>
      </c>
      <c r="L113" s="11">
        <v>1</v>
      </c>
      <c r="M113" s="11"/>
      <c r="N113" s="11"/>
      <c r="O113" s="11">
        <v>18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8">
        <f t="shared" si="10"/>
        <v>729</v>
      </c>
      <c r="Z113" s="11">
        <v>71</v>
      </c>
      <c r="AA113" s="11"/>
      <c r="AB113" s="11">
        <v>368</v>
      </c>
      <c r="AC113" s="11"/>
      <c r="AD113" s="11"/>
      <c r="AE113" s="11">
        <v>3</v>
      </c>
      <c r="AF113" s="11">
        <v>288</v>
      </c>
      <c r="AG113" s="11"/>
      <c r="AH113" s="11">
        <v>4</v>
      </c>
      <c r="AI113" s="11">
        <v>72</v>
      </c>
      <c r="AJ113" s="11">
        <v>1</v>
      </c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8">
        <f t="shared" si="9"/>
        <v>368</v>
      </c>
      <c r="AX113" s="85">
        <v>2121.1074647887326</v>
      </c>
      <c r="AY113" s="86">
        <v>7400</v>
      </c>
      <c r="AZ113" s="82">
        <v>3680</v>
      </c>
      <c r="BA113" s="82">
        <v>3680</v>
      </c>
      <c r="BB113" s="82">
        <v>1760</v>
      </c>
      <c r="BC113" s="82">
        <v>1760</v>
      </c>
      <c r="BD113" s="82">
        <v>1600</v>
      </c>
      <c r="BE113" s="82">
        <v>1760</v>
      </c>
      <c r="BF113" s="82">
        <v>1600</v>
      </c>
      <c r="BG113" s="82">
        <v>1760</v>
      </c>
      <c r="BH113" s="82">
        <v>1600</v>
      </c>
      <c r="BI113" s="82">
        <v>1760</v>
      </c>
      <c r="BJ113" s="82">
        <v>1600</v>
      </c>
      <c r="BK113" s="82">
        <v>1760</v>
      </c>
      <c r="BL113" s="82">
        <v>1600</v>
      </c>
      <c r="BM113" s="82">
        <v>1600</v>
      </c>
      <c r="BN113" s="82">
        <v>1600</v>
      </c>
      <c r="BO113" s="82">
        <v>1600</v>
      </c>
      <c r="BP113" s="82">
        <v>1600</v>
      </c>
      <c r="BQ113" s="82">
        <v>1600</v>
      </c>
      <c r="BR113" s="82">
        <v>800</v>
      </c>
      <c r="BS113" s="82">
        <v>1840</v>
      </c>
      <c r="BT113" s="82">
        <v>1600</v>
      </c>
      <c r="BU113" s="82">
        <v>1280</v>
      </c>
      <c r="BV113" s="82">
        <v>4400</v>
      </c>
      <c r="BW113" s="82">
        <v>720</v>
      </c>
      <c r="BX113" s="82">
        <v>4400</v>
      </c>
      <c r="BY113" s="82">
        <v>3760</v>
      </c>
      <c r="BZ113" s="82">
        <v>1040</v>
      </c>
      <c r="CA113" s="82">
        <v>1040</v>
      </c>
      <c r="CB113" s="82">
        <v>1040</v>
      </c>
      <c r="CC113" s="82">
        <v>2080</v>
      </c>
      <c r="CD113" s="82">
        <v>3760</v>
      </c>
      <c r="CE113" s="82">
        <v>5440</v>
      </c>
      <c r="CF113" s="82">
        <v>2080</v>
      </c>
      <c r="CG113" s="82">
        <v>5200</v>
      </c>
      <c r="CH113" s="82">
        <v>1760</v>
      </c>
      <c r="CI113" s="82">
        <v>1600</v>
      </c>
      <c r="CJ113" s="82">
        <v>1600</v>
      </c>
      <c r="CK113" s="82">
        <v>1600</v>
      </c>
      <c r="CL113" s="82">
        <v>1600</v>
      </c>
      <c r="CM113" s="82">
        <v>1960</v>
      </c>
      <c r="CN113" s="82">
        <v>1800</v>
      </c>
      <c r="CO113" s="82">
        <v>2200</v>
      </c>
      <c r="CP113" s="82">
        <v>800</v>
      </c>
      <c r="CQ113" s="82">
        <v>1840</v>
      </c>
      <c r="CR113" s="82">
        <v>1600</v>
      </c>
      <c r="CS113" s="82">
        <v>558.63</v>
      </c>
      <c r="CT113" s="82">
        <v>1980</v>
      </c>
      <c r="CU113" s="82">
        <v>1980</v>
      </c>
      <c r="CV113" s="82">
        <v>1840</v>
      </c>
      <c r="CW113" s="82">
        <v>4560</v>
      </c>
      <c r="CX113" s="82">
        <v>3280</v>
      </c>
      <c r="CY113" s="82">
        <v>3280</v>
      </c>
      <c r="CZ113" s="82">
        <v>1600</v>
      </c>
      <c r="DA113" s="82">
        <v>1600</v>
      </c>
      <c r="DB113" s="82">
        <v>1600</v>
      </c>
      <c r="DC113" s="82">
        <v>1600</v>
      </c>
      <c r="DD113" s="82">
        <v>1600</v>
      </c>
      <c r="DE113" s="82">
        <v>1600</v>
      </c>
      <c r="DF113" s="82">
        <v>1600</v>
      </c>
      <c r="DG113" s="82">
        <v>6080</v>
      </c>
      <c r="DH113" s="82">
        <v>1600</v>
      </c>
      <c r="DI113" s="82">
        <v>1600</v>
      </c>
      <c r="DJ113" s="82">
        <v>1600</v>
      </c>
      <c r="DK113" s="82">
        <v>1600</v>
      </c>
      <c r="DL113" s="82">
        <v>2000</v>
      </c>
      <c r="DM113" s="82">
        <v>2000</v>
      </c>
      <c r="DN113" s="82">
        <v>1600</v>
      </c>
      <c r="DO113" s="82">
        <v>1600</v>
      </c>
      <c r="DP113" s="82">
        <v>1600</v>
      </c>
      <c r="DQ113" s="82">
        <v>480</v>
      </c>
    </row>
    <row r="114" spans="1:121" x14ac:dyDescent="0.25">
      <c r="A114" s="10" t="s">
        <v>195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8">
        <f t="shared" si="10"/>
        <v>0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8">
        <f t="shared" si="9"/>
        <v>0</v>
      </c>
      <c r="AX114" s="85"/>
      <c r="AY114" s="86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</row>
    <row r="115" spans="1:121" x14ac:dyDescent="0.25">
      <c r="A115" s="10" t="s">
        <v>196</v>
      </c>
      <c r="B115" s="11">
        <v>5</v>
      </c>
      <c r="C115" s="11"/>
      <c r="D115" s="11">
        <v>10</v>
      </c>
      <c r="E115" s="11"/>
      <c r="F115" s="11"/>
      <c r="G115" s="11"/>
      <c r="H115" s="11"/>
      <c r="I115" s="11"/>
      <c r="J115" s="11"/>
      <c r="K115" s="11">
        <v>10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8">
        <f t="shared" si="10"/>
        <v>10</v>
      </c>
      <c r="Z115" s="11">
        <v>4</v>
      </c>
      <c r="AA115" s="11"/>
      <c r="AB115" s="11">
        <v>6</v>
      </c>
      <c r="AC115" s="11"/>
      <c r="AD115" s="11"/>
      <c r="AE115" s="11"/>
      <c r="AF115" s="11"/>
      <c r="AG115" s="11"/>
      <c r="AH115" s="11"/>
      <c r="AI115" s="11">
        <v>6</v>
      </c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8">
        <f t="shared" si="9"/>
        <v>6</v>
      </c>
      <c r="AX115" s="85">
        <v>1484.9</v>
      </c>
      <c r="AY115" s="86">
        <v>640</v>
      </c>
      <c r="AZ115" s="82">
        <v>1360</v>
      </c>
      <c r="BA115" s="82">
        <v>840</v>
      </c>
      <c r="BB115" s="82">
        <v>3099.6</v>
      </c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</row>
    <row r="116" spans="1:121" x14ac:dyDescent="0.25">
      <c r="A116" s="10" t="s">
        <v>197</v>
      </c>
      <c r="B116" s="11">
        <v>1</v>
      </c>
      <c r="C116" s="11"/>
      <c r="D116" s="11">
        <v>1</v>
      </c>
      <c r="E116" s="11"/>
      <c r="F116" s="11"/>
      <c r="G116" s="11"/>
      <c r="H116" s="11"/>
      <c r="I116" s="11"/>
      <c r="J116" s="11"/>
      <c r="K116" s="11"/>
      <c r="L116" s="11">
        <v>1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8">
        <f t="shared" si="10"/>
        <v>1</v>
      </c>
      <c r="Z116" s="11">
        <v>1</v>
      </c>
      <c r="AA116" s="11"/>
      <c r="AB116" s="11">
        <v>1</v>
      </c>
      <c r="AC116" s="11"/>
      <c r="AD116" s="11"/>
      <c r="AE116" s="11"/>
      <c r="AF116" s="11"/>
      <c r="AG116" s="11"/>
      <c r="AH116" s="11"/>
      <c r="AI116" s="11"/>
      <c r="AJ116" s="11">
        <v>1</v>
      </c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8">
        <f t="shared" si="9"/>
        <v>1</v>
      </c>
      <c r="AX116" s="85">
        <v>2050</v>
      </c>
      <c r="AY116" s="86">
        <v>2050</v>
      </c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</row>
    <row r="117" spans="1:121" x14ac:dyDescent="0.25">
      <c r="A117" s="10" t="s">
        <v>198</v>
      </c>
      <c r="B117" s="11">
        <v>14</v>
      </c>
      <c r="C117" s="11"/>
      <c r="D117" s="11">
        <v>88</v>
      </c>
      <c r="E117" s="11"/>
      <c r="F117" s="11"/>
      <c r="G117" s="11"/>
      <c r="H117" s="11">
        <v>64</v>
      </c>
      <c r="I117" s="11"/>
      <c r="J117" s="11"/>
      <c r="K117" s="11"/>
      <c r="L117" s="11">
        <v>17</v>
      </c>
      <c r="M117" s="11">
        <v>7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8">
        <f t="shared" si="10"/>
        <v>88</v>
      </c>
      <c r="Z117" s="11">
        <v>10</v>
      </c>
      <c r="AA117" s="11"/>
      <c r="AB117" s="11">
        <v>69</v>
      </c>
      <c r="AC117" s="11"/>
      <c r="AD117" s="11"/>
      <c r="AE117" s="11"/>
      <c r="AF117" s="11">
        <v>54</v>
      </c>
      <c r="AG117" s="11"/>
      <c r="AH117" s="11"/>
      <c r="AI117" s="11"/>
      <c r="AJ117" s="11">
        <v>10</v>
      </c>
      <c r="AK117" s="11">
        <v>5</v>
      </c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8">
        <f t="shared" si="9"/>
        <v>69</v>
      </c>
      <c r="AX117" s="85">
        <v>4116.6869999999999</v>
      </c>
      <c r="AY117" s="86">
        <v>9900</v>
      </c>
      <c r="AZ117" s="82">
        <v>546.87</v>
      </c>
      <c r="BA117" s="82">
        <v>1440</v>
      </c>
      <c r="BB117" s="82">
        <v>1440</v>
      </c>
      <c r="BC117" s="82">
        <v>1440</v>
      </c>
      <c r="BD117" s="82">
        <v>3400</v>
      </c>
      <c r="BE117" s="82">
        <v>3900</v>
      </c>
      <c r="BF117" s="82">
        <v>7800</v>
      </c>
      <c r="BG117" s="82">
        <v>3300</v>
      </c>
      <c r="BH117" s="82">
        <v>8000</v>
      </c>
      <c r="BI117" s="82"/>
      <c r="BJ117" s="82"/>
      <c r="BK117" s="82"/>
      <c r="BL117" s="82"/>
      <c r="BM117" s="82"/>
    </row>
    <row r="118" spans="1:121" x14ac:dyDescent="0.25">
      <c r="A118" s="10" t="s">
        <v>199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8">
        <f t="shared" si="10"/>
        <v>0</v>
      </c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8">
        <f t="shared" si="9"/>
        <v>0</v>
      </c>
      <c r="AX118" s="14"/>
    </row>
    <row r="119" spans="1:121" x14ac:dyDescent="0.25">
      <c r="A119" s="10" t="s">
        <v>200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8">
        <f t="shared" si="10"/>
        <v>0</v>
      </c>
      <c r="Z119" s="11"/>
      <c r="AA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8">
        <f t="shared" si="9"/>
        <v>0</v>
      </c>
      <c r="AX119" s="14"/>
    </row>
    <row r="120" spans="1:121" x14ac:dyDescent="0.25">
      <c r="A120" s="10" t="s">
        <v>201</v>
      </c>
      <c r="B120" s="11">
        <v>2</v>
      </c>
      <c r="C120" s="11"/>
      <c r="D120" s="11">
        <v>3</v>
      </c>
      <c r="E120" s="11"/>
      <c r="F120" s="11"/>
      <c r="G120" s="11"/>
      <c r="H120" s="11"/>
      <c r="I120" s="11"/>
      <c r="J120" s="11"/>
      <c r="K120" s="11">
        <v>2</v>
      </c>
      <c r="L120" s="11">
        <v>1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8">
        <f t="shared" si="10"/>
        <v>3</v>
      </c>
      <c r="Z120" s="11">
        <v>2</v>
      </c>
      <c r="AA120" s="11"/>
      <c r="AB120" s="11">
        <v>3</v>
      </c>
      <c r="AC120" s="11"/>
      <c r="AD120" s="11"/>
      <c r="AE120" s="11"/>
      <c r="AF120" s="11"/>
      <c r="AG120" s="11"/>
      <c r="AH120" s="11"/>
      <c r="AI120" s="11">
        <v>2</v>
      </c>
      <c r="AJ120" s="11">
        <v>1</v>
      </c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8">
        <f t="shared" si="9"/>
        <v>3</v>
      </c>
      <c r="AX120" s="85">
        <v>5584</v>
      </c>
      <c r="AY120" s="86">
        <v>4928</v>
      </c>
      <c r="AZ120" s="82">
        <v>6240</v>
      </c>
      <c r="BA120" s="82"/>
      <c r="BB120" s="82"/>
      <c r="BC120" s="82"/>
    </row>
    <row r="121" spans="1:121" x14ac:dyDescent="0.25">
      <c r="A121" s="10" t="s">
        <v>202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8">
        <f t="shared" si="10"/>
        <v>0</v>
      </c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8">
        <f t="shared" si="9"/>
        <v>0</v>
      </c>
      <c r="AX121" s="85"/>
      <c r="AY121" s="86"/>
      <c r="AZ121" s="82"/>
      <c r="BA121" s="82"/>
      <c r="BB121" s="82"/>
      <c r="BC121" s="82"/>
    </row>
    <row r="122" spans="1:121" x14ac:dyDescent="0.25">
      <c r="A122" s="10" t="s">
        <v>203</v>
      </c>
      <c r="B122" s="11">
        <v>1</v>
      </c>
      <c r="C122" s="11"/>
      <c r="D122" s="11">
        <v>6</v>
      </c>
      <c r="E122" s="11"/>
      <c r="F122" s="11"/>
      <c r="G122" s="11"/>
      <c r="H122" s="11">
        <v>6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8">
        <f t="shared" si="10"/>
        <v>6</v>
      </c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8">
        <f t="shared" si="9"/>
        <v>0</v>
      </c>
      <c r="AX122" s="85"/>
      <c r="AY122" s="86"/>
      <c r="AZ122" s="82"/>
      <c r="BA122" s="82"/>
      <c r="BB122" s="82"/>
      <c r="BC122" s="82"/>
    </row>
    <row r="123" spans="1:121" x14ac:dyDescent="0.25">
      <c r="A123" s="10" t="s">
        <v>204</v>
      </c>
      <c r="B123" s="11">
        <v>7</v>
      </c>
      <c r="C123" s="11"/>
      <c r="D123" s="11">
        <v>16</v>
      </c>
      <c r="E123" s="11"/>
      <c r="F123" s="11"/>
      <c r="G123" s="11"/>
      <c r="H123" s="11"/>
      <c r="I123" s="11"/>
      <c r="J123" s="11"/>
      <c r="K123" s="11"/>
      <c r="L123" s="11"/>
      <c r="M123" s="11">
        <v>1</v>
      </c>
      <c r="N123" s="11"/>
      <c r="O123" s="11">
        <v>8</v>
      </c>
      <c r="P123" s="11"/>
      <c r="Q123" s="11"/>
      <c r="R123" s="11"/>
      <c r="S123" s="11">
        <v>2</v>
      </c>
      <c r="T123" s="11"/>
      <c r="U123" s="11"/>
      <c r="V123" s="11"/>
      <c r="W123" s="11"/>
      <c r="X123" s="11">
        <v>5</v>
      </c>
      <c r="Y123" s="8">
        <f t="shared" si="10"/>
        <v>16</v>
      </c>
      <c r="Z123" s="11">
        <v>3</v>
      </c>
      <c r="AA123" s="11"/>
      <c r="AB123" s="11">
        <v>11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>
        <v>8</v>
      </c>
      <c r="AN123" s="11"/>
      <c r="AO123" s="11"/>
      <c r="AP123" s="11"/>
      <c r="AQ123" s="11">
        <v>1</v>
      </c>
      <c r="AR123" s="11"/>
      <c r="AS123" s="11"/>
      <c r="AT123" s="11"/>
      <c r="AU123" s="11"/>
      <c r="AV123" s="11">
        <v>2</v>
      </c>
      <c r="AW123" s="8">
        <f t="shared" si="9"/>
        <v>11</v>
      </c>
      <c r="AX123" s="85">
        <v>9511.6666666666661</v>
      </c>
      <c r="AY123" s="86">
        <v>8980</v>
      </c>
      <c r="AZ123" s="82">
        <v>18739</v>
      </c>
      <c r="BA123" s="82">
        <v>816</v>
      </c>
      <c r="BB123" s="82"/>
      <c r="BC123" s="82"/>
    </row>
    <row r="124" spans="1:121" x14ac:dyDescent="0.25">
      <c r="A124" s="10" t="s">
        <v>205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8">
        <f t="shared" si="10"/>
        <v>0</v>
      </c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8">
        <f t="shared" si="9"/>
        <v>0</v>
      </c>
      <c r="AX124" s="85"/>
      <c r="AY124" s="86"/>
      <c r="AZ124" s="82"/>
      <c r="BA124" s="82"/>
      <c r="BB124" s="82"/>
      <c r="BC124" s="82"/>
    </row>
    <row r="125" spans="1:121" x14ac:dyDescent="0.25">
      <c r="A125" s="10" t="s">
        <v>206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8">
        <f t="shared" si="10"/>
        <v>0</v>
      </c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8">
        <f t="shared" si="9"/>
        <v>0</v>
      </c>
      <c r="AX125" s="85"/>
      <c r="AY125" s="86"/>
      <c r="AZ125" s="82"/>
      <c r="BA125" s="82"/>
      <c r="BB125" s="82"/>
      <c r="BC125" s="82"/>
    </row>
    <row r="126" spans="1:121" x14ac:dyDescent="0.25">
      <c r="A126" s="10" t="s">
        <v>207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8">
        <f t="shared" si="10"/>
        <v>0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8">
        <f t="shared" si="9"/>
        <v>0</v>
      </c>
      <c r="AX126" s="85"/>
      <c r="AY126" s="86"/>
      <c r="AZ126" s="82"/>
      <c r="BA126" s="82"/>
      <c r="BB126" s="82"/>
      <c r="BC126" s="82"/>
    </row>
    <row r="127" spans="1:121" x14ac:dyDescent="0.25">
      <c r="A127" s="10" t="s">
        <v>208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8">
        <f t="shared" si="10"/>
        <v>0</v>
      </c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8">
        <f t="shared" ref="AW127:AW190" si="15">SUM(AD127:AV127)</f>
        <v>0</v>
      </c>
      <c r="AX127" s="85"/>
      <c r="AY127" s="86"/>
      <c r="AZ127" s="82"/>
      <c r="BA127" s="82"/>
      <c r="BB127" s="82"/>
      <c r="BC127" s="82"/>
    </row>
    <row r="128" spans="1:121" x14ac:dyDescent="0.25">
      <c r="A128" s="10" t="s">
        <v>209</v>
      </c>
      <c r="B128" s="11">
        <v>5</v>
      </c>
      <c r="C128" s="11"/>
      <c r="D128" s="11">
        <v>44</v>
      </c>
      <c r="E128" s="11"/>
      <c r="F128" s="11"/>
      <c r="G128" s="11"/>
      <c r="H128" s="11">
        <v>19</v>
      </c>
      <c r="I128" s="11"/>
      <c r="J128" s="11"/>
      <c r="K128" s="11">
        <v>7</v>
      </c>
      <c r="L128" s="11"/>
      <c r="M128" s="11"/>
      <c r="N128" s="11"/>
      <c r="O128" s="11">
        <v>18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8">
        <f t="shared" si="10"/>
        <v>44</v>
      </c>
      <c r="Z128" s="11">
        <v>4</v>
      </c>
      <c r="AA128" s="11"/>
      <c r="AB128" s="11">
        <v>40</v>
      </c>
      <c r="AC128" s="11"/>
      <c r="AD128" s="11"/>
      <c r="AE128" s="11"/>
      <c r="AF128" s="11">
        <v>15</v>
      </c>
      <c r="AG128" s="11"/>
      <c r="AH128" s="11"/>
      <c r="AI128" s="11">
        <v>7</v>
      </c>
      <c r="AJ128" s="11"/>
      <c r="AK128" s="11"/>
      <c r="AL128" s="11"/>
      <c r="AM128" s="11">
        <v>18</v>
      </c>
      <c r="AN128" s="11"/>
      <c r="AO128" s="11"/>
      <c r="AP128" s="11"/>
      <c r="AQ128" s="11"/>
      <c r="AR128" s="11"/>
      <c r="AS128" s="11"/>
      <c r="AT128" s="11"/>
      <c r="AU128" s="11"/>
      <c r="AV128" s="11"/>
      <c r="AW128" s="8">
        <f t="shared" si="15"/>
        <v>40</v>
      </c>
      <c r="AX128" s="85">
        <v>611.08500000000004</v>
      </c>
      <c r="AY128" s="86">
        <v>752.34</v>
      </c>
      <c r="AZ128" s="82">
        <v>640</v>
      </c>
      <c r="BA128" s="82">
        <v>476</v>
      </c>
      <c r="BB128" s="82">
        <v>576</v>
      </c>
      <c r="BC128" s="82"/>
    </row>
    <row r="129" spans="1:58" x14ac:dyDescent="0.25">
      <c r="A129" s="10" t="s">
        <v>210</v>
      </c>
      <c r="B129" s="11">
        <v>5</v>
      </c>
      <c r="C129" s="11"/>
      <c r="D129" s="11">
        <v>37</v>
      </c>
      <c r="E129" s="11"/>
      <c r="F129" s="11"/>
      <c r="G129" s="11"/>
      <c r="H129" s="11">
        <v>14</v>
      </c>
      <c r="I129" s="11"/>
      <c r="J129" s="11"/>
      <c r="K129" s="11">
        <v>20</v>
      </c>
      <c r="L129" s="11">
        <v>3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8">
        <f t="shared" si="10"/>
        <v>37</v>
      </c>
      <c r="Z129" s="11">
        <v>5</v>
      </c>
      <c r="AA129" s="11"/>
      <c r="AB129" s="11">
        <v>37</v>
      </c>
      <c r="AC129" s="11"/>
      <c r="AD129" s="11"/>
      <c r="AE129" s="11"/>
      <c r="AF129" s="11">
        <v>14</v>
      </c>
      <c r="AG129" s="11"/>
      <c r="AH129" s="11"/>
      <c r="AI129" s="11">
        <v>20</v>
      </c>
      <c r="AJ129" s="11">
        <v>3</v>
      </c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8">
        <f t="shared" si="15"/>
        <v>37</v>
      </c>
      <c r="AX129" s="85">
        <v>610.77442857142864</v>
      </c>
      <c r="AY129" s="86">
        <v>1280</v>
      </c>
      <c r="AZ129" s="82">
        <v>640</v>
      </c>
      <c r="BA129" s="82">
        <v>405.87214285714299</v>
      </c>
      <c r="BB129" s="82">
        <v>388</v>
      </c>
      <c r="BC129" s="82">
        <v>340</v>
      </c>
    </row>
    <row r="130" spans="1:58" x14ac:dyDescent="0.25">
      <c r="A130" s="10" t="s">
        <v>211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8">
        <f t="shared" si="10"/>
        <v>0</v>
      </c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8">
        <f t="shared" si="15"/>
        <v>0</v>
      </c>
      <c r="AX130" s="85"/>
      <c r="AY130" s="86"/>
      <c r="AZ130" s="82"/>
      <c r="BA130" s="82"/>
      <c r="BB130" s="82"/>
      <c r="BC130" s="82"/>
    </row>
    <row r="131" spans="1:58" x14ac:dyDescent="0.25">
      <c r="A131" s="10" t="s">
        <v>212</v>
      </c>
      <c r="B131" s="11">
        <v>3</v>
      </c>
      <c r="C131" s="11"/>
      <c r="D131" s="11">
        <v>3</v>
      </c>
      <c r="E131" s="11"/>
      <c r="F131" s="11"/>
      <c r="G131" s="11"/>
      <c r="H131" s="11">
        <v>1</v>
      </c>
      <c r="I131" s="11"/>
      <c r="J131" s="11"/>
      <c r="K131" s="11">
        <v>1</v>
      </c>
      <c r="L131" s="11"/>
      <c r="M131" s="11">
        <v>1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8">
        <f t="shared" si="10"/>
        <v>3</v>
      </c>
      <c r="Z131" s="11">
        <v>1</v>
      </c>
      <c r="AA131" s="11"/>
      <c r="AB131" s="11">
        <v>1</v>
      </c>
      <c r="AC131" s="11"/>
      <c r="AD131" s="11"/>
      <c r="AE131" s="11"/>
      <c r="AF131" s="11"/>
      <c r="AG131" s="11"/>
      <c r="AH131" s="11"/>
      <c r="AI131" s="11"/>
      <c r="AJ131" s="11"/>
      <c r="AK131" s="11">
        <v>1</v>
      </c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8">
        <f t="shared" si="15"/>
        <v>1</v>
      </c>
      <c r="AX131" s="85">
        <v>1900</v>
      </c>
      <c r="AY131" s="86">
        <v>1900</v>
      </c>
      <c r="AZ131" s="82"/>
      <c r="BA131" s="82"/>
      <c r="BB131" s="82"/>
      <c r="BC131" s="82"/>
    </row>
    <row r="132" spans="1:58" x14ac:dyDescent="0.25">
      <c r="A132" s="10" t="s">
        <v>213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8">
        <f t="shared" si="10"/>
        <v>0</v>
      </c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8">
        <f t="shared" si="15"/>
        <v>0</v>
      </c>
      <c r="AX132" s="85"/>
      <c r="AY132" s="86"/>
      <c r="AZ132" s="82"/>
      <c r="BA132" s="82"/>
      <c r="BB132" s="82"/>
      <c r="BC132" s="82"/>
    </row>
    <row r="133" spans="1:58" x14ac:dyDescent="0.25">
      <c r="A133" s="10" t="s">
        <v>214</v>
      </c>
      <c r="B133" s="11">
        <v>7</v>
      </c>
      <c r="C133" s="11"/>
      <c r="D133" s="11">
        <v>44</v>
      </c>
      <c r="E133" s="11"/>
      <c r="F133" s="11"/>
      <c r="G133" s="11"/>
      <c r="H133" s="11">
        <v>29</v>
      </c>
      <c r="I133" s="11"/>
      <c r="J133" s="11"/>
      <c r="K133" s="11"/>
      <c r="L133" s="11">
        <v>5</v>
      </c>
      <c r="M133" s="11"/>
      <c r="N133" s="11"/>
      <c r="O133" s="11">
        <v>10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8">
        <f t="shared" si="10"/>
        <v>44</v>
      </c>
      <c r="Z133" s="11">
        <v>4</v>
      </c>
      <c r="AA133" s="11"/>
      <c r="AB133" s="11">
        <v>25</v>
      </c>
      <c r="AC133" s="11"/>
      <c r="AD133" s="11"/>
      <c r="AE133" s="11"/>
      <c r="AF133" s="11">
        <v>10</v>
      </c>
      <c r="AG133" s="11"/>
      <c r="AH133" s="11"/>
      <c r="AI133" s="11"/>
      <c r="AJ133" s="11">
        <v>5</v>
      </c>
      <c r="AK133" s="11"/>
      <c r="AL133" s="11"/>
      <c r="AM133" s="11">
        <v>10</v>
      </c>
      <c r="AN133" s="11"/>
      <c r="AO133" s="11"/>
      <c r="AP133" s="11"/>
      <c r="AQ133" s="11"/>
      <c r="AR133" s="11"/>
      <c r="AS133" s="11"/>
      <c r="AT133" s="11"/>
      <c r="AU133" s="11"/>
      <c r="AV133" s="11"/>
      <c r="AW133" s="8">
        <f t="shared" si="15"/>
        <v>25</v>
      </c>
      <c r="AX133" s="85">
        <v>4442.2</v>
      </c>
      <c r="AY133" s="86">
        <v>7680</v>
      </c>
      <c r="AZ133" s="82">
        <v>1276.8</v>
      </c>
      <c r="BA133" s="82">
        <v>1512</v>
      </c>
      <c r="BB133" s="82">
        <v>7300</v>
      </c>
      <c r="BC133" s="82"/>
    </row>
    <row r="134" spans="1:58" x14ac:dyDescent="0.25">
      <c r="A134" s="10" t="s">
        <v>215</v>
      </c>
      <c r="B134" s="11">
        <v>1</v>
      </c>
      <c r="C134" s="11"/>
      <c r="D134" s="11">
        <v>1</v>
      </c>
      <c r="E134" s="11"/>
      <c r="F134" s="11"/>
      <c r="G134" s="11"/>
      <c r="H134" s="11"/>
      <c r="I134" s="11"/>
      <c r="J134" s="11"/>
      <c r="K134" s="11"/>
      <c r="L134" s="11"/>
      <c r="M134" s="11">
        <v>1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8">
        <f t="shared" ref="Y134:Y197" si="16">SUM(F134:X134)</f>
        <v>1</v>
      </c>
      <c r="Z134" s="11">
        <v>1</v>
      </c>
      <c r="AA134" s="11"/>
      <c r="AB134" s="11">
        <v>1</v>
      </c>
      <c r="AC134" s="11"/>
      <c r="AD134" s="11"/>
      <c r="AE134" s="11"/>
      <c r="AF134" s="11"/>
      <c r="AG134" s="11"/>
      <c r="AH134" s="11"/>
      <c r="AI134" s="11"/>
      <c r="AJ134" s="11"/>
      <c r="AK134" s="11">
        <v>1</v>
      </c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8">
        <f t="shared" si="15"/>
        <v>1</v>
      </c>
      <c r="AX134" s="85">
        <v>1364</v>
      </c>
      <c r="AY134" s="86">
        <v>1364</v>
      </c>
      <c r="AZ134" s="82"/>
      <c r="BA134" s="82"/>
      <c r="BB134" s="82"/>
      <c r="BC134" s="82"/>
    </row>
    <row r="135" spans="1:58" x14ac:dyDescent="0.25">
      <c r="A135" s="10" t="s">
        <v>216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8">
        <f t="shared" si="16"/>
        <v>0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8">
        <f t="shared" si="15"/>
        <v>0</v>
      </c>
      <c r="AX135" s="14"/>
    </row>
    <row r="136" spans="1:58" x14ac:dyDescent="0.25">
      <c r="A136" s="10" t="s">
        <v>217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8">
        <f t="shared" si="16"/>
        <v>0</v>
      </c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8">
        <f t="shared" si="15"/>
        <v>0</v>
      </c>
      <c r="AX136" s="14"/>
    </row>
    <row r="137" spans="1:58" x14ac:dyDescent="0.25">
      <c r="A137" s="10" t="s">
        <v>218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8">
        <f t="shared" si="16"/>
        <v>0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8">
        <f t="shared" si="15"/>
        <v>0</v>
      </c>
      <c r="AX137" s="14"/>
    </row>
    <row r="138" spans="1:58" x14ac:dyDescent="0.25">
      <c r="A138" s="10" t="s">
        <v>219</v>
      </c>
      <c r="B138" s="11">
        <v>7</v>
      </c>
      <c r="C138" s="11"/>
      <c r="D138" s="11">
        <v>17</v>
      </c>
      <c r="E138" s="11"/>
      <c r="F138" s="11"/>
      <c r="G138" s="11"/>
      <c r="H138" s="11">
        <v>4</v>
      </c>
      <c r="I138" s="11"/>
      <c r="J138" s="11"/>
      <c r="K138" s="11">
        <v>13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8">
        <f t="shared" si="16"/>
        <v>17</v>
      </c>
      <c r="Z138" s="11">
        <v>7</v>
      </c>
      <c r="AA138" s="11"/>
      <c r="AB138" s="11">
        <v>17</v>
      </c>
      <c r="AC138" s="11"/>
      <c r="AD138" s="11"/>
      <c r="AE138" s="11"/>
      <c r="AF138" s="11">
        <v>4</v>
      </c>
      <c r="AG138" s="11"/>
      <c r="AH138" s="11"/>
      <c r="AI138" s="11">
        <v>13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8">
        <f t="shared" si="15"/>
        <v>17</v>
      </c>
      <c r="AX138" s="85">
        <v>682.91428571428571</v>
      </c>
      <c r="AY138" s="86">
        <v>750</v>
      </c>
      <c r="AZ138" s="82">
        <v>520</v>
      </c>
      <c r="BA138" s="82">
        <v>750</v>
      </c>
      <c r="BB138" s="82">
        <v>750</v>
      </c>
      <c r="BC138" s="82">
        <v>600</v>
      </c>
      <c r="BD138" s="82">
        <v>600</v>
      </c>
      <c r="BE138" s="82">
        <v>810.4</v>
      </c>
      <c r="BF138" s="82"/>
    </row>
    <row r="139" spans="1:58" x14ac:dyDescent="0.25">
      <c r="A139" s="10" t="s">
        <v>220</v>
      </c>
      <c r="B139" s="11">
        <v>11</v>
      </c>
      <c r="C139" s="11"/>
      <c r="D139" s="11">
        <v>115</v>
      </c>
      <c r="E139" s="11"/>
      <c r="F139" s="11"/>
      <c r="G139" s="11"/>
      <c r="H139" s="11">
        <v>63</v>
      </c>
      <c r="I139" s="11"/>
      <c r="J139" s="11"/>
      <c r="K139" s="11">
        <v>51</v>
      </c>
      <c r="L139" s="11">
        <v>1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8">
        <f t="shared" si="16"/>
        <v>115</v>
      </c>
      <c r="Z139" s="11">
        <v>8</v>
      </c>
      <c r="AA139" s="11"/>
      <c r="AB139" s="11">
        <v>48</v>
      </c>
      <c r="AC139" s="11"/>
      <c r="AD139" s="11"/>
      <c r="AE139" s="11"/>
      <c r="AF139" s="11">
        <v>45</v>
      </c>
      <c r="AG139" s="11"/>
      <c r="AH139" s="11"/>
      <c r="AI139" s="11">
        <v>2</v>
      </c>
      <c r="AJ139" s="11">
        <v>1</v>
      </c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8">
        <f t="shared" si="15"/>
        <v>48</v>
      </c>
      <c r="AX139" s="85">
        <v>1696.2</v>
      </c>
      <c r="AY139" s="86">
        <v>464.8</v>
      </c>
      <c r="AZ139" s="82">
        <v>512.79999999999995</v>
      </c>
      <c r="BA139" s="82">
        <v>5692</v>
      </c>
      <c r="BB139" s="82">
        <v>600</v>
      </c>
      <c r="BC139" s="82">
        <v>600</v>
      </c>
      <c r="BD139" s="82">
        <v>600</v>
      </c>
      <c r="BE139" s="82">
        <v>600</v>
      </c>
      <c r="BF139" s="82">
        <v>4500</v>
      </c>
    </row>
    <row r="140" spans="1:58" x14ac:dyDescent="0.25">
      <c r="A140" s="10" t="s">
        <v>221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8">
        <f t="shared" si="16"/>
        <v>0</v>
      </c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8">
        <f t="shared" si="15"/>
        <v>0</v>
      </c>
      <c r="AX140" s="85"/>
      <c r="AY140" s="86"/>
      <c r="AZ140" s="82"/>
      <c r="BA140" s="82"/>
      <c r="BB140" s="82"/>
      <c r="BC140" s="82"/>
      <c r="BD140" s="82"/>
      <c r="BE140" s="82"/>
      <c r="BF140" s="82"/>
    </row>
    <row r="141" spans="1:58" x14ac:dyDescent="0.25">
      <c r="A141" s="10" t="s">
        <v>222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8">
        <f t="shared" si="16"/>
        <v>0</v>
      </c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8">
        <f t="shared" si="15"/>
        <v>0</v>
      </c>
      <c r="AX141" s="14"/>
    </row>
    <row r="142" spans="1:58" x14ac:dyDescent="0.25">
      <c r="A142" s="10" t="s">
        <v>223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8">
        <f t="shared" si="16"/>
        <v>0</v>
      </c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8">
        <f t="shared" si="15"/>
        <v>0</v>
      </c>
      <c r="AX142" s="14"/>
    </row>
    <row r="143" spans="1:58" x14ac:dyDescent="0.25">
      <c r="A143" s="10" t="s">
        <v>224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8">
        <f t="shared" si="16"/>
        <v>0</v>
      </c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8">
        <f t="shared" si="15"/>
        <v>0</v>
      </c>
      <c r="AX143" s="14"/>
    </row>
    <row r="144" spans="1:58" x14ac:dyDescent="0.25">
      <c r="A144" s="10" t="s">
        <v>225</v>
      </c>
      <c r="B144" s="11">
        <v>2</v>
      </c>
      <c r="C144" s="11"/>
      <c r="D144" s="11">
        <v>18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>
        <v>18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8">
        <f t="shared" si="16"/>
        <v>18</v>
      </c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8">
        <f t="shared" si="15"/>
        <v>0</v>
      </c>
      <c r="AX144" s="14"/>
    </row>
    <row r="145" spans="1:56" x14ac:dyDescent="0.25">
      <c r="A145" s="10" t="s">
        <v>226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8">
        <f t="shared" si="16"/>
        <v>0</v>
      </c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8">
        <f t="shared" si="15"/>
        <v>0</v>
      </c>
      <c r="AX145" s="14"/>
    </row>
    <row r="146" spans="1:56" x14ac:dyDescent="0.25">
      <c r="A146" s="10" t="s">
        <v>227</v>
      </c>
      <c r="B146" s="11">
        <v>1</v>
      </c>
      <c r="C146" s="11"/>
      <c r="D146" s="11">
        <v>14</v>
      </c>
      <c r="E146" s="11"/>
      <c r="F146" s="11"/>
      <c r="G146" s="11"/>
      <c r="H146" s="11">
        <v>14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8">
        <f t="shared" si="16"/>
        <v>14</v>
      </c>
      <c r="Z146" s="11">
        <v>1</v>
      </c>
      <c r="AA146" s="11"/>
      <c r="AB146" s="11">
        <v>12</v>
      </c>
      <c r="AC146" s="11"/>
      <c r="AD146" s="11"/>
      <c r="AE146" s="11"/>
      <c r="AF146" s="11">
        <v>12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8">
        <f t="shared" si="15"/>
        <v>12</v>
      </c>
      <c r="AX146" s="85">
        <v>1399.2</v>
      </c>
      <c r="AY146" s="86">
        <v>1399.2</v>
      </c>
      <c r="AZ146" s="82"/>
      <c r="BA146" s="82"/>
      <c r="BB146" s="82"/>
      <c r="BC146" s="82"/>
      <c r="BD146" s="82"/>
    </row>
    <row r="147" spans="1:56" x14ac:dyDescent="0.25">
      <c r="A147" s="10" t="s">
        <v>228</v>
      </c>
      <c r="B147" s="11">
        <v>10</v>
      </c>
      <c r="C147" s="11"/>
      <c r="D147" s="11">
        <v>15</v>
      </c>
      <c r="E147" s="11"/>
      <c r="F147" s="11"/>
      <c r="G147" s="11"/>
      <c r="H147" s="11"/>
      <c r="I147" s="11"/>
      <c r="J147" s="11"/>
      <c r="K147" s="11">
        <v>9</v>
      </c>
      <c r="L147" s="11">
        <v>4</v>
      </c>
      <c r="M147" s="11"/>
      <c r="N147" s="11"/>
      <c r="O147" s="11"/>
      <c r="P147" s="11"/>
      <c r="Q147" s="11"/>
      <c r="R147" s="11">
        <v>1</v>
      </c>
      <c r="S147" s="11"/>
      <c r="T147" s="11"/>
      <c r="U147" s="11"/>
      <c r="V147" s="11">
        <v>1</v>
      </c>
      <c r="W147" s="11"/>
      <c r="X147" s="11"/>
      <c r="Y147" s="8">
        <f t="shared" si="16"/>
        <v>15</v>
      </c>
      <c r="Z147" s="11">
        <v>5</v>
      </c>
      <c r="AA147" s="11"/>
      <c r="AB147" s="11">
        <v>5</v>
      </c>
      <c r="AC147" s="11"/>
      <c r="AD147" s="11"/>
      <c r="AE147" s="11"/>
      <c r="AF147" s="11"/>
      <c r="AG147" s="11"/>
      <c r="AH147" s="11"/>
      <c r="AI147" s="11">
        <v>2</v>
      </c>
      <c r="AJ147" s="11">
        <v>1</v>
      </c>
      <c r="AK147" s="11"/>
      <c r="AL147" s="11"/>
      <c r="AM147" s="11"/>
      <c r="AN147" s="11"/>
      <c r="AO147" s="11"/>
      <c r="AP147" s="11">
        <v>1</v>
      </c>
      <c r="AQ147" s="11"/>
      <c r="AR147" s="11"/>
      <c r="AS147" s="11"/>
      <c r="AT147" s="11">
        <v>1</v>
      </c>
      <c r="AU147" s="11"/>
      <c r="AV147" s="11"/>
      <c r="AW147" s="8">
        <f t="shared" si="15"/>
        <v>5</v>
      </c>
      <c r="AX147" s="85">
        <v>6160</v>
      </c>
      <c r="AY147" s="86">
        <v>1392</v>
      </c>
      <c r="AZ147" s="82">
        <v>7416</v>
      </c>
      <c r="BA147" s="82">
        <v>7416</v>
      </c>
      <c r="BB147" s="82">
        <v>6952</v>
      </c>
      <c r="BC147" s="82">
        <v>7624</v>
      </c>
      <c r="BD147" s="82"/>
    </row>
    <row r="148" spans="1:56" x14ac:dyDescent="0.25">
      <c r="A148" s="10" t="s">
        <v>229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8">
        <f t="shared" si="16"/>
        <v>0</v>
      </c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8">
        <f t="shared" si="15"/>
        <v>0</v>
      </c>
      <c r="AX148" s="85"/>
      <c r="AY148" s="86"/>
      <c r="AZ148" s="82"/>
      <c r="BA148" s="82"/>
      <c r="BB148" s="82"/>
      <c r="BC148" s="82"/>
      <c r="BD148" s="82"/>
    </row>
    <row r="149" spans="1:56" x14ac:dyDescent="0.25">
      <c r="A149" s="10" t="s">
        <v>230</v>
      </c>
      <c r="B149" s="11">
        <v>3</v>
      </c>
      <c r="C149" s="11"/>
      <c r="D149" s="11">
        <v>9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>
        <v>7</v>
      </c>
      <c r="O149" s="11">
        <v>2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8">
        <f t="shared" si="16"/>
        <v>9</v>
      </c>
      <c r="Z149" s="11">
        <v>1</v>
      </c>
      <c r="AA149" s="11"/>
      <c r="AB149" s="11">
        <v>7</v>
      </c>
      <c r="AC149" s="11"/>
      <c r="AD149" s="11"/>
      <c r="AE149" s="11"/>
      <c r="AF149" s="11"/>
      <c r="AG149" s="11"/>
      <c r="AH149" s="11"/>
      <c r="AI149" s="11"/>
      <c r="AJ149" s="11"/>
      <c r="AK149" s="11"/>
      <c r="AL149" s="11">
        <v>7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8">
        <f t="shared" si="15"/>
        <v>7</v>
      </c>
      <c r="AX149" s="85">
        <v>1200</v>
      </c>
      <c r="AY149" s="86">
        <v>1200</v>
      </c>
      <c r="AZ149" s="82"/>
      <c r="BA149" s="82"/>
      <c r="BB149" s="82"/>
      <c r="BC149" s="82"/>
      <c r="BD149" s="82"/>
    </row>
    <row r="150" spans="1:56" x14ac:dyDescent="0.25">
      <c r="A150" s="10" t="s">
        <v>231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8">
        <f t="shared" si="16"/>
        <v>0</v>
      </c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8">
        <f t="shared" si="15"/>
        <v>0</v>
      </c>
      <c r="AX150" s="85"/>
      <c r="AY150" s="86"/>
      <c r="AZ150" s="82"/>
      <c r="BA150" s="82"/>
      <c r="BB150" s="82"/>
      <c r="BC150" s="82"/>
      <c r="BD150" s="82"/>
    </row>
    <row r="151" spans="1:56" x14ac:dyDescent="0.25">
      <c r="A151" s="10" t="s">
        <v>232</v>
      </c>
      <c r="B151" s="11">
        <v>1</v>
      </c>
      <c r="C151" s="11"/>
      <c r="D151" s="11">
        <v>6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>
        <v>6</v>
      </c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8">
        <f t="shared" si="16"/>
        <v>6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8">
        <f t="shared" si="15"/>
        <v>0</v>
      </c>
      <c r="AX151" s="85"/>
      <c r="AY151" s="86"/>
      <c r="AZ151" s="82"/>
      <c r="BA151" s="82"/>
      <c r="BB151" s="82"/>
      <c r="BC151" s="82"/>
      <c r="BD151" s="82"/>
    </row>
    <row r="152" spans="1:56" x14ac:dyDescent="0.25">
      <c r="A152" s="10" t="s">
        <v>233</v>
      </c>
      <c r="B152" s="11">
        <v>5</v>
      </c>
      <c r="C152" s="11">
        <v>4</v>
      </c>
      <c r="D152" s="11">
        <v>7</v>
      </c>
      <c r="E152" s="11">
        <v>4</v>
      </c>
      <c r="F152" s="11"/>
      <c r="G152" s="11"/>
      <c r="H152" s="11">
        <v>3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>
        <v>4</v>
      </c>
      <c r="V152" s="11"/>
      <c r="W152" s="11"/>
      <c r="X152" s="11"/>
      <c r="Y152" s="8">
        <f t="shared" si="16"/>
        <v>7</v>
      </c>
      <c r="Z152" s="11">
        <v>5</v>
      </c>
      <c r="AA152" s="11">
        <v>4</v>
      </c>
      <c r="AB152" s="11">
        <v>7</v>
      </c>
      <c r="AC152" s="11">
        <v>4</v>
      </c>
      <c r="AD152" s="11"/>
      <c r="AE152" s="11"/>
      <c r="AF152" s="11">
        <v>4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>
        <v>3</v>
      </c>
      <c r="AT152" s="11"/>
      <c r="AU152" s="11"/>
      <c r="AV152" s="11"/>
      <c r="AW152" s="8">
        <f t="shared" si="15"/>
        <v>7</v>
      </c>
      <c r="AX152" s="85">
        <v>2706</v>
      </c>
      <c r="AY152" s="86">
        <v>2650</v>
      </c>
      <c r="AZ152" s="82">
        <v>4000</v>
      </c>
      <c r="BA152" s="82">
        <v>4000</v>
      </c>
      <c r="BB152" s="82">
        <v>1920</v>
      </c>
      <c r="BC152" s="82">
        <v>960</v>
      </c>
      <c r="BD152" s="82"/>
    </row>
    <row r="153" spans="1:56" x14ac:dyDescent="0.25">
      <c r="A153" s="10" t="s">
        <v>234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8">
        <f t="shared" si="16"/>
        <v>0</v>
      </c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8">
        <f t="shared" si="15"/>
        <v>0</v>
      </c>
      <c r="AX153" s="85"/>
      <c r="AY153" s="86"/>
      <c r="AZ153" s="82"/>
      <c r="BA153" s="82"/>
      <c r="BB153" s="82"/>
      <c r="BC153" s="82"/>
      <c r="BD153" s="82"/>
    </row>
    <row r="154" spans="1:56" x14ac:dyDescent="0.25">
      <c r="A154" s="10" t="s">
        <v>235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8">
        <f t="shared" si="16"/>
        <v>0</v>
      </c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8">
        <f t="shared" si="15"/>
        <v>0</v>
      </c>
      <c r="AX154" s="85"/>
      <c r="AY154" s="86"/>
      <c r="AZ154" s="82"/>
      <c r="BA154" s="82"/>
      <c r="BB154" s="82"/>
      <c r="BC154" s="82"/>
      <c r="BD154" s="82"/>
    </row>
    <row r="155" spans="1:56" x14ac:dyDescent="0.25">
      <c r="A155" s="10" t="s">
        <v>236</v>
      </c>
      <c r="B155" s="11">
        <v>4</v>
      </c>
      <c r="C155" s="11"/>
      <c r="D155" s="11">
        <v>21</v>
      </c>
      <c r="E155" s="11"/>
      <c r="F155" s="11"/>
      <c r="G155" s="11"/>
      <c r="H155" s="11">
        <v>19</v>
      </c>
      <c r="I155" s="11"/>
      <c r="J155" s="11"/>
      <c r="K155" s="11"/>
      <c r="L155" s="11"/>
      <c r="M155" s="11"/>
      <c r="N155" s="11">
        <v>1</v>
      </c>
      <c r="O155" s="11"/>
      <c r="P155" s="11"/>
      <c r="Q155" s="11"/>
      <c r="R155" s="11">
        <v>1</v>
      </c>
      <c r="S155" s="11"/>
      <c r="T155" s="11"/>
      <c r="U155" s="11"/>
      <c r="V155" s="11"/>
      <c r="W155" s="11"/>
      <c r="X155" s="11"/>
      <c r="Y155" s="8">
        <f t="shared" si="16"/>
        <v>21</v>
      </c>
      <c r="Z155" s="11">
        <v>3</v>
      </c>
      <c r="AA155" s="11"/>
      <c r="AB155" s="11">
        <v>13</v>
      </c>
      <c r="AC155" s="11"/>
      <c r="AD155" s="11"/>
      <c r="AE155" s="11"/>
      <c r="AF155" s="11">
        <v>12</v>
      </c>
      <c r="AG155" s="11"/>
      <c r="AH155" s="11"/>
      <c r="AI155" s="11"/>
      <c r="AJ155" s="11"/>
      <c r="AK155" s="11"/>
      <c r="AL155" s="11">
        <v>1</v>
      </c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8">
        <f t="shared" si="15"/>
        <v>13</v>
      </c>
      <c r="AX155" s="85">
        <v>1490.6666666666667</v>
      </c>
      <c r="AY155" s="86">
        <v>1840</v>
      </c>
      <c r="AZ155" s="82">
        <v>1432</v>
      </c>
      <c r="BA155" s="82">
        <v>1200</v>
      </c>
      <c r="BB155" s="82"/>
      <c r="BC155" s="82"/>
      <c r="BD155" s="82"/>
    </row>
    <row r="156" spans="1:56" x14ac:dyDescent="0.25">
      <c r="A156" s="10" t="s">
        <v>237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8">
        <f t="shared" si="16"/>
        <v>0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8">
        <f t="shared" si="15"/>
        <v>0</v>
      </c>
      <c r="AX156" s="85"/>
      <c r="AY156" s="86"/>
      <c r="AZ156" s="82"/>
      <c r="BA156" s="82"/>
      <c r="BB156" s="82"/>
      <c r="BC156" s="82"/>
      <c r="BD156" s="82"/>
    </row>
    <row r="157" spans="1:56" x14ac:dyDescent="0.25">
      <c r="A157" s="10" t="s">
        <v>238</v>
      </c>
      <c r="B157" s="11">
        <v>2</v>
      </c>
      <c r="C157" s="11"/>
      <c r="D157" s="11">
        <v>2</v>
      </c>
      <c r="E157" s="11"/>
      <c r="F157" s="11"/>
      <c r="G157" s="11"/>
      <c r="H157" s="11"/>
      <c r="I157" s="11"/>
      <c r="J157" s="11"/>
      <c r="K157" s="11"/>
      <c r="L157" s="11"/>
      <c r="M157" s="11">
        <v>2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8">
        <f t="shared" si="16"/>
        <v>2</v>
      </c>
      <c r="Z157" s="11">
        <v>2</v>
      </c>
      <c r="AA157" s="11"/>
      <c r="AB157" s="11">
        <v>2</v>
      </c>
      <c r="AC157" s="11"/>
      <c r="AD157" s="11"/>
      <c r="AE157" s="11"/>
      <c r="AF157" s="11"/>
      <c r="AG157" s="11"/>
      <c r="AH157" s="11"/>
      <c r="AI157" s="11"/>
      <c r="AJ157" s="11"/>
      <c r="AK157" s="11">
        <v>2</v>
      </c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8">
        <f t="shared" si="15"/>
        <v>2</v>
      </c>
      <c r="AX157" s="85">
        <v>1200</v>
      </c>
      <c r="AY157" s="86">
        <v>1400</v>
      </c>
      <c r="AZ157" s="82">
        <v>1000</v>
      </c>
      <c r="BA157" s="82"/>
      <c r="BB157" s="82"/>
      <c r="BC157" s="82"/>
      <c r="BD157" s="82"/>
    </row>
    <row r="158" spans="1:56" x14ac:dyDescent="0.25">
      <c r="A158" s="10" t="s">
        <v>239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8">
        <f t="shared" si="16"/>
        <v>0</v>
      </c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8">
        <f t="shared" si="15"/>
        <v>0</v>
      </c>
      <c r="AX158" s="85"/>
    </row>
    <row r="159" spans="1:56" x14ac:dyDescent="0.25">
      <c r="A159" s="10" t="s">
        <v>240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8">
        <f t="shared" si="16"/>
        <v>0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8">
        <f t="shared" si="15"/>
        <v>0</v>
      </c>
      <c r="AX159" s="85"/>
    </row>
    <row r="160" spans="1:56" x14ac:dyDescent="0.25">
      <c r="A160" s="10" t="s">
        <v>241</v>
      </c>
      <c r="B160" s="11">
        <v>3</v>
      </c>
      <c r="C160" s="11"/>
      <c r="D160" s="11">
        <v>5</v>
      </c>
      <c r="E160" s="11"/>
      <c r="F160" s="11"/>
      <c r="G160" s="11"/>
      <c r="H160" s="11"/>
      <c r="I160" s="11"/>
      <c r="J160" s="11"/>
      <c r="K160" s="11">
        <v>2</v>
      </c>
      <c r="L160" s="11"/>
      <c r="M160" s="11"/>
      <c r="N160" s="11"/>
      <c r="O160" s="11"/>
      <c r="P160" s="11">
        <v>1</v>
      </c>
      <c r="Q160" s="11"/>
      <c r="R160" s="11">
        <v>2</v>
      </c>
      <c r="S160" s="11"/>
      <c r="T160" s="11"/>
      <c r="U160" s="11"/>
      <c r="V160" s="11"/>
      <c r="W160" s="11"/>
      <c r="X160" s="11"/>
      <c r="Y160" s="8">
        <f t="shared" si="16"/>
        <v>5</v>
      </c>
      <c r="Z160" s="11">
        <v>3</v>
      </c>
      <c r="AA160" s="11"/>
      <c r="AB160" s="11">
        <v>5</v>
      </c>
      <c r="AC160" s="11"/>
      <c r="AD160" s="11"/>
      <c r="AE160" s="11"/>
      <c r="AF160" s="11"/>
      <c r="AG160" s="11"/>
      <c r="AH160" s="11"/>
      <c r="AI160" s="11">
        <v>2</v>
      </c>
      <c r="AJ160" s="11"/>
      <c r="AK160" s="11"/>
      <c r="AL160" s="11"/>
      <c r="AM160" s="11"/>
      <c r="AN160" s="11">
        <v>1</v>
      </c>
      <c r="AO160" s="11"/>
      <c r="AP160" s="11">
        <v>2</v>
      </c>
      <c r="AQ160" s="11"/>
      <c r="AR160" s="11"/>
      <c r="AS160" s="11"/>
      <c r="AT160" s="11"/>
      <c r="AU160" s="11"/>
      <c r="AV160" s="11"/>
      <c r="AW160" s="8">
        <f t="shared" si="15"/>
        <v>5</v>
      </c>
      <c r="AX160" s="85">
        <v>5118.666666666667</v>
      </c>
      <c r="AY160" s="86">
        <v>8500</v>
      </c>
      <c r="AZ160" s="82">
        <v>4356</v>
      </c>
      <c r="BA160" s="82">
        <v>2500</v>
      </c>
      <c r="BB160" s="82"/>
    </row>
    <row r="161" spans="1:69" x14ac:dyDescent="0.25">
      <c r="A161" s="10" t="s">
        <v>242</v>
      </c>
      <c r="B161" s="11">
        <v>2</v>
      </c>
      <c r="C161" s="11"/>
      <c r="D161" s="11">
        <v>10</v>
      </c>
      <c r="E161" s="11"/>
      <c r="F161" s="11"/>
      <c r="G161" s="11"/>
      <c r="H161" s="11">
        <v>10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8">
        <f t="shared" si="16"/>
        <v>10</v>
      </c>
      <c r="Z161" s="11">
        <v>1</v>
      </c>
      <c r="AA161" s="11"/>
      <c r="AB161" s="11">
        <v>6</v>
      </c>
      <c r="AC161" s="11"/>
      <c r="AD161" s="11"/>
      <c r="AE161" s="11"/>
      <c r="AF161" s="11">
        <v>6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8">
        <f t="shared" si="15"/>
        <v>6</v>
      </c>
      <c r="AX161" s="85">
        <v>1200</v>
      </c>
      <c r="AY161" s="86">
        <v>1200</v>
      </c>
      <c r="AZ161" s="82"/>
      <c r="BA161" s="82"/>
      <c r="BB161" s="82"/>
    </row>
    <row r="162" spans="1:69" x14ac:dyDescent="0.25">
      <c r="A162" s="10" t="s">
        <v>243</v>
      </c>
      <c r="B162" s="11">
        <v>7</v>
      </c>
      <c r="C162" s="11"/>
      <c r="D162" s="11">
        <v>10</v>
      </c>
      <c r="E162" s="11"/>
      <c r="F162" s="11"/>
      <c r="G162" s="11"/>
      <c r="H162" s="11">
        <v>8</v>
      </c>
      <c r="I162" s="11"/>
      <c r="J162" s="11"/>
      <c r="K162" s="11">
        <v>2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8">
        <f t="shared" si="16"/>
        <v>10</v>
      </c>
      <c r="Z162" s="11">
        <v>1</v>
      </c>
      <c r="AA162" s="11"/>
      <c r="AB162" s="11">
        <v>2</v>
      </c>
      <c r="AC162" s="11"/>
      <c r="AD162" s="11"/>
      <c r="AE162" s="11"/>
      <c r="AF162" s="11"/>
      <c r="AG162" s="11"/>
      <c r="AH162" s="11"/>
      <c r="AI162" s="11">
        <v>2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8">
        <f t="shared" si="15"/>
        <v>2</v>
      </c>
      <c r="AX162" s="85">
        <v>4900</v>
      </c>
      <c r="AY162" s="86">
        <v>4900</v>
      </c>
      <c r="AZ162" s="82"/>
      <c r="BA162" s="82"/>
      <c r="BB162" s="82"/>
    </row>
    <row r="163" spans="1:69" x14ac:dyDescent="0.25">
      <c r="A163" s="10" t="s">
        <v>244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8">
        <f t="shared" si="16"/>
        <v>0</v>
      </c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8">
        <f t="shared" si="15"/>
        <v>0</v>
      </c>
      <c r="AX163" s="85"/>
      <c r="AY163" s="86"/>
      <c r="AZ163" s="82"/>
      <c r="BA163" s="82"/>
      <c r="BB163" s="82"/>
    </row>
    <row r="164" spans="1:69" x14ac:dyDescent="0.25">
      <c r="A164" s="10" t="s">
        <v>245</v>
      </c>
      <c r="B164" s="11">
        <v>2</v>
      </c>
      <c r="C164" s="11">
        <v>2</v>
      </c>
      <c r="D164" s="11">
        <v>10</v>
      </c>
      <c r="E164" s="11">
        <v>10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>
        <v>10</v>
      </c>
      <c r="V164" s="11"/>
      <c r="W164" s="11"/>
      <c r="X164" s="11"/>
      <c r="Y164" s="8">
        <f t="shared" si="16"/>
        <v>10</v>
      </c>
      <c r="Z164" s="11">
        <v>1</v>
      </c>
      <c r="AA164" s="11">
        <v>1</v>
      </c>
      <c r="AB164" s="11">
        <v>5</v>
      </c>
      <c r="AC164" s="11">
        <v>5</v>
      </c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>
        <v>5</v>
      </c>
      <c r="AT164" s="11"/>
      <c r="AU164" s="11"/>
      <c r="AV164" s="11"/>
      <c r="AW164" s="8">
        <f t="shared" si="15"/>
        <v>5</v>
      </c>
      <c r="AX164" s="85">
        <v>480</v>
      </c>
      <c r="AY164" s="86">
        <v>480</v>
      </c>
      <c r="AZ164" s="82"/>
      <c r="BA164" s="82"/>
      <c r="BB164" s="82"/>
    </row>
    <row r="165" spans="1:69" x14ac:dyDescent="0.25">
      <c r="A165" s="10" t="s">
        <v>246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8">
        <f t="shared" si="16"/>
        <v>0</v>
      </c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8">
        <f t="shared" si="15"/>
        <v>0</v>
      </c>
      <c r="AX165" s="85"/>
      <c r="AY165" s="86"/>
      <c r="AZ165" s="82"/>
      <c r="BA165" s="82"/>
      <c r="BB165" s="82"/>
    </row>
    <row r="166" spans="1:69" x14ac:dyDescent="0.25">
      <c r="A166" s="10" t="s">
        <v>247</v>
      </c>
      <c r="B166" s="11">
        <v>1</v>
      </c>
      <c r="C166" s="11"/>
      <c r="D166" s="11">
        <v>1</v>
      </c>
      <c r="E166" s="11"/>
      <c r="F166" s="11"/>
      <c r="G166" s="11"/>
      <c r="H166" s="11"/>
      <c r="I166" s="11"/>
      <c r="J166" s="11"/>
      <c r="K166" s="11"/>
      <c r="L166" s="11"/>
      <c r="M166" s="11">
        <v>1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8">
        <f t="shared" si="16"/>
        <v>1</v>
      </c>
      <c r="Z166" s="11">
        <v>1</v>
      </c>
      <c r="AA166" s="11"/>
      <c r="AB166" s="11">
        <v>1</v>
      </c>
      <c r="AC166" s="11"/>
      <c r="AD166" s="11"/>
      <c r="AE166" s="11"/>
      <c r="AF166" s="11"/>
      <c r="AG166" s="11"/>
      <c r="AH166" s="11"/>
      <c r="AI166" s="11"/>
      <c r="AJ166" s="11"/>
      <c r="AK166" s="11">
        <v>1</v>
      </c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8">
        <f t="shared" si="15"/>
        <v>1</v>
      </c>
      <c r="AX166" s="85">
        <v>7400</v>
      </c>
      <c r="AY166" s="86">
        <v>7400</v>
      </c>
      <c r="AZ166" s="82"/>
      <c r="BA166" s="82"/>
      <c r="BB166" s="82"/>
    </row>
    <row r="167" spans="1:69" x14ac:dyDescent="0.25">
      <c r="A167" s="10" t="s">
        <v>248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8">
        <f t="shared" si="16"/>
        <v>0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8">
        <f t="shared" si="15"/>
        <v>0</v>
      </c>
      <c r="AX167" s="85"/>
      <c r="AY167" s="94"/>
      <c r="AZ167" s="95"/>
      <c r="BA167" s="95"/>
      <c r="BB167" s="95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9" x14ac:dyDescent="0.25">
      <c r="A168" s="10" t="s">
        <v>249</v>
      </c>
      <c r="B168" s="11">
        <v>3</v>
      </c>
      <c r="C168" s="11"/>
      <c r="D168" s="11">
        <v>6</v>
      </c>
      <c r="E168" s="11"/>
      <c r="F168" s="11"/>
      <c r="G168" s="11"/>
      <c r="H168" s="11">
        <v>6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8">
        <f t="shared" si="16"/>
        <v>6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8">
        <f t="shared" si="15"/>
        <v>0</v>
      </c>
      <c r="AX168" s="14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9" x14ac:dyDescent="0.25">
      <c r="A169" s="10" t="s">
        <v>250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8">
        <f t="shared" si="16"/>
        <v>0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8">
        <f t="shared" si="15"/>
        <v>0</v>
      </c>
      <c r="AX169" s="14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9" x14ac:dyDescent="0.25">
      <c r="A170" s="10" t="s">
        <v>251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8">
        <f t="shared" si="16"/>
        <v>0</v>
      </c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8">
        <f t="shared" si="15"/>
        <v>0</v>
      </c>
      <c r="AX170" s="14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9" x14ac:dyDescent="0.25">
      <c r="A171" s="10" t="s">
        <v>252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8">
        <f t="shared" si="16"/>
        <v>0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8">
        <f t="shared" si="15"/>
        <v>0</v>
      </c>
      <c r="AX171" s="14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9" x14ac:dyDescent="0.25">
      <c r="A172" s="10" t="s">
        <v>253</v>
      </c>
      <c r="B172" s="11">
        <v>2</v>
      </c>
      <c r="C172" s="11">
        <v>1</v>
      </c>
      <c r="D172" s="11">
        <v>6</v>
      </c>
      <c r="E172" s="11">
        <v>5</v>
      </c>
      <c r="F172" s="11"/>
      <c r="G172" s="11"/>
      <c r="H172" s="11">
        <v>1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>
        <v>5</v>
      </c>
      <c r="T172" s="11"/>
      <c r="U172" s="11"/>
      <c r="V172" s="11"/>
      <c r="W172" s="11"/>
      <c r="X172" s="11"/>
      <c r="Y172" s="8">
        <f t="shared" si="16"/>
        <v>6</v>
      </c>
      <c r="Z172" s="11">
        <v>1</v>
      </c>
      <c r="AA172" s="11"/>
      <c r="AB172" s="11">
        <v>1</v>
      </c>
      <c r="AC172" s="11"/>
      <c r="AD172" s="11"/>
      <c r="AE172" s="11"/>
      <c r="AF172" s="11">
        <v>1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8">
        <f t="shared" si="15"/>
        <v>1</v>
      </c>
      <c r="AX172" s="85">
        <v>3520</v>
      </c>
      <c r="AY172" s="94">
        <v>3520</v>
      </c>
      <c r="AZ172" s="95"/>
      <c r="BA172" s="95"/>
      <c r="BB172" s="95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9" x14ac:dyDescent="0.25">
      <c r="A173" s="10" t="s">
        <v>254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8">
        <f t="shared" si="16"/>
        <v>0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8">
        <f t="shared" si="15"/>
        <v>0</v>
      </c>
      <c r="AX173" s="85"/>
      <c r="AY173" s="94"/>
      <c r="AZ173" s="95"/>
      <c r="BA173" s="95"/>
      <c r="BB173" s="95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9" x14ac:dyDescent="0.25">
      <c r="A174" s="10" t="s">
        <v>255</v>
      </c>
      <c r="B174" s="11">
        <v>4</v>
      </c>
      <c r="C174" s="11"/>
      <c r="D174" s="11">
        <v>6</v>
      </c>
      <c r="E174" s="11"/>
      <c r="F174" s="11"/>
      <c r="G174" s="11"/>
      <c r="H174" s="11"/>
      <c r="I174" s="11"/>
      <c r="J174" s="11"/>
      <c r="K174" s="11"/>
      <c r="L174" s="11">
        <v>3</v>
      </c>
      <c r="M174" s="11"/>
      <c r="N174" s="11"/>
      <c r="O174" s="11"/>
      <c r="P174" s="11">
        <v>1</v>
      </c>
      <c r="Q174" s="11"/>
      <c r="R174" s="11">
        <v>1</v>
      </c>
      <c r="S174" s="11">
        <v>1</v>
      </c>
      <c r="T174" s="11"/>
      <c r="U174" s="11"/>
      <c r="V174" s="11"/>
      <c r="W174" s="11"/>
      <c r="X174" s="11"/>
      <c r="Y174" s="8">
        <f t="shared" si="16"/>
        <v>6</v>
      </c>
      <c r="Z174" s="11">
        <v>3</v>
      </c>
      <c r="AA174" s="11"/>
      <c r="AB174" s="11">
        <v>5</v>
      </c>
      <c r="AC174" s="11"/>
      <c r="AD174" s="11"/>
      <c r="AE174" s="11"/>
      <c r="AF174" s="11"/>
      <c r="AG174" s="11"/>
      <c r="AH174" s="11"/>
      <c r="AI174" s="11"/>
      <c r="AJ174" s="11">
        <v>3</v>
      </c>
      <c r="AK174" s="11"/>
      <c r="AL174" s="11"/>
      <c r="AM174" s="11"/>
      <c r="AN174" s="11">
        <v>1</v>
      </c>
      <c r="AO174" s="11"/>
      <c r="AP174" s="11"/>
      <c r="AQ174" s="11">
        <v>1</v>
      </c>
      <c r="AR174" s="11"/>
      <c r="AS174" s="11"/>
      <c r="AT174" s="11"/>
      <c r="AU174" s="11"/>
      <c r="AV174" s="11"/>
      <c r="AW174" s="8">
        <f t="shared" si="15"/>
        <v>5</v>
      </c>
      <c r="AX174" s="85">
        <v>2502.6666666666665</v>
      </c>
      <c r="AY174" s="96">
        <v>2900</v>
      </c>
      <c r="AZ174" s="95">
        <v>1600</v>
      </c>
      <c r="BA174" s="95">
        <v>3008</v>
      </c>
      <c r="BB174" s="95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x14ac:dyDescent="0.25">
      <c r="A175" s="10" t="s">
        <v>256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8">
        <f t="shared" si="16"/>
        <v>0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8">
        <f t="shared" si="15"/>
        <v>0</v>
      </c>
      <c r="AX175" s="85"/>
      <c r="AY175" s="96"/>
      <c r="AZ175" s="95"/>
      <c r="BA175" s="95"/>
      <c r="BB175" s="95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9" x14ac:dyDescent="0.25">
      <c r="A176" s="10" t="s">
        <v>257</v>
      </c>
      <c r="B176" s="11">
        <v>2</v>
      </c>
      <c r="C176" s="11">
        <v>1</v>
      </c>
      <c r="D176" s="11">
        <v>8</v>
      </c>
      <c r="E176" s="11">
        <v>1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>
        <v>1</v>
      </c>
      <c r="V176" s="11"/>
      <c r="W176" s="11"/>
      <c r="X176" s="11">
        <v>7</v>
      </c>
      <c r="Y176" s="8">
        <f t="shared" si="16"/>
        <v>8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8">
        <f t="shared" si="15"/>
        <v>0</v>
      </c>
      <c r="AX176" s="85"/>
      <c r="AY176" s="96"/>
      <c r="AZ176" s="95"/>
      <c r="BA176" s="95"/>
      <c r="BB176" s="95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138" x14ac:dyDescent="0.25">
      <c r="A177" s="10" t="s">
        <v>258</v>
      </c>
      <c r="B177" s="11">
        <v>1</v>
      </c>
      <c r="C177" s="11"/>
      <c r="D177" s="11">
        <v>3</v>
      </c>
      <c r="E177" s="11"/>
      <c r="F177" s="11"/>
      <c r="G177" s="11"/>
      <c r="H177" s="11"/>
      <c r="I177" s="11"/>
      <c r="J177" s="11">
        <v>3</v>
      </c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8">
        <f t="shared" si="16"/>
        <v>3</v>
      </c>
      <c r="Z177" s="11">
        <v>1</v>
      </c>
      <c r="AA177" s="11"/>
      <c r="AB177" s="11">
        <v>2</v>
      </c>
      <c r="AC177" s="11"/>
      <c r="AD177" s="11"/>
      <c r="AE177" s="11"/>
      <c r="AF177" s="11"/>
      <c r="AG177" s="11"/>
      <c r="AH177" s="11">
        <v>2</v>
      </c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8">
        <f t="shared" si="15"/>
        <v>2</v>
      </c>
      <c r="AX177" s="89">
        <v>1760</v>
      </c>
      <c r="AY177" s="97">
        <v>1760</v>
      </c>
      <c r="AZ177" s="95"/>
      <c r="BA177" s="95"/>
      <c r="BB177" s="95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138" s="9" customFormat="1" x14ac:dyDescent="0.25">
      <c r="A178" s="40" t="s">
        <v>44</v>
      </c>
      <c r="B178" s="8">
        <f t="shared" ref="B178:W178" si="17">SUM(B179:B180)</f>
        <v>10</v>
      </c>
      <c r="C178" s="8">
        <f t="shared" si="17"/>
        <v>0</v>
      </c>
      <c r="D178" s="8">
        <f t="shared" si="17"/>
        <v>15</v>
      </c>
      <c r="E178" s="8">
        <f t="shared" si="17"/>
        <v>0</v>
      </c>
      <c r="F178" s="8">
        <f t="shared" si="17"/>
        <v>0</v>
      </c>
      <c r="G178" s="8">
        <f t="shared" si="17"/>
        <v>0</v>
      </c>
      <c r="H178" s="8">
        <f t="shared" si="17"/>
        <v>2</v>
      </c>
      <c r="I178" s="8">
        <f t="shared" si="17"/>
        <v>0</v>
      </c>
      <c r="J178" s="8">
        <f t="shared" si="17"/>
        <v>0</v>
      </c>
      <c r="K178" s="8">
        <f t="shared" si="17"/>
        <v>0</v>
      </c>
      <c r="L178" s="8">
        <f t="shared" si="17"/>
        <v>0</v>
      </c>
      <c r="M178" s="8">
        <f t="shared" si="17"/>
        <v>0</v>
      </c>
      <c r="N178" s="8">
        <f t="shared" si="17"/>
        <v>0</v>
      </c>
      <c r="O178" s="8">
        <f t="shared" si="17"/>
        <v>1</v>
      </c>
      <c r="P178" s="8">
        <f t="shared" si="17"/>
        <v>0</v>
      </c>
      <c r="Q178" s="8">
        <f t="shared" si="17"/>
        <v>0</v>
      </c>
      <c r="R178" s="8">
        <f t="shared" si="17"/>
        <v>4</v>
      </c>
      <c r="S178" s="8">
        <f t="shared" si="17"/>
        <v>3</v>
      </c>
      <c r="T178" s="8">
        <f t="shared" si="17"/>
        <v>0</v>
      </c>
      <c r="U178" s="8">
        <f t="shared" si="17"/>
        <v>0</v>
      </c>
      <c r="V178" s="8">
        <f t="shared" si="17"/>
        <v>0</v>
      </c>
      <c r="W178" s="8">
        <f t="shared" si="17"/>
        <v>0</v>
      </c>
      <c r="X178" s="8">
        <f>SUM(X179:X180)</f>
        <v>5</v>
      </c>
      <c r="Y178" s="8">
        <f t="shared" si="16"/>
        <v>15</v>
      </c>
      <c r="Z178" s="8">
        <f t="shared" ref="Z178:AV178" si="18">Z179+Z180</f>
        <v>2</v>
      </c>
      <c r="AA178" s="8">
        <f t="shared" si="18"/>
        <v>0</v>
      </c>
      <c r="AB178" s="8">
        <f t="shared" si="18"/>
        <v>2</v>
      </c>
      <c r="AC178" s="8">
        <f t="shared" si="18"/>
        <v>0</v>
      </c>
      <c r="AD178" s="8">
        <f t="shared" si="18"/>
        <v>0</v>
      </c>
      <c r="AE178" s="8">
        <f t="shared" si="18"/>
        <v>0</v>
      </c>
      <c r="AF178" s="8">
        <f t="shared" si="18"/>
        <v>0</v>
      </c>
      <c r="AG178" s="8">
        <f t="shared" si="18"/>
        <v>0</v>
      </c>
      <c r="AH178" s="8">
        <f t="shared" si="18"/>
        <v>0</v>
      </c>
      <c r="AI178" s="8">
        <f t="shared" si="18"/>
        <v>0</v>
      </c>
      <c r="AJ178" s="8">
        <f t="shared" si="18"/>
        <v>0</v>
      </c>
      <c r="AK178" s="8">
        <f t="shared" si="18"/>
        <v>0</v>
      </c>
      <c r="AL178" s="8">
        <f t="shared" si="18"/>
        <v>0</v>
      </c>
      <c r="AM178" s="8">
        <f t="shared" si="18"/>
        <v>0</v>
      </c>
      <c r="AN178" s="8">
        <f t="shared" si="18"/>
        <v>0</v>
      </c>
      <c r="AO178" s="8">
        <f t="shared" si="18"/>
        <v>0</v>
      </c>
      <c r="AP178" s="8">
        <f t="shared" si="18"/>
        <v>1</v>
      </c>
      <c r="AQ178" s="8">
        <f t="shared" si="18"/>
        <v>1</v>
      </c>
      <c r="AR178" s="8">
        <f t="shared" si="18"/>
        <v>0</v>
      </c>
      <c r="AS178" s="8">
        <f t="shared" si="18"/>
        <v>0</v>
      </c>
      <c r="AT178" s="8">
        <f t="shared" si="18"/>
        <v>0</v>
      </c>
      <c r="AU178" s="8">
        <f t="shared" si="18"/>
        <v>0</v>
      </c>
      <c r="AV178" s="8">
        <f t="shared" si="18"/>
        <v>0</v>
      </c>
      <c r="AW178" s="8">
        <f t="shared" si="15"/>
        <v>2</v>
      </c>
      <c r="AX178" s="69"/>
      <c r="EH178"/>
    </row>
    <row r="179" spans="1:138" x14ac:dyDescent="0.25">
      <c r="A179" s="10" t="s">
        <v>128</v>
      </c>
      <c r="B179" s="11">
        <v>10</v>
      </c>
      <c r="C179" s="11"/>
      <c r="D179" s="11">
        <v>15</v>
      </c>
      <c r="E179" s="11"/>
      <c r="F179" s="11"/>
      <c r="G179" s="11"/>
      <c r="H179" s="11">
        <v>2</v>
      </c>
      <c r="I179" s="11"/>
      <c r="J179" s="11"/>
      <c r="K179" s="11"/>
      <c r="L179" s="11"/>
      <c r="M179" s="11"/>
      <c r="N179" s="11"/>
      <c r="O179" s="11">
        <v>1</v>
      </c>
      <c r="P179" s="11"/>
      <c r="Q179" s="11"/>
      <c r="R179" s="11">
        <v>4</v>
      </c>
      <c r="S179" s="11">
        <v>3</v>
      </c>
      <c r="T179" s="11"/>
      <c r="U179" s="11"/>
      <c r="V179" s="11"/>
      <c r="W179" s="11"/>
      <c r="X179" s="11">
        <v>5</v>
      </c>
      <c r="Y179" s="8">
        <f t="shared" si="16"/>
        <v>15</v>
      </c>
      <c r="Z179" s="11">
        <v>2</v>
      </c>
      <c r="AA179" s="11"/>
      <c r="AB179" s="11">
        <v>2</v>
      </c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>
        <v>1</v>
      </c>
      <c r="AQ179" s="11">
        <v>1</v>
      </c>
      <c r="AR179" s="11"/>
      <c r="AS179" s="11"/>
      <c r="AT179" s="11"/>
      <c r="AU179" s="11"/>
      <c r="AV179" s="11"/>
      <c r="AW179" s="8">
        <f t="shared" si="15"/>
        <v>2</v>
      </c>
      <c r="AX179" s="85">
        <v>4395</v>
      </c>
      <c r="AY179" s="86">
        <v>3990</v>
      </c>
      <c r="AZ179" s="82">
        <v>4800</v>
      </c>
    </row>
    <row r="180" spans="1:138" x14ac:dyDescent="0.25">
      <c r="A180" s="10" t="s">
        <v>129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8">
        <f t="shared" si="16"/>
        <v>0</v>
      </c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8">
        <f t="shared" si="15"/>
        <v>0</v>
      </c>
      <c r="AX180" s="14"/>
    </row>
    <row r="181" spans="1:138" s="9" customFormat="1" x14ac:dyDescent="0.25">
      <c r="A181" s="40" t="s">
        <v>45</v>
      </c>
      <c r="B181" s="8">
        <f t="shared" ref="B181:X181" si="19">B182+B183+B184+B185+B186+B187+B188+B189+B190+B191+B192+B193+B194</f>
        <v>95</v>
      </c>
      <c r="C181" s="8">
        <f t="shared" si="19"/>
        <v>45</v>
      </c>
      <c r="D181" s="8">
        <f t="shared" si="19"/>
        <v>333</v>
      </c>
      <c r="E181" s="8">
        <f t="shared" si="19"/>
        <v>129</v>
      </c>
      <c r="F181" s="8">
        <f t="shared" si="19"/>
        <v>0</v>
      </c>
      <c r="G181" s="8">
        <f t="shared" si="19"/>
        <v>0</v>
      </c>
      <c r="H181" s="8">
        <f t="shared" si="19"/>
        <v>0</v>
      </c>
      <c r="I181" s="8">
        <f t="shared" si="19"/>
        <v>0</v>
      </c>
      <c r="J181" s="8">
        <f t="shared" si="19"/>
        <v>0</v>
      </c>
      <c r="K181" s="8">
        <f t="shared" si="19"/>
        <v>0</v>
      </c>
      <c r="L181" s="8">
        <f t="shared" si="19"/>
        <v>0</v>
      </c>
      <c r="M181" s="8">
        <f t="shared" si="19"/>
        <v>0</v>
      </c>
      <c r="N181" s="8">
        <f t="shared" si="19"/>
        <v>0</v>
      </c>
      <c r="O181" s="8">
        <f t="shared" si="19"/>
        <v>0</v>
      </c>
      <c r="P181" s="8">
        <f t="shared" si="19"/>
        <v>0</v>
      </c>
      <c r="Q181" s="8">
        <f t="shared" si="19"/>
        <v>0</v>
      </c>
      <c r="R181" s="8">
        <f t="shared" si="19"/>
        <v>0</v>
      </c>
      <c r="S181" s="8">
        <f t="shared" si="19"/>
        <v>0</v>
      </c>
      <c r="T181" s="8">
        <f t="shared" si="19"/>
        <v>0</v>
      </c>
      <c r="U181" s="8">
        <f t="shared" si="19"/>
        <v>175</v>
      </c>
      <c r="V181" s="8">
        <f t="shared" si="19"/>
        <v>70</v>
      </c>
      <c r="W181" s="8">
        <f t="shared" si="19"/>
        <v>0</v>
      </c>
      <c r="X181" s="8">
        <f t="shared" si="19"/>
        <v>88</v>
      </c>
      <c r="Y181" s="8">
        <f t="shared" si="16"/>
        <v>333</v>
      </c>
      <c r="Z181" s="8">
        <f>Z182+Z183+Z184+Z185+Z186+Z187+Z188+Z189+Z190+Z191+Z192+Z193+Z194</f>
        <v>63</v>
      </c>
      <c r="AA181" s="8">
        <f t="shared" ref="AA181:AV181" si="20">AA182+AA183+AA184+AA185+AA186+AA187+AA188+AA189+AA190+AA191+AA192+AA193+AA194</f>
        <v>37</v>
      </c>
      <c r="AB181" s="8">
        <f t="shared" si="20"/>
        <v>205</v>
      </c>
      <c r="AC181" s="8">
        <f t="shared" si="20"/>
        <v>98</v>
      </c>
      <c r="AD181" s="8">
        <f t="shared" si="20"/>
        <v>0</v>
      </c>
      <c r="AE181" s="8">
        <f t="shared" si="20"/>
        <v>0</v>
      </c>
      <c r="AF181" s="8">
        <f t="shared" si="20"/>
        <v>0</v>
      </c>
      <c r="AG181" s="8">
        <f t="shared" si="20"/>
        <v>0</v>
      </c>
      <c r="AH181" s="8">
        <f t="shared" si="20"/>
        <v>0</v>
      </c>
      <c r="AI181" s="8">
        <f t="shared" si="20"/>
        <v>0</v>
      </c>
      <c r="AJ181" s="8">
        <f t="shared" si="20"/>
        <v>0</v>
      </c>
      <c r="AK181" s="8">
        <f t="shared" si="20"/>
        <v>0</v>
      </c>
      <c r="AL181" s="8">
        <f t="shared" si="20"/>
        <v>0</v>
      </c>
      <c r="AM181" s="8">
        <f t="shared" si="20"/>
        <v>0</v>
      </c>
      <c r="AN181" s="8">
        <f t="shared" si="20"/>
        <v>0</v>
      </c>
      <c r="AO181" s="8">
        <f t="shared" si="20"/>
        <v>0</v>
      </c>
      <c r="AP181" s="8">
        <f t="shared" si="20"/>
        <v>0</v>
      </c>
      <c r="AQ181" s="8">
        <f t="shared" si="20"/>
        <v>0</v>
      </c>
      <c r="AR181" s="8">
        <f t="shared" si="20"/>
        <v>0</v>
      </c>
      <c r="AS181" s="8">
        <f t="shared" si="20"/>
        <v>135</v>
      </c>
      <c r="AT181" s="8">
        <f t="shared" si="20"/>
        <v>35</v>
      </c>
      <c r="AU181" s="8">
        <f t="shared" si="20"/>
        <v>0</v>
      </c>
      <c r="AV181" s="8">
        <f t="shared" si="20"/>
        <v>35</v>
      </c>
      <c r="AW181" s="8">
        <f t="shared" si="15"/>
        <v>205</v>
      </c>
      <c r="AX181" s="69"/>
      <c r="EH181"/>
    </row>
    <row r="182" spans="1:138" x14ac:dyDescent="0.25">
      <c r="A182" s="10" t="s">
        <v>259</v>
      </c>
      <c r="B182" s="11">
        <v>7</v>
      </c>
      <c r="C182" s="11">
        <v>1</v>
      </c>
      <c r="D182" s="11">
        <v>18</v>
      </c>
      <c r="E182" s="11">
        <v>1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>
        <v>1</v>
      </c>
      <c r="V182" s="11">
        <v>5</v>
      </c>
      <c r="W182" s="11"/>
      <c r="X182" s="11">
        <v>12</v>
      </c>
      <c r="Y182" s="8">
        <f t="shared" si="16"/>
        <v>18</v>
      </c>
      <c r="Z182" s="11">
        <v>6</v>
      </c>
      <c r="AA182" s="11">
        <v>1</v>
      </c>
      <c r="AB182" s="11">
        <v>17</v>
      </c>
      <c r="AC182" s="11">
        <v>1</v>
      </c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>
        <v>1</v>
      </c>
      <c r="AT182" s="11">
        <v>5</v>
      </c>
      <c r="AU182" s="11"/>
      <c r="AV182" s="11">
        <v>11</v>
      </c>
      <c r="AW182" s="8">
        <f t="shared" si="15"/>
        <v>17</v>
      </c>
      <c r="AX182" s="85">
        <v>2333.2999999999997</v>
      </c>
      <c r="AY182" s="86">
        <v>344</v>
      </c>
      <c r="AZ182" s="82">
        <v>840</v>
      </c>
      <c r="BA182" s="82">
        <v>1600.4</v>
      </c>
      <c r="BB182" s="82">
        <v>1600.4</v>
      </c>
      <c r="BC182" s="82">
        <v>5520</v>
      </c>
      <c r="BD182" s="82">
        <v>4095</v>
      </c>
      <c r="BE182" s="82"/>
      <c r="BF182" s="82"/>
      <c r="BG182" s="82"/>
      <c r="BH182" s="82"/>
      <c r="BI182" s="82"/>
    </row>
    <row r="183" spans="1:138" x14ac:dyDescent="0.25">
      <c r="A183" s="10" t="s">
        <v>260</v>
      </c>
      <c r="B183" s="11">
        <v>14</v>
      </c>
      <c r="C183" s="11">
        <v>6</v>
      </c>
      <c r="D183" s="11">
        <v>52</v>
      </c>
      <c r="E183" s="11">
        <v>22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>
        <v>20</v>
      </c>
      <c r="V183" s="11">
        <v>19</v>
      </c>
      <c r="W183" s="11"/>
      <c r="X183" s="11">
        <v>13</v>
      </c>
      <c r="Y183" s="8">
        <f t="shared" si="16"/>
        <v>52</v>
      </c>
      <c r="Z183" s="11">
        <v>11</v>
      </c>
      <c r="AA183" s="11">
        <v>6</v>
      </c>
      <c r="AB183" s="11">
        <v>44</v>
      </c>
      <c r="AC183" s="11">
        <v>22</v>
      </c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>
        <v>20</v>
      </c>
      <c r="AT183" s="11">
        <v>18</v>
      </c>
      <c r="AU183" s="11"/>
      <c r="AV183" s="11">
        <v>6</v>
      </c>
      <c r="AW183" s="8">
        <f t="shared" si="15"/>
        <v>44</v>
      </c>
      <c r="AX183" s="85">
        <v>1676.5818181818183</v>
      </c>
      <c r="AY183" s="86">
        <v>3600</v>
      </c>
      <c r="AZ183" s="82">
        <v>520</v>
      </c>
      <c r="BA183" s="82">
        <v>344</v>
      </c>
      <c r="BB183" s="82">
        <v>1680</v>
      </c>
      <c r="BC183" s="82">
        <v>1199.2</v>
      </c>
      <c r="BD183" s="82">
        <v>1199.2</v>
      </c>
      <c r="BE183" s="82">
        <v>3120</v>
      </c>
      <c r="BF183" s="82">
        <v>2080</v>
      </c>
      <c r="BG183" s="82">
        <v>2000</v>
      </c>
      <c r="BH183" s="82">
        <v>1500</v>
      </c>
      <c r="BI183" s="82">
        <v>1200</v>
      </c>
    </row>
    <row r="184" spans="1:138" x14ac:dyDescent="0.25">
      <c r="A184" s="10" t="s">
        <v>261</v>
      </c>
      <c r="B184" s="11">
        <v>16</v>
      </c>
      <c r="C184" s="11">
        <v>9</v>
      </c>
      <c r="D184" s="11">
        <v>89</v>
      </c>
      <c r="E184" s="11">
        <v>43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>
        <v>71</v>
      </c>
      <c r="V184" s="11">
        <v>15</v>
      </c>
      <c r="W184" s="11"/>
      <c r="X184" s="11">
        <v>3</v>
      </c>
      <c r="Y184" s="8">
        <f t="shared" si="16"/>
        <v>89</v>
      </c>
      <c r="Z184" s="11">
        <v>11</v>
      </c>
      <c r="AA184" s="11">
        <v>7</v>
      </c>
      <c r="AB184" s="11">
        <v>63</v>
      </c>
      <c r="AC184" s="11">
        <v>34</v>
      </c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>
        <v>62</v>
      </c>
      <c r="AT184" s="11">
        <v>1</v>
      </c>
      <c r="AU184" s="11"/>
      <c r="AV184" s="11"/>
      <c r="AW184" s="8">
        <f t="shared" si="15"/>
        <v>63</v>
      </c>
      <c r="AX184" s="85">
        <v>3002.0363636363636</v>
      </c>
      <c r="AY184" s="86">
        <v>3600</v>
      </c>
      <c r="AZ184" s="82">
        <v>2160</v>
      </c>
      <c r="BA184" s="82">
        <v>10800</v>
      </c>
      <c r="BB184" s="82">
        <v>2160</v>
      </c>
      <c r="BC184" s="82">
        <v>2160</v>
      </c>
      <c r="BD184" s="82">
        <v>1432</v>
      </c>
      <c r="BE184" s="82">
        <v>1432</v>
      </c>
      <c r="BF184" s="82">
        <v>2406.5</v>
      </c>
      <c r="BG184" s="82">
        <v>1624.4</v>
      </c>
      <c r="BH184" s="82">
        <v>2047.5</v>
      </c>
      <c r="BI184" s="82">
        <v>3200</v>
      </c>
    </row>
    <row r="185" spans="1:138" x14ac:dyDescent="0.25">
      <c r="A185" s="10" t="s">
        <v>262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8">
        <f t="shared" si="16"/>
        <v>0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8">
        <f t="shared" si="15"/>
        <v>0</v>
      </c>
      <c r="AX185" s="85"/>
      <c r="AY185" s="86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</row>
    <row r="186" spans="1:138" x14ac:dyDescent="0.25">
      <c r="A186" s="10" t="s">
        <v>263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8">
        <f t="shared" si="16"/>
        <v>0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8">
        <f t="shared" si="15"/>
        <v>0</v>
      </c>
      <c r="AX186" s="85"/>
      <c r="AY186" s="86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</row>
    <row r="187" spans="1:138" x14ac:dyDescent="0.25">
      <c r="A187" s="10" t="s">
        <v>264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8">
        <f t="shared" si="16"/>
        <v>0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8">
        <f t="shared" si="15"/>
        <v>0</v>
      </c>
      <c r="AX187" s="85"/>
      <c r="AY187" s="86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</row>
    <row r="188" spans="1:138" x14ac:dyDescent="0.25">
      <c r="A188" s="10" t="s">
        <v>265</v>
      </c>
      <c r="B188" s="11">
        <v>9</v>
      </c>
      <c r="C188" s="11"/>
      <c r="D188" s="11">
        <v>45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>
        <v>18</v>
      </c>
      <c r="V188" s="11">
        <v>4</v>
      </c>
      <c r="W188" s="11"/>
      <c r="X188" s="11">
        <v>23</v>
      </c>
      <c r="Y188" s="8">
        <f t="shared" si="16"/>
        <v>45</v>
      </c>
      <c r="Z188" s="11">
        <v>2</v>
      </c>
      <c r="AA188" s="11"/>
      <c r="AB188" s="11">
        <v>18</v>
      </c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>
        <v>1</v>
      </c>
      <c r="AU188" s="11"/>
      <c r="AV188" s="11">
        <v>17</v>
      </c>
      <c r="AW188" s="8">
        <f t="shared" si="15"/>
        <v>18</v>
      </c>
      <c r="AX188" s="85">
        <v>4360</v>
      </c>
      <c r="AY188" s="86">
        <v>5520</v>
      </c>
      <c r="AZ188" s="82">
        <v>3200</v>
      </c>
      <c r="BA188" s="82"/>
      <c r="BB188" s="82"/>
      <c r="BC188" s="82"/>
      <c r="BD188" s="82"/>
      <c r="BE188" s="82"/>
      <c r="BF188" s="82"/>
      <c r="BG188" s="82"/>
      <c r="BH188" s="82"/>
      <c r="BI188" s="82"/>
    </row>
    <row r="189" spans="1:138" x14ac:dyDescent="0.25">
      <c r="A189" s="10" t="s">
        <v>266</v>
      </c>
      <c r="B189" s="11">
        <v>15</v>
      </c>
      <c r="C189" s="11">
        <v>9</v>
      </c>
      <c r="D189" s="11">
        <v>22</v>
      </c>
      <c r="E189" s="11">
        <v>16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>
        <v>17</v>
      </c>
      <c r="V189" s="11">
        <v>5</v>
      </c>
      <c r="W189" s="11"/>
      <c r="X189" s="11"/>
      <c r="Y189" s="8">
        <f t="shared" si="16"/>
        <v>22</v>
      </c>
      <c r="Z189" s="11">
        <v>9</v>
      </c>
      <c r="AA189" s="11">
        <v>6</v>
      </c>
      <c r="AB189" s="11">
        <v>11</v>
      </c>
      <c r="AC189" s="11">
        <v>8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>
        <v>9</v>
      </c>
      <c r="AT189" s="11">
        <v>2</v>
      </c>
      <c r="AU189" s="11"/>
      <c r="AV189" s="11"/>
      <c r="AW189" s="8">
        <f t="shared" si="15"/>
        <v>11</v>
      </c>
      <c r="AX189" s="85">
        <v>1765.2444444444445</v>
      </c>
      <c r="AY189" s="86">
        <v>960</v>
      </c>
      <c r="AZ189" s="82">
        <v>960</v>
      </c>
      <c r="BA189" s="82">
        <v>720</v>
      </c>
      <c r="BB189" s="82">
        <v>3344</v>
      </c>
      <c r="BC189" s="82">
        <v>4500</v>
      </c>
      <c r="BD189" s="82">
        <v>776</v>
      </c>
      <c r="BE189" s="82">
        <v>1116</v>
      </c>
      <c r="BF189" s="82">
        <v>3039.2</v>
      </c>
      <c r="BG189" s="82">
        <v>472</v>
      </c>
      <c r="BH189" s="82"/>
      <c r="BI189" s="82"/>
    </row>
    <row r="190" spans="1:138" x14ac:dyDescent="0.25">
      <c r="A190" s="10" t="s">
        <v>267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8">
        <f t="shared" si="16"/>
        <v>0</v>
      </c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8">
        <f t="shared" si="15"/>
        <v>0</v>
      </c>
      <c r="AX190" s="85"/>
      <c r="AY190" s="86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</row>
    <row r="191" spans="1:138" x14ac:dyDescent="0.25">
      <c r="A191" s="10" t="s">
        <v>268</v>
      </c>
      <c r="B191" s="11">
        <v>2</v>
      </c>
      <c r="C191" s="11">
        <v>2</v>
      </c>
      <c r="D191" s="11">
        <v>4</v>
      </c>
      <c r="E191" s="11">
        <v>4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>
        <v>4</v>
      </c>
      <c r="V191" s="11"/>
      <c r="W191" s="11"/>
      <c r="X191" s="11"/>
      <c r="Y191" s="8">
        <f t="shared" si="16"/>
        <v>4</v>
      </c>
      <c r="Z191" s="11">
        <v>1</v>
      </c>
      <c r="AA191" s="11">
        <v>1</v>
      </c>
      <c r="AB191" s="11">
        <v>2</v>
      </c>
      <c r="AC191" s="11">
        <v>2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>
        <v>2</v>
      </c>
      <c r="AT191" s="11"/>
      <c r="AU191" s="11"/>
      <c r="AV191" s="11"/>
      <c r="AW191" s="8">
        <f t="shared" ref="AW191:AW246" si="21">SUM(AD191:AV191)</f>
        <v>2</v>
      </c>
      <c r="AX191" s="85">
        <v>1230</v>
      </c>
      <c r="AY191" s="86">
        <v>1230</v>
      </c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</row>
    <row r="192" spans="1:138" x14ac:dyDescent="0.25">
      <c r="A192" s="10" t="s">
        <v>269</v>
      </c>
      <c r="B192" s="11">
        <v>1</v>
      </c>
      <c r="C192" s="11"/>
      <c r="D192" s="11">
        <v>11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>
        <v>11</v>
      </c>
      <c r="Y192" s="8">
        <f t="shared" si="16"/>
        <v>11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8">
        <f t="shared" si="21"/>
        <v>0</v>
      </c>
      <c r="AX192" s="85"/>
      <c r="AY192" s="98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</row>
    <row r="193" spans="1:138" x14ac:dyDescent="0.25">
      <c r="A193" s="10" t="s">
        <v>270</v>
      </c>
      <c r="B193" s="11">
        <v>28</v>
      </c>
      <c r="C193" s="11">
        <v>15</v>
      </c>
      <c r="D193" s="11">
        <v>80</v>
      </c>
      <c r="E193" s="11">
        <v>31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>
        <v>32</v>
      </c>
      <c r="V193" s="11">
        <v>22</v>
      </c>
      <c r="W193" s="11"/>
      <c r="X193" s="11">
        <v>26</v>
      </c>
      <c r="Y193" s="8">
        <f t="shared" si="16"/>
        <v>80</v>
      </c>
      <c r="Z193" s="11">
        <v>20</v>
      </c>
      <c r="AA193" s="11">
        <v>13</v>
      </c>
      <c r="AB193" s="11">
        <v>38</v>
      </c>
      <c r="AC193" s="11">
        <v>19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>
        <v>29</v>
      </c>
      <c r="AT193" s="11">
        <v>8</v>
      </c>
      <c r="AU193" s="11"/>
      <c r="AV193" s="11">
        <v>1</v>
      </c>
      <c r="AW193" s="8">
        <f t="shared" si="21"/>
        <v>38</v>
      </c>
      <c r="AX193" s="85">
        <v>2997</v>
      </c>
      <c r="AY193" s="86">
        <v>1560</v>
      </c>
      <c r="AZ193" s="82">
        <v>1500</v>
      </c>
      <c r="BA193" s="82">
        <v>1500</v>
      </c>
      <c r="BB193" s="82">
        <v>16160</v>
      </c>
      <c r="BC193" s="82">
        <v>1360</v>
      </c>
      <c r="BD193" s="82">
        <v>616</v>
      </c>
      <c r="BE193" s="82">
        <v>1560</v>
      </c>
      <c r="BF193" s="82">
        <v>1560</v>
      </c>
      <c r="BG193" s="82">
        <v>1560</v>
      </c>
      <c r="BH193" s="82">
        <v>1600</v>
      </c>
      <c r="BI193" s="82">
        <v>800</v>
      </c>
      <c r="BJ193" s="82">
        <v>10400</v>
      </c>
      <c r="BK193" s="82">
        <v>5520</v>
      </c>
      <c r="BL193" s="82">
        <v>5520</v>
      </c>
      <c r="BM193" s="82">
        <v>5520</v>
      </c>
      <c r="BN193" s="82">
        <v>312</v>
      </c>
      <c r="BO193" s="82">
        <v>232</v>
      </c>
      <c r="BP193" s="82">
        <v>950</v>
      </c>
      <c r="BQ193" s="82">
        <v>950</v>
      </c>
      <c r="BR193" s="82">
        <v>760</v>
      </c>
    </row>
    <row r="194" spans="1:138" x14ac:dyDescent="0.25">
      <c r="A194" s="10" t="s">
        <v>271</v>
      </c>
      <c r="B194" s="11">
        <v>3</v>
      </c>
      <c r="C194" s="11">
        <v>3</v>
      </c>
      <c r="D194" s="11">
        <v>12</v>
      </c>
      <c r="E194" s="11">
        <v>12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>
        <v>12</v>
      </c>
      <c r="V194" s="11"/>
      <c r="W194" s="11"/>
      <c r="X194" s="11"/>
      <c r="Y194" s="8">
        <f t="shared" si="16"/>
        <v>12</v>
      </c>
      <c r="Z194" s="11">
        <v>3</v>
      </c>
      <c r="AA194" s="11">
        <v>3</v>
      </c>
      <c r="AB194" s="11">
        <v>12</v>
      </c>
      <c r="AC194" s="11">
        <v>12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>
        <v>12</v>
      </c>
      <c r="AT194" s="11"/>
      <c r="AU194" s="11"/>
      <c r="AV194" s="11"/>
      <c r="AW194" s="8">
        <f t="shared" si="21"/>
        <v>12</v>
      </c>
      <c r="AX194" s="85">
        <v>5333.9266666666672</v>
      </c>
      <c r="AY194" s="86">
        <v>4799</v>
      </c>
      <c r="AZ194" s="82">
        <v>2724.78</v>
      </c>
      <c r="BA194" s="82">
        <v>8478</v>
      </c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</row>
    <row r="195" spans="1:138" s="9" customFormat="1" x14ac:dyDescent="0.25">
      <c r="A195" s="40" t="s">
        <v>46</v>
      </c>
      <c r="B195" s="8">
        <f t="shared" ref="B195:X195" si="22">SUM(B196:B222)</f>
        <v>38</v>
      </c>
      <c r="C195" s="8">
        <f t="shared" si="22"/>
        <v>15</v>
      </c>
      <c r="D195" s="8">
        <f t="shared" si="22"/>
        <v>174</v>
      </c>
      <c r="E195" s="8">
        <f t="shared" si="22"/>
        <v>38</v>
      </c>
      <c r="F195" s="8">
        <f t="shared" si="22"/>
        <v>0</v>
      </c>
      <c r="G195" s="8">
        <f t="shared" si="22"/>
        <v>0</v>
      </c>
      <c r="H195" s="8">
        <f t="shared" si="22"/>
        <v>0</v>
      </c>
      <c r="I195" s="8">
        <f t="shared" si="22"/>
        <v>0</v>
      </c>
      <c r="J195" s="8">
        <f t="shared" si="22"/>
        <v>0</v>
      </c>
      <c r="K195" s="8">
        <f t="shared" si="22"/>
        <v>0</v>
      </c>
      <c r="L195" s="8">
        <f t="shared" si="22"/>
        <v>0</v>
      </c>
      <c r="M195" s="8">
        <f t="shared" si="22"/>
        <v>0</v>
      </c>
      <c r="N195" s="8">
        <f t="shared" si="22"/>
        <v>2</v>
      </c>
      <c r="O195" s="8">
        <f t="shared" si="22"/>
        <v>0</v>
      </c>
      <c r="P195" s="8">
        <f t="shared" si="22"/>
        <v>0</v>
      </c>
      <c r="Q195" s="8">
        <f t="shared" si="22"/>
        <v>0</v>
      </c>
      <c r="R195" s="8">
        <f t="shared" si="22"/>
        <v>8</v>
      </c>
      <c r="S195" s="8">
        <f t="shared" si="22"/>
        <v>0</v>
      </c>
      <c r="T195" s="8">
        <f t="shared" si="22"/>
        <v>0</v>
      </c>
      <c r="U195" s="8">
        <f t="shared" si="22"/>
        <v>96</v>
      </c>
      <c r="V195" s="8">
        <f t="shared" si="22"/>
        <v>37</v>
      </c>
      <c r="W195" s="8">
        <f t="shared" si="22"/>
        <v>6</v>
      </c>
      <c r="X195" s="8">
        <f t="shared" si="22"/>
        <v>25</v>
      </c>
      <c r="Y195" s="8">
        <f t="shared" si="16"/>
        <v>174</v>
      </c>
      <c r="Z195" s="8">
        <f>SUM(Z196:Z222)</f>
        <v>26</v>
      </c>
      <c r="AA195" s="8">
        <f>SUM(AA196:AA222)</f>
        <v>11</v>
      </c>
      <c r="AB195" s="8">
        <f>SUM(AB196:AB222)</f>
        <v>123</v>
      </c>
      <c r="AC195" s="8"/>
      <c r="AD195" s="8">
        <f t="shared" ref="AD195:AV195" si="23">SUM(AD196:AD222)</f>
        <v>0</v>
      </c>
      <c r="AE195" s="8">
        <f t="shared" si="23"/>
        <v>0</v>
      </c>
      <c r="AF195" s="8">
        <f t="shared" si="23"/>
        <v>0</v>
      </c>
      <c r="AG195" s="8">
        <f t="shared" si="23"/>
        <v>0</v>
      </c>
      <c r="AH195" s="8">
        <f t="shared" si="23"/>
        <v>0</v>
      </c>
      <c r="AI195" s="8">
        <f t="shared" si="23"/>
        <v>0</v>
      </c>
      <c r="AJ195" s="8">
        <f t="shared" si="23"/>
        <v>0</v>
      </c>
      <c r="AK195" s="8">
        <f t="shared" si="23"/>
        <v>0</v>
      </c>
      <c r="AL195" s="8">
        <f t="shared" si="23"/>
        <v>0</v>
      </c>
      <c r="AM195" s="8">
        <f t="shared" si="23"/>
        <v>0</v>
      </c>
      <c r="AN195" s="8">
        <f t="shared" si="23"/>
        <v>0</v>
      </c>
      <c r="AO195" s="8">
        <f t="shared" si="23"/>
        <v>0</v>
      </c>
      <c r="AP195" s="8">
        <f t="shared" si="23"/>
        <v>8</v>
      </c>
      <c r="AQ195" s="8">
        <f t="shared" si="23"/>
        <v>0</v>
      </c>
      <c r="AR195" s="8">
        <f t="shared" si="23"/>
        <v>0</v>
      </c>
      <c r="AS195" s="8">
        <f t="shared" si="23"/>
        <v>72</v>
      </c>
      <c r="AT195" s="8">
        <f t="shared" si="23"/>
        <v>21</v>
      </c>
      <c r="AU195" s="8">
        <f t="shared" si="23"/>
        <v>0</v>
      </c>
      <c r="AV195" s="8">
        <f t="shared" si="23"/>
        <v>22</v>
      </c>
      <c r="AW195" s="8">
        <f t="shared" si="21"/>
        <v>123</v>
      </c>
      <c r="AX195" s="69"/>
      <c r="EH195"/>
    </row>
    <row r="196" spans="1:138" x14ac:dyDescent="0.25">
      <c r="A196" s="10" t="s">
        <v>115</v>
      </c>
      <c r="B196" s="11">
        <v>15</v>
      </c>
      <c r="C196" s="11">
        <v>3</v>
      </c>
      <c r="D196" s="11">
        <v>78</v>
      </c>
      <c r="E196" s="11">
        <v>5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>
        <v>48</v>
      </c>
      <c r="V196" s="11">
        <v>30</v>
      </c>
      <c r="W196" s="11"/>
      <c r="X196" s="11"/>
      <c r="Y196" s="8">
        <f t="shared" si="16"/>
        <v>78</v>
      </c>
      <c r="Z196" s="11">
        <v>7</v>
      </c>
      <c r="AA196" s="11">
        <v>1</v>
      </c>
      <c r="AB196" s="11">
        <v>42</v>
      </c>
      <c r="AC196" s="11">
        <v>1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>
        <v>28</v>
      </c>
      <c r="AT196" s="11">
        <v>14</v>
      </c>
      <c r="AU196" s="11"/>
      <c r="AV196" s="11"/>
      <c r="AW196" s="8">
        <f t="shared" si="21"/>
        <v>42</v>
      </c>
      <c r="AX196" s="85">
        <v>1897.9171428571428</v>
      </c>
      <c r="AY196" s="86">
        <v>5000</v>
      </c>
      <c r="AZ196" s="82">
        <v>2400</v>
      </c>
      <c r="BA196" s="82">
        <v>273.42</v>
      </c>
      <c r="BB196" s="82">
        <v>4800</v>
      </c>
      <c r="BC196" s="82">
        <v>290</v>
      </c>
      <c r="BD196" s="82">
        <v>290</v>
      </c>
      <c r="BE196" s="82">
        <v>232</v>
      </c>
      <c r="BJ196" s="82"/>
    </row>
    <row r="197" spans="1:138" x14ac:dyDescent="0.25">
      <c r="A197" s="10" t="s">
        <v>116</v>
      </c>
      <c r="B197" s="11">
        <v>5</v>
      </c>
      <c r="C197" s="11">
        <v>5</v>
      </c>
      <c r="D197" s="11">
        <v>8</v>
      </c>
      <c r="E197" s="11">
        <v>8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>
        <v>8</v>
      </c>
      <c r="S197" s="11"/>
      <c r="T197" s="11"/>
      <c r="U197" s="11"/>
      <c r="V197" s="11"/>
      <c r="W197" s="11"/>
      <c r="X197" s="11"/>
      <c r="Y197" s="8">
        <f t="shared" si="16"/>
        <v>8</v>
      </c>
      <c r="Z197" s="11">
        <v>5</v>
      </c>
      <c r="AA197" s="11">
        <v>5</v>
      </c>
      <c r="AB197" s="11">
        <v>8</v>
      </c>
      <c r="AC197" s="11">
        <v>8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>
        <v>8</v>
      </c>
      <c r="AQ197" s="11"/>
      <c r="AR197" s="11"/>
      <c r="AS197" s="11"/>
      <c r="AT197" s="11"/>
      <c r="AU197" s="11"/>
      <c r="AV197" s="11"/>
      <c r="AW197" s="8">
        <f t="shared" si="21"/>
        <v>8</v>
      </c>
      <c r="AX197" s="85">
        <v>257.60000000000002</v>
      </c>
      <c r="AY197" s="86">
        <v>248</v>
      </c>
      <c r="AZ197" s="82">
        <v>264</v>
      </c>
      <c r="BA197" s="82">
        <v>264</v>
      </c>
      <c r="BB197" s="82">
        <v>248</v>
      </c>
      <c r="BC197" s="82">
        <v>264</v>
      </c>
      <c r="BD197" s="82"/>
      <c r="BE197" s="82"/>
    </row>
    <row r="198" spans="1:138" x14ac:dyDescent="0.25">
      <c r="A198" s="10" t="s">
        <v>59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8">
        <f t="shared" ref="Y198:Y246" si="24">SUM(F198:X198)</f>
        <v>0</v>
      </c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8">
        <f t="shared" si="21"/>
        <v>0</v>
      </c>
      <c r="AX198" s="85"/>
      <c r="AY198" s="86"/>
      <c r="AZ198" s="82"/>
      <c r="BA198" s="82"/>
      <c r="BB198" s="82"/>
      <c r="BC198" s="82"/>
      <c r="BD198" s="82"/>
      <c r="BE198" s="82"/>
    </row>
    <row r="199" spans="1:138" x14ac:dyDescent="0.25">
      <c r="A199" s="10" t="s">
        <v>60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8">
        <f t="shared" si="24"/>
        <v>0</v>
      </c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8">
        <f t="shared" si="21"/>
        <v>0</v>
      </c>
      <c r="AX199" s="85"/>
      <c r="AY199" s="86"/>
      <c r="AZ199" s="82"/>
      <c r="BA199" s="82"/>
      <c r="BB199" s="82"/>
      <c r="BC199" s="82"/>
      <c r="BD199" s="82"/>
      <c r="BE199" s="82"/>
    </row>
    <row r="200" spans="1:138" x14ac:dyDescent="0.25">
      <c r="A200" s="10" t="s">
        <v>117</v>
      </c>
      <c r="B200" s="11">
        <v>1</v>
      </c>
      <c r="C200" s="11"/>
      <c r="D200" s="11">
        <v>1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>
        <v>1</v>
      </c>
      <c r="V200" s="11"/>
      <c r="W200" s="11"/>
      <c r="X200" s="11"/>
      <c r="Y200" s="8">
        <f t="shared" si="24"/>
        <v>1</v>
      </c>
      <c r="Z200" s="11">
        <v>1</v>
      </c>
      <c r="AA200" s="11"/>
      <c r="AB200" s="11">
        <v>1</v>
      </c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>
        <v>1</v>
      </c>
      <c r="AT200" s="11"/>
      <c r="AU200" s="11"/>
      <c r="AV200" s="11"/>
      <c r="AW200" s="8">
        <f t="shared" si="21"/>
        <v>1</v>
      </c>
      <c r="AX200" s="85">
        <v>2800</v>
      </c>
      <c r="AY200" s="86">
        <v>2800</v>
      </c>
      <c r="AZ200" s="82"/>
      <c r="BA200" s="82"/>
      <c r="BB200" s="82"/>
      <c r="BC200" s="82"/>
      <c r="BD200" s="82"/>
      <c r="BE200" s="82"/>
    </row>
    <row r="201" spans="1:138" x14ac:dyDescent="0.25">
      <c r="A201" s="10" t="s">
        <v>118</v>
      </c>
      <c r="B201" s="11">
        <v>1</v>
      </c>
      <c r="C201" s="11">
        <v>1</v>
      </c>
      <c r="D201" s="11">
        <v>6</v>
      </c>
      <c r="E201" s="11">
        <v>6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>
        <v>6</v>
      </c>
      <c r="X201" s="11"/>
      <c r="Y201" s="8">
        <f t="shared" si="24"/>
        <v>6</v>
      </c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8">
        <f t="shared" si="21"/>
        <v>0</v>
      </c>
      <c r="AX201" s="14"/>
    </row>
    <row r="202" spans="1:138" x14ac:dyDescent="0.25">
      <c r="A202" s="10" t="s">
        <v>119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8">
        <f t="shared" si="24"/>
        <v>0</v>
      </c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8">
        <f t="shared" si="21"/>
        <v>0</v>
      </c>
      <c r="AX202" s="14"/>
    </row>
    <row r="203" spans="1:138" x14ac:dyDescent="0.25">
      <c r="A203" s="10" t="s">
        <v>120</v>
      </c>
      <c r="B203" s="11">
        <v>1</v>
      </c>
      <c r="C203" s="11"/>
      <c r="D203" s="11">
        <v>13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>
        <v>13</v>
      </c>
      <c r="Y203" s="8">
        <f t="shared" si="24"/>
        <v>13</v>
      </c>
      <c r="Z203" s="11">
        <v>1</v>
      </c>
      <c r="AA203" s="11"/>
      <c r="AB203" s="11">
        <v>13</v>
      </c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>
        <v>13</v>
      </c>
      <c r="AW203" s="8">
        <f t="shared" si="21"/>
        <v>13</v>
      </c>
      <c r="AX203" s="14">
        <v>1136</v>
      </c>
      <c r="AY203">
        <v>1136</v>
      </c>
    </row>
    <row r="204" spans="1:138" x14ac:dyDescent="0.25">
      <c r="A204" s="15" t="s">
        <v>121</v>
      </c>
      <c r="B204" s="11">
        <v>2</v>
      </c>
      <c r="C204" s="11">
        <v>1</v>
      </c>
      <c r="D204" s="11">
        <v>8</v>
      </c>
      <c r="E204" s="11">
        <v>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>
        <v>1</v>
      </c>
      <c r="V204" s="11">
        <v>7</v>
      </c>
      <c r="W204" s="11"/>
      <c r="X204" s="11"/>
      <c r="Y204" s="8">
        <f t="shared" si="24"/>
        <v>8</v>
      </c>
      <c r="Z204" s="11">
        <v>2</v>
      </c>
      <c r="AA204" s="11">
        <v>1</v>
      </c>
      <c r="AB204" s="11">
        <v>8</v>
      </c>
      <c r="AC204" s="11">
        <v>1</v>
      </c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>
        <v>1</v>
      </c>
      <c r="AT204" s="11">
        <v>7</v>
      </c>
      <c r="AU204" s="11"/>
      <c r="AV204" s="11"/>
      <c r="AW204" s="8">
        <f t="shared" si="21"/>
        <v>8</v>
      </c>
      <c r="AX204" s="85">
        <v>2764.6</v>
      </c>
      <c r="AY204" s="86">
        <v>2650</v>
      </c>
      <c r="AZ204" s="82">
        <v>2879.2</v>
      </c>
      <c r="BA204" s="82"/>
      <c r="BB204" s="82"/>
    </row>
    <row r="205" spans="1:138" x14ac:dyDescent="0.25">
      <c r="A205" s="15" t="s">
        <v>122</v>
      </c>
      <c r="B205" s="11">
        <v>3</v>
      </c>
      <c r="C205" s="11"/>
      <c r="D205" s="11">
        <v>15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>
        <v>2</v>
      </c>
      <c r="O205" s="11"/>
      <c r="P205" s="11"/>
      <c r="Q205" s="11"/>
      <c r="R205" s="11"/>
      <c r="S205" s="11"/>
      <c r="T205" s="11"/>
      <c r="U205" s="11">
        <v>10</v>
      </c>
      <c r="V205" s="11"/>
      <c r="W205" s="11"/>
      <c r="X205" s="11">
        <v>3</v>
      </c>
      <c r="Y205" s="8">
        <f t="shared" si="24"/>
        <v>15</v>
      </c>
      <c r="Z205" s="11">
        <v>1</v>
      </c>
      <c r="AA205" s="11"/>
      <c r="AB205" s="11">
        <v>10</v>
      </c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>
        <v>10</v>
      </c>
      <c r="AT205" s="11"/>
      <c r="AU205" s="11"/>
      <c r="AV205" s="11"/>
      <c r="AW205" s="8">
        <f t="shared" si="21"/>
        <v>10</v>
      </c>
      <c r="AX205" s="85">
        <v>384</v>
      </c>
      <c r="AY205" s="86">
        <v>384</v>
      </c>
      <c r="AZ205" s="82"/>
      <c r="BA205" s="82"/>
      <c r="BB205" s="82"/>
    </row>
    <row r="206" spans="1:138" x14ac:dyDescent="0.25">
      <c r="A206" s="15" t="s">
        <v>123</v>
      </c>
      <c r="B206" s="11">
        <v>1</v>
      </c>
      <c r="C206" s="11"/>
      <c r="D206" s="11">
        <v>9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>
        <v>9</v>
      </c>
      <c r="Y206" s="8">
        <f t="shared" si="24"/>
        <v>9</v>
      </c>
      <c r="Z206" s="11">
        <v>1</v>
      </c>
      <c r="AA206" s="11"/>
      <c r="AB206" s="11">
        <v>9</v>
      </c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>
        <v>9</v>
      </c>
      <c r="AW206" s="8">
        <f t="shared" si="21"/>
        <v>9</v>
      </c>
      <c r="AX206" s="85">
        <v>3600</v>
      </c>
      <c r="AY206" s="86">
        <v>3600</v>
      </c>
      <c r="AZ206" s="82"/>
      <c r="BA206" s="82"/>
      <c r="BB206" s="82"/>
    </row>
    <row r="207" spans="1:138" x14ac:dyDescent="0.25">
      <c r="A207" s="10" t="s">
        <v>61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8">
        <f t="shared" si="24"/>
        <v>0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8">
        <f t="shared" si="21"/>
        <v>0</v>
      </c>
      <c r="AX207" s="85"/>
      <c r="AY207" s="86"/>
      <c r="AZ207" s="82"/>
      <c r="BA207" s="82"/>
      <c r="BB207" s="82"/>
    </row>
    <row r="208" spans="1:138" x14ac:dyDescent="0.25">
      <c r="A208" s="10" t="s">
        <v>62</v>
      </c>
      <c r="B208" s="11">
        <v>4</v>
      </c>
      <c r="C208" s="11">
        <v>3</v>
      </c>
      <c r="D208" s="11">
        <v>28</v>
      </c>
      <c r="E208" s="11">
        <v>14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>
        <v>28</v>
      </c>
      <c r="V208" s="11"/>
      <c r="W208" s="11"/>
      <c r="X208" s="11"/>
      <c r="Y208" s="8">
        <f t="shared" si="24"/>
        <v>28</v>
      </c>
      <c r="Z208" s="11">
        <v>4</v>
      </c>
      <c r="AA208" s="11">
        <v>3</v>
      </c>
      <c r="AB208" s="11">
        <v>27</v>
      </c>
      <c r="AC208" s="11">
        <v>13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v>27</v>
      </c>
      <c r="AT208" s="11"/>
      <c r="AU208" s="11"/>
      <c r="AV208" s="11"/>
      <c r="AW208" s="8">
        <f t="shared" si="21"/>
        <v>27</v>
      </c>
      <c r="AX208" s="85">
        <v>14400</v>
      </c>
      <c r="AY208" s="86">
        <v>30240</v>
      </c>
      <c r="AZ208" s="82">
        <v>14000</v>
      </c>
      <c r="BA208" s="82">
        <v>11200</v>
      </c>
      <c r="BB208" s="82">
        <v>2160</v>
      </c>
    </row>
    <row r="209" spans="1:138" x14ac:dyDescent="0.25">
      <c r="A209" s="10" t="s">
        <v>63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8">
        <f t="shared" si="24"/>
        <v>0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8">
        <f t="shared" si="21"/>
        <v>0</v>
      </c>
      <c r="AX209" s="85"/>
      <c r="AY209" s="86"/>
      <c r="AZ209" s="82"/>
      <c r="BA209" s="82"/>
      <c r="BB209" s="82"/>
    </row>
    <row r="210" spans="1:138" x14ac:dyDescent="0.25">
      <c r="A210" s="10" t="s">
        <v>64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8">
        <f t="shared" si="24"/>
        <v>0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8">
        <f t="shared" si="21"/>
        <v>0</v>
      </c>
      <c r="AX210" s="85"/>
      <c r="AY210" s="86"/>
      <c r="AZ210" s="82"/>
      <c r="BA210" s="82"/>
      <c r="BB210" s="82"/>
    </row>
    <row r="211" spans="1:138" x14ac:dyDescent="0.25">
      <c r="A211" s="10" t="s">
        <v>65</v>
      </c>
      <c r="B211" s="11">
        <v>1</v>
      </c>
      <c r="C211" s="11"/>
      <c r="D211" s="11">
        <v>1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>
        <v>1</v>
      </c>
      <c r="V211" s="11"/>
      <c r="W211" s="11"/>
      <c r="X211" s="11"/>
      <c r="Y211" s="8">
        <f t="shared" si="24"/>
        <v>1</v>
      </c>
      <c r="Z211" s="11">
        <v>1</v>
      </c>
      <c r="AA211" s="11"/>
      <c r="AB211" s="11">
        <v>1</v>
      </c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>
        <v>1</v>
      </c>
      <c r="AT211" s="11"/>
      <c r="AU211" s="11"/>
      <c r="AV211" s="11"/>
      <c r="AW211" s="8">
        <f t="shared" si="21"/>
        <v>1</v>
      </c>
      <c r="AX211" s="85">
        <v>2640</v>
      </c>
      <c r="AY211" s="86">
        <v>2640</v>
      </c>
      <c r="AZ211" s="82"/>
      <c r="BA211" s="82"/>
      <c r="BB211" s="82"/>
    </row>
    <row r="212" spans="1:138" x14ac:dyDescent="0.25">
      <c r="A212" s="10" t="s">
        <v>66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8">
        <f t="shared" si="24"/>
        <v>0</v>
      </c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8">
        <f t="shared" si="21"/>
        <v>0</v>
      </c>
      <c r="AX212" s="85"/>
      <c r="AY212" s="86"/>
      <c r="AZ212" s="82"/>
      <c r="BA212" s="82"/>
      <c r="BB212" s="82"/>
    </row>
    <row r="213" spans="1:138" x14ac:dyDescent="0.25">
      <c r="A213" s="10" t="s">
        <v>67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8">
        <f t="shared" si="24"/>
        <v>0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8">
        <f t="shared" si="21"/>
        <v>0</v>
      </c>
      <c r="AX213" s="85"/>
      <c r="AY213" s="86"/>
      <c r="AZ213" s="82"/>
      <c r="BA213" s="82"/>
      <c r="BB213" s="82"/>
    </row>
    <row r="214" spans="1:138" x14ac:dyDescent="0.25">
      <c r="A214" s="10" t="s">
        <v>68</v>
      </c>
      <c r="B214" s="11">
        <v>1</v>
      </c>
      <c r="C214" s="11">
        <v>1</v>
      </c>
      <c r="D214" s="11">
        <v>1</v>
      </c>
      <c r="E214" s="11">
        <v>1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>
        <v>1</v>
      </c>
      <c r="V214" s="11"/>
      <c r="W214" s="11"/>
      <c r="X214" s="11"/>
      <c r="Y214" s="8">
        <f t="shared" si="24"/>
        <v>1</v>
      </c>
      <c r="Z214" s="11">
        <v>1</v>
      </c>
      <c r="AA214" s="11">
        <v>1</v>
      </c>
      <c r="AB214" s="11">
        <v>1</v>
      </c>
      <c r="AC214" s="11">
        <v>1</v>
      </c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>
        <v>1</v>
      </c>
      <c r="AT214" s="11"/>
      <c r="AU214" s="11"/>
      <c r="AV214" s="11"/>
      <c r="AW214" s="8">
        <f t="shared" si="21"/>
        <v>1</v>
      </c>
      <c r="AX214" s="85">
        <v>2112</v>
      </c>
      <c r="AY214" s="86">
        <v>2112</v>
      </c>
      <c r="AZ214" s="82"/>
      <c r="BA214" s="82"/>
      <c r="BB214" s="82"/>
    </row>
    <row r="215" spans="1:138" x14ac:dyDescent="0.25">
      <c r="A215" s="10" t="s">
        <v>69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8">
        <f t="shared" si="24"/>
        <v>0</v>
      </c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8">
        <f t="shared" si="21"/>
        <v>0</v>
      </c>
      <c r="AX215" s="14"/>
    </row>
    <row r="216" spans="1:138" x14ac:dyDescent="0.25">
      <c r="A216" s="10" t="s">
        <v>70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8">
        <f t="shared" si="24"/>
        <v>0</v>
      </c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8">
        <f t="shared" si="21"/>
        <v>0</v>
      </c>
      <c r="AX216" s="14"/>
    </row>
    <row r="217" spans="1:138" x14ac:dyDescent="0.25">
      <c r="A217" s="10" t="s">
        <v>71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8">
        <f t="shared" si="24"/>
        <v>0</v>
      </c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8">
        <f t="shared" si="21"/>
        <v>0</v>
      </c>
      <c r="AX217" s="14"/>
    </row>
    <row r="218" spans="1:138" x14ac:dyDescent="0.25">
      <c r="A218" s="10" t="s">
        <v>72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8">
        <f t="shared" si="24"/>
        <v>0</v>
      </c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8">
        <f t="shared" si="21"/>
        <v>0</v>
      </c>
      <c r="AX218" s="14"/>
    </row>
    <row r="219" spans="1:138" x14ac:dyDescent="0.25">
      <c r="A219" s="10" t="s">
        <v>73</v>
      </c>
      <c r="B219" s="11">
        <v>2</v>
      </c>
      <c r="C219" s="11"/>
      <c r="D219" s="11">
        <v>3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>
        <v>3</v>
      </c>
      <c r="V219" s="11"/>
      <c r="W219" s="11"/>
      <c r="X219" s="11"/>
      <c r="Y219" s="8">
        <f t="shared" si="24"/>
        <v>3</v>
      </c>
      <c r="Z219" s="11">
        <v>2</v>
      </c>
      <c r="AA219" s="11"/>
      <c r="AB219" s="11">
        <v>3</v>
      </c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>
        <v>3</v>
      </c>
      <c r="AT219" s="11"/>
      <c r="AU219" s="11"/>
      <c r="AV219" s="11"/>
      <c r="AW219" s="8">
        <f t="shared" si="21"/>
        <v>3</v>
      </c>
      <c r="AX219" s="89">
        <v>2558.96</v>
      </c>
      <c r="AY219" s="90">
        <v>2879.2</v>
      </c>
      <c r="AZ219" s="82">
        <v>2238.7199999999998</v>
      </c>
    </row>
    <row r="220" spans="1:138" x14ac:dyDescent="0.25">
      <c r="A220" s="10" t="s">
        <v>74</v>
      </c>
      <c r="B220" s="11">
        <v>1</v>
      </c>
      <c r="C220" s="11">
        <v>1</v>
      </c>
      <c r="D220" s="11">
        <v>3</v>
      </c>
      <c r="E220" s="11">
        <v>3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>
        <v>3</v>
      </c>
      <c r="V220" s="11"/>
      <c r="W220" s="11"/>
      <c r="X220" s="11"/>
      <c r="Y220" s="8">
        <f t="shared" si="24"/>
        <v>3</v>
      </c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8">
        <f t="shared" si="21"/>
        <v>0</v>
      </c>
      <c r="AX220" s="14"/>
    </row>
    <row r="221" spans="1:138" x14ac:dyDescent="0.25">
      <c r="A221" s="10" t="s">
        <v>75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8">
        <f t="shared" si="24"/>
        <v>0</v>
      </c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8">
        <f t="shared" si="21"/>
        <v>0</v>
      </c>
      <c r="AX221" s="14"/>
    </row>
    <row r="222" spans="1:138" x14ac:dyDescent="0.25">
      <c r="A222" s="10" t="s">
        <v>76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8">
        <f t="shared" si="24"/>
        <v>0</v>
      </c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8">
        <f t="shared" si="21"/>
        <v>0</v>
      </c>
      <c r="AX222" s="14"/>
    </row>
    <row r="223" spans="1:138" s="9" customFormat="1" x14ac:dyDescent="0.25">
      <c r="A223" s="40" t="s">
        <v>47</v>
      </c>
      <c r="B223" s="8">
        <f t="shared" ref="B223:X223" si="25">SUM(B224:B230)</f>
        <v>37</v>
      </c>
      <c r="C223" s="8">
        <f t="shared" si="25"/>
        <v>3</v>
      </c>
      <c r="D223" s="8">
        <f t="shared" si="25"/>
        <v>69</v>
      </c>
      <c r="E223" s="8">
        <f t="shared" si="25"/>
        <v>3</v>
      </c>
      <c r="F223" s="8">
        <f t="shared" si="25"/>
        <v>0</v>
      </c>
      <c r="G223" s="8">
        <f t="shared" si="25"/>
        <v>0</v>
      </c>
      <c r="H223" s="8">
        <f t="shared" si="25"/>
        <v>17</v>
      </c>
      <c r="I223" s="8">
        <f t="shared" si="25"/>
        <v>0</v>
      </c>
      <c r="J223" s="8">
        <f t="shared" si="25"/>
        <v>3</v>
      </c>
      <c r="K223" s="8">
        <f t="shared" si="25"/>
        <v>10</v>
      </c>
      <c r="L223" s="8">
        <f t="shared" si="25"/>
        <v>13</v>
      </c>
      <c r="M223" s="8">
        <f t="shared" si="25"/>
        <v>22</v>
      </c>
      <c r="N223" s="8">
        <f t="shared" si="25"/>
        <v>0</v>
      </c>
      <c r="O223" s="8">
        <f t="shared" si="25"/>
        <v>0</v>
      </c>
      <c r="P223" s="8">
        <f t="shared" si="25"/>
        <v>0</v>
      </c>
      <c r="Q223" s="8">
        <f t="shared" si="25"/>
        <v>0</v>
      </c>
      <c r="R223" s="8">
        <f t="shared" si="25"/>
        <v>1</v>
      </c>
      <c r="S223" s="8">
        <f t="shared" si="25"/>
        <v>0</v>
      </c>
      <c r="T223" s="8">
        <f t="shared" si="25"/>
        <v>3</v>
      </c>
      <c r="U223" s="8">
        <f t="shared" si="25"/>
        <v>0</v>
      </c>
      <c r="V223" s="8">
        <f t="shared" si="25"/>
        <v>0</v>
      </c>
      <c r="W223" s="8">
        <f t="shared" si="25"/>
        <v>0</v>
      </c>
      <c r="X223" s="8">
        <f t="shared" si="25"/>
        <v>0</v>
      </c>
      <c r="Y223" s="8">
        <f t="shared" si="24"/>
        <v>69</v>
      </c>
      <c r="Z223" s="8">
        <f>SUM(Z224:Z230)</f>
        <v>29</v>
      </c>
      <c r="AA223" s="8">
        <f>SUM(AA224:AA230)</f>
        <v>2</v>
      </c>
      <c r="AB223" s="8">
        <f>SUM(AB224:AB230)</f>
        <v>47</v>
      </c>
      <c r="AC223" s="8"/>
      <c r="AD223" s="8">
        <f t="shared" ref="AD223:AV223" si="26">SUM(AD224:AD230)</f>
        <v>0</v>
      </c>
      <c r="AE223" s="8">
        <f t="shared" si="26"/>
        <v>0</v>
      </c>
      <c r="AF223" s="8">
        <f t="shared" si="26"/>
        <v>6</v>
      </c>
      <c r="AG223" s="8">
        <f t="shared" si="26"/>
        <v>0</v>
      </c>
      <c r="AH223" s="8">
        <f t="shared" si="26"/>
        <v>3</v>
      </c>
      <c r="AI223" s="8">
        <f t="shared" si="26"/>
        <v>10</v>
      </c>
      <c r="AJ223" s="8">
        <f t="shared" si="26"/>
        <v>9</v>
      </c>
      <c r="AK223" s="8">
        <f t="shared" si="26"/>
        <v>17</v>
      </c>
      <c r="AL223" s="8">
        <f t="shared" si="26"/>
        <v>0</v>
      </c>
      <c r="AM223" s="8">
        <f t="shared" si="26"/>
        <v>0</v>
      </c>
      <c r="AN223" s="8">
        <f t="shared" si="26"/>
        <v>0</v>
      </c>
      <c r="AO223" s="8">
        <f t="shared" si="26"/>
        <v>0</v>
      </c>
      <c r="AP223" s="8">
        <f t="shared" si="26"/>
        <v>0</v>
      </c>
      <c r="AQ223" s="8">
        <f t="shared" si="26"/>
        <v>0</v>
      </c>
      <c r="AR223" s="8">
        <f t="shared" si="26"/>
        <v>2</v>
      </c>
      <c r="AS223" s="8">
        <f t="shared" si="26"/>
        <v>0</v>
      </c>
      <c r="AT223" s="8">
        <f t="shared" si="26"/>
        <v>0</v>
      </c>
      <c r="AU223" s="8">
        <f t="shared" si="26"/>
        <v>0</v>
      </c>
      <c r="AV223" s="8">
        <f t="shared" si="26"/>
        <v>0</v>
      </c>
      <c r="AW223" s="8">
        <f t="shared" si="21"/>
        <v>47</v>
      </c>
      <c r="AX223" s="69"/>
      <c r="EH223"/>
    </row>
    <row r="224" spans="1:138" x14ac:dyDescent="0.25">
      <c r="A224" s="10" t="s">
        <v>48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8">
        <f t="shared" si="24"/>
        <v>0</v>
      </c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8">
        <f t="shared" si="21"/>
        <v>0</v>
      </c>
      <c r="AX224" s="14"/>
    </row>
    <row r="225" spans="1:138" x14ac:dyDescent="0.25">
      <c r="A225" s="10" t="s">
        <v>49</v>
      </c>
      <c r="B225" s="11">
        <v>12</v>
      </c>
      <c r="C225" s="11">
        <v>2</v>
      </c>
      <c r="D225" s="11">
        <v>29</v>
      </c>
      <c r="E225" s="11">
        <v>2</v>
      </c>
      <c r="F225" s="11"/>
      <c r="G225" s="11"/>
      <c r="H225" s="11"/>
      <c r="I225" s="11"/>
      <c r="J225" s="11"/>
      <c r="K225" s="11">
        <v>9</v>
      </c>
      <c r="L225" s="11"/>
      <c r="M225" s="11">
        <v>17</v>
      </c>
      <c r="N225" s="11"/>
      <c r="O225" s="11"/>
      <c r="P225" s="11"/>
      <c r="Q225" s="11"/>
      <c r="R225" s="11">
        <v>1</v>
      </c>
      <c r="S225" s="11"/>
      <c r="T225" s="11">
        <v>2</v>
      </c>
      <c r="U225" s="11"/>
      <c r="V225" s="11"/>
      <c r="W225" s="11"/>
      <c r="X225" s="11"/>
      <c r="Y225" s="8">
        <f t="shared" si="24"/>
        <v>29</v>
      </c>
      <c r="Z225" s="11">
        <v>11</v>
      </c>
      <c r="AA225" s="11">
        <v>2</v>
      </c>
      <c r="AB225" s="11">
        <v>26</v>
      </c>
      <c r="AC225" s="11">
        <v>2</v>
      </c>
      <c r="AD225" s="11"/>
      <c r="AE225" s="11"/>
      <c r="AF225" s="11"/>
      <c r="AG225" s="11"/>
      <c r="AH225" s="11"/>
      <c r="AI225" s="11">
        <v>9</v>
      </c>
      <c r="AJ225" s="11"/>
      <c r="AK225" s="11">
        <v>15</v>
      </c>
      <c r="AL225" s="11"/>
      <c r="AM225" s="11"/>
      <c r="AN225" s="11"/>
      <c r="AO225" s="11"/>
      <c r="AP225" s="11"/>
      <c r="AQ225" s="11"/>
      <c r="AR225" s="11">
        <v>2</v>
      </c>
      <c r="AS225" s="11"/>
      <c r="AT225" s="11"/>
      <c r="AU225" s="11"/>
      <c r="AV225" s="11"/>
      <c r="AW225" s="8">
        <f t="shared" si="21"/>
        <v>26</v>
      </c>
      <c r="AX225" s="85">
        <v>2921.818181818182</v>
      </c>
      <c r="AY225" s="86">
        <v>2800</v>
      </c>
      <c r="AZ225" s="82">
        <v>720</v>
      </c>
      <c r="BA225" s="82">
        <v>9700</v>
      </c>
      <c r="BB225" s="82">
        <v>3400</v>
      </c>
      <c r="BC225" s="82">
        <v>960</v>
      </c>
      <c r="BD225" s="82">
        <v>2960</v>
      </c>
      <c r="BE225" s="82">
        <v>2960</v>
      </c>
      <c r="BF225" s="82">
        <v>1840</v>
      </c>
      <c r="BG225" s="82">
        <v>3120</v>
      </c>
      <c r="BH225" s="82">
        <v>2960</v>
      </c>
      <c r="BI225" s="82">
        <v>720</v>
      </c>
    </row>
    <row r="226" spans="1:138" x14ac:dyDescent="0.25">
      <c r="A226" s="10" t="s">
        <v>50</v>
      </c>
      <c r="B226" s="11">
        <v>25</v>
      </c>
      <c r="C226" s="11">
        <v>1</v>
      </c>
      <c r="D226" s="11">
        <v>40</v>
      </c>
      <c r="E226" s="11">
        <v>1</v>
      </c>
      <c r="F226" s="11"/>
      <c r="G226" s="11"/>
      <c r="H226" s="11">
        <v>17</v>
      </c>
      <c r="I226" s="11"/>
      <c r="J226" s="11">
        <v>3</v>
      </c>
      <c r="K226" s="11">
        <v>1</v>
      </c>
      <c r="L226" s="11">
        <v>13</v>
      </c>
      <c r="M226" s="11">
        <v>5</v>
      </c>
      <c r="N226" s="11"/>
      <c r="O226" s="11"/>
      <c r="P226" s="11"/>
      <c r="Q226" s="11"/>
      <c r="R226" s="11"/>
      <c r="S226" s="11"/>
      <c r="T226" s="11">
        <v>1</v>
      </c>
      <c r="U226" s="11"/>
      <c r="V226" s="11"/>
      <c r="W226" s="11"/>
      <c r="X226" s="11"/>
      <c r="Y226" s="8">
        <f t="shared" si="24"/>
        <v>40</v>
      </c>
      <c r="Z226" s="11">
        <v>18</v>
      </c>
      <c r="AA226" s="11"/>
      <c r="AB226" s="11">
        <v>21</v>
      </c>
      <c r="AC226" s="11"/>
      <c r="AD226" s="11"/>
      <c r="AE226" s="11"/>
      <c r="AF226" s="11">
        <v>6</v>
      </c>
      <c r="AG226" s="11"/>
      <c r="AH226" s="11">
        <v>3</v>
      </c>
      <c r="AI226" s="11">
        <v>1</v>
      </c>
      <c r="AJ226" s="11">
        <v>9</v>
      </c>
      <c r="AK226" s="11">
        <v>2</v>
      </c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8">
        <f t="shared" si="21"/>
        <v>21</v>
      </c>
      <c r="AX226" s="85">
        <v>4331.5555555555557</v>
      </c>
      <c r="AY226" s="86">
        <v>13992</v>
      </c>
      <c r="AZ226" s="82">
        <v>6620</v>
      </c>
      <c r="BA226" s="82">
        <v>7460</v>
      </c>
      <c r="BB226" s="82">
        <v>7280</v>
      </c>
      <c r="BC226" s="82">
        <v>6300</v>
      </c>
      <c r="BD226" s="82">
        <v>9772</v>
      </c>
      <c r="BE226" s="82">
        <v>2504</v>
      </c>
      <c r="BF226" s="82">
        <v>3000</v>
      </c>
      <c r="BG226" s="82">
        <v>2080</v>
      </c>
      <c r="BH226" s="82">
        <v>1680</v>
      </c>
      <c r="BI226" s="82">
        <v>1840</v>
      </c>
      <c r="BJ226" s="82">
        <v>1840</v>
      </c>
      <c r="BK226" s="82">
        <v>1840</v>
      </c>
      <c r="BL226" s="82">
        <v>1840</v>
      </c>
      <c r="BM226" s="82">
        <v>1840</v>
      </c>
      <c r="BN226" s="82">
        <v>1840</v>
      </c>
      <c r="BO226" s="82">
        <v>400</v>
      </c>
      <c r="BP226" s="82">
        <v>5840</v>
      </c>
    </row>
    <row r="227" spans="1:138" x14ac:dyDescent="0.25">
      <c r="A227" s="10" t="s">
        <v>51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8">
        <f t="shared" si="24"/>
        <v>0</v>
      </c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8">
        <f t="shared" si="21"/>
        <v>0</v>
      </c>
      <c r="AX227" s="85"/>
    </row>
    <row r="228" spans="1:138" x14ac:dyDescent="0.25">
      <c r="A228" s="10" t="s">
        <v>52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8">
        <f t="shared" si="24"/>
        <v>0</v>
      </c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8">
        <f t="shared" si="21"/>
        <v>0</v>
      </c>
      <c r="AX228" s="14"/>
    </row>
    <row r="229" spans="1:138" x14ac:dyDescent="0.25">
      <c r="A229" s="10" t="s">
        <v>53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8">
        <f t="shared" si="24"/>
        <v>0</v>
      </c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8">
        <f t="shared" si="21"/>
        <v>0</v>
      </c>
      <c r="AX229" s="14"/>
    </row>
    <row r="230" spans="1:138" x14ac:dyDescent="0.25">
      <c r="A230" s="10" t="s">
        <v>54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8">
        <f t="shared" si="24"/>
        <v>0</v>
      </c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8">
        <f t="shared" si="21"/>
        <v>0</v>
      </c>
      <c r="AX230" s="14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K230" s="1"/>
    </row>
    <row r="231" spans="1:138" s="9" customFormat="1" x14ac:dyDescent="0.25">
      <c r="A231" s="40" t="s">
        <v>55</v>
      </c>
      <c r="B231" s="8">
        <f t="shared" ref="B231:V231" si="27">B232+B233+B234+B235+B236+B237+B238+B239+B240+B241+B242+B243+B244+B245+B246</f>
        <v>214</v>
      </c>
      <c r="C231" s="8">
        <f t="shared" si="27"/>
        <v>52</v>
      </c>
      <c r="D231" s="8">
        <f t="shared" si="27"/>
        <v>252</v>
      </c>
      <c r="E231" s="8">
        <f t="shared" si="27"/>
        <v>61</v>
      </c>
      <c r="F231" s="8">
        <f t="shared" si="27"/>
        <v>0</v>
      </c>
      <c r="G231" s="8">
        <f t="shared" si="27"/>
        <v>2</v>
      </c>
      <c r="H231" s="8">
        <f t="shared" si="27"/>
        <v>52</v>
      </c>
      <c r="I231" s="8">
        <f t="shared" si="27"/>
        <v>1</v>
      </c>
      <c r="J231" s="8">
        <f t="shared" si="27"/>
        <v>5</v>
      </c>
      <c r="K231" s="8">
        <f t="shared" si="27"/>
        <v>12</v>
      </c>
      <c r="L231" s="8">
        <f t="shared" si="27"/>
        <v>14</v>
      </c>
      <c r="M231" s="8">
        <f t="shared" si="27"/>
        <v>8</v>
      </c>
      <c r="N231" s="8">
        <f t="shared" si="27"/>
        <v>8</v>
      </c>
      <c r="O231" s="8">
        <f t="shared" si="27"/>
        <v>11</v>
      </c>
      <c r="P231" s="8">
        <f t="shared" si="27"/>
        <v>2</v>
      </c>
      <c r="Q231" s="8">
        <f t="shared" si="27"/>
        <v>3</v>
      </c>
      <c r="R231" s="8">
        <f t="shared" si="27"/>
        <v>65</v>
      </c>
      <c r="S231" s="8">
        <f t="shared" si="27"/>
        <v>0</v>
      </c>
      <c r="T231" s="8">
        <f t="shared" si="27"/>
        <v>43</v>
      </c>
      <c r="U231" s="8">
        <f t="shared" si="27"/>
        <v>3</v>
      </c>
      <c r="V231" s="8">
        <f t="shared" si="27"/>
        <v>9</v>
      </c>
      <c r="W231" s="8">
        <f>W232+W233+W234+W235+W236+W237+W238+W239+W240+W241+W242+W243+W244+W245+W246</f>
        <v>5</v>
      </c>
      <c r="X231" s="8">
        <f>X232+X233+X234+X235+X236+X237+X238+X239+X240+X241+X242+X243+X244+X245+X246</f>
        <v>9</v>
      </c>
      <c r="Y231" s="8">
        <f t="shared" si="24"/>
        <v>252</v>
      </c>
      <c r="Z231" s="8">
        <f t="shared" ref="Z231:AV231" si="28">Z232+Z233+Z234+Z235+Z236+Z237+Z238+Z239+Z240+Z241+Z242+Z243+Z244+Z245+Z246</f>
        <v>159</v>
      </c>
      <c r="AA231" s="8">
        <f t="shared" si="28"/>
        <v>45</v>
      </c>
      <c r="AB231" s="8">
        <f t="shared" si="28"/>
        <v>192</v>
      </c>
      <c r="AC231" s="8">
        <f t="shared" si="28"/>
        <v>54</v>
      </c>
      <c r="AD231" s="8">
        <f t="shared" si="28"/>
        <v>0</v>
      </c>
      <c r="AE231" s="8">
        <f t="shared" si="28"/>
        <v>1</v>
      </c>
      <c r="AF231" s="8">
        <f t="shared" si="28"/>
        <v>39</v>
      </c>
      <c r="AG231" s="8">
        <f t="shared" si="28"/>
        <v>1</v>
      </c>
      <c r="AH231" s="8">
        <f t="shared" si="28"/>
        <v>5</v>
      </c>
      <c r="AI231" s="8">
        <f t="shared" si="28"/>
        <v>6</v>
      </c>
      <c r="AJ231" s="8">
        <f t="shared" si="28"/>
        <v>11</v>
      </c>
      <c r="AK231" s="8">
        <f t="shared" si="28"/>
        <v>5</v>
      </c>
      <c r="AL231" s="8">
        <f t="shared" si="28"/>
        <v>6</v>
      </c>
      <c r="AM231" s="8">
        <f t="shared" si="28"/>
        <v>6</v>
      </c>
      <c r="AN231" s="8">
        <f t="shared" si="28"/>
        <v>2</v>
      </c>
      <c r="AO231" s="8">
        <f t="shared" si="28"/>
        <v>3</v>
      </c>
      <c r="AP231" s="8">
        <f t="shared" si="28"/>
        <v>49</v>
      </c>
      <c r="AQ231" s="8">
        <f t="shared" si="28"/>
        <v>0</v>
      </c>
      <c r="AR231" s="8">
        <f t="shared" si="28"/>
        <v>39</v>
      </c>
      <c r="AS231" s="8">
        <f t="shared" si="28"/>
        <v>3</v>
      </c>
      <c r="AT231" s="8">
        <f t="shared" si="28"/>
        <v>8</v>
      </c>
      <c r="AU231" s="8">
        <f t="shared" si="28"/>
        <v>2</v>
      </c>
      <c r="AV231" s="8">
        <f t="shared" si="28"/>
        <v>6</v>
      </c>
      <c r="AW231" s="8">
        <f t="shared" si="21"/>
        <v>192</v>
      </c>
      <c r="AX231" s="69"/>
      <c r="EH231"/>
    </row>
    <row r="232" spans="1:138" x14ac:dyDescent="0.25">
      <c r="A232" s="10" t="s">
        <v>124</v>
      </c>
      <c r="B232" s="11">
        <v>48</v>
      </c>
      <c r="C232" s="11">
        <v>4</v>
      </c>
      <c r="D232" s="11">
        <v>54</v>
      </c>
      <c r="E232" s="11">
        <v>4</v>
      </c>
      <c r="F232" s="11"/>
      <c r="G232" s="11"/>
      <c r="H232" s="11">
        <v>12</v>
      </c>
      <c r="I232" s="11"/>
      <c r="J232" s="11">
        <v>1</v>
      </c>
      <c r="K232" s="11">
        <v>3</v>
      </c>
      <c r="L232" s="11">
        <v>2</v>
      </c>
      <c r="M232" s="11"/>
      <c r="N232" s="11">
        <v>3</v>
      </c>
      <c r="O232" s="11">
        <v>1</v>
      </c>
      <c r="P232" s="11">
        <v>1</v>
      </c>
      <c r="Q232" s="11"/>
      <c r="R232" s="11">
        <v>27</v>
      </c>
      <c r="S232" s="11"/>
      <c r="T232" s="11">
        <v>2</v>
      </c>
      <c r="U232" s="11"/>
      <c r="V232" s="11">
        <v>1</v>
      </c>
      <c r="W232" s="11">
        <v>1</v>
      </c>
      <c r="X232" s="11"/>
      <c r="Y232" s="8">
        <f t="shared" si="24"/>
        <v>54</v>
      </c>
      <c r="Z232" s="11">
        <v>30</v>
      </c>
      <c r="AA232" s="11">
        <v>3</v>
      </c>
      <c r="AB232" s="11">
        <v>36</v>
      </c>
      <c r="AC232" s="11">
        <v>3</v>
      </c>
      <c r="AD232" s="11"/>
      <c r="AE232" s="11"/>
      <c r="AF232" s="11">
        <v>8</v>
      </c>
      <c r="AG232" s="11"/>
      <c r="AH232" s="11">
        <v>1</v>
      </c>
      <c r="AI232" s="11"/>
      <c r="AJ232" s="11">
        <v>2</v>
      </c>
      <c r="AK232" s="11"/>
      <c r="AL232" s="11">
        <v>2</v>
      </c>
      <c r="AM232" s="11">
        <v>1</v>
      </c>
      <c r="AN232" s="11">
        <v>1</v>
      </c>
      <c r="AO232" s="11"/>
      <c r="AP232" s="11">
        <v>18</v>
      </c>
      <c r="AQ232" s="11"/>
      <c r="AR232" s="11">
        <v>2</v>
      </c>
      <c r="AS232" s="11"/>
      <c r="AT232" s="11">
        <v>1</v>
      </c>
      <c r="AU232" s="11"/>
      <c r="AV232" s="11"/>
      <c r="AW232" s="8">
        <f t="shared" si="21"/>
        <v>36</v>
      </c>
      <c r="AX232" s="85">
        <v>2737.6586666666667</v>
      </c>
      <c r="AY232" s="86">
        <v>3532.56</v>
      </c>
      <c r="AZ232" s="82">
        <v>2640</v>
      </c>
      <c r="BA232" s="82">
        <v>1913</v>
      </c>
      <c r="BB232" s="82">
        <v>958</v>
      </c>
      <c r="BC232" s="82">
        <v>4180</v>
      </c>
      <c r="BD232" s="82">
        <v>3590</v>
      </c>
      <c r="BE232" s="82">
        <v>3590</v>
      </c>
      <c r="BF232" s="82">
        <v>3590</v>
      </c>
      <c r="BG232" s="82">
        <v>2443</v>
      </c>
      <c r="BH232" s="82">
        <v>2090</v>
      </c>
      <c r="BI232" s="82">
        <v>3192</v>
      </c>
      <c r="BJ232" s="82">
        <v>4350</v>
      </c>
      <c r="BK232" s="82">
        <v>5999</v>
      </c>
      <c r="BL232" s="82">
        <v>5999</v>
      </c>
      <c r="BM232" s="82">
        <v>1890</v>
      </c>
      <c r="BN232" s="82">
        <v>2090</v>
      </c>
      <c r="BO232" s="82">
        <v>3192</v>
      </c>
      <c r="BP232" s="82">
        <v>319.2</v>
      </c>
      <c r="BQ232" s="82">
        <v>1512</v>
      </c>
      <c r="BR232" s="82">
        <v>1512</v>
      </c>
      <c r="BS232" s="82">
        <v>2090</v>
      </c>
      <c r="BT232" s="82">
        <v>344</v>
      </c>
      <c r="BU232" s="82">
        <v>2872</v>
      </c>
      <c r="BV232" s="82">
        <v>4350</v>
      </c>
      <c r="BW232" s="82">
        <v>1512</v>
      </c>
      <c r="BX232" s="82">
        <v>2090</v>
      </c>
      <c r="BY232" s="82">
        <v>1916</v>
      </c>
      <c r="BZ232" s="82">
        <v>1192</v>
      </c>
      <c r="CA232" s="82">
        <v>3990</v>
      </c>
      <c r="CB232" s="82">
        <v>3192</v>
      </c>
    </row>
    <row r="233" spans="1:138" x14ac:dyDescent="0.25">
      <c r="A233" s="10" t="s">
        <v>125</v>
      </c>
      <c r="B233" s="11">
        <v>5</v>
      </c>
      <c r="C233" s="11">
        <v>5</v>
      </c>
      <c r="D233" s="11">
        <v>6</v>
      </c>
      <c r="E233" s="11">
        <v>6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>
        <v>1</v>
      </c>
      <c r="S233" s="11"/>
      <c r="T233" s="11">
        <v>5</v>
      </c>
      <c r="U233" s="11"/>
      <c r="V233" s="11"/>
      <c r="W233" s="11"/>
      <c r="X233" s="11"/>
      <c r="Y233" s="8">
        <f t="shared" si="24"/>
        <v>6</v>
      </c>
      <c r="Z233" s="11">
        <v>5</v>
      </c>
      <c r="AA233" s="11">
        <v>5</v>
      </c>
      <c r="AB233" s="11">
        <v>6</v>
      </c>
      <c r="AC233" s="11">
        <v>6</v>
      </c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>
        <v>1</v>
      </c>
      <c r="AQ233" s="11"/>
      <c r="AR233" s="11">
        <v>5</v>
      </c>
      <c r="AS233" s="11"/>
      <c r="AT233" s="11"/>
      <c r="AU233" s="11"/>
      <c r="AV233" s="11"/>
      <c r="AW233" s="8">
        <f t="shared" si="21"/>
        <v>6</v>
      </c>
      <c r="AX233" s="85">
        <v>1512</v>
      </c>
      <c r="AY233" s="86">
        <v>1512</v>
      </c>
      <c r="AZ233" s="82">
        <v>1512</v>
      </c>
      <c r="BA233" s="82">
        <v>1512</v>
      </c>
      <c r="BB233" s="82">
        <v>1512</v>
      </c>
      <c r="BC233" s="82">
        <v>1512</v>
      </c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</row>
    <row r="234" spans="1:138" x14ac:dyDescent="0.25">
      <c r="A234" s="10" t="s">
        <v>126</v>
      </c>
      <c r="B234" s="11">
        <v>33</v>
      </c>
      <c r="C234" s="11">
        <v>5</v>
      </c>
      <c r="D234" s="11">
        <v>41</v>
      </c>
      <c r="E234" s="11">
        <v>5</v>
      </c>
      <c r="F234" s="11"/>
      <c r="G234" s="11">
        <v>2</v>
      </c>
      <c r="H234" s="11">
        <v>10</v>
      </c>
      <c r="I234" s="11"/>
      <c r="J234" s="11"/>
      <c r="K234" s="11">
        <v>3</v>
      </c>
      <c r="L234" s="11">
        <v>5</v>
      </c>
      <c r="M234" s="11">
        <v>1</v>
      </c>
      <c r="N234" s="11"/>
      <c r="O234" s="11">
        <v>1</v>
      </c>
      <c r="P234" s="11"/>
      <c r="Q234" s="11">
        <v>2</v>
      </c>
      <c r="R234" s="11">
        <v>6</v>
      </c>
      <c r="S234" s="11"/>
      <c r="T234" s="11">
        <v>3</v>
      </c>
      <c r="U234" s="11">
        <v>1</v>
      </c>
      <c r="V234" s="11">
        <v>2</v>
      </c>
      <c r="W234" s="11"/>
      <c r="X234" s="11">
        <v>5</v>
      </c>
      <c r="Y234" s="8">
        <f>SUM(F234:X234)</f>
        <v>41</v>
      </c>
      <c r="Z234" s="11">
        <v>28</v>
      </c>
      <c r="AA234" s="11">
        <v>4</v>
      </c>
      <c r="AB234" s="11">
        <v>35</v>
      </c>
      <c r="AC234" s="11">
        <v>4</v>
      </c>
      <c r="AD234" s="11"/>
      <c r="AE234" s="11">
        <v>1</v>
      </c>
      <c r="AF234" s="11">
        <v>8</v>
      </c>
      <c r="AG234" s="11"/>
      <c r="AH234" s="11"/>
      <c r="AI234" s="11">
        <v>3</v>
      </c>
      <c r="AJ234" s="11">
        <v>5</v>
      </c>
      <c r="AK234" s="11"/>
      <c r="AL234" s="11"/>
      <c r="AM234" s="11">
        <v>1</v>
      </c>
      <c r="AN234" s="11"/>
      <c r="AO234" s="11">
        <v>2</v>
      </c>
      <c r="AP234" s="11">
        <v>6</v>
      </c>
      <c r="AQ234" s="11"/>
      <c r="AR234" s="11">
        <v>3</v>
      </c>
      <c r="AS234" s="11">
        <v>1</v>
      </c>
      <c r="AT234" s="11">
        <v>1</v>
      </c>
      <c r="AU234" s="11"/>
      <c r="AV234" s="11">
        <v>4</v>
      </c>
      <c r="AW234" s="8">
        <f t="shared" si="21"/>
        <v>35</v>
      </c>
      <c r="AX234" s="85">
        <v>1418.5</v>
      </c>
      <c r="AY234" s="86">
        <v>880</v>
      </c>
      <c r="AZ234" s="82">
        <v>1400</v>
      </c>
      <c r="BA234" s="82">
        <v>3980</v>
      </c>
      <c r="BB234" s="82">
        <v>1592</v>
      </c>
      <c r="BC234" s="82">
        <v>1990</v>
      </c>
      <c r="BD234" s="82">
        <v>2241</v>
      </c>
      <c r="BE234" s="82">
        <v>1996</v>
      </c>
      <c r="BF234" s="82">
        <v>1390</v>
      </c>
      <c r="BG234" s="82">
        <v>952</v>
      </c>
      <c r="BH234" s="82">
        <v>1112</v>
      </c>
      <c r="BI234" s="82">
        <v>1200</v>
      </c>
      <c r="BJ234" s="82">
        <v>1592</v>
      </c>
      <c r="BK234" s="82">
        <v>640</v>
      </c>
      <c r="BL234" s="82">
        <v>1196</v>
      </c>
      <c r="BM234" s="82">
        <v>1228</v>
      </c>
      <c r="BN234" s="82">
        <v>952</v>
      </c>
      <c r="BO234" s="82">
        <v>768</v>
      </c>
      <c r="BP234" s="82">
        <v>1592</v>
      </c>
      <c r="BQ234" s="82">
        <v>264</v>
      </c>
      <c r="BR234" s="82">
        <v>264</v>
      </c>
      <c r="BS234" s="82">
        <v>264</v>
      </c>
      <c r="BT234" s="82">
        <v>1592</v>
      </c>
      <c r="BU234" s="82">
        <v>2400</v>
      </c>
      <c r="BV234" s="82">
        <v>2090</v>
      </c>
      <c r="BW234" s="82">
        <v>960</v>
      </c>
      <c r="BX234" s="82">
        <v>1999</v>
      </c>
      <c r="BY234" s="82">
        <v>1592</v>
      </c>
      <c r="BZ234" s="82">
        <v>1592</v>
      </c>
      <c r="CA234" s="82"/>
      <c r="CB234" s="82"/>
    </row>
    <row r="235" spans="1:138" x14ac:dyDescent="0.25">
      <c r="A235" s="10" t="s">
        <v>127</v>
      </c>
      <c r="B235" s="11">
        <v>19</v>
      </c>
      <c r="C235" s="11">
        <v>16</v>
      </c>
      <c r="D235" s="11">
        <v>20</v>
      </c>
      <c r="E235" s="11">
        <v>17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>
        <v>15</v>
      </c>
      <c r="U235" s="11">
        <v>1</v>
      </c>
      <c r="V235" s="11">
        <v>2</v>
      </c>
      <c r="W235" s="11">
        <v>1</v>
      </c>
      <c r="X235" s="11">
        <v>1</v>
      </c>
      <c r="Y235" s="8">
        <f t="shared" si="24"/>
        <v>20</v>
      </c>
      <c r="Z235" s="11">
        <v>16</v>
      </c>
      <c r="AA235" s="11">
        <v>13</v>
      </c>
      <c r="AB235" s="11">
        <v>17</v>
      </c>
      <c r="AC235" s="11">
        <v>14</v>
      </c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>
        <v>13</v>
      </c>
      <c r="AS235" s="11">
        <v>1</v>
      </c>
      <c r="AT235" s="11">
        <v>2</v>
      </c>
      <c r="AU235" s="11"/>
      <c r="AV235" s="11">
        <v>1</v>
      </c>
      <c r="AW235" s="8">
        <f t="shared" si="21"/>
        <v>17</v>
      </c>
      <c r="AX235" s="85">
        <v>1037.95</v>
      </c>
      <c r="AY235" s="86">
        <v>1840</v>
      </c>
      <c r="AZ235" s="82">
        <v>1672</v>
      </c>
      <c r="BA235" s="82">
        <v>1672</v>
      </c>
      <c r="BB235" s="82">
        <v>2400</v>
      </c>
      <c r="BC235" s="82">
        <v>319.2</v>
      </c>
      <c r="BD235" s="82">
        <v>1672</v>
      </c>
      <c r="BE235" s="82">
        <v>1672</v>
      </c>
      <c r="BF235" s="82">
        <v>1672</v>
      </c>
      <c r="BG235" s="82">
        <v>264</v>
      </c>
      <c r="BH235" s="82">
        <v>264</v>
      </c>
      <c r="BI235" s="82">
        <v>264</v>
      </c>
      <c r="BJ235" s="82">
        <v>264</v>
      </c>
      <c r="BK235" s="82">
        <v>264</v>
      </c>
      <c r="BL235" s="82">
        <v>264</v>
      </c>
      <c r="BM235" s="82">
        <v>264</v>
      </c>
      <c r="BN235" s="82">
        <v>1840</v>
      </c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</row>
    <row r="236" spans="1:138" x14ac:dyDescent="0.25">
      <c r="A236" s="10" t="s">
        <v>103</v>
      </c>
      <c r="B236" s="11">
        <v>28</v>
      </c>
      <c r="C236" s="11">
        <v>3</v>
      </c>
      <c r="D236" s="11">
        <v>36</v>
      </c>
      <c r="E236" s="11">
        <v>4</v>
      </c>
      <c r="F236" s="11"/>
      <c r="G236" s="11"/>
      <c r="H236" s="11">
        <v>8</v>
      </c>
      <c r="I236" s="11"/>
      <c r="J236" s="11">
        <v>4</v>
      </c>
      <c r="K236" s="11"/>
      <c r="L236" s="11">
        <v>3</v>
      </c>
      <c r="M236" s="11">
        <v>5</v>
      </c>
      <c r="N236" s="11">
        <v>1</v>
      </c>
      <c r="O236" s="11"/>
      <c r="P236" s="11"/>
      <c r="Q236" s="11"/>
      <c r="R236" s="11">
        <v>11</v>
      </c>
      <c r="S236" s="11"/>
      <c r="T236" s="11">
        <v>2</v>
      </c>
      <c r="U236" s="11"/>
      <c r="V236" s="11">
        <v>1</v>
      </c>
      <c r="W236" s="11"/>
      <c r="X236" s="11">
        <v>1</v>
      </c>
      <c r="Y236" s="8">
        <f t="shared" si="24"/>
        <v>36</v>
      </c>
      <c r="Z236" s="11">
        <v>23</v>
      </c>
      <c r="AA236" s="11">
        <v>3</v>
      </c>
      <c r="AB236" s="11">
        <v>30</v>
      </c>
      <c r="AC236" s="11">
        <v>4</v>
      </c>
      <c r="AD236" s="11"/>
      <c r="AE236" s="11"/>
      <c r="AF236" s="11">
        <v>6</v>
      </c>
      <c r="AG236" s="11"/>
      <c r="AH236" s="11">
        <v>4</v>
      </c>
      <c r="AI236" s="11"/>
      <c r="AJ236" s="11">
        <v>2</v>
      </c>
      <c r="AK236" s="11">
        <v>5</v>
      </c>
      <c r="AL236" s="11">
        <v>1</v>
      </c>
      <c r="AM236" s="11"/>
      <c r="AN236" s="11"/>
      <c r="AO236" s="11"/>
      <c r="AP236" s="11">
        <v>8</v>
      </c>
      <c r="AQ236" s="11"/>
      <c r="AR236" s="11">
        <v>2</v>
      </c>
      <c r="AS236" s="11"/>
      <c r="AT236" s="11">
        <v>1</v>
      </c>
      <c r="AU236" s="11"/>
      <c r="AV236" s="11">
        <v>1</v>
      </c>
      <c r="AW236" s="8">
        <f t="shared" si="21"/>
        <v>30</v>
      </c>
      <c r="AX236" s="85">
        <v>3496.913043478261</v>
      </c>
      <c r="AY236" s="86">
        <v>2599</v>
      </c>
      <c r="AZ236" s="82">
        <v>4290</v>
      </c>
      <c r="BA236" s="82">
        <v>3192</v>
      </c>
      <c r="BB236" s="82">
        <v>2872</v>
      </c>
      <c r="BC236" s="82">
        <v>3590</v>
      </c>
      <c r="BD236" s="82">
        <v>2872</v>
      </c>
      <c r="BE236" s="82">
        <v>1868</v>
      </c>
      <c r="BF236" s="82">
        <v>1800</v>
      </c>
      <c r="BG236" s="82">
        <v>2330</v>
      </c>
      <c r="BH236" s="82">
        <v>4290</v>
      </c>
      <c r="BI236" s="82">
        <v>1440</v>
      </c>
      <c r="BJ236" s="82">
        <v>2872</v>
      </c>
      <c r="BK236" s="82">
        <v>264</v>
      </c>
      <c r="BL236" s="82">
        <v>2872</v>
      </c>
      <c r="BM236" s="82">
        <v>3590</v>
      </c>
      <c r="BN236" s="82">
        <v>3590</v>
      </c>
      <c r="BO236" s="82">
        <v>2920</v>
      </c>
      <c r="BP236" s="82">
        <v>3000</v>
      </c>
      <c r="BQ236" s="82">
        <v>7300</v>
      </c>
      <c r="BR236" s="82">
        <v>2872</v>
      </c>
      <c r="BS236" s="82">
        <v>3590</v>
      </c>
      <c r="BT236" s="82">
        <v>4224</v>
      </c>
      <c r="BU236" s="82">
        <v>12192</v>
      </c>
      <c r="BV236" s="82"/>
      <c r="BW236" s="82"/>
      <c r="BX236" s="82"/>
      <c r="BY236" s="82"/>
      <c r="BZ236" s="82"/>
      <c r="CA236" s="82"/>
      <c r="CB236" s="82"/>
    </row>
    <row r="237" spans="1:138" x14ac:dyDescent="0.25">
      <c r="A237" s="10" t="s">
        <v>104</v>
      </c>
      <c r="B237" s="11">
        <v>15</v>
      </c>
      <c r="C237" s="11">
        <v>3</v>
      </c>
      <c r="D237" s="11">
        <v>22</v>
      </c>
      <c r="E237" s="11">
        <v>9</v>
      </c>
      <c r="F237" s="11"/>
      <c r="G237" s="11"/>
      <c r="H237" s="11">
        <v>7</v>
      </c>
      <c r="I237" s="11"/>
      <c r="J237" s="11"/>
      <c r="K237" s="11">
        <v>2</v>
      </c>
      <c r="L237" s="11">
        <v>1</v>
      </c>
      <c r="M237" s="11"/>
      <c r="N237" s="11"/>
      <c r="O237" s="11">
        <v>3</v>
      </c>
      <c r="P237" s="11">
        <v>1</v>
      </c>
      <c r="Q237" s="11"/>
      <c r="R237" s="11">
        <v>1</v>
      </c>
      <c r="S237" s="11"/>
      <c r="T237" s="11">
        <v>7</v>
      </c>
      <c r="U237" s="11"/>
      <c r="V237" s="11"/>
      <c r="W237" s="11"/>
      <c r="X237" s="11"/>
      <c r="Y237" s="8">
        <f t="shared" si="24"/>
        <v>22</v>
      </c>
      <c r="Z237" s="11">
        <v>13</v>
      </c>
      <c r="AA237" s="11">
        <v>3</v>
      </c>
      <c r="AB237" s="11">
        <v>20</v>
      </c>
      <c r="AC237" s="11">
        <v>9</v>
      </c>
      <c r="AD237" s="11"/>
      <c r="AE237" s="11"/>
      <c r="AF237" s="11">
        <v>7</v>
      </c>
      <c r="AG237" s="11"/>
      <c r="AH237" s="11"/>
      <c r="AI237" s="11"/>
      <c r="AJ237" s="11">
        <v>1</v>
      </c>
      <c r="AK237" s="11"/>
      <c r="AL237" s="11"/>
      <c r="AM237" s="11">
        <v>3</v>
      </c>
      <c r="AN237" s="11">
        <v>1</v>
      </c>
      <c r="AO237" s="11"/>
      <c r="AP237" s="11">
        <v>1</v>
      </c>
      <c r="AQ237" s="11"/>
      <c r="AR237" s="11">
        <v>7</v>
      </c>
      <c r="AS237" s="11"/>
      <c r="AT237" s="11"/>
      <c r="AU237" s="11"/>
      <c r="AV237" s="11"/>
      <c r="AW237" s="8">
        <f t="shared" si="21"/>
        <v>20</v>
      </c>
      <c r="AX237" s="85">
        <v>2483.3076923076924</v>
      </c>
      <c r="AY237" s="86">
        <v>1912</v>
      </c>
      <c r="AZ237" s="82">
        <v>1912</v>
      </c>
      <c r="BA237" s="82">
        <v>1672</v>
      </c>
      <c r="BB237" s="82">
        <v>1912</v>
      </c>
      <c r="BC237" s="82">
        <v>1912</v>
      </c>
      <c r="BD237" s="82">
        <v>4845</v>
      </c>
      <c r="BE237" s="82">
        <v>8750</v>
      </c>
      <c r="BF237" s="82">
        <v>952</v>
      </c>
      <c r="BG237" s="82">
        <v>1080</v>
      </c>
      <c r="BH237" s="82">
        <v>1840</v>
      </c>
      <c r="BI237" s="82">
        <v>1672</v>
      </c>
      <c r="BJ237" s="82">
        <v>1912</v>
      </c>
      <c r="BK237" s="82">
        <v>1912</v>
      </c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</row>
    <row r="238" spans="1:138" x14ac:dyDescent="0.25">
      <c r="A238" s="10" t="s">
        <v>105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8">
        <f t="shared" si="24"/>
        <v>0</v>
      </c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8">
        <f t="shared" si="21"/>
        <v>0</v>
      </c>
      <c r="AX238" s="85"/>
      <c r="AY238" s="86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</row>
    <row r="239" spans="1:138" x14ac:dyDescent="0.25">
      <c r="A239" s="10" t="s">
        <v>106</v>
      </c>
      <c r="B239" s="11">
        <v>35</v>
      </c>
      <c r="C239" s="11">
        <v>3</v>
      </c>
      <c r="D239" s="11">
        <v>36</v>
      </c>
      <c r="E239" s="11">
        <v>3</v>
      </c>
      <c r="F239" s="11"/>
      <c r="G239" s="11"/>
      <c r="H239" s="11">
        <v>5</v>
      </c>
      <c r="I239" s="11"/>
      <c r="J239" s="11"/>
      <c r="K239" s="11">
        <v>2</v>
      </c>
      <c r="L239" s="11">
        <v>2</v>
      </c>
      <c r="M239" s="11"/>
      <c r="N239" s="11">
        <v>2</v>
      </c>
      <c r="O239" s="11">
        <v>3</v>
      </c>
      <c r="P239" s="11"/>
      <c r="Q239" s="11">
        <v>1</v>
      </c>
      <c r="R239" s="11">
        <v>14</v>
      </c>
      <c r="S239" s="11"/>
      <c r="T239" s="11">
        <v>1</v>
      </c>
      <c r="U239" s="11">
        <v>1</v>
      </c>
      <c r="V239" s="11">
        <v>2</v>
      </c>
      <c r="W239" s="11">
        <v>3</v>
      </c>
      <c r="X239" s="11"/>
      <c r="Y239" s="8">
        <f t="shared" si="24"/>
        <v>36</v>
      </c>
      <c r="Z239" s="11">
        <v>24</v>
      </c>
      <c r="AA239" s="11">
        <v>3</v>
      </c>
      <c r="AB239" s="11">
        <v>25</v>
      </c>
      <c r="AC239" s="11">
        <v>3</v>
      </c>
      <c r="AD239" s="11"/>
      <c r="AE239" s="11"/>
      <c r="AF239" s="11">
        <v>4</v>
      </c>
      <c r="AG239" s="11"/>
      <c r="AH239" s="11"/>
      <c r="AI239" s="11">
        <v>1</v>
      </c>
      <c r="AJ239" s="11">
        <v>1</v>
      </c>
      <c r="AK239" s="11"/>
      <c r="AL239" s="11">
        <v>1</v>
      </c>
      <c r="AM239" s="11">
        <v>1</v>
      </c>
      <c r="AN239" s="11"/>
      <c r="AO239" s="11">
        <v>1</v>
      </c>
      <c r="AP239" s="11">
        <v>10</v>
      </c>
      <c r="AQ239" s="11"/>
      <c r="AR239" s="11">
        <v>1</v>
      </c>
      <c r="AS239" s="11">
        <v>1</v>
      </c>
      <c r="AT239" s="11">
        <v>2</v>
      </c>
      <c r="AU239" s="11">
        <v>2</v>
      </c>
      <c r="AV239" s="11"/>
      <c r="AW239" s="8">
        <f t="shared" si="21"/>
        <v>25</v>
      </c>
      <c r="AX239" s="85">
        <v>2275.1666666666665</v>
      </c>
      <c r="AY239" s="86">
        <v>3000</v>
      </c>
      <c r="AZ239" s="82">
        <v>2376</v>
      </c>
      <c r="BA239" s="82">
        <v>2872</v>
      </c>
      <c r="BB239" s="82">
        <v>2552</v>
      </c>
      <c r="BC239" s="82">
        <v>3190</v>
      </c>
      <c r="BD239" s="82">
        <v>3190</v>
      </c>
      <c r="BE239" s="82">
        <v>1100</v>
      </c>
      <c r="BF239" s="82">
        <v>1940</v>
      </c>
      <c r="BG239" s="82">
        <v>970</v>
      </c>
      <c r="BH239" s="82">
        <v>1432</v>
      </c>
      <c r="BI239" s="82">
        <v>1352</v>
      </c>
      <c r="BJ239" s="82">
        <v>1112</v>
      </c>
      <c r="BK239" s="82">
        <v>2552</v>
      </c>
      <c r="BL239" s="82">
        <v>800</v>
      </c>
      <c r="BM239" s="82">
        <v>1390</v>
      </c>
      <c r="BN239" s="82">
        <v>3000</v>
      </c>
      <c r="BO239" s="82">
        <v>2552</v>
      </c>
      <c r="BP239" s="82">
        <v>3190</v>
      </c>
      <c r="BQ239" s="82">
        <v>3190</v>
      </c>
      <c r="BR239" s="82">
        <v>2552</v>
      </c>
      <c r="BS239" s="82">
        <v>3190</v>
      </c>
      <c r="BT239" s="82">
        <v>3190</v>
      </c>
      <c r="BU239" s="82">
        <v>1120</v>
      </c>
      <c r="BV239" s="82">
        <v>2792</v>
      </c>
      <c r="BW239" s="82"/>
      <c r="BX239" s="82"/>
      <c r="BY239" s="82"/>
      <c r="BZ239" s="82"/>
      <c r="CA239" s="82"/>
      <c r="CB239" s="82"/>
    </row>
    <row r="240" spans="1:138" x14ac:dyDescent="0.25">
      <c r="A240" s="10" t="s">
        <v>107</v>
      </c>
      <c r="B240" s="11">
        <v>4</v>
      </c>
      <c r="C240" s="11">
        <v>2</v>
      </c>
      <c r="D240" s="11">
        <v>7</v>
      </c>
      <c r="E240" s="11">
        <v>2</v>
      </c>
      <c r="F240" s="11"/>
      <c r="G240" s="11"/>
      <c r="H240" s="11">
        <v>4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>
        <v>1</v>
      </c>
      <c r="S240" s="11"/>
      <c r="T240" s="11">
        <v>1</v>
      </c>
      <c r="U240" s="11"/>
      <c r="V240" s="11"/>
      <c r="W240" s="11"/>
      <c r="X240" s="11">
        <v>1</v>
      </c>
      <c r="Y240" s="8">
        <f t="shared" si="24"/>
        <v>7</v>
      </c>
      <c r="Z240" s="11">
        <v>1</v>
      </c>
      <c r="AA240" s="11">
        <v>1</v>
      </c>
      <c r="AB240" s="11">
        <v>1</v>
      </c>
      <c r="AC240" s="11">
        <v>1</v>
      </c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>
        <v>1</v>
      </c>
      <c r="AQ240" s="11"/>
      <c r="AR240" s="11"/>
      <c r="AS240" s="11"/>
      <c r="AT240" s="11"/>
      <c r="AU240" s="11"/>
      <c r="AV240" s="11"/>
      <c r="AW240" s="8">
        <f t="shared" si="21"/>
        <v>1</v>
      </c>
      <c r="AX240" s="85">
        <v>264</v>
      </c>
      <c r="AY240" s="86">
        <v>264</v>
      </c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</row>
    <row r="241" spans="1:75" x14ac:dyDescent="0.25">
      <c r="A241" s="10" t="s">
        <v>108</v>
      </c>
      <c r="B241" s="11">
        <v>6</v>
      </c>
      <c r="C241" s="11">
        <v>1</v>
      </c>
      <c r="D241" s="11">
        <v>6</v>
      </c>
      <c r="E241" s="11">
        <v>1</v>
      </c>
      <c r="F241" s="11"/>
      <c r="G241" s="11"/>
      <c r="H241" s="11">
        <v>1</v>
      </c>
      <c r="I241" s="11"/>
      <c r="J241" s="11"/>
      <c r="K241" s="11">
        <v>2</v>
      </c>
      <c r="L241" s="11"/>
      <c r="M241" s="11">
        <v>2</v>
      </c>
      <c r="N241" s="11"/>
      <c r="O241" s="11"/>
      <c r="P241" s="11"/>
      <c r="Q241" s="11"/>
      <c r="R241" s="11">
        <v>1</v>
      </c>
      <c r="S241" s="11"/>
      <c r="T241" s="11"/>
      <c r="U241" s="11"/>
      <c r="V241" s="11"/>
      <c r="W241" s="11"/>
      <c r="X241" s="11"/>
      <c r="Y241" s="8">
        <f t="shared" si="24"/>
        <v>6</v>
      </c>
      <c r="Z241" s="11">
        <v>4</v>
      </c>
      <c r="AA241" s="11">
        <v>1</v>
      </c>
      <c r="AB241" s="11">
        <v>4</v>
      </c>
      <c r="AC241" s="11">
        <v>1</v>
      </c>
      <c r="AD241" s="11"/>
      <c r="AE241" s="11"/>
      <c r="AF241" s="11">
        <v>1</v>
      </c>
      <c r="AG241" s="11"/>
      <c r="AH241" s="11"/>
      <c r="AI241" s="11">
        <v>2</v>
      </c>
      <c r="AJ241" s="11"/>
      <c r="AK241" s="11"/>
      <c r="AL241" s="11"/>
      <c r="AM241" s="11"/>
      <c r="AN241" s="11"/>
      <c r="AO241" s="11"/>
      <c r="AP241" s="11">
        <v>1</v>
      </c>
      <c r="AQ241" s="11"/>
      <c r="AR241" s="11"/>
      <c r="AS241" s="11"/>
      <c r="AT241" s="11"/>
      <c r="AU241" s="11"/>
      <c r="AV241" s="11"/>
      <c r="AW241" s="8">
        <f t="shared" si="21"/>
        <v>4</v>
      </c>
      <c r="AX241" s="85">
        <v>1776.5</v>
      </c>
      <c r="AY241" s="86">
        <v>1672</v>
      </c>
      <c r="AZ241" s="82">
        <v>2090</v>
      </c>
      <c r="BA241" s="82">
        <v>1672</v>
      </c>
      <c r="BB241" s="82">
        <v>1672</v>
      </c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</row>
    <row r="242" spans="1:75" x14ac:dyDescent="0.25">
      <c r="A242" s="10" t="s">
        <v>109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8">
        <f t="shared" si="24"/>
        <v>0</v>
      </c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8">
        <f t="shared" si="21"/>
        <v>0</v>
      </c>
      <c r="AX242" s="85"/>
      <c r="AY242" s="86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</row>
    <row r="243" spans="1:75" x14ac:dyDescent="0.25">
      <c r="A243" s="10" t="s">
        <v>110</v>
      </c>
      <c r="B243" s="11">
        <v>1</v>
      </c>
      <c r="C243" s="11">
        <v>1</v>
      </c>
      <c r="D243" s="11">
        <v>1</v>
      </c>
      <c r="E243" s="11">
        <v>1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>
        <v>1</v>
      </c>
      <c r="S243" s="11"/>
      <c r="T243" s="11"/>
      <c r="U243" s="11"/>
      <c r="V243" s="11"/>
      <c r="W243" s="11"/>
      <c r="X243" s="11"/>
      <c r="Y243" s="8">
        <f t="shared" si="24"/>
        <v>1</v>
      </c>
      <c r="Z243" s="11">
        <v>1</v>
      </c>
      <c r="AA243" s="11">
        <v>1</v>
      </c>
      <c r="AB243" s="11">
        <v>1</v>
      </c>
      <c r="AC243" s="11">
        <v>1</v>
      </c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>
        <v>1</v>
      </c>
      <c r="AQ243" s="11"/>
      <c r="AR243" s="11"/>
      <c r="AS243" s="11"/>
      <c r="AT243" s="11"/>
      <c r="AU243" s="11"/>
      <c r="AV243" s="11"/>
      <c r="AW243" s="8">
        <f t="shared" si="21"/>
        <v>1</v>
      </c>
      <c r="AX243" s="85">
        <v>264</v>
      </c>
      <c r="AY243" s="86">
        <v>264</v>
      </c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</row>
    <row r="244" spans="1:75" x14ac:dyDescent="0.25">
      <c r="A244" s="10" t="s">
        <v>111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8">
        <f t="shared" si="24"/>
        <v>0</v>
      </c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8">
        <f t="shared" si="21"/>
        <v>0</v>
      </c>
      <c r="AX244" s="14"/>
    </row>
    <row r="245" spans="1:75" x14ac:dyDescent="0.25">
      <c r="A245" s="10" t="s">
        <v>112</v>
      </c>
      <c r="B245" s="16">
        <v>13</v>
      </c>
      <c r="C245" s="16">
        <v>8</v>
      </c>
      <c r="D245" s="16">
        <v>16</v>
      </c>
      <c r="E245" s="16">
        <v>8</v>
      </c>
      <c r="F245" s="16"/>
      <c r="G245" s="16"/>
      <c r="H245" s="16">
        <v>3</v>
      </c>
      <c r="I245" s="16"/>
      <c r="J245" s="16"/>
      <c r="K245" s="16"/>
      <c r="L245" s="16"/>
      <c r="M245" s="16"/>
      <c r="N245" s="16">
        <v>2</v>
      </c>
      <c r="O245" s="16">
        <v>3</v>
      </c>
      <c r="P245" s="16"/>
      <c r="Q245" s="16"/>
      <c r="R245" s="16"/>
      <c r="S245" s="16"/>
      <c r="T245" s="16">
        <v>7</v>
      </c>
      <c r="U245" s="16"/>
      <c r="V245" s="16">
        <v>1</v>
      </c>
      <c r="W245" s="16"/>
      <c r="X245" s="16"/>
      <c r="Y245" s="8">
        <f t="shared" si="24"/>
        <v>16</v>
      </c>
      <c r="Z245" s="16">
        <v>9</v>
      </c>
      <c r="AA245" s="16">
        <v>7</v>
      </c>
      <c r="AB245" s="16">
        <v>12</v>
      </c>
      <c r="AC245" s="16">
        <v>7</v>
      </c>
      <c r="AD245" s="16"/>
      <c r="AE245" s="16"/>
      <c r="AF245" s="16">
        <v>3</v>
      </c>
      <c r="AG245" s="16"/>
      <c r="AH245" s="16"/>
      <c r="AI245" s="16"/>
      <c r="AJ245" s="16"/>
      <c r="AK245" s="16"/>
      <c r="AL245" s="16">
        <v>2</v>
      </c>
      <c r="AM245" s="16"/>
      <c r="AN245" s="16"/>
      <c r="AO245" s="16"/>
      <c r="AP245" s="16"/>
      <c r="AQ245" s="16"/>
      <c r="AR245" s="16">
        <v>6</v>
      </c>
      <c r="AS245" s="16"/>
      <c r="AT245" s="16">
        <v>1</v>
      </c>
      <c r="AU245" s="16"/>
      <c r="AV245" s="16"/>
      <c r="AW245" s="8">
        <f t="shared" si="21"/>
        <v>12</v>
      </c>
      <c r="AX245" s="14">
        <v>839.11111111111109</v>
      </c>
      <c r="AY245">
        <v>3000</v>
      </c>
      <c r="AZ245" s="82">
        <v>264</v>
      </c>
      <c r="BA245" s="82">
        <v>344</v>
      </c>
      <c r="BB245" s="82">
        <v>264</v>
      </c>
      <c r="BC245" s="82">
        <v>344</v>
      </c>
      <c r="BD245" s="82">
        <v>264</v>
      </c>
      <c r="BE245" s="82">
        <v>264</v>
      </c>
      <c r="BF245" s="82">
        <v>2632</v>
      </c>
      <c r="BG245" s="82">
        <v>176</v>
      </c>
    </row>
    <row r="246" spans="1:75" x14ac:dyDescent="0.25">
      <c r="A246" s="10" t="s">
        <v>113</v>
      </c>
      <c r="B246" s="16">
        <v>7</v>
      </c>
      <c r="C246" s="16">
        <v>1</v>
      </c>
      <c r="D246" s="16">
        <v>7</v>
      </c>
      <c r="E246" s="16">
        <v>1</v>
      </c>
      <c r="F246" s="16"/>
      <c r="G246" s="16"/>
      <c r="H246" s="16">
        <v>2</v>
      </c>
      <c r="I246" s="16">
        <v>1</v>
      </c>
      <c r="J246" s="16"/>
      <c r="K246" s="16"/>
      <c r="L246" s="16">
        <v>1</v>
      </c>
      <c r="M246" s="16"/>
      <c r="N246" s="16"/>
      <c r="O246" s="16"/>
      <c r="P246" s="16"/>
      <c r="Q246" s="16"/>
      <c r="R246" s="16">
        <v>2</v>
      </c>
      <c r="S246" s="16"/>
      <c r="T246" s="16"/>
      <c r="U246" s="16"/>
      <c r="V246" s="16"/>
      <c r="W246" s="16"/>
      <c r="X246" s="16">
        <v>1</v>
      </c>
      <c r="Y246" s="8">
        <f t="shared" si="24"/>
        <v>7</v>
      </c>
      <c r="Z246" s="16">
        <v>5</v>
      </c>
      <c r="AA246" s="16">
        <v>1</v>
      </c>
      <c r="AB246" s="16">
        <v>5</v>
      </c>
      <c r="AC246" s="16">
        <v>1</v>
      </c>
      <c r="AD246" s="16"/>
      <c r="AE246" s="16"/>
      <c r="AF246" s="16">
        <v>2</v>
      </c>
      <c r="AG246" s="16">
        <v>1</v>
      </c>
      <c r="AH246" s="16"/>
      <c r="AI246" s="16"/>
      <c r="AJ246" s="16"/>
      <c r="AK246" s="16"/>
      <c r="AL246" s="16"/>
      <c r="AM246" s="16"/>
      <c r="AN246" s="16"/>
      <c r="AO246" s="16"/>
      <c r="AP246" s="16">
        <v>2</v>
      </c>
      <c r="AQ246" s="16"/>
      <c r="AR246" s="16"/>
      <c r="AS246" s="16"/>
      <c r="AT246" s="16"/>
      <c r="AU246" s="16"/>
      <c r="AV246" s="16"/>
      <c r="AW246" s="8">
        <f t="shared" si="21"/>
        <v>5</v>
      </c>
      <c r="AX246" s="14">
        <v>1479.2</v>
      </c>
      <c r="AY246">
        <v>1090</v>
      </c>
      <c r="AZ246" s="100">
        <v>2290</v>
      </c>
      <c r="BA246" s="99">
        <v>264</v>
      </c>
      <c r="BB246" s="99">
        <v>1920</v>
      </c>
      <c r="BC246" s="99">
        <v>1832</v>
      </c>
      <c r="BD246" s="99"/>
      <c r="BE246" s="99"/>
      <c r="BF246" s="99"/>
      <c r="BG246" s="99"/>
    </row>
    <row r="247" spans="1:75" s="17" customFormat="1" x14ac:dyDescent="0.25">
      <c r="A247" s="50" t="s">
        <v>56</v>
      </c>
      <c r="B247" s="17">
        <f t="shared" ref="B247:AW247" si="29">B6+B26+B44+B63+B73+B94+B178+B181+B195+B223+B231</f>
        <v>1431</v>
      </c>
      <c r="C247" s="17">
        <f t="shared" si="29"/>
        <v>250</v>
      </c>
      <c r="D247" s="17">
        <f t="shared" si="29"/>
        <v>4884</v>
      </c>
      <c r="E247" s="17">
        <f t="shared" si="29"/>
        <v>833</v>
      </c>
      <c r="F247" s="17">
        <f t="shared" si="29"/>
        <v>0</v>
      </c>
      <c r="G247" s="17">
        <f t="shared" si="29"/>
        <v>12</v>
      </c>
      <c r="H247" s="17">
        <f t="shared" si="29"/>
        <v>1131</v>
      </c>
      <c r="I247" s="17">
        <f t="shared" si="29"/>
        <v>11</v>
      </c>
      <c r="J247" s="17">
        <f t="shared" si="29"/>
        <v>27</v>
      </c>
      <c r="K247" s="17">
        <f t="shared" si="29"/>
        <v>303</v>
      </c>
      <c r="L247" s="17">
        <f t="shared" si="29"/>
        <v>299</v>
      </c>
      <c r="M247" s="17">
        <f t="shared" si="29"/>
        <v>64</v>
      </c>
      <c r="N247" s="17">
        <f t="shared" si="29"/>
        <v>282</v>
      </c>
      <c r="O247" s="17">
        <f t="shared" si="29"/>
        <v>100</v>
      </c>
      <c r="P247" s="17">
        <f t="shared" si="29"/>
        <v>44</v>
      </c>
      <c r="Q247" s="17">
        <f t="shared" si="29"/>
        <v>10</v>
      </c>
      <c r="R247" s="17">
        <f t="shared" si="29"/>
        <v>128</v>
      </c>
      <c r="S247" s="17">
        <f t="shared" si="29"/>
        <v>22</v>
      </c>
      <c r="T247" s="17">
        <f t="shared" si="29"/>
        <v>272</v>
      </c>
      <c r="U247" s="17">
        <f t="shared" si="29"/>
        <v>395</v>
      </c>
      <c r="V247" s="17">
        <f t="shared" si="29"/>
        <v>1236</v>
      </c>
      <c r="W247" s="17">
        <f t="shared" si="29"/>
        <v>31</v>
      </c>
      <c r="X247" s="17">
        <f t="shared" si="29"/>
        <v>517</v>
      </c>
      <c r="Y247" s="17">
        <f t="shared" si="29"/>
        <v>4884</v>
      </c>
      <c r="Z247" s="17">
        <f t="shared" si="29"/>
        <v>887</v>
      </c>
      <c r="AA247" s="17">
        <f t="shared" si="29"/>
        <v>170</v>
      </c>
      <c r="AB247" s="18">
        <f>AB6+AB26+AB44+AB63+AB73+AB94+AB178+AB181+AB195+AB223+AB231</f>
        <v>2954</v>
      </c>
      <c r="AC247" s="17">
        <f t="shared" si="29"/>
        <v>515</v>
      </c>
      <c r="AD247" s="17">
        <f t="shared" si="29"/>
        <v>0</v>
      </c>
      <c r="AE247" s="17">
        <f t="shared" si="29"/>
        <v>6</v>
      </c>
      <c r="AF247" s="17">
        <f t="shared" si="29"/>
        <v>584</v>
      </c>
      <c r="AG247" s="17">
        <f t="shared" si="29"/>
        <v>8</v>
      </c>
      <c r="AH247" s="17">
        <f t="shared" si="29"/>
        <v>19</v>
      </c>
      <c r="AI247" s="17">
        <f t="shared" si="29"/>
        <v>205</v>
      </c>
      <c r="AJ247" s="17">
        <f t="shared" si="29"/>
        <v>169</v>
      </c>
      <c r="AK247" s="17">
        <f t="shared" si="29"/>
        <v>44</v>
      </c>
      <c r="AL247" s="17">
        <f t="shared" si="29"/>
        <v>178</v>
      </c>
      <c r="AM247" s="17">
        <f t="shared" si="29"/>
        <v>56</v>
      </c>
      <c r="AN247" s="17">
        <f t="shared" si="29"/>
        <v>44</v>
      </c>
      <c r="AO247" s="17">
        <f t="shared" si="29"/>
        <v>7</v>
      </c>
      <c r="AP247" s="17">
        <f t="shared" si="29"/>
        <v>95</v>
      </c>
      <c r="AQ247" s="17">
        <f t="shared" si="29"/>
        <v>3</v>
      </c>
      <c r="AR247" s="17">
        <f t="shared" si="29"/>
        <v>149</v>
      </c>
      <c r="AS247" s="17">
        <f t="shared" si="29"/>
        <v>281</v>
      </c>
      <c r="AT247" s="17">
        <f t="shared" si="29"/>
        <v>897</v>
      </c>
      <c r="AU247" s="17">
        <f t="shared" si="29"/>
        <v>6</v>
      </c>
      <c r="AV247" s="17">
        <f t="shared" si="29"/>
        <v>203</v>
      </c>
      <c r="AW247" s="17">
        <f t="shared" si="29"/>
        <v>2954</v>
      </c>
      <c r="AX247" s="66"/>
      <c r="AY247" s="19"/>
      <c r="AZ247" s="101"/>
      <c r="BA247" s="102"/>
      <c r="BB247" s="103"/>
      <c r="BC247" s="103"/>
      <c r="BD247" s="103"/>
      <c r="BE247" s="103"/>
      <c r="BF247" s="103"/>
      <c r="BG247" s="104"/>
      <c r="BH247" s="105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</row>
    <row r="250" spans="1:75" x14ac:dyDescent="0.25">
      <c r="A250" s="51"/>
    </row>
  </sheetData>
  <autoFilter ref="A4:GL247" xr:uid="{00000000-0009-0000-0000-000005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</autoFilter>
  <mergeCells count="4">
    <mergeCell ref="B4:C4"/>
    <mergeCell ref="D4:Y4"/>
    <mergeCell ref="Z4:AA4"/>
    <mergeCell ref="AB4:A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FG247"/>
  <sheetViews>
    <sheetView workbookViewId="0">
      <pane ySplit="5" topLeftCell="A15" activePane="bottomLeft" state="frozen"/>
      <selection activeCell="A5" sqref="A5"/>
      <selection pane="bottomLeft" activeCell="K22" sqref="K22"/>
    </sheetView>
  </sheetViews>
  <sheetFormatPr defaultColWidth="8.85546875" defaultRowHeight="15" x14ac:dyDescent="0.25"/>
  <cols>
    <col min="1" max="1" width="56.140625" style="112" customWidth="1"/>
    <col min="2" max="2" width="8.28515625" style="112" customWidth="1"/>
    <col min="3" max="3" width="10.7109375" style="112" customWidth="1"/>
    <col min="4" max="4" width="8.5703125" style="112" customWidth="1"/>
    <col min="5" max="5" width="11.5703125" style="112" customWidth="1"/>
    <col min="6" max="7" width="4.7109375" style="112" customWidth="1"/>
    <col min="8" max="8" width="5.28515625" style="112" customWidth="1"/>
    <col min="9" max="21" width="4.7109375" style="112" customWidth="1"/>
    <col min="22" max="22" width="5.42578125" style="112" customWidth="1"/>
    <col min="23" max="23" width="4.7109375" style="112" customWidth="1"/>
    <col min="24" max="24" width="4.140625" style="112" customWidth="1"/>
    <col min="25" max="25" width="6.42578125" style="112" customWidth="1"/>
    <col min="26" max="26" width="9.140625" style="112" customWidth="1"/>
    <col min="27" max="27" width="10.42578125" style="112" customWidth="1"/>
    <col min="28" max="28" width="7.5703125" style="112" customWidth="1"/>
    <col min="29" max="29" width="11.140625" style="112" customWidth="1"/>
    <col min="30" max="30" width="6.7109375" style="112" customWidth="1"/>
    <col min="31" max="31" width="4.28515625" style="112" customWidth="1"/>
    <col min="32" max="32" width="5.42578125" style="112" customWidth="1"/>
    <col min="33" max="33" width="5" style="112" customWidth="1"/>
    <col min="34" max="34" width="4.7109375" style="112" customWidth="1"/>
    <col min="35" max="35" width="4.28515625" style="112" customWidth="1"/>
    <col min="36" max="49" width="6.7109375" style="112" customWidth="1"/>
    <col min="50" max="51" width="16.7109375" style="144" customWidth="1"/>
    <col min="52" max="52" width="16.7109375" style="180" customWidth="1"/>
    <col min="53" max="53" width="16.7109375" style="144" customWidth="1"/>
    <col min="54" max="80" width="8.85546875" style="112" customWidth="1"/>
    <col min="81" max="16384" width="8.85546875" style="112"/>
  </cols>
  <sheetData>
    <row r="1" spans="1:137" ht="28.5" customHeight="1" x14ac:dyDescent="0.25">
      <c r="AZ1" s="144"/>
    </row>
    <row r="2" spans="1:137" ht="32.25" customHeight="1" x14ac:dyDescent="0.25">
      <c r="AZ2" s="144"/>
    </row>
    <row r="3" spans="1:137" ht="25.5" customHeight="1" x14ac:dyDescent="0.25">
      <c r="AZ3" s="144"/>
    </row>
    <row r="4" spans="1:137" s="194" customFormat="1" ht="29.25" customHeight="1" x14ac:dyDescent="0.25">
      <c r="B4" s="195" t="s">
        <v>0</v>
      </c>
      <c r="C4" s="196"/>
      <c r="D4" s="159" t="s">
        <v>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2"/>
      <c r="Z4" s="159" t="s">
        <v>2</v>
      </c>
      <c r="AA4" s="162"/>
      <c r="AB4" s="159" t="s">
        <v>3</v>
      </c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97"/>
      <c r="AY4" s="197"/>
      <c r="AZ4" s="197"/>
      <c r="BA4" s="197"/>
    </row>
    <row r="5" spans="1:137" ht="60" x14ac:dyDescent="0.25">
      <c r="A5" s="198">
        <v>2022</v>
      </c>
      <c r="B5" s="174" t="s">
        <v>5</v>
      </c>
      <c r="C5" s="199" t="s">
        <v>6</v>
      </c>
      <c r="D5" s="174" t="s">
        <v>7</v>
      </c>
      <c r="E5" s="199" t="s">
        <v>6</v>
      </c>
      <c r="F5" s="174" t="s">
        <v>8</v>
      </c>
      <c r="G5" s="174" t="s">
        <v>9</v>
      </c>
      <c r="H5" s="174" t="s">
        <v>10</v>
      </c>
      <c r="I5" s="174" t="s">
        <v>11</v>
      </c>
      <c r="J5" s="174" t="s">
        <v>12</v>
      </c>
      <c r="K5" s="174" t="s">
        <v>13</v>
      </c>
      <c r="L5" s="174" t="s">
        <v>14</v>
      </c>
      <c r="M5" s="174" t="s">
        <v>15</v>
      </c>
      <c r="N5" s="174" t="s">
        <v>16</v>
      </c>
      <c r="O5" s="174" t="s">
        <v>17</v>
      </c>
      <c r="P5" s="174" t="s">
        <v>18</v>
      </c>
      <c r="Q5" s="174" t="s">
        <v>19</v>
      </c>
      <c r="R5" s="174" t="s">
        <v>20</v>
      </c>
      <c r="S5" s="174" t="s">
        <v>21</v>
      </c>
      <c r="T5" s="174" t="s">
        <v>22</v>
      </c>
      <c r="U5" s="174" t="s">
        <v>23</v>
      </c>
      <c r="V5" s="174" t="s">
        <v>24</v>
      </c>
      <c r="W5" s="174" t="s">
        <v>25</v>
      </c>
      <c r="X5" s="174" t="s">
        <v>26</v>
      </c>
      <c r="Y5" s="174"/>
      <c r="Z5" s="174" t="s">
        <v>5</v>
      </c>
      <c r="AA5" s="199" t="s">
        <v>27</v>
      </c>
      <c r="AB5" s="174" t="s">
        <v>7</v>
      </c>
      <c r="AC5" s="199" t="s">
        <v>6</v>
      </c>
      <c r="AD5" s="174" t="s">
        <v>8</v>
      </c>
      <c r="AE5" s="174" t="s">
        <v>9</v>
      </c>
      <c r="AF5" s="174" t="s">
        <v>10</v>
      </c>
      <c r="AG5" s="174" t="s">
        <v>11</v>
      </c>
      <c r="AH5" s="174" t="s">
        <v>12</v>
      </c>
      <c r="AI5" s="174" t="s">
        <v>13</v>
      </c>
      <c r="AJ5" s="174" t="s">
        <v>14</v>
      </c>
      <c r="AK5" s="174" t="s">
        <v>15</v>
      </c>
      <c r="AL5" s="174" t="s">
        <v>16</v>
      </c>
      <c r="AM5" s="174" t="s">
        <v>17</v>
      </c>
      <c r="AN5" s="174" t="s">
        <v>18</v>
      </c>
      <c r="AO5" s="174" t="s">
        <v>19</v>
      </c>
      <c r="AP5" s="174" t="s">
        <v>20</v>
      </c>
      <c r="AQ5" s="174" t="s">
        <v>21</v>
      </c>
      <c r="AR5" s="174" t="s">
        <v>22</v>
      </c>
      <c r="AS5" s="174" t="s">
        <v>23</v>
      </c>
      <c r="AT5" s="174" t="s">
        <v>24</v>
      </c>
      <c r="AU5" s="174" t="s">
        <v>25</v>
      </c>
      <c r="AV5" s="174" t="s">
        <v>26</v>
      </c>
      <c r="AW5" s="174"/>
      <c r="AX5" s="200" t="s">
        <v>28</v>
      </c>
      <c r="AY5" s="181" t="s">
        <v>277</v>
      </c>
      <c r="AZ5" s="182" t="s">
        <v>278</v>
      </c>
      <c r="BA5" s="181" t="s">
        <v>279</v>
      </c>
    </row>
    <row r="6" spans="1:137" x14ac:dyDescent="0.25">
      <c r="A6" s="201" t="s">
        <v>29</v>
      </c>
      <c r="B6" s="174">
        <f t="shared" ref="B6:AW6" si="0">SUM(B7:B25)</f>
        <v>129</v>
      </c>
      <c r="C6" s="174">
        <f t="shared" si="0"/>
        <v>83</v>
      </c>
      <c r="D6" s="174">
        <f t="shared" si="0"/>
        <v>384</v>
      </c>
      <c r="E6" s="174">
        <f t="shared" si="0"/>
        <v>276</v>
      </c>
      <c r="F6" s="174">
        <f t="shared" si="0"/>
        <v>0</v>
      </c>
      <c r="G6" s="174">
        <f t="shared" si="0"/>
        <v>0</v>
      </c>
      <c r="H6" s="174">
        <f t="shared" si="0"/>
        <v>26</v>
      </c>
      <c r="I6" s="174">
        <f t="shared" si="0"/>
        <v>0</v>
      </c>
      <c r="J6" s="174">
        <f t="shared" si="0"/>
        <v>6</v>
      </c>
      <c r="K6" s="174">
        <f t="shared" si="0"/>
        <v>4</v>
      </c>
      <c r="L6" s="174">
        <f t="shared" si="0"/>
        <v>1</v>
      </c>
      <c r="M6" s="174">
        <f t="shared" si="0"/>
        <v>10</v>
      </c>
      <c r="N6" s="174">
        <f t="shared" si="0"/>
        <v>0</v>
      </c>
      <c r="O6" s="174">
        <f t="shared" si="0"/>
        <v>1</v>
      </c>
      <c r="P6" s="174">
        <f t="shared" si="0"/>
        <v>0</v>
      </c>
      <c r="Q6" s="174">
        <f t="shared" si="0"/>
        <v>0</v>
      </c>
      <c r="R6" s="174">
        <f t="shared" si="0"/>
        <v>5</v>
      </c>
      <c r="S6" s="174">
        <f t="shared" si="0"/>
        <v>0</v>
      </c>
      <c r="T6" s="174">
        <f t="shared" si="0"/>
        <v>158</v>
      </c>
      <c r="U6" s="174">
        <f t="shared" si="0"/>
        <v>15</v>
      </c>
      <c r="V6" s="174">
        <f t="shared" si="0"/>
        <v>136</v>
      </c>
      <c r="W6" s="174">
        <f t="shared" si="0"/>
        <v>7</v>
      </c>
      <c r="X6" s="174">
        <f t="shared" si="0"/>
        <v>15</v>
      </c>
      <c r="Y6" s="174">
        <f t="shared" si="0"/>
        <v>384</v>
      </c>
      <c r="Z6" s="174">
        <f t="shared" si="0"/>
        <v>83</v>
      </c>
      <c r="AA6" s="174">
        <f t="shared" si="0"/>
        <v>49</v>
      </c>
      <c r="AB6" s="174">
        <f t="shared" si="0"/>
        <v>217</v>
      </c>
      <c r="AC6" s="174">
        <f t="shared" si="0"/>
        <v>137</v>
      </c>
      <c r="AD6" s="174">
        <f t="shared" si="0"/>
        <v>0</v>
      </c>
      <c r="AE6" s="174">
        <f t="shared" si="0"/>
        <v>0</v>
      </c>
      <c r="AF6" s="174">
        <f t="shared" si="0"/>
        <v>17</v>
      </c>
      <c r="AG6" s="174">
        <f t="shared" si="0"/>
        <v>0</v>
      </c>
      <c r="AH6" s="174">
        <f t="shared" si="0"/>
        <v>3</v>
      </c>
      <c r="AI6" s="174">
        <f t="shared" si="0"/>
        <v>1</v>
      </c>
      <c r="AJ6" s="174">
        <f t="shared" si="0"/>
        <v>1</v>
      </c>
      <c r="AK6" s="174">
        <f t="shared" si="0"/>
        <v>9</v>
      </c>
      <c r="AL6" s="174">
        <f t="shared" si="0"/>
        <v>0</v>
      </c>
      <c r="AM6" s="174">
        <f t="shared" si="0"/>
        <v>1</v>
      </c>
      <c r="AN6" s="174">
        <f t="shared" si="0"/>
        <v>0</v>
      </c>
      <c r="AO6" s="174">
        <f t="shared" si="0"/>
        <v>0</v>
      </c>
      <c r="AP6" s="174">
        <f t="shared" si="0"/>
        <v>3</v>
      </c>
      <c r="AQ6" s="174">
        <f t="shared" si="0"/>
        <v>2</v>
      </c>
      <c r="AR6" s="174">
        <f t="shared" si="0"/>
        <v>79</v>
      </c>
      <c r="AS6" s="174">
        <f t="shared" si="0"/>
        <v>14</v>
      </c>
      <c r="AT6" s="174">
        <f t="shared" si="0"/>
        <v>81</v>
      </c>
      <c r="AU6" s="174">
        <f t="shared" si="0"/>
        <v>1</v>
      </c>
      <c r="AV6" s="174">
        <f t="shared" si="0"/>
        <v>3</v>
      </c>
      <c r="AW6" s="174">
        <f t="shared" si="0"/>
        <v>217</v>
      </c>
      <c r="AX6" s="144">
        <v>2849.54</v>
      </c>
      <c r="AY6" s="156">
        <f>Z6*100/B6</f>
        <v>64.341085271317823</v>
      </c>
      <c r="AZ6" s="185">
        <f>B6-Z6</f>
        <v>46</v>
      </c>
      <c r="BA6" s="156">
        <f>AZ6*100/B6</f>
        <v>35.65891472868217</v>
      </c>
    </row>
    <row r="7" spans="1:137" x14ac:dyDescent="0.25">
      <c r="A7" s="202" t="s">
        <v>151</v>
      </c>
      <c r="B7" s="174">
        <v>39</v>
      </c>
      <c r="C7" s="174">
        <v>25</v>
      </c>
      <c r="D7" s="174">
        <v>88</v>
      </c>
      <c r="E7" s="174">
        <v>55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>
        <v>87</v>
      </c>
      <c r="W7" s="174"/>
      <c r="X7" s="174">
        <v>1</v>
      </c>
      <c r="Y7" s="174">
        <v>88</v>
      </c>
      <c r="Z7" s="174">
        <v>23</v>
      </c>
      <c r="AA7" s="174">
        <v>12</v>
      </c>
      <c r="AB7" s="174">
        <v>64</v>
      </c>
      <c r="AC7" s="174">
        <v>38</v>
      </c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>
        <v>64</v>
      </c>
      <c r="AU7" s="174"/>
      <c r="AV7" s="174"/>
      <c r="AW7" s="174">
        <v>64</v>
      </c>
      <c r="AX7" s="156">
        <v>517.27857142857135</v>
      </c>
      <c r="AY7" s="203"/>
      <c r="AZ7" s="203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</row>
    <row r="8" spans="1:137" x14ac:dyDescent="0.25">
      <c r="A8" s="202" t="s">
        <v>152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205"/>
      <c r="AY8" s="203"/>
      <c r="AZ8" s="203"/>
      <c r="BA8" s="203"/>
    </row>
    <row r="9" spans="1:137" x14ac:dyDescent="0.25">
      <c r="A9" s="202" t="s">
        <v>153</v>
      </c>
      <c r="B9" s="174">
        <v>18</v>
      </c>
      <c r="C9" s="174">
        <v>16</v>
      </c>
      <c r="D9" s="174">
        <v>35</v>
      </c>
      <c r="E9" s="174">
        <v>33</v>
      </c>
      <c r="F9" s="174"/>
      <c r="G9" s="174"/>
      <c r="H9" s="174"/>
      <c r="I9" s="174"/>
      <c r="J9" s="174"/>
      <c r="K9" s="174"/>
      <c r="L9" s="174"/>
      <c r="M9" s="174">
        <v>1</v>
      </c>
      <c r="N9" s="174"/>
      <c r="O9" s="174"/>
      <c r="P9" s="174"/>
      <c r="Q9" s="174"/>
      <c r="R9" s="174">
        <v>1</v>
      </c>
      <c r="S9" s="174"/>
      <c r="T9" s="174">
        <v>21</v>
      </c>
      <c r="U9" s="174">
        <v>1</v>
      </c>
      <c r="V9" s="174">
        <v>8</v>
      </c>
      <c r="W9" s="174">
        <v>3</v>
      </c>
      <c r="X9" s="174"/>
      <c r="Y9" s="174">
        <v>35</v>
      </c>
      <c r="Z9" s="174">
        <v>11</v>
      </c>
      <c r="AA9" s="174">
        <v>10</v>
      </c>
      <c r="AB9" s="174">
        <v>17</v>
      </c>
      <c r="AC9" s="174">
        <v>16</v>
      </c>
      <c r="AD9" s="174"/>
      <c r="AE9" s="174"/>
      <c r="AF9" s="174"/>
      <c r="AG9" s="174"/>
      <c r="AH9" s="174"/>
      <c r="AI9" s="174"/>
      <c r="AJ9" s="174"/>
      <c r="AK9" s="174">
        <v>1</v>
      </c>
      <c r="AL9" s="174"/>
      <c r="AM9" s="174"/>
      <c r="AN9" s="174"/>
      <c r="AO9" s="174"/>
      <c r="AP9" s="174">
        <v>1</v>
      </c>
      <c r="AQ9" s="174"/>
      <c r="AR9" s="174">
        <v>12</v>
      </c>
      <c r="AS9" s="174"/>
      <c r="AT9" s="174">
        <v>1</v>
      </c>
      <c r="AU9" s="174"/>
      <c r="AV9" s="174"/>
      <c r="AW9" s="174">
        <v>17</v>
      </c>
      <c r="AX9" s="205">
        <v>1317.0966666666668</v>
      </c>
      <c r="AY9" s="203"/>
      <c r="AZ9" s="203"/>
      <c r="BA9" s="203"/>
    </row>
    <row r="10" spans="1:137" x14ac:dyDescent="0.25">
      <c r="A10" s="202" t="s">
        <v>154</v>
      </c>
      <c r="B10" s="174">
        <v>23</v>
      </c>
      <c r="C10" s="174">
        <v>13</v>
      </c>
      <c r="D10" s="174">
        <v>31</v>
      </c>
      <c r="E10" s="174">
        <v>18</v>
      </c>
      <c r="F10" s="174"/>
      <c r="G10" s="174"/>
      <c r="H10" s="174">
        <v>1</v>
      </c>
      <c r="I10" s="174"/>
      <c r="J10" s="174"/>
      <c r="K10" s="174">
        <v>4</v>
      </c>
      <c r="L10" s="174">
        <v>1</v>
      </c>
      <c r="M10" s="174">
        <v>1</v>
      </c>
      <c r="N10" s="174"/>
      <c r="O10" s="174">
        <v>1</v>
      </c>
      <c r="P10" s="174"/>
      <c r="Q10" s="174"/>
      <c r="R10" s="174">
        <v>4</v>
      </c>
      <c r="S10" s="174"/>
      <c r="T10" s="174">
        <v>1</v>
      </c>
      <c r="U10" s="174"/>
      <c r="V10" s="174">
        <v>15</v>
      </c>
      <c r="W10" s="174"/>
      <c r="X10" s="174">
        <v>3</v>
      </c>
      <c r="Y10" s="174">
        <v>31</v>
      </c>
      <c r="Z10" s="174">
        <v>16</v>
      </c>
      <c r="AA10" s="174">
        <v>10</v>
      </c>
      <c r="AB10" s="174">
        <v>20</v>
      </c>
      <c r="AC10" s="174">
        <v>15</v>
      </c>
      <c r="AD10" s="174"/>
      <c r="AE10" s="174"/>
      <c r="AF10" s="174">
        <v>1</v>
      </c>
      <c r="AG10" s="174"/>
      <c r="AH10" s="174"/>
      <c r="AI10" s="174">
        <v>1</v>
      </c>
      <c r="AJ10" s="174">
        <v>1</v>
      </c>
      <c r="AK10" s="174"/>
      <c r="AL10" s="174"/>
      <c r="AM10" s="174">
        <v>1</v>
      </c>
      <c r="AN10" s="174"/>
      <c r="AO10" s="174"/>
      <c r="AP10" s="174">
        <v>2</v>
      </c>
      <c r="AQ10" s="174"/>
      <c r="AR10" s="174">
        <v>1</v>
      </c>
      <c r="AS10" s="174"/>
      <c r="AT10" s="174">
        <v>12</v>
      </c>
      <c r="AU10" s="174"/>
      <c r="AV10" s="174">
        <v>1</v>
      </c>
      <c r="AW10" s="174">
        <v>20</v>
      </c>
      <c r="AX10" s="205">
        <v>777.22500000000002</v>
      </c>
      <c r="AY10" s="203"/>
      <c r="AZ10" s="203"/>
      <c r="BA10" s="203"/>
    </row>
    <row r="11" spans="1:137" x14ac:dyDescent="0.25">
      <c r="A11" s="202" t="s">
        <v>155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205"/>
      <c r="AY11" s="203"/>
      <c r="AZ11" s="203"/>
      <c r="BA11" s="203"/>
    </row>
    <row r="12" spans="1:137" x14ac:dyDescent="0.25">
      <c r="A12" s="202" t="s">
        <v>156</v>
      </c>
      <c r="B12" s="174">
        <v>1</v>
      </c>
      <c r="C12" s="174"/>
      <c r="D12" s="174">
        <v>1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>
        <v>1</v>
      </c>
      <c r="U12" s="174"/>
      <c r="V12" s="174"/>
      <c r="W12" s="174"/>
      <c r="X12" s="174"/>
      <c r="Y12" s="174">
        <v>1</v>
      </c>
      <c r="Z12" s="174">
        <v>1</v>
      </c>
      <c r="AA12" s="174"/>
      <c r="AB12" s="174">
        <v>1</v>
      </c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>
        <v>1</v>
      </c>
      <c r="AS12" s="174"/>
      <c r="AT12" s="174"/>
      <c r="AU12" s="174"/>
      <c r="AV12" s="174"/>
      <c r="AW12" s="174">
        <v>1</v>
      </c>
      <c r="AX12" s="205">
        <v>4000</v>
      </c>
      <c r="AY12" s="203"/>
      <c r="AZ12" s="203"/>
      <c r="BA12" s="203"/>
    </row>
    <row r="13" spans="1:137" x14ac:dyDescent="0.25">
      <c r="A13" s="202" t="s">
        <v>157</v>
      </c>
      <c r="B13" s="174">
        <v>2</v>
      </c>
      <c r="C13" s="174"/>
      <c r="D13" s="174">
        <v>2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>
        <v>2</v>
      </c>
      <c r="W13" s="174"/>
      <c r="X13" s="174"/>
      <c r="Y13" s="174">
        <v>2</v>
      </c>
      <c r="Z13" s="174">
        <v>2</v>
      </c>
      <c r="AA13" s="174"/>
      <c r="AB13" s="174">
        <v>2</v>
      </c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>
        <v>2</v>
      </c>
      <c r="AU13" s="174"/>
      <c r="AV13" s="174"/>
      <c r="AW13" s="174">
        <v>2</v>
      </c>
      <c r="AX13" s="205">
        <v>375.2</v>
      </c>
      <c r="AY13" s="203"/>
      <c r="AZ13" s="203"/>
      <c r="BA13" s="203"/>
    </row>
    <row r="14" spans="1:137" x14ac:dyDescent="0.25">
      <c r="A14" s="202" t="s">
        <v>158</v>
      </c>
      <c r="B14" s="174">
        <v>1</v>
      </c>
      <c r="C14" s="174">
        <v>1</v>
      </c>
      <c r="D14" s="174">
        <v>1</v>
      </c>
      <c r="E14" s="174">
        <v>1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>
        <v>1</v>
      </c>
      <c r="W14" s="174"/>
      <c r="X14" s="174"/>
      <c r="Y14" s="174">
        <v>1</v>
      </c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56"/>
      <c r="AY14" s="203"/>
      <c r="AZ14" s="203"/>
      <c r="BA14" s="203"/>
    </row>
    <row r="15" spans="1:137" x14ac:dyDescent="0.25">
      <c r="A15" s="202" t="s">
        <v>77</v>
      </c>
      <c r="B15" s="174">
        <v>1</v>
      </c>
      <c r="C15" s="174"/>
      <c r="D15" s="174">
        <v>8</v>
      </c>
      <c r="E15" s="174"/>
      <c r="F15" s="174"/>
      <c r="G15" s="174"/>
      <c r="H15" s="174"/>
      <c r="I15" s="174"/>
      <c r="J15" s="174"/>
      <c r="K15" s="174"/>
      <c r="L15" s="174"/>
      <c r="M15" s="174">
        <v>8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>
        <v>8</v>
      </c>
      <c r="Z15" s="174">
        <v>1</v>
      </c>
      <c r="AA15" s="174"/>
      <c r="AB15" s="174">
        <v>8</v>
      </c>
      <c r="AC15" s="174"/>
      <c r="AD15" s="174"/>
      <c r="AE15" s="174"/>
      <c r="AF15" s="174"/>
      <c r="AG15" s="174"/>
      <c r="AH15" s="174"/>
      <c r="AI15" s="174"/>
      <c r="AJ15" s="174"/>
      <c r="AK15" s="174">
        <v>8</v>
      </c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>
        <v>8</v>
      </c>
      <c r="AX15" s="156">
        <v>3580</v>
      </c>
      <c r="AY15" s="203"/>
      <c r="AZ15" s="203"/>
      <c r="BA15" s="203"/>
    </row>
    <row r="16" spans="1:137" x14ac:dyDescent="0.25">
      <c r="A16" s="202" t="s">
        <v>78</v>
      </c>
      <c r="B16" s="174">
        <v>22</v>
      </c>
      <c r="C16" s="174">
        <v>19</v>
      </c>
      <c r="D16" s="174">
        <v>138</v>
      </c>
      <c r="E16" s="174">
        <v>135</v>
      </c>
      <c r="F16" s="174"/>
      <c r="G16" s="174"/>
      <c r="H16" s="174"/>
      <c r="I16" s="174"/>
      <c r="J16" s="174">
        <v>1</v>
      </c>
      <c r="K16" s="174"/>
      <c r="L16" s="174"/>
      <c r="M16" s="174"/>
      <c r="N16" s="174"/>
      <c r="O16" s="174"/>
      <c r="P16" s="174"/>
      <c r="Q16" s="174"/>
      <c r="R16" s="174"/>
      <c r="S16" s="174"/>
      <c r="T16" s="174">
        <v>133</v>
      </c>
      <c r="U16" s="174"/>
      <c r="V16" s="174">
        <v>4</v>
      </c>
      <c r="W16" s="174"/>
      <c r="X16" s="174"/>
      <c r="Y16" s="174">
        <v>138</v>
      </c>
      <c r="Z16" s="174">
        <v>14</v>
      </c>
      <c r="AA16" s="174">
        <v>13</v>
      </c>
      <c r="AB16" s="174">
        <v>67</v>
      </c>
      <c r="AC16" s="174">
        <v>64</v>
      </c>
      <c r="AD16" s="174"/>
      <c r="AE16" s="174"/>
      <c r="AF16" s="174"/>
      <c r="AG16" s="174"/>
      <c r="AH16" s="174">
        <v>1</v>
      </c>
      <c r="AI16" s="174"/>
      <c r="AJ16" s="174"/>
      <c r="AK16" s="174"/>
      <c r="AL16" s="174"/>
      <c r="AM16" s="174"/>
      <c r="AN16" s="174"/>
      <c r="AO16" s="174"/>
      <c r="AP16" s="174"/>
      <c r="AQ16" s="174">
        <v>2</v>
      </c>
      <c r="AR16" s="174">
        <v>63</v>
      </c>
      <c r="AS16" s="174"/>
      <c r="AT16" s="174">
        <v>1</v>
      </c>
      <c r="AU16" s="174"/>
      <c r="AV16" s="174"/>
      <c r="AW16" s="174">
        <v>67</v>
      </c>
      <c r="AX16" s="156">
        <v>4549.3477777777771</v>
      </c>
      <c r="AY16" s="203"/>
      <c r="AZ16" s="203"/>
      <c r="BA16" s="203"/>
    </row>
    <row r="17" spans="1:163" x14ac:dyDescent="0.25">
      <c r="A17" s="202" t="s">
        <v>79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205"/>
      <c r="AY17" s="203"/>
      <c r="AZ17" s="203"/>
      <c r="BA17" s="203"/>
    </row>
    <row r="18" spans="1:163" x14ac:dyDescent="0.25">
      <c r="A18" s="202" t="s">
        <v>80</v>
      </c>
      <c r="B18" s="174">
        <v>1</v>
      </c>
      <c r="C18" s="174">
        <v>1</v>
      </c>
      <c r="D18" s="174">
        <v>1</v>
      </c>
      <c r="E18" s="174">
        <v>1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>
        <v>1</v>
      </c>
      <c r="W18" s="174"/>
      <c r="X18" s="174"/>
      <c r="Y18" s="174">
        <v>1</v>
      </c>
      <c r="Z18" s="174">
        <v>1</v>
      </c>
      <c r="AA18" s="174">
        <v>1</v>
      </c>
      <c r="AB18" s="174">
        <v>1</v>
      </c>
      <c r="AC18" s="174">
        <v>1</v>
      </c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>
        <v>1</v>
      </c>
      <c r="AU18" s="174"/>
      <c r="AV18" s="174"/>
      <c r="AW18" s="174">
        <v>1</v>
      </c>
      <c r="AX18" s="205">
        <v>4165.732857142857</v>
      </c>
      <c r="AY18" s="203"/>
      <c r="AZ18" s="203"/>
      <c r="BA18" s="203"/>
    </row>
    <row r="19" spans="1:163" x14ac:dyDescent="0.25">
      <c r="A19" s="202" t="s">
        <v>81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205"/>
      <c r="AY19" s="203"/>
      <c r="AZ19" s="203"/>
      <c r="BA19" s="203"/>
    </row>
    <row r="20" spans="1:163" x14ac:dyDescent="0.25">
      <c r="A20" s="202" t="s">
        <v>82</v>
      </c>
      <c r="B20" s="174">
        <v>4</v>
      </c>
      <c r="C20" s="174">
        <v>3</v>
      </c>
      <c r="D20" s="174">
        <v>14</v>
      </c>
      <c r="E20" s="174">
        <v>6</v>
      </c>
      <c r="F20" s="174"/>
      <c r="G20" s="174"/>
      <c r="H20" s="174">
        <v>8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>
        <v>2</v>
      </c>
      <c r="U20" s="174"/>
      <c r="V20" s="174"/>
      <c r="W20" s="174">
        <v>4</v>
      </c>
      <c r="X20" s="174"/>
      <c r="Y20" s="174">
        <v>14</v>
      </c>
      <c r="Z20" s="174">
        <v>3</v>
      </c>
      <c r="AA20" s="174">
        <v>3</v>
      </c>
      <c r="AB20" s="174">
        <v>3</v>
      </c>
      <c r="AC20" s="174">
        <v>3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>
        <v>2</v>
      </c>
      <c r="AS20" s="174"/>
      <c r="AT20" s="174"/>
      <c r="AU20" s="174">
        <v>1</v>
      </c>
      <c r="AV20" s="174"/>
      <c r="AW20" s="174">
        <v>3</v>
      </c>
      <c r="AX20" s="205">
        <v>282.66666666666669</v>
      </c>
      <c r="AY20" s="203"/>
      <c r="AZ20" s="203"/>
      <c r="BA20" s="203"/>
    </row>
    <row r="21" spans="1:163" x14ac:dyDescent="0.25">
      <c r="A21" s="202" t="s">
        <v>83</v>
      </c>
      <c r="B21" s="174">
        <v>1</v>
      </c>
      <c r="C21" s="174"/>
      <c r="D21" s="174">
        <v>5</v>
      </c>
      <c r="E21" s="174"/>
      <c r="F21" s="174"/>
      <c r="G21" s="174"/>
      <c r="H21" s="174"/>
      <c r="I21" s="174"/>
      <c r="J21" s="174">
        <v>5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>
        <v>5</v>
      </c>
      <c r="Z21" s="174">
        <v>1</v>
      </c>
      <c r="AA21" s="174"/>
      <c r="AB21" s="174">
        <v>2</v>
      </c>
      <c r="AC21" s="174"/>
      <c r="AD21" s="174"/>
      <c r="AE21" s="174"/>
      <c r="AF21" s="174"/>
      <c r="AG21" s="174"/>
      <c r="AH21" s="174">
        <v>2</v>
      </c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>
        <v>2</v>
      </c>
      <c r="AX21" s="205">
        <v>12792</v>
      </c>
      <c r="AY21" s="203"/>
      <c r="AZ21" s="203"/>
      <c r="BA21" s="203"/>
    </row>
    <row r="22" spans="1:163" x14ac:dyDescent="0.25">
      <c r="A22" s="202" t="s">
        <v>84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205"/>
      <c r="AY22" s="203"/>
      <c r="AZ22" s="203"/>
      <c r="BA22" s="203"/>
    </row>
    <row r="23" spans="1:163" x14ac:dyDescent="0.25">
      <c r="A23" s="202" t="s">
        <v>85</v>
      </c>
      <c r="B23" s="174">
        <v>7</v>
      </c>
      <c r="C23" s="174">
        <v>4</v>
      </c>
      <c r="D23" s="174">
        <v>40</v>
      </c>
      <c r="E23" s="174">
        <v>26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>
        <v>14</v>
      </c>
      <c r="V23" s="174">
        <v>17</v>
      </c>
      <c r="W23" s="174"/>
      <c r="X23" s="174">
        <v>9</v>
      </c>
      <c r="Y23" s="174">
        <v>40</v>
      </c>
      <c r="Z23" s="174">
        <v>3</v>
      </c>
      <c r="AA23" s="174"/>
      <c r="AB23" s="174">
        <v>14</v>
      </c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>
        <v>14</v>
      </c>
      <c r="AT23" s="174"/>
      <c r="AU23" s="174"/>
      <c r="AV23" s="174"/>
      <c r="AW23" s="174">
        <v>14</v>
      </c>
      <c r="AX23" s="205">
        <v>466.66666666666669</v>
      </c>
      <c r="AY23" s="203"/>
      <c r="AZ23" s="203"/>
      <c r="BA23" s="203"/>
    </row>
    <row r="24" spans="1:163" x14ac:dyDescent="0.25">
      <c r="A24" s="202" t="s">
        <v>86</v>
      </c>
      <c r="B24" s="174">
        <v>1</v>
      </c>
      <c r="C24" s="174">
        <v>1</v>
      </c>
      <c r="D24" s="174">
        <v>1</v>
      </c>
      <c r="E24" s="174">
        <v>1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>
        <v>1</v>
      </c>
      <c r="W24" s="174"/>
      <c r="X24" s="174"/>
      <c r="Y24" s="174">
        <v>1</v>
      </c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205"/>
      <c r="AY24" s="203"/>
      <c r="AZ24" s="203"/>
      <c r="BA24" s="203"/>
    </row>
    <row r="25" spans="1:163" x14ac:dyDescent="0.25">
      <c r="A25" s="202" t="s">
        <v>87</v>
      </c>
      <c r="B25" s="174">
        <v>8</v>
      </c>
      <c r="C25" s="174"/>
      <c r="D25" s="174">
        <v>19</v>
      </c>
      <c r="E25" s="174"/>
      <c r="F25" s="174"/>
      <c r="G25" s="174"/>
      <c r="H25" s="174">
        <v>17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>
        <v>2</v>
      </c>
      <c r="Y25" s="174">
        <v>19</v>
      </c>
      <c r="Z25" s="174">
        <v>7</v>
      </c>
      <c r="AA25" s="174"/>
      <c r="AB25" s="174">
        <v>18</v>
      </c>
      <c r="AC25" s="174"/>
      <c r="AD25" s="174"/>
      <c r="AE25" s="174"/>
      <c r="AF25" s="174">
        <v>16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>
        <v>2</v>
      </c>
      <c r="AW25" s="174">
        <v>18</v>
      </c>
      <c r="AX25" s="205">
        <v>1371.25</v>
      </c>
      <c r="AY25" s="203"/>
      <c r="AZ25" s="203"/>
      <c r="BA25" s="203"/>
    </row>
    <row r="26" spans="1:163" x14ac:dyDescent="0.25">
      <c r="A26" s="201" t="s">
        <v>30</v>
      </c>
      <c r="B26" s="174">
        <f t="shared" ref="B26:AW26" si="1">SUM(B27:B43)</f>
        <v>571</v>
      </c>
      <c r="C26" s="174">
        <f t="shared" si="1"/>
        <v>98</v>
      </c>
      <c r="D26" s="174">
        <f t="shared" si="1"/>
        <v>2349</v>
      </c>
      <c r="E26" s="174">
        <f t="shared" si="1"/>
        <v>1177</v>
      </c>
      <c r="F26" s="174">
        <f t="shared" si="1"/>
        <v>0</v>
      </c>
      <c r="G26" s="174">
        <f t="shared" si="1"/>
        <v>0</v>
      </c>
      <c r="H26" s="174">
        <f t="shared" si="1"/>
        <v>9</v>
      </c>
      <c r="I26" s="174">
        <f t="shared" si="1"/>
        <v>0</v>
      </c>
      <c r="J26" s="174">
        <f t="shared" si="1"/>
        <v>0</v>
      </c>
      <c r="K26" s="174">
        <f t="shared" si="1"/>
        <v>8</v>
      </c>
      <c r="L26" s="174">
        <f t="shared" si="1"/>
        <v>11</v>
      </c>
      <c r="M26" s="174">
        <f t="shared" si="1"/>
        <v>0</v>
      </c>
      <c r="N26" s="174">
        <f t="shared" si="1"/>
        <v>8</v>
      </c>
      <c r="O26" s="174">
        <f t="shared" si="1"/>
        <v>0</v>
      </c>
      <c r="P26" s="174">
        <f t="shared" si="1"/>
        <v>0</v>
      </c>
      <c r="Q26" s="174">
        <f t="shared" si="1"/>
        <v>3</v>
      </c>
      <c r="R26" s="174">
        <f t="shared" si="1"/>
        <v>1</v>
      </c>
      <c r="S26" s="174">
        <f t="shared" si="1"/>
        <v>0</v>
      </c>
      <c r="T26" s="174">
        <f t="shared" si="1"/>
        <v>0</v>
      </c>
      <c r="U26" s="174">
        <f t="shared" si="1"/>
        <v>25</v>
      </c>
      <c r="V26" s="174">
        <f t="shared" si="1"/>
        <v>2118</v>
      </c>
      <c r="W26" s="174">
        <f t="shared" si="1"/>
        <v>22</v>
      </c>
      <c r="X26" s="174">
        <f t="shared" si="1"/>
        <v>144</v>
      </c>
      <c r="Y26" s="174">
        <f t="shared" si="1"/>
        <v>2349</v>
      </c>
      <c r="Z26" s="174">
        <f t="shared" si="1"/>
        <v>406</v>
      </c>
      <c r="AA26" s="174">
        <f t="shared" si="1"/>
        <v>68</v>
      </c>
      <c r="AB26" s="174">
        <f t="shared" si="1"/>
        <v>1755</v>
      </c>
      <c r="AC26" s="174">
        <f t="shared" si="1"/>
        <v>860</v>
      </c>
      <c r="AD26" s="174">
        <f t="shared" si="1"/>
        <v>0</v>
      </c>
      <c r="AE26" s="174">
        <f t="shared" si="1"/>
        <v>0</v>
      </c>
      <c r="AF26" s="174">
        <f t="shared" si="1"/>
        <v>4</v>
      </c>
      <c r="AG26" s="174">
        <f t="shared" si="1"/>
        <v>0</v>
      </c>
      <c r="AH26" s="174">
        <f t="shared" si="1"/>
        <v>0</v>
      </c>
      <c r="AI26" s="174">
        <f t="shared" si="1"/>
        <v>8</v>
      </c>
      <c r="AJ26" s="174">
        <f t="shared" si="1"/>
        <v>10</v>
      </c>
      <c r="AK26" s="174">
        <f t="shared" si="1"/>
        <v>0</v>
      </c>
      <c r="AL26" s="174">
        <f t="shared" si="1"/>
        <v>0</v>
      </c>
      <c r="AM26" s="174">
        <f t="shared" si="1"/>
        <v>0</v>
      </c>
      <c r="AN26" s="174">
        <f t="shared" si="1"/>
        <v>0</v>
      </c>
      <c r="AO26" s="174">
        <f t="shared" si="1"/>
        <v>1</v>
      </c>
      <c r="AP26" s="174">
        <f t="shared" si="1"/>
        <v>1</v>
      </c>
      <c r="AQ26" s="174">
        <f t="shared" si="1"/>
        <v>0</v>
      </c>
      <c r="AR26" s="174">
        <f t="shared" si="1"/>
        <v>0</v>
      </c>
      <c r="AS26" s="174">
        <f t="shared" si="1"/>
        <v>15</v>
      </c>
      <c r="AT26" s="174">
        <f t="shared" si="1"/>
        <v>1630</v>
      </c>
      <c r="AU26" s="174">
        <f t="shared" si="1"/>
        <v>18</v>
      </c>
      <c r="AV26" s="174">
        <f t="shared" si="1"/>
        <v>68</v>
      </c>
      <c r="AW26" s="174">
        <f t="shared" si="1"/>
        <v>1755</v>
      </c>
      <c r="AX26" s="206">
        <v>2139.2800000000002</v>
      </c>
      <c r="AY26" s="156">
        <f>Z26*100/B26</f>
        <v>71.103327495621713</v>
      </c>
      <c r="AZ26" s="185">
        <f>B26-Z26</f>
        <v>165</v>
      </c>
      <c r="BA26" s="156">
        <f>AZ26*100/B26</f>
        <v>28.896672504378284</v>
      </c>
    </row>
    <row r="27" spans="1:163" x14ac:dyDescent="0.25">
      <c r="A27" s="202" t="s">
        <v>150</v>
      </c>
      <c r="B27" s="174">
        <v>24</v>
      </c>
      <c r="C27" s="174">
        <v>9</v>
      </c>
      <c r="D27" s="174">
        <v>560</v>
      </c>
      <c r="E27" s="174">
        <v>400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>
        <v>552</v>
      </c>
      <c r="W27" s="174"/>
      <c r="X27" s="174">
        <v>8</v>
      </c>
      <c r="Y27" s="174">
        <v>560</v>
      </c>
      <c r="Z27" s="174">
        <v>19</v>
      </c>
      <c r="AA27" s="174">
        <v>8</v>
      </c>
      <c r="AB27" s="174">
        <v>405</v>
      </c>
      <c r="AC27" s="174">
        <v>253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>
        <v>403</v>
      </c>
      <c r="AU27" s="174"/>
      <c r="AV27" s="174">
        <v>2</v>
      </c>
      <c r="AW27" s="174">
        <v>405</v>
      </c>
      <c r="AX27" s="156">
        <v>5576.5222222222228</v>
      </c>
      <c r="AY27" s="203"/>
      <c r="AZ27" s="203"/>
      <c r="BA27" s="203"/>
    </row>
    <row r="28" spans="1:163" x14ac:dyDescent="0.25">
      <c r="A28" s="202" t="s">
        <v>149</v>
      </c>
      <c r="B28" s="174">
        <v>4</v>
      </c>
      <c r="C28" s="174">
        <v>3</v>
      </c>
      <c r="D28" s="174">
        <v>117</v>
      </c>
      <c r="E28" s="174">
        <v>115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>
        <v>2</v>
      </c>
      <c r="V28" s="174">
        <v>115</v>
      </c>
      <c r="W28" s="174"/>
      <c r="X28" s="174"/>
      <c r="Y28" s="174">
        <v>117</v>
      </c>
      <c r="Z28" s="174">
        <v>3</v>
      </c>
      <c r="AA28" s="174">
        <v>2</v>
      </c>
      <c r="AB28" s="174">
        <v>84</v>
      </c>
      <c r="AC28" s="174">
        <v>82</v>
      </c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>
        <v>2</v>
      </c>
      <c r="AT28" s="174">
        <v>82</v>
      </c>
      <c r="AU28" s="174"/>
      <c r="AV28" s="174"/>
      <c r="AW28" s="174">
        <v>84</v>
      </c>
      <c r="AX28" s="205">
        <v>770</v>
      </c>
      <c r="AY28" s="203"/>
      <c r="AZ28" s="203"/>
      <c r="BA28" s="203"/>
    </row>
    <row r="29" spans="1:163" x14ac:dyDescent="0.25">
      <c r="A29" s="202" t="s">
        <v>148</v>
      </c>
      <c r="B29" s="174">
        <v>3</v>
      </c>
      <c r="C29" s="174">
        <v>2</v>
      </c>
      <c r="D29" s="174">
        <v>60</v>
      </c>
      <c r="E29" s="174">
        <v>38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>
        <v>60</v>
      </c>
      <c r="W29" s="174"/>
      <c r="X29" s="174"/>
      <c r="Y29" s="174">
        <v>60</v>
      </c>
      <c r="Z29" s="174">
        <v>3</v>
      </c>
      <c r="AA29" s="174">
        <v>2</v>
      </c>
      <c r="AB29" s="174">
        <v>60</v>
      </c>
      <c r="AC29" s="174">
        <v>38</v>
      </c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>
        <v>60</v>
      </c>
      <c r="AU29" s="174"/>
      <c r="AV29" s="174"/>
      <c r="AW29" s="174">
        <v>60</v>
      </c>
      <c r="AX29" s="205">
        <v>1796</v>
      </c>
      <c r="AY29" s="203"/>
      <c r="AZ29" s="203"/>
      <c r="BA29" s="203"/>
    </row>
    <row r="30" spans="1:163" x14ac:dyDescent="0.25">
      <c r="A30" s="202" t="s">
        <v>147</v>
      </c>
      <c r="B30" s="174">
        <v>396</v>
      </c>
      <c r="C30" s="174">
        <v>67</v>
      </c>
      <c r="D30" s="174">
        <v>990</v>
      </c>
      <c r="E30" s="174">
        <v>280</v>
      </c>
      <c r="F30" s="174"/>
      <c r="G30" s="174"/>
      <c r="H30" s="174">
        <v>9</v>
      </c>
      <c r="I30" s="174"/>
      <c r="J30" s="174"/>
      <c r="K30" s="174">
        <v>8</v>
      </c>
      <c r="L30" s="174">
        <v>10</v>
      </c>
      <c r="M30" s="174"/>
      <c r="N30" s="174"/>
      <c r="O30" s="174"/>
      <c r="P30" s="174"/>
      <c r="Q30" s="174"/>
      <c r="R30" s="174"/>
      <c r="S30" s="174"/>
      <c r="T30" s="174"/>
      <c r="U30" s="174">
        <v>19</v>
      </c>
      <c r="V30" s="174">
        <v>900</v>
      </c>
      <c r="W30" s="174">
        <v>14</v>
      </c>
      <c r="X30" s="174">
        <v>30</v>
      </c>
      <c r="Y30" s="174">
        <v>990</v>
      </c>
      <c r="Z30" s="174">
        <v>298</v>
      </c>
      <c r="AA30" s="174">
        <v>48</v>
      </c>
      <c r="AB30" s="174">
        <v>713</v>
      </c>
      <c r="AC30" s="174">
        <v>186</v>
      </c>
      <c r="AD30" s="174"/>
      <c r="AE30" s="174"/>
      <c r="AF30" s="174">
        <v>4</v>
      </c>
      <c r="AG30" s="174"/>
      <c r="AH30" s="174"/>
      <c r="AI30" s="174">
        <v>8</v>
      </c>
      <c r="AJ30" s="174">
        <v>10</v>
      </c>
      <c r="AK30" s="174"/>
      <c r="AL30" s="174"/>
      <c r="AM30" s="174"/>
      <c r="AN30" s="174"/>
      <c r="AO30" s="174"/>
      <c r="AP30" s="174"/>
      <c r="AQ30" s="174"/>
      <c r="AR30" s="174"/>
      <c r="AS30" s="174">
        <v>11</v>
      </c>
      <c r="AT30" s="174">
        <v>656</v>
      </c>
      <c r="AU30" s="174">
        <v>14</v>
      </c>
      <c r="AV30" s="174">
        <v>10</v>
      </c>
      <c r="AW30" s="174">
        <v>713</v>
      </c>
      <c r="AX30" s="156">
        <v>2854</v>
      </c>
      <c r="AY30" s="203"/>
      <c r="AZ30" s="203"/>
      <c r="BA30" s="203"/>
      <c r="BB30" s="112">
        <v>5840</v>
      </c>
      <c r="BC30" s="112">
        <v>1440</v>
      </c>
      <c r="BD30" s="112">
        <v>2000</v>
      </c>
      <c r="BE30" s="112">
        <v>1520</v>
      </c>
      <c r="BF30" s="112">
        <v>1440</v>
      </c>
      <c r="BG30" s="112">
        <v>2000</v>
      </c>
      <c r="BH30" s="112">
        <v>4500</v>
      </c>
      <c r="BI30" s="112">
        <v>880</v>
      </c>
      <c r="BJ30" s="112">
        <v>880</v>
      </c>
      <c r="BK30" s="112">
        <v>2640</v>
      </c>
      <c r="BL30" s="112">
        <v>1440</v>
      </c>
      <c r="BM30" s="112">
        <v>880</v>
      </c>
      <c r="BN30" s="112">
        <v>1440</v>
      </c>
      <c r="BO30" s="112">
        <v>2080</v>
      </c>
      <c r="BP30" s="112">
        <v>2080</v>
      </c>
      <c r="BQ30" s="112">
        <v>1440</v>
      </c>
      <c r="BR30" s="112">
        <v>1920</v>
      </c>
      <c r="BS30" s="112">
        <v>2640</v>
      </c>
      <c r="BT30" s="112">
        <v>1360</v>
      </c>
      <c r="BU30" s="112">
        <v>1560</v>
      </c>
      <c r="BV30" s="112">
        <v>1400</v>
      </c>
      <c r="BW30" s="112">
        <v>1920</v>
      </c>
      <c r="BX30" s="112">
        <v>1680</v>
      </c>
      <c r="BY30" s="112">
        <v>3300</v>
      </c>
      <c r="BZ30" s="112">
        <v>1560</v>
      </c>
      <c r="CA30" s="112">
        <v>4000</v>
      </c>
      <c r="CB30" s="112">
        <v>13400</v>
      </c>
      <c r="CC30" s="112">
        <v>1560</v>
      </c>
      <c r="CD30" s="112">
        <v>3500</v>
      </c>
      <c r="CE30" s="112">
        <v>1560</v>
      </c>
      <c r="CF30" s="112">
        <v>1560</v>
      </c>
      <c r="CG30" s="112">
        <v>1440</v>
      </c>
      <c r="CH30" s="112">
        <v>1560</v>
      </c>
      <c r="CI30" s="112">
        <v>1197.5999999999999</v>
      </c>
      <c r="CJ30" s="112">
        <v>1440</v>
      </c>
      <c r="CK30" s="112">
        <v>1560</v>
      </c>
      <c r="CL30" s="112">
        <v>1950</v>
      </c>
      <c r="CM30" s="112">
        <v>2640</v>
      </c>
      <c r="CN30" s="112">
        <v>1400</v>
      </c>
      <c r="CO30" s="112">
        <v>5520</v>
      </c>
      <c r="CP30" s="112">
        <v>1560</v>
      </c>
      <c r="CQ30" s="112">
        <v>1560</v>
      </c>
      <c r="CR30" s="112">
        <v>1560</v>
      </c>
      <c r="CS30" s="112">
        <v>952</v>
      </c>
      <c r="CT30" s="112">
        <v>3300</v>
      </c>
      <c r="CU30" s="112">
        <v>1950</v>
      </c>
      <c r="CV30" s="112">
        <v>1950</v>
      </c>
      <c r="CW30" s="112">
        <v>1560</v>
      </c>
      <c r="CX30" s="112">
        <v>1560</v>
      </c>
      <c r="CY30" s="112">
        <v>1560</v>
      </c>
      <c r="CZ30" s="112">
        <v>1560</v>
      </c>
      <c r="DA30" s="112">
        <v>1560</v>
      </c>
      <c r="DB30" s="112">
        <v>1560</v>
      </c>
      <c r="DC30" s="112">
        <v>984</v>
      </c>
      <c r="DD30" s="112">
        <v>1360</v>
      </c>
      <c r="DE30" s="112">
        <v>1360</v>
      </c>
      <c r="DF30" s="112">
        <v>1760</v>
      </c>
      <c r="DG30" s="112">
        <v>2500</v>
      </c>
      <c r="DH30" s="112">
        <v>2500</v>
      </c>
      <c r="DI30" s="112">
        <v>2500</v>
      </c>
      <c r="DJ30" s="112">
        <v>1600</v>
      </c>
      <c r="DK30" s="112">
        <v>1100</v>
      </c>
      <c r="DL30" s="112">
        <v>3600</v>
      </c>
      <c r="DM30" s="112">
        <v>640</v>
      </c>
      <c r="DN30" s="112">
        <v>1400</v>
      </c>
      <c r="DO30" s="112">
        <v>1400</v>
      </c>
      <c r="DP30" s="112">
        <v>3000</v>
      </c>
      <c r="DQ30" s="112">
        <v>2400</v>
      </c>
      <c r="DR30" s="112">
        <v>2400</v>
      </c>
      <c r="DS30" s="112">
        <v>2160</v>
      </c>
      <c r="DT30" s="112">
        <v>2640</v>
      </c>
      <c r="DU30" s="112">
        <v>2400</v>
      </c>
      <c r="DV30" s="112">
        <v>2000</v>
      </c>
      <c r="DW30" s="112">
        <v>1360</v>
      </c>
      <c r="DX30" s="112">
        <v>1560</v>
      </c>
      <c r="DY30" s="112">
        <v>2000</v>
      </c>
      <c r="DZ30" s="112">
        <v>1007.2</v>
      </c>
      <c r="EA30" s="112">
        <v>984</v>
      </c>
      <c r="EB30" s="112">
        <v>1120</v>
      </c>
      <c r="EC30" s="112">
        <v>4800</v>
      </c>
      <c r="ED30" s="112">
        <v>792</v>
      </c>
      <c r="EE30" s="112">
        <v>1560</v>
      </c>
      <c r="EF30" s="112">
        <v>3960</v>
      </c>
      <c r="EG30" s="112">
        <v>2640</v>
      </c>
      <c r="EH30" s="112">
        <v>3213.33</v>
      </c>
      <c r="EI30" s="112">
        <v>2729.33</v>
      </c>
      <c r="EJ30" s="112">
        <v>1320</v>
      </c>
      <c r="EK30" s="112">
        <v>2934.62</v>
      </c>
      <c r="EL30" s="112">
        <v>2640</v>
      </c>
      <c r="EM30" s="112">
        <v>3066.67</v>
      </c>
      <c r="EN30" s="112">
        <v>2160</v>
      </c>
      <c r="EO30" s="112">
        <v>3675</v>
      </c>
      <c r="EP30" s="112">
        <v>2202.44</v>
      </c>
      <c r="EQ30" s="112">
        <v>1571.84</v>
      </c>
      <c r="ER30" s="112">
        <v>2983.33</v>
      </c>
      <c r="ES30" s="112">
        <v>1552</v>
      </c>
      <c r="ET30" s="112">
        <v>1147</v>
      </c>
      <c r="EU30" s="112">
        <v>2400</v>
      </c>
      <c r="EV30" s="112">
        <v>6375</v>
      </c>
      <c r="EW30" s="112">
        <v>2812.5</v>
      </c>
      <c r="EX30" s="112">
        <v>3009.87</v>
      </c>
      <c r="EY30" s="112">
        <v>4675</v>
      </c>
      <c r="EZ30" s="112">
        <v>2960</v>
      </c>
      <c r="FA30" s="112">
        <v>3950</v>
      </c>
      <c r="FB30" s="112">
        <v>5520</v>
      </c>
      <c r="FC30" s="112">
        <v>2300.6</v>
      </c>
      <c r="FD30" s="112">
        <v>2175.13</v>
      </c>
      <c r="FE30" s="112">
        <v>2752</v>
      </c>
      <c r="FF30" s="112">
        <v>2067.38</v>
      </c>
      <c r="FG30" s="112">
        <v>3711.23</v>
      </c>
    </row>
    <row r="31" spans="1:163" x14ac:dyDescent="0.25">
      <c r="A31" s="202" t="s">
        <v>146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56"/>
      <c r="AY31" s="203"/>
      <c r="AZ31" s="203"/>
      <c r="BA31" s="203"/>
    </row>
    <row r="32" spans="1:163" x14ac:dyDescent="0.25">
      <c r="A32" s="202" t="s">
        <v>58</v>
      </c>
      <c r="B32" s="174">
        <v>3</v>
      </c>
      <c r="C32" s="174"/>
      <c r="D32" s="174">
        <v>3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>
        <v>3</v>
      </c>
      <c r="W32" s="174"/>
      <c r="X32" s="174"/>
      <c r="Y32" s="174">
        <v>3</v>
      </c>
      <c r="Z32" s="174">
        <v>1</v>
      </c>
      <c r="AA32" s="174"/>
      <c r="AB32" s="174">
        <v>1</v>
      </c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>
        <v>1</v>
      </c>
      <c r="AU32" s="174"/>
      <c r="AV32" s="174"/>
      <c r="AW32" s="174">
        <v>1</v>
      </c>
      <c r="AX32" s="205">
        <v>2900</v>
      </c>
      <c r="AY32" s="203"/>
      <c r="AZ32" s="203"/>
      <c r="BA32" s="203"/>
    </row>
    <row r="33" spans="1:53" x14ac:dyDescent="0.25">
      <c r="A33" s="202" t="s">
        <v>88</v>
      </c>
      <c r="B33" s="174">
        <v>1</v>
      </c>
      <c r="C33" s="174"/>
      <c r="D33" s="174">
        <v>18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>
        <v>18</v>
      </c>
      <c r="Y33" s="174">
        <v>18</v>
      </c>
      <c r="Z33" s="174">
        <v>1</v>
      </c>
      <c r="AA33" s="174"/>
      <c r="AB33" s="174">
        <v>10</v>
      </c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>
        <v>10</v>
      </c>
      <c r="AW33" s="174">
        <v>10</v>
      </c>
      <c r="AX33" s="205">
        <v>1440</v>
      </c>
      <c r="AY33" s="203"/>
      <c r="AZ33" s="203"/>
      <c r="BA33" s="203"/>
    </row>
    <row r="34" spans="1:53" x14ac:dyDescent="0.25">
      <c r="A34" s="202" t="s">
        <v>89</v>
      </c>
      <c r="B34" s="174">
        <v>4</v>
      </c>
      <c r="C34" s="174">
        <v>1</v>
      </c>
      <c r="D34" s="174">
        <v>43</v>
      </c>
      <c r="E34" s="174">
        <v>9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>
        <v>34</v>
      </c>
      <c r="W34" s="174"/>
      <c r="X34" s="174">
        <v>9</v>
      </c>
      <c r="Y34" s="174">
        <v>43</v>
      </c>
      <c r="Z34" s="174">
        <v>1</v>
      </c>
      <c r="AA34" s="174"/>
      <c r="AB34" s="174">
        <v>28</v>
      </c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>
        <v>28</v>
      </c>
      <c r="AU34" s="174"/>
      <c r="AV34" s="174"/>
      <c r="AW34" s="174">
        <v>28</v>
      </c>
      <c r="AX34" s="205">
        <v>480</v>
      </c>
      <c r="AY34" s="203"/>
      <c r="AZ34" s="203"/>
      <c r="BA34" s="203"/>
    </row>
    <row r="35" spans="1:53" x14ac:dyDescent="0.25">
      <c r="A35" s="202" t="s">
        <v>90</v>
      </c>
      <c r="B35" s="174">
        <v>21</v>
      </c>
      <c r="C35" s="174">
        <v>8</v>
      </c>
      <c r="D35" s="174">
        <v>61</v>
      </c>
      <c r="E35" s="174">
        <v>23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>
        <v>2</v>
      </c>
      <c r="V35" s="174">
        <v>59</v>
      </c>
      <c r="W35" s="174"/>
      <c r="X35" s="174"/>
      <c r="Y35" s="174">
        <v>61</v>
      </c>
      <c r="Z35" s="174">
        <v>12</v>
      </c>
      <c r="AA35" s="174">
        <v>3</v>
      </c>
      <c r="AB35" s="174">
        <v>42</v>
      </c>
      <c r="AC35" s="174">
        <v>3</v>
      </c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>
        <v>2</v>
      </c>
      <c r="AT35" s="174">
        <v>40</v>
      </c>
      <c r="AU35" s="174"/>
      <c r="AV35" s="174"/>
      <c r="AW35" s="174">
        <v>42</v>
      </c>
      <c r="AX35" s="205">
        <v>2673.1636363636362</v>
      </c>
      <c r="AY35" s="203"/>
      <c r="AZ35" s="203"/>
      <c r="BA35" s="203"/>
    </row>
    <row r="36" spans="1:53" x14ac:dyDescent="0.25">
      <c r="A36" s="202" t="s">
        <v>91</v>
      </c>
      <c r="B36" s="174">
        <v>37</v>
      </c>
      <c r="C36" s="174">
        <v>1</v>
      </c>
      <c r="D36" s="174">
        <v>42</v>
      </c>
      <c r="E36" s="174">
        <v>1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>
        <v>41</v>
      </c>
      <c r="W36" s="174"/>
      <c r="X36" s="174">
        <v>1</v>
      </c>
      <c r="Y36" s="174">
        <v>42</v>
      </c>
      <c r="Z36" s="174">
        <v>23</v>
      </c>
      <c r="AA36" s="174"/>
      <c r="AB36" s="174">
        <v>26</v>
      </c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>
        <v>26</v>
      </c>
      <c r="AU36" s="174"/>
      <c r="AV36" s="174"/>
      <c r="AW36" s="174">
        <v>26</v>
      </c>
      <c r="AX36" s="156">
        <v>3061.2584615384617</v>
      </c>
      <c r="AY36" s="203"/>
      <c r="AZ36" s="203"/>
      <c r="BA36" s="203"/>
    </row>
    <row r="37" spans="1:53" x14ac:dyDescent="0.25">
      <c r="A37" s="202" t="s">
        <v>145</v>
      </c>
      <c r="B37" s="174">
        <v>7</v>
      </c>
      <c r="C37" s="174">
        <v>3</v>
      </c>
      <c r="D37" s="174">
        <v>307</v>
      </c>
      <c r="E37" s="174">
        <v>272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>
        <v>297</v>
      </c>
      <c r="W37" s="174"/>
      <c r="X37" s="174">
        <v>10</v>
      </c>
      <c r="Y37" s="174">
        <v>307</v>
      </c>
      <c r="Z37" s="174">
        <v>3</v>
      </c>
      <c r="AA37" s="174">
        <v>2</v>
      </c>
      <c r="AB37" s="174">
        <v>288</v>
      </c>
      <c r="AC37" s="174">
        <v>262</v>
      </c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>
        <v>288</v>
      </c>
      <c r="AU37" s="174"/>
      <c r="AV37" s="174"/>
      <c r="AW37" s="174">
        <v>288</v>
      </c>
      <c r="AX37" s="156">
        <v>757.86666666666667</v>
      </c>
      <c r="AY37" s="203"/>
      <c r="AZ37" s="203"/>
      <c r="BA37" s="203"/>
    </row>
    <row r="38" spans="1:53" x14ac:dyDescent="0.25">
      <c r="A38" s="202" t="s">
        <v>144</v>
      </c>
      <c r="B38" s="174">
        <v>2</v>
      </c>
      <c r="C38" s="174"/>
      <c r="D38" s="174">
        <v>2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>
        <v>2</v>
      </c>
      <c r="W38" s="174"/>
      <c r="X38" s="174"/>
      <c r="Y38" s="174">
        <v>2</v>
      </c>
      <c r="Z38" s="174">
        <v>1</v>
      </c>
      <c r="AA38" s="174"/>
      <c r="AB38" s="174">
        <v>1</v>
      </c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>
        <v>1</v>
      </c>
      <c r="AU38" s="174"/>
      <c r="AV38" s="174"/>
      <c r="AW38" s="174">
        <v>1</v>
      </c>
      <c r="AX38" s="156">
        <v>1510</v>
      </c>
      <c r="AY38" s="203"/>
      <c r="AZ38" s="203"/>
      <c r="BA38" s="203"/>
    </row>
    <row r="39" spans="1:53" x14ac:dyDescent="0.25">
      <c r="A39" s="202" t="s">
        <v>143</v>
      </c>
      <c r="B39" s="174">
        <v>7</v>
      </c>
      <c r="C39" s="174">
        <v>1</v>
      </c>
      <c r="D39" s="174">
        <v>29</v>
      </c>
      <c r="E39" s="174">
        <v>1</v>
      </c>
      <c r="F39" s="174"/>
      <c r="G39" s="174"/>
      <c r="H39" s="174"/>
      <c r="I39" s="174"/>
      <c r="J39" s="174"/>
      <c r="K39" s="174"/>
      <c r="L39" s="174"/>
      <c r="M39" s="174"/>
      <c r="N39" s="174">
        <v>8</v>
      </c>
      <c r="O39" s="174"/>
      <c r="P39" s="174"/>
      <c r="Q39" s="174"/>
      <c r="R39" s="174"/>
      <c r="S39" s="174"/>
      <c r="T39" s="174"/>
      <c r="U39" s="174">
        <v>2</v>
      </c>
      <c r="V39" s="174">
        <v>1</v>
      </c>
      <c r="W39" s="174"/>
      <c r="X39" s="174">
        <v>18</v>
      </c>
      <c r="Y39" s="174">
        <v>29</v>
      </c>
      <c r="Z39" s="174">
        <v>3</v>
      </c>
      <c r="AA39" s="174"/>
      <c r="AB39" s="174">
        <v>18</v>
      </c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>
        <v>18</v>
      </c>
      <c r="AW39" s="174">
        <v>18</v>
      </c>
      <c r="AX39" s="156">
        <v>2060</v>
      </c>
      <c r="AY39" s="203"/>
      <c r="AZ39" s="203"/>
      <c r="BA39" s="203"/>
    </row>
    <row r="40" spans="1:53" x14ac:dyDescent="0.25">
      <c r="A40" s="202" t="s">
        <v>92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56"/>
      <c r="AY40" s="203"/>
      <c r="AZ40" s="203"/>
      <c r="BA40" s="203"/>
    </row>
    <row r="41" spans="1:53" x14ac:dyDescent="0.25">
      <c r="A41" s="202" t="s">
        <v>93</v>
      </c>
      <c r="B41" s="174">
        <v>1</v>
      </c>
      <c r="C41" s="174">
        <v>1</v>
      </c>
      <c r="D41" s="174">
        <v>32</v>
      </c>
      <c r="E41" s="174">
        <v>32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>
        <v>32</v>
      </c>
      <c r="W41" s="174"/>
      <c r="X41" s="174"/>
      <c r="Y41" s="174">
        <v>32</v>
      </c>
      <c r="Z41" s="174">
        <v>1</v>
      </c>
      <c r="AA41" s="174">
        <v>1</v>
      </c>
      <c r="AB41" s="174">
        <v>32</v>
      </c>
      <c r="AC41" s="174">
        <v>32</v>
      </c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>
        <v>32</v>
      </c>
      <c r="AU41" s="174"/>
      <c r="AV41" s="174"/>
      <c r="AW41" s="174">
        <v>32</v>
      </c>
      <c r="AX41" s="205">
        <v>400</v>
      </c>
      <c r="AY41" s="203"/>
      <c r="AZ41" s="203"/>
      <c r="BA41" s="203"/>
    </row>
    <row r="42" spans="1:53" x14ac:dyDescent="0.25">
      <c r="A42" s="202" t="s">
        <v>94</v>
      </c>
      <c r="B42" s="174">
        <v>58</v>
      </c>
      <c r="C42" s="174"/>
      <c r="D42" s="174">
        <v>78</v>
      </c>
      <c r="E42" s="174"/>
      <c r="F42" s="174"/>
      <c r="G42" s="174"/>
      <c r="H42" s="174"/>
      <c r="I42" s="174"/>
      <c r="J42" s="174"/>
      <c r="K42" s="174"/>
      <c r="L42" s="174">
        <v>1</v>
      </c>
      <c r="M42" s="174"/>
      <c r="N42" s="174"/>
      <c r="O42" s="174"/>
      <c r="P42" s="174"/>
      <c r="Q42" s="174">
        <v>3</v>
      </c>
      <c r="R42" s="174"/>
      <c r="S42" s="174"/>
      <c r="T42" s="174"/>
      <c r="U42" s="174"/>
      <c r="V42" s="174">
        <v>17</v>
      </c>
      <c r="W42" s="174">
        <v>8</v>
      </c>
      <c r="X42" s="174">
        <v>49</v>
      </c>
      <c r="Y42" s="174">
        <v>78</v>
      </c>
      <c r="Z42" s="174">
        <v>34</v>
      </c>
      <c r="AA42" s="174"/>
      <c r="AB42" s="174">
        <v>42</v>
      </c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>
        <v>1</v>
      </c>
      <c r="AP42" s="174"/>
      <c r="AQ42" s="174"/>
      <c r="AR42" s="174"/>
      <c r="AS42" s="174"/>
      <c r="AT42" s="174">
        <v>10</v>
      </c>
      <c r="AU42" s="174">
        <v>4</v>
      </c>
      <c r="AV42" s="174">
        <v>27</v>
      </c>
      <c r="AW42" s="174">
        <v>42</v>
      </c>
      <c r="AX42" s="205">
        <v>4557.1123809523806</v>
      </c>
      <c r="AY42" s="203"/>
      <c r="AZ42" s="203"/>
      <c r="BA42" s="203"/>
    </row>
    <row r="43" spans="1:53" x14ac:dyDescent="0.25">
      <c r="A43" s="202" t="s">
        <v>95</v>
      </c>
      <c r="B43" s="174">
        <v>3</v>
      </c>
      <c r="C43" s="174">
        <v>2</v>
      </c>
      <c r="D43" s="174">
        <v>7</v>
      </c>
      <c r="E43" s="174">
        <v>6</v>
      </c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>
        <v>1</v>
      </c>
      <c r="S43" s="174"/>
      <c r="T43" s="174"/>
      <c r="U43" s="174"/>
      <c r="V43" s="174">
        <v>5</v>
      </c>
      <c r="W43" s="174"/>
      <c r="X43" s="174">
        <v>1</v>
      </c>
      <c r="Y43" s="174">
        <v>7</v>
      </c>
      <c r="Z43" s="174">
        <v>3</v>
      </c>
      <c r="AA43" s="174">
        <v>2</v>
      </c>
      <c r="AB43" s="174">
        <v>5</v>
      </c>
      <c r="AC43" s="174">
        <v>4</v>
      </c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>
        <v>1</v>
      </c>
      <c r="AQ43" s="174"/>
      <c r="AR43" s="174"/>
      <c r="AS43" s="174"/>
      <c r="AT43" s="174">
        <v>3</v>
      </c>
      <c r="AU43" s="174"/>
      <c r="AV43" s="174">
        <v>1</v>
      </c>
      <c r="AW43" s="174">
        <v>5</v>
      </c>
      <c r="AX43" s="205">
        <v>1253.3333333333333</v>
      </c>
      <c r="AY43" s="203"/>
      <c r="AZ43" s="203"/>
      <c r="BA43" s="203"/>
    </row>
    <row r="44" spans="1:53" x14ac:dyDescent="0.25">
      <c r="A44" s="201" t="s">
        <v>31</v>
      </c>
      <c r="B44" s="174">
        <f t="shared" ref="B44:AW44" si="2">SUM(B45:B62)</f>
        <v>97</v>
      </c>
      <c r="C44" s="174">
        <f t="shared" si="2"/>
        <v>12</v>
      </c>
      <c r="D44" s="174">
        <f t="shared" si="2"/>
        <v>715</v>
      </c>
      <c r="E44" s="174">
        <f t="shared" si="2"/>
        <v>64</v>
      </c>
      <c r="F44" s="174">
        <f t="shared" si="2"/>
        <v>0</v>
      </c>
      <c r="G44" s="174">
        <f t="shared" si="2"/>
        <v>0</v>
      </c>
      <c r="H44" s="174">
        <f t="shared" si="2"/>
        <v>74</v>
      </c>
      <c r="I44" s="174">
        <f t="shared" si="2"/>
        <v>6</v>
      </c>
      <c r="J44" s="174">
        <f t="shared" si="2"/>
        <v>0</v>
      </c>
      <c r="K44" s="174">
        <f t="shared" si="2"/>
        <v>42</v>
      </c>
      <c r="L44" s="174">
        <f t="shared" si="2"/>
        <v>297</v>
      </c>
      <c r="M44" s="174">
        <f t="shared" si="2"/>
        <v>3</v>
      </c>
      <c r="N44" s="174">
        <f t="shared" si="2"/>
        <v>32</v>
      </c>
      <c r="O44" s="174">
        <f t="shared" si="2"/>
        <v>1</v>
      </c>
      <c r="P44" s="174">
        <f t="shared" si="2"/>
        <v>78</v>
      </c>
      <c r="Q44" s="174">
        <f t="shared" si="2"/>
        <v>0</v>
      </c>
      <c r="R44" s="174">
        <f t="shared" si="2"/>
        <v>10</v>
      </c>
      <c r="S44" s="174">
        <f t="shared" si="2"/>
        <v>1</v>
      </c>
      <c r="T44" s="174">
        <f t="shared" si="2"/>
        <v>2</v>
      </c>
      <c r="U44" s="174">
        <f t="shared" si="2"/>
        <v>18</v>
      </c>
      <c r="V44" s="174">
        <f t="shared" si="2"/>
        <v>92</v>
      </c>
      <c r="W44" s="174">
        <f t="shared" si="2"/>
        <v>37</v>
      </c>
      <c r="X44" s="174">
        <f t="shared" si="2"/>
        <v>22</v>
      </c>
      <c r="Y44" s="174">
        <f t="shared" si="2"/>
        <v>715</v>
      </c>
      <c r="Z44" s="174">
        <f t="shared" si="2"/>
        <v>63</v>
      </c>
      <c r="AA44" s="174">
        <f t="shared" si="2"/>
        <v>10</v>
      </c>
      <c r="AB44" s="174">
        <f t="shared" si="2"/>
        <v>411</v>
      </c>
      <c r="AC44" s="174">
        <f t="shared" si="2"/>
        <v>36</v>
      </c>
      <c r="AD44" s="174">
        <f t="shared" si="2"/>
        <v>0</v>
      </c>
      <c r="AE44" s="174">
        <f t="shared" si="2"/>
        <v>0</v>
      </c>
      <c r="AF44" s="174">
        <f t="shared" si="2"/>
        <v>40</v>
      </c>
      <c r="AG44" s="174">
        <f t="shared" si="2"/>
        <v>2</v>
      </c>
      <c r="AH44" s="174">
        <f t="shared" si="2"/>
        <v>0</v>
      </c>
      <c r="AI44" s="174">
        <f t="shared" si="2"/>
        <v>10</v>
      </c>
      <c r="AJ44" s="174">
        <f t="shared" si="2"/>
        <v>204</v>
      </c>
      <c r="AK44" s="174">
        <f t="shared" si="2"/>
        <v>0</v>
      </c>
      <c r="AL44" s="174">
        <f t="shared" si="2"/>
        <v>31</v>
      </c>
      <c r="AM44" s="174">
        <f t="shared" si="2"/>
        <v>1</v>
      </c>
      <c r="AN44" s="174">
        <f t="shared" si="2"/>
        <v>53</v>
      </c>
      <c r="AO44" s="174">
        <f t="shared" si="2"/>
        <v>0</v>
      </c>
      <c r="AP44" s="174">
        <f t="shared" si="2"/>
        <v>6</v>
      </c>
      <c r="AQ44" s="174">
        <f t="shared" si="2"/>
        <v>1</v>
      </c>
      <c r="AR44" s="174">
        <f t="shared" si="2"/>
        <v>1</v>
      </c>
      <c r="AS44" s="174">
        <f t="shared" si="2"/>
        <v>8</v>
      </c>
      <c r="AT44" s="174">
        <f t="shared" si="2"/>
        <v>40</v>
      </c>
      <c r="AU44" s="174">
        <f t="shared" si="2"/>
        <v>12</v>
      </c>
      <c r="AV44" s="174">
        <f t="shared" si="2"/>
        <v>2</v>
      </c>
      <c r="AW44" s="174">
        <f t="shared" si="2"/>
        <v>411</v>
      </c>
      <c r="AX44" s="206">
        <v>3267</v>
      </c>
      <c r="AY44" s="156">
        <f>Z44*100/B44</f>
        <v>64.948453608247419</v>
      </c>
      <c r="AZ44" s="185">
        <f>B44-Z44</f>
        <v>34</v>
      </c>
      <c r="BA44" s="156">
        <f>AZ44*100/B44</f>
        <v>35.051546391752581</v>
      </c>
    </row>
    <row r="45" spans="1:53" x14ac:dyDescent="0.25">
      <c r="A45" s="202" t="s">
        <v>142</v>
      </c>
      <c r="B45" s="174">
        <v>24</v>
      </c>
      <c r="C45" s="174">
        <v>2</v>
      </c>
      <c r="D45" s="174">
        <v>113</v>
      </c>
      <c r="E45" s="174">
        <v>17</v>
      </c>
      <c r="F45" s="174"/>
      <c r="G45" s="174"/>
      <c r="H45" s="174">
        <v>21</v>
      </c>
      <c r="I45" s="174"/>
      <c r="J45" s="174"/>
      <c r="K45" s="174"/>
      <c r="L45" s="174">
        <v>26</v>
      </c>
      <c r="M45" s="174">
        <v>2</v>
      </c>
      <c r="N45" s="174"/>
      <c r="O45" s="174"/>
      <c r="P45" s="174"/>
      <c r="Q45" s="174"/>
      <c r="R45" s="174">
        <v>4</v>
      </c>
      <c r="S45" s="174">
        <v>1</v>
      </c>
      <c r="T45" s="174"/>
      <c r="U45" s="174"/>
      <c r="V45" s="174">
        <v>42</v>
      </c>
      <c r="W45" s="174">
        <v>3</v>
      </c>
      <c r="X45" s="174">
        <v>14</v>
      </c>
      <c r="Y45" s="174">
        <v>113</v>
      </c>
      <c r="Z45" s="174">
        <v>12</v>
      </c>
      <c r="AA45" s="174"/>
      <c r="AB45" s="174">
        <v>21</v>
      </c>
      <c r="AC45" s="174"/>
      <c r="AD45" s="174"/>
      <c r="AE45" s="174"/>
      <c r="AF45" s="174"/>
      <c r="AG45" s="174"/>
      <c r="AH45" s="174"/>
      <c r="AI45" s="174"/>
      <c r="AJ45" s="174">
        <v>14</v>
      </c>
      <c r="AK45" s="174"/>
      <c r="AL45" s="174"/>
      <c r="AM45" s="174"/>
      <c r="AN45" s="174"/>
      <c r="AO45" s="174"/>
      <c r="AP45" s="174">
        <v>3</v>
      </c>
      <c r="AQ45" s="174">
        <v>1</v>
      </c>
      <c r="AR45" s="174"/>
      <c r="AS45" s="174"/>
      <c r="AT45" s="174"/>
      <c r="AU45" s="174">
        <v>3</v>
      </c>
      <c r="AV45" s="174"/>
      <c r="AW45" s="174">
        <v>21</v>
      </c>
      <c r="AX45" s="205">
        <v>6590</v>
      </c>
      <c r="AY45" s="203"/>
      <c r="AZ45" s="203"/>
      <c r="BA45" s="203"/>
    </row>
    <row r="46" spans="1:53" x14ac:dyDescent="0.25">
      <c r="A46" s="202" t="s">
        <v>141</v>
      </c>
      <c r="B46" s="174">
        <v>6</v>
      </c>
      <c r="C46" s="174">
        <v>1</v>
      </c>
      <c r="D46" s="174">
        <v>40</v>
      </c>
      <c r="E46" s="174">
        <v>1</v>
      </c>
      <c r="F46" s="174"/>
      <c r="G46" s="174"/>
      <c r="H46" s="174">
        <v>25</v>
      </c>
      <c r="I46" s="174"/>
      <c r="J46" s="174"/>
      <c r="K46" s="174"/>
      <c r="L46" s="174">
        <v>12</v>
      </c>
      <c r="M46" s="174">
        <v>1</v>
      </c>
      <c r="N46" s="174"/>
      <c r="O46" s="174"/>
      <c r="P46" s="174"/>
      <c r="Q46" s="174"/>
      <c r="R46" s="174">
        <v>1</v>
      </c>
      <c r="S46" s="174"/>
      <c r="T46" s="174">
        <v>1</v>
      </c>
      <c r="U46" s="174"/>
      <c r="V46" s="174"/>
      <c r="W46" s="174"/>
      <c r="X46" s="174"/>
      <c r="Y46" s="174">
        <v>40</v>
      </c>
      <c r="Z46" s="174">
        <v>5</v>
      </c>
      <c r="AA46" s="174">
        <v>1</v>
      </c>
      <c r="AB46" s="174">
        <v>39</v>
      </c>
      <c r="AC46" s="174">
        <v>1</v>
      </c>
      <c r="AD46" s="174"/>
      <c r="AE46" s="174"/>
      <c r="AF46" s="174">
        <v>25</v>
      </c>
      <c r="AG46" s="174"/>
      <c r="AH46" s="174"/>
      <c r="AI46" s="174"/>
      <c r="AJ46" s="174">
        <v>12</v>
      </c>
      <c r="AK46" s="174"/>
      <c r="AL46" s="174"/>
      <c r="AM46" s="174"/>
      <c r="AN46" s="174"/>
      <c r="AO46" s="174"/>
      <c r="AP46" s="174">
        <v>1</v>
      </c>
      <c r="AQ46" s="174"/>
      <c r="AR46" s="174">
        <v>1</v>
      </c>
      <c r="AS46" s="174"/>
      <c r="AT46" s="174"/>
      <c r="AU46" s="174"/>
      <c r="AV46" s="174"/>
      <c r="AW46" s="174">
        <v>39</v>
      </c>
      <c r="AX46" s="205">
        <v>2684.6400000000003</v>
      </c>
      <c r="AY46" s="203"/>
      <c r="AZ46" s="203"/>
      <c r="BA46" s="203"/>
    </row>
    <row r="47" spans="1:53" x14ac:dyDescent="0.25">
      <c r="A47" s="202" t="s">
        <v>140</v>
      </c>
      <c r="B47" s="174">
        <v>5</v>
      </c>
      <c r="C47" s="174"/>
      <c r="D47" s="174">
        <v>40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>
        <v>26</v>
      </c>
      <c r="W47" s="174">
        <v>14</v>
      </c>
      <c r="X47" s="174"/>
      <c r="Y47" s="174">
        <v>40</v>
      </c>
      <c r="Z47" s="174">
        <v>2</v>
      </c>
      <c r="AA47" s="174"/>
      <c r="AB47" s="174">
        <v>17</v>
      </c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>
        <v>17</v>
      </c>
      <c r="AU47" s="174"/>
      <c r="AV47" s="174"/>
      <c r="AW47" s="174">
        <v>17</v>
      </c>
      <c r="AX47" s="205">
        <v>10540</v>
      </c>
      <c r="AY47" s="203"/>
      <c r="AZ47" s="203"/>
      <c r="BA47" s="203"/>
    </row>
    <row r="48" spans="1:53" x14ac:dyDescent="0.25">
      <c r="A48" s="202" t="s">
        <v>139</v>
      </c>
      <c r="B48" s="174">
        <v>28</v>
      </c>
      <c r="C48" s="174"/>
      <c r="D48" s="174">
        <v>350</v>
      </c>
      <c r="E48" s="174"/>
      <c r="F48" s="174"/>
      <c r="G48" s="174"/>
      <c r="H48" s="174">
        <v>6</v>
      </c>
      <c r="I48" s="174"/>
      <c r="J48" s="174"/>
      <c r="K48" s="174"/>
      <c r="L48" s="174">
        <v>253</v>
      </c>
      <c r="M48" s="174"/>
      <c r="N48" s="174">
        <v>2</v>
      </c>
      <c r="O48" s="174">
        <v>1</v>
      </c>
      <c r="P48" s="174">
        <v>78</v>
      </c>
      <c r="Q48" s="174"/>
      <c r="R48" s="174">
        <v>1</v>
      </c>
      <c r="S48" s="174"/>
      <c r="T48" s="174"/>
      <c r="U48" s="174">
        <v>2</v>
      </c>
      <c r="V48" s="174"/>
      <c r="W48" s="174"/>
      <c r="X48" s="174">
        <v>7</v>
      </c>
      <c r="Y48" s="174">
        <v>350</v>
      </c>
      <c r="Z48" s="174">
        <v>18</v>
      </c>
      <c r="AA48" s="174"/>
      <c r="AB48" s="174">
        <v>236</v>
      </c>
      <c r="AC48" s="174"/>
      <c r="AD48" s="174"/>
      <c r="AE48" s="174"/>
      <c r="AF48" s="174">
        <v>2</v>
      </c>
      <c r="AG48" s="174"/>
      <c r="AH48" s="174"/>
      <c r="AI48" s="174"/>
      <c r="AJ48" s="174">
        <v>176</v>
      </c>
      <c r="AK48" s="174"/>
      <c r="AL48" s="174">
        <v>1</v>
      </c>
      <c r="AM48" s="174">
        <v>1</v>
      </c>
      <c r="AN48" s="174">
        <v>53</v>
      </c>
      <c r="AO48" s="174"/>
      <c r="AP48" s="174">
        <v>1</v>
      </c>
      <c r="AQ48" s="174"/>
      <c r="AR48" s="174"/>
      <c r="AS48" s="174"/>
      <c r="AT48" s="174"/>
      <c r="AU48" s="174"/>
      <c r="AV48" s="174">
        <v>2</v>
      </c>
      <c r="AW48" s="174">
        <v>236</v>
      </c>
      <c r="AX48" s="205">
        <v>2927.6666666666665</v>
      </c>
      <c r="AY48" s="203"/>
      <c r="AZ48" s="203"/>
      <c r="BA48" s="203"/>
    </row>
    <row r="49" spans="1:53" x14ac:dyDescent="0.25">
      <c r="A49" s="202" t="s">
        <v>138</v>
      </c>
      <c r="B49" s="174">
        <v>3</v>
      </c>
      <c r="C49" s="174">
        <v>2</v>
      </c>
      <c r="D49" s="174">
        <v>5</v>
      </c>
      <c r="E49" s="174">
        <v>4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>
        <v>2</v>
      </c>
      <c r="V49" s="174">
        <v>2</v>
      </c>
      <c r="W49" s="174"/>
      <c r="X49" s="174">
        <v>1</v>
      </c>
      <c r="Y49" s="174">
        <v>5</v>
      </c>
      <c r="Z49" s="174">
        <v>2</v>
      </c>
      <c r="AA49" s="174">
        <v>2</v>
      </c>
      <c r="AB49" s="174">
        <v>4</v>
      </c>
      <c r="AC49" s="174">
        <v>4</v>
      </c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>
        <v>2</v>
      </c>
      <c r="AT49" s="174">
        <v>2</v>
      </c>
      <c r="AU49" s="174"/>
      <c r="AV49" s="174"/>
      <c r="AW49" s="174">
        <v>4</v>
      </c>
      <c r="AX49" s="205">
        <v>876</v>
      </c>
      <c r="AY49" s="203"/>
      <c r="AZ49" s="203"/>
      <c r="BA49" s="203"/>
    </row>
    <row r="50" spans="1:53" x14ac:dyDescent="0.25">
      <c r="A50" s="202" t="s">
        <v>137</v>
      </c>
      <c r="B50" s="174">
        <v>10</v>
      </c>
      <c r="C50" s="174">
        <v>4</v>
      </c>
      <c r="D50" s="174">
        <v>64</v>
      </c>
      <c r="E50" s="174">
        <v>20</v>
      </c>
      <c r="F50" s="174"/>
      <c r="G50" s="174"/>
      <c r="H50" s="174">
        <v>1</v>
      </c>
      <c r="I50" s="174"/>
      <c r="J50" s="174"/>
      <c r="K50" s="174">
        <v>38</v>
      </c>
      <c r="L50" s="174">
        <v>1</v>
      </c>
      <c r="M50" s="174"/>
      <c r="N50" s="174"/>
      <c r="O50" s="174"/>
      <c r="P50" s="174"/>
      <c r="Q50" s="174"/>
      <c r="R50" s="174">
        <v>4</v>
      </c>
      <c r="S50" s="174"/>
      <c r="T50" s="174"/>
      <c r="U50" s="174"/>
      <c r="V50" s="174"/>
      <c r="W50" s="174">
        <v>20</v>
      </c>
      <c r="X50" s="174"/>
      <c r="Y50" s="174">
        <v>64</v>
      </c>
      <c r="Z50" s="174">
        <v>9</v>
      </c>
      <c r="AA50" s="174">
        <v>4</v>
      </c>
      <c r="AB50" s="174">
        <v>20</v>
      </c>
      <c r="AC50" s="174">
        <v>9</v>
      </c>
      <c r="AD50" s="174"/>
      <c r="AE50" s="174"/>
      <c r="AF50" s="174">
        <v>1</v>
      </c>
      <c r="AG50" s="174"/>
      <c r="AH50" s="174"/>
      <c r="AI50" s="174">
        <v>8</v>
      </c>
      <c r="AJ50" s="174">
        <v>1</v>
      </c>
      <c r="AK50" s="174"/>
      <c r="AL50" s="174"/>
      <c r="AM50" s="174"/>
      <c r="AN50" s="174"/>
      <c r="AO50" s="174"/>
      <c r="AP50" s="174">
        <v>1</v>
      </c>
      <c r="AQ50" s="174"/>
      <c r="AR50" s="174"/>
      <c r="AS50" s="174"/>
      <c r="AT50" s="174"/>
      <c r="AU50" s="174">
        <v>9</v>
      </c>
      <c r="AV50" s="174"/>
      <c r="AW50" s="174">
        <v>20</v>
      </c>
      <c r="AX50" s="205">
        <v>2182.8957142857143</v>
      </c>
      <c r="AY50" s="203"/>
      <c r="AZ50" s="203"/>
      <c r="BA50" s="203"/>
    </row>
    <row r="51" spans="1:53" x14ac:dyDescent="0.25">
      <c r="A51" s="202" t="s">
        <v>136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56"/>
      <c r="AY51" s="203"/>
      <c r="AZ51" s="203"/>
      <c r="BA51" s="203"/>
    </row>
    <row r="52" spans="1:53" x14ac:dyDescent="0.25">
      <c r="A52" s="202" t="s">
        <v>135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56"/>
      <c r="AY52" s="203"/>
      <c r="AZ52" s="203"/>
      <c r="BA52" s="203"/>
    </row>
    <row r="53" spans="1:53" x14ac:dyDescent="0.25">
      <c r="A53" s="202" t="s">
        <v>134</v>
      </c>
      <c r="B53" s="174">
        <v>1</v>
      </c>
      <c r="C53" s="174">
        <v>1</v>
      </c>
      <c r="D53" s="174">
        <v>1</v>
      </c>
      <c r="E53" s="174">
        <v>1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>
        <v>1</v>
      </c>
      <c r="V53" s="174"/>
      <c r="W53" s="174"/>
      <c r="X53" s="174"/>
      <c r="Y53" s="174">
        <v>1</v>
      </c>
      <c r="Z53" s="174">
        <v>1</v>
      </c>
      <c r="AA53" s="174">
        <v>1</v>
      </c>
      <c r="AB53" s="174">
        <v>1</v>
      </c>
      <c r="AC53" s="174">
        <v>1</v>
      </c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>
        <v>1</v>
      </c>
      <c r="AT53" s="174"/>
      <c r="AU53" s="174"/>
      <c r="AV53" s="174"/>
      <c r="AW53" s="174">
        <v>1</v>
      </c>
      <c r="AX53" s="156">
        <v>2959.2</v>
      </c>
      <c r="AY53" s="203"/>
      <c r="AZ53" s="203"/>
      <c r="BA53" s="203"/>
    </row>
    <row r="54" spans="1:53" x14ac:dyDescent="0.25">
      <c r="A54" s="202" t="s">
        <v>32</v>
      </c>
      <c r="B54" s="174">
        <v>2</v>
      </c>
      <c r="C54" s="174"/>
      <c r="D54" s="174">
        <v>4</v>
      </c>
      <c r="E54" s="174"/>
      <c r="F54" s="174"/>
      <c r="G54" s="174"/>
      <c r="H54" s="174">
        <v>3</v>
      </c>
      <c r="I54" s="174"/>
      <c r="J54" s="174"/>
      <c r="K54" s="174"/>
      <c r="L54" s="174">
        <v>1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>
        <v>4</v>
      </c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205"/>
      <c r="AY54" s="203"/>
      <c r="AZ54" s="203"/>
      <c r="BA54" s="203"/>
    </row>
    <row r="55" spans="1:53" x14ac:dyDescent="0.25">
      <c r="A55" s="202" t="s">
        <v>33</v>
      </c>
      <c r="B55" s="174">
        <v>3</v>
      </c>
      <c r="C55" s="174"/>
      <c r="D55" s="174">
        <v>5</v>
      </c>
      <c r="E55" s="174"/>
      <c r="F55" s="174"/>
      <c r="G55" s="174"/>
      <c r="H55" s="174"/>
      <c r="I55" s="174"/>
      <c r="J55" s="174"/>
      <c r="K55" s="174">
        <v>4</v>
      </c>
      <c r="L55" s="174">
        <v>1</v>
      </c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>
        <v>5</v>
      </c>
      <c r="Z55" s="174">
        <v>2</v>
      </c>
      <c r="AA55" s="174"/>
      <c r="AB55" s="174">
        <v>3</v>
      </c>
      <c r="AC55" s="174"/>
      <c r="AD55" s="174"/>
      <c r="AE55" s="174"/>
      <c r="AF55" s="174"/>
      <c r="AG55" s="174"/>
      <c r="AH55" s="174"/>
      <c r="AI55" s="174">
        <v>2</v>
      </c>
      <c r="AJ55" s="174">
        <v>1</v>
      </c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>
        <v>3</v>
      </c>
      <c r="AX55" s="205">
        <v>2486</v>
      </c>
      <c r="AY55" s="203"/>
      <c r="AZ55" s="203"/>
      <c r="BA55" s="203"/>
    </row>
    <row r="56" spans="1:53" x14ac:dyDescent="0.25">
      <c r="A56" s="202" t="s">
        <v>34</v>
      </c>
      <c r="B56" s="174">
        <v>2</v>
      </c>
      <c r="C56" s="174"/>
      <c r="D56" s="174">
        <v>12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>
        <v>12</v>
      </c>
      <c r="V56" s="174"/>
      <c r="W56" s="174"/>
      <c r="X56" s="174"/>
      <c r="Y56" s="174">
        <v>12</v>
      </c>
      <c r="Z56" s="174">
        <v>2</v>
      </c>
      <c r="AA56" s="174"/>
      <c r="AB56" s="174">
        <v>4</v>
      </c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>
        <v>4</v>
      </c>
      <c r="AT56" s="174"/>
      <c r="AU56" s="174"/>
      <c r="AV56" s="174"/>
      <c r="AW56" s="174">
        <v>4</v>
      </c>
      <c r="AX56" s="205">
        <v>3975</v>
      </c>
      <c r="AY56" s="203"/>
      <c r="AZ56" s="203"/>
      <c r="BA56" s="203"/>
    </row>
    <row r="57" spans="1:53" x14ac:dyDescent="0.25">
      <c r="A57" s="202" t="s">
        <v>35</v>
      </c>
      <c r="B57" s="174">
        <v>5</v>
      </c>
      <c r="C57" s="174">
        <v>1</v>
      </c>
      <c r="D57" s="174">
        <v>64</v>
      </c>
      <c r="E57" s="174">
        <v>20</v>
      </c>
      <c r="F57" s="174"/>
      <c r="G57" s="174"/>
      <c r="H57" s="174">
        <v>7</v>
      </c>
      <c r="I57" s="174">
        <v>6</v>
      </c>
      <c r="J57" s="174"/>
      <c r="K57" s="174"/>
      <c r="L57" s="174"/>
      <c r="M57" s="174"/>
      <c r="N57" s="174">
        <v>29</v>
      </c>
      <c r="O57" s="174"/>
      <c r="P57" s="174"/>
      <c r="Q57" s="174"/>
      <c r="R57" s="174"/>
      <c r="S57" s="174"/>
      <c r="T57" s="174">
        <v>1</v>
      </c>
      <c r="U57" s="174">
        <v>1</v>
      </c>
      <c r="V57" s="174">
        <v>20</v>
      </c>
      <c r="W57" s="174"/>
      <c r="X57" s="174"/>
      <c r="Y57" s="174">
        <v>64</v>
      </c>
      <c r="Z57" s="174">
        <v>5</v>
      </c>
      <c r="AA57" s="174">
        <v>1</v>
      </c>
      <c r="AB57" s="174">
        <v>59</v>
      </c>
      <c r="AC57" s="174">
        <v>20</v>
      </c>
      <c r="AD57" s="174"/>
      <c r="AE57" s="174"/>
      <c r="AF57" s="174">
        <v>7</v>
      </c>
      <c r="AG57" s="174">
        <v>2</v>
      </c>
      <c r="AH57" s="174"/>
      <c r="AI57" s="174"/>
      <c r="AJ57" s="174"/>
      <c r="AK57" s="174"/>
      <c r="AL57" s="174">
        <v>29</v>
      </c>
      <c r="AM57" s="174"/>
      <c r="AN57" s="174"/>
      <c r="AO57" s="174"/>
      <c r="AP57" s="174"/>
      <c r="AQ57" s="174"/>
      <c r="AR57" s="174"/>
      <c r="AS57" s="174">
        <v>1</v>
      </c>
      <c r="AT57" s="174">
        <v>20</v>
      </c>
      <c r="AU57" s="174"/>
      <c r="AV57" s="174"/>
      <c r="AW57" s="174">
        <v>59</v>
      </c>
      <c r="AX57" s="205">
        <v>1940.56</v>
      </c>
      <c r="AY57" s="203"/>
      <c r="AZ57" s="203"/>
      <c r="BA57" s="203"/>
    </row>
    <row r="58" spans="1:53" x14ac:dyDescent="0.25">
      <c r="A58" s="202" t="s">
        <v>36</v>
      </c>
      <c r="B58" s="174">
        <v>1</v>
      </c>
      <c r="C58" s="174"/>
      <c r="D58" s="174">
        <v>1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>
        <v>1</v>
      </c>
      <c r="W58" s="174"/>
      <c r="X58" s="174"/>
      <c r="Y58" s="174">
        <v>1</v>
      </c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205"/>
      <c r="AY58" s="203"/>
      <c r="AZ58" s="203"/>
      <c r="BA58" s="203"/>
    </row>
    <row r="59" spans="1:53" x14ac:dyDescent="0.25">
      <c r="A59" s="202" t="s">
        <v>37</v>
      </c>
      <c r="B59" s="174">
        <v>1</v>
      </c>
      <c r="C59" s="174"/>
      <c r="D59" s="174">
        <v>7</v>
      </c>
      <c r="E59" s="174"/>
      <c r="F59" s="174"/>
      <c r="G59" s="174"/>
      <c r="H59" s="174">
        <v>7</v>
      </c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>
        <v>7</v>
      </c>
      <c r="Z59" s="174">
        <v>1</v>
      </c>
      <c r="AA59" s="174"/>
      <c r="AB59" s="174">
        <v>2</v>
      </c>
      <c r="AC59" s="174"/>
      <c r="AD59" s="174"/>
      <c r="AE59" s="174"/>
      <c r="AF59" s="174">
        <v>2</v>
      </c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>
        <v>2</v>
      </c>
      <c r="AX59" s="205">
        <v>1512</v>
      </c>
      <c r="AY59" s="203"/>
      <c r="AZ59" s="203"/>
      <c r="BA59" s="203"/>
    </row>
    <row r="60" spans="1:53" x14ac:dyDescent="0.25">
      <c r="A60" s="202" t="s">
        <v>38</v>
      </c>
      <c r="B60" s="174">
        <v>2</v>
      </c>
      <c r="C60" s="174"/>
      <c r="D60" s="174">
        <v>3</v>
      </c>
      <c r="E60" s="174"/>
      <c r="F60" s="174"/>
      <c r="G60" s="174"/>
      <c r="H60" s="174">
        <v>3</v>
      </c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>
        <v>3</v>
      </c>
      <c r="Z60" s="174">
        <v>1</v>
      </c>
      <c r="AA60" s="174"/>
      <c r="AB60" s="174">
        <v>2</v>
      </c>
      <c r="AC60" s="174"/>
      <c r="AD60" s="174"/>
      <c r="AE60" s="174"/>
      <c r="AF60" s="174">
        <v>2</v>
      </c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>
        <v>2</v>
      </c>
      <c r="AX60" s="205">
        <v>1032</v>
      </c>
      <c r="AY60" s="203"/>
      <c r="AZ60" s="203"/>
      <c r="BA60" s="203"/>
    </row>
    <row r="61" spans="1:53" x14ac:dyDescent="0.25">
      <c r="A61" s="202" t="s">
        <v>39</v>
      </c>
      <c r="B61" s="174">
        <v>3</v>
      </c>
      <c r="C61" s="174">
        <v>1</v>
      </c>
      <c r="D61" s="174">
        <v>5</v>
      </c>
      <c r="E61" s="174">
        <v>1</v>
      </c>
      <c r="F61" s="174"/>
      <c r="G61" s="174"/>
      <c r="H61" s="174">
        <v>1</v>
      </c>
      <c r="I61" s="174"/>
      <c r="J61" s="174"/>
      <c r="K61" s="174"/>
      <c r="L61" s="174">
        <v>3</v>
      </c>
      <c r="M61" s="174"/>
      <c r="N61" s="174"/>
      <c r="O61" s="174"/>
      <c r="P61" s="174"/>
      <c r="Q61" s="174"/>
      <c r="R61" s="174"/>
      <c r="S61" s="174"/>
      <c r="T61" s="174"/>
      <c r="U61" s="174"/>
      <c r="V61" s="174">
        <v>1</v>
      </c>
      <c r="W61" s="174"/>
      <c r="X61" s="174"/>
      <c r="Y61" s="174">
        <v>5</v>
      </c>
      <c r="Z61" s="174">
        <v>2</v>
      </c>
      <c r="AA61" s="174">
        <v>1</v>
      </c>
      <c r="AB61" s="174">
        <v>2</v>
      </c>
      <c r="AC61" s="174">
        <v>1</v>
      </c>
      <c r="AD61" s="174"/>
      <c r="AE61" s="174"/>
      <c r="AF61" s="174">
        <v>1</v>
      </c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>
        <v>1</v>
      </c>
      <c r="AU61" s="174"/>
      <c r="AV61" s="174"/>
      <c r="AW61" s="174">
        <v>2</v>
      </c>
      <c r="AX61" s="205">
        <v>1032</v>
      </c>
      <c r="AY61" s="203"/>
      <c r="AZ61" s="203"/>
      <c r="BA61" s="203"/>
    </row>
    <row r="62" spans="1:53" x14ac:dyDescent="0.25">
      <c r="A62" s="202" t="s">
        <v>40</v>
      </c>
      <c r="B62" s="174">
        <v>1</v>
      </c>
      <c r="C62" s="174"/>
      <c r="D62" s="174">
        <v>1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>
        <v>1</v>
      </c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>
        <v>1</v>
      </c>
      <c r="Z62" s="174">
        <v>1</v>
      </c>
      <c r="AA62" s="174"/>
      <c r="AB62" s="174">
        <v>1</v>
      </c>
      <c r="AC62" s="174"/>
      <c r="AD62" s="174"/>
      <c r="AE62" s="174"/>
      <c r="AF62" s="174"/>
      <c r="AG62" s="174"/>
      <c r="AH62" s="174"/>
      <c r="AI62" s="174"/>
      <c r="AJ62" s="174"/>
      <c r="AK62" s="174"/>
      <c r="AL62" s="174">
        <v>1</v>
      </c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>
        <v>1</v>
      </c>
      <c r="AX62" s="205">
        <v>5000</v>
      </c>
      <c r="AY62" s="203"/>
      <c r="AZ62" s="203"/>
      <c r="BA62" s="203"/>
    </row>
    <row r="63" spans="1:53" x14ac:dyDescent="0.25">
      <c r="A63" s="201" t="s">
        <v>41</v>
      </c>
      <c r="B63" s="174">
        <f t="shared" ref="B63:AW63" si="3">SUM(B64:B72)</f>
        <v>73</v>
      </c>
      <c r="C63" s="174">
        <f t="shared" si="3"/>
        <v>1</v>
      </c>
      <c r="D63" s="174">
        <f t="shared" si="3"/>
        <v>253</v>
      </c>
      <c r="E63" s="174">
        <f t="shared" si="3"/>
        <v>1</v>
      </c>
      <c r="F63" s="174">
        <f t="shared" si="3"/>
        <v>0</v>
      </c>
      <c r="G63" s="174">
        <f t="shared" si="3"/>
        <v>0</v>
      </c>
      <c r="H63" s="174">
        <f t="shared" si="3"/>
        <v>113</v>
      </c>
      <c r="I63" s="174">
        <f t="shared" si="3"/>
        <v>0</v>
      </c>
      <c r="J63" s="174">
        <f t="shared" si="3"/>
        <v>2</v>
      </c>
      <c r="K63" s="174">
        <f t="shared" si="3"/>
        <v>3</v>
      </c>
      <c r="L63" s="174">
        <f t="shared" si="3"/>
        <v>37</v>
      </c>
      <c r="M63" s="174">
        <f t="shared" si="3"/>
        <v>11</v>
      </c>
      <c r="N63" s="174">
        <f t="shared" si="3"/>
        <v>30</v>
      </c>
      <c r="O63" s="174">
        <f t="shared" si="3"/>
        <v>10</v>
      </c>
      <c r="P63" s="174">
        <f t="shared" si="3"/>
        <v>0</v>
      </c>
      <c r="Q63" s="174">
        <f t="shared" si="3"/>
        <v>0</v>
      </c>
      <c r="R63" s="174">
        <f t="shared" si="3"/>
        <v>1</v>
      </c>
      <c r="S63" s="174">
        <f t="shared" si="3"/>
        <v>0</v>
      </c>
      <c r="T63" s="174">
        <f t="shared" si="3"/>
        <v>1</v>
      </c>
      <c r="U63" s="174">
        <f t="shared" si="3"/>
        <v>23</v>
      </c>
      <c r="V63" s="174">
        <f t="shared" si="3"/>
        <v>1</v>
      </c>
      <c r="W63" s="174">
        <f t="shared" si="3"/>
        <v>1</v>
      </c>
      <c r="X63" s="174">
        <f t="shared" si="3"/>
        <v>20</v>
      </c>
      <c r="Y63" s="174">
        <f t="shared" si="3"/>
        <v>253</v>
      </c>
      <c r="Z63" s="174">
        <f t="shared" si="3"/>
        <v>34</v>
      </c>
      <c r="AA63" s="174">
        <f t="shared" si="3"/>
        <v>1</v>
      </c>
      <c r="AB63" s="174">
        <f t="shared" si="3"/>
        <v>119</v>
      </c>
      <c r="AC63" s="174">
        <f t="shared" si="3"/>
        <v>1</v>
      </c>
      <c r="AD63" s="174">
        <f t="shared" si="3"/>
        <v>0</v>
      </c>
      <c r="AE63" s="174">
        <f t="shared" si="3"/>
        <v>0</v>
      </c>
      <c r="AF63" s="174">
        <f t="shared" si="3"/>
        <v>73</v>
      </c>
      <c r="AG63" s="174">
        <f t="shared" si="3"/>
        <v>0</v>
      </c>
      <c r="AH63" s="174">
        <f t="shared" si="3"/>
        <v>1</v>
      </c>
      <c r="AI63" s="174">
        <f t="shared" si="3"/>
        <v>3</v>
      </c>
      <c r="AJ63" s="174">
        <f t="shared" si="3"/>
        <v>23</v>
      </c>
      <c r="AK63" s="174">
        <f t="shared" si="3"/>
        <v>2</v>
      </c>
      <c r="AL63" s="174">
        <f t="shared" si="3"/>
        <v>5</v>
      </c>
      <c r="AM63" s="174">
        <f t="shared" si="3"/>
        <v>5</v>
      </c>
      <c r="AN63" s="174">
        <f t="shared" si="3"/>
        <v>0</v>
      </c>
      <c r="AO63" s="174">
        <f t="shared" si="3"/>
        <v>0</v>
      </c>
      <c r="AP63" s="174">
        <f t="shared" si="3"/>
        <v>0</v>
      </c>
      <c r="AQ63" s="174">
        <f t="shared" si="3"/>
        <v>0</v>
      </c>
      <c r="AR63" s="174">
        <f t="shared" si="3"/>
        <v>0</v>
      </c>
      <c r="AS63" s="174">
        <f t="shared" si="3"/>
        <v>6</v>
      </c>
      <c r="AT63" s="174">
        <f t="shared" si="3"/>
        <v>1</v>
      </c>
      <c r="AU63" s="174">
        <f t="shared" si="3"/>
        <v>0</v>
      </c>
      <c r="AV63" s="174">
        <f t="shared" si="3"/>
        <v>0</v>
      </c>
      <c r="AW63" s="174">
        <f t="shared" si="3"/>
        <v>119</v>
      </c>
      <c r="AX63" s="206">
        <v>3559.98</v>
      </c>
      <c r="AY63" s="156">
        <f>Z63*100/B63</f>
        <v>46.575342465753423</v>
      </c>
      <c r="AZ63" s="185">
        <f>B63-Z63</f>
        <v>39</v>
      </c>
      <c r="BA63" s="156">
        <f>AZ63*100/B63</f>
        <v>53.424657534246577</v>
      </c>
    </row>
    <row r="64" spans="1:53" x14ac:dyDescent="0.25">
      <c r="A64" s="202" t="s">
        <v>133</v>
      </c>
      <c r="B64" s="174">
        <v>24</v>
      </c>
      <c r="C64" s="174"/>
      <c r="D64" s="174">
        <v>78</v>
      </c>
      <c r="E64" s="174"/>
      <c r="F64" s="174"/>
      <c r="G64" s="174"/>
      <c r="H64" s="174">
        <v>14</v>
      </c>
      <c r="I64" s="174"/>
      <c r="J64" s="174">
        <v>1</v>
      </c>
      <c r="K64" s="174"/>
      <c r="L64" s="174">
        <v>27</v>
      </c>
      <c r="M64" s="174">
        <v>3</v>
      </c>
      <c r="N64" s="174">
        <v>9</v>
      </c>
      <c r="O64" s="174">
        <v>7</v>
      </c>
      <c r="P64" s="174"/>
      <c r="Q64" s="174"/>
      <c r="R64" s="174"/>
      <c r="S64" s="174"/>
      <c r="T64" s="174"/>
      <c r="U64" s="174">
        <v>14</v>
      </c>
      <c r="V64" s="174"/>
      <c r="W64" s="174">
        <v>1</v>
      </c>
      <c r="X64" s="174">
        <v>2</v>
      </c>
      <c r="Y64" s="174">
        <v>78</v>
      </c>
      <c r="Z64" s="174">
        <v>13</v>
      </c>
      <c r="AA64" s="174"/>
      <c r="AB64" s="174">
        <v>35</v>
      </c>
      <c r="AC64" s="174"/>
      <c r="AD64" s="174"/>
      <c r="AE64" s="174"/>
      <c r="AF64" s="174">
        <v>2</v>
      </c>
      <c r="AG64" s="174"/>
      <c r="AH64" s="174"/>
      <c r="AI64" s="174"/>
      <c r="AJ64" s="174">
        <v>21</v>
      </c>
      <c r="AK64" s="174"/>
      <c r="AL64" s="174">
        <v>5</v>
      </c>
      <c r="AM64" s="174">
        <v>4</v>
      </c>
      <c r="AN64" s="174"/>
      <c r="AO64" s="174"/>
      <c r="AP64" s="174"/>
      <c r="AQ64" s="174"/>
      <c r="AR64" s="174"/>
      <c r="AS64" s="174">
        <v>3</v>
      </c>
      <c r="AT64" s="174"/>
      <c r="AU64" s="174"/>
      <c r="AV64" s="174"/>
      <c r="AW64" s="174">
        <v>35</v>
      </c>
      <c r="AX64" s="205">
        <v>3649.71</v>
      </c>
      <c r="AY64" s="203"/>
      <c r="AZ64" s="203"/>
      <c r="BA64" s="203"/>
    </row>
    <row r="65" spans="1:64" x14ac:dyDescent="0.25">
      <c r="A65" s="202" t="s">
        <v>96</v>
      </c>
      <c r="B65" s="174">
        <v>30</v>
      </c>
      <c r="C65" s="174">
        <v>1</v>
      </c>
      <c r="D65" s="174">
        <v>102</v>
      </c>
      <c r="E65" s="174">
        <v>1</v>
      </c>
      <c r="F65" s="174"/>
      <c r="G65" s="174"/>
      <c r="H65" s="174">
        <v>75</v>
      </c>
      <c r="I65" s="174"/>
      <c r="J65" s="174">
        <v>1</v>
      </c>
      <c r="K65" s="174">
        <v>1</v>
      </c>
      <c r="L65" s="174">
        <v>2</v>
      </c>
      <c r="M65" s="174"/>
      <c r="N65" s="174">
        <v>11</v>
      </c>
      <c r="O65" s="174">
        <v>1</v>
      </c>
      <c r="P65" s="174"/>
      <c r="Q65" s="174"/>
      <c r="R65" s="174">
        <v>1</v>
      </c>
      <c r="S65" s="174"/>
      <c r="T65" s="174">
        <v>1</v>
      </c>
      <c r="U65" s="174">
        <v>6</v>
      </c>
      <c r="V65" s="174">
        <v>1</v>
      </c>
      <c r="W65" s="174"/>
      <c r="X65" s="174">
        <v>2</v>
      </c>
      <c r="Y65" s="174">
        <v>102</v>
      </c>
      <c r="Z65" s="174">
        <v>12</v>
      </c>
      <c r="AA65" s="174">
        <v>1</v>
      </c>
      <c r="AB65" s="174">
        <v>61</v>
      </c>
      <c r="AC65" s="174">
        <v>1</v>
      </c>
      <c r="AD65" s="174"/>
      <c r="AE65" s="174"/>
      <c r="AF65" s="174">
        <v>57</v>
      </c>
      <c r="AG65" s="174"/>
      <c r="AH65" s="174">
        <v>1</v>
      </c>
      <c r="AI65" s="174">
        <v>1</v>
      </c>
      <c r="AJ65" s="174">
        <v>1</v>
      </c>
      <c r="AK65" s="174"/>
      <c r="AL65" s="174"/>
      <c r="AM65" s="174"/>
      <c r="AN65" s="174"/>
      <c r="AO65" s="174"/>
      <c r="AP65" s="174"/>
      <c r="AQ65" s="174"/>
      <c r="AR65" s="174"/>
      <c r="AS65" s="174"/>
      <c r="AT65" s="174">
        <v>1</v>
      </c>
      <c r="AU65" s="174"/>
      <c r="AV65" s="174"/>
      <c r="AW65" s="174">
        <v>61</v>
      </c>
      <c r="AX65" s="205">
        <v>3445.5818181818181</v>
      </c>
      <c r="AY65" s="203"/>
      <c r="AZ65" s="203"/>
      <c r="BA65" s="203"/>
    </row>
    <row r="66" spans="1:64" x14ac:dyDescent="0.25">
      <c r="A66" s="202" t="s">
        <v>97</v>
      </c>
      <c r="B66" s="174">
        <v>5</v>
      </c>
      <c r="C66" s="174"/>
      <c r="D66" s="174">
        <v>17</v>
      </c>
      <c r="E66" s="174"/>
      <c r="F66" s="174"/>
      <c r="G66" s="174"/>
      <c r="H66" s="174">
        <v>1</v>
      </c>
      <c r="I66" s="174"/>
      <c r="J66" s="174"/>
      <c r="K66" s="174"/>
      <c r="L66" s="174">
        <v>4</v>
      </c>
      <c r="M66" s="174">
        <v>8</v>
      </c>
      <c r="N66" s="174">
        <v>4</v>
      </c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>
        <v>17</v>
      </c>
      <c r="Z66" s="174">
        <v>1</v>
      </c>
      <c r="AA66" s="174"/>
      <c r="AB66" s="174">
        <v>2</v>
      </c>
      <c r="AC66" s="174"/>
      <c r="AD66" s="174"/>
      <c r="AE66" s="174"/>
      <c r="AF66" s="174"/>
      <c r="AG66" s="174"/>
      <c r="AH66" s="174"/>
      <c r="AI66" s="174"/>
      <c r="AJ66" s="174"/>
      <c r="AK66" s="174">
        <v>2</v>
      </c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>
        <v>2</v>
      </c>
      <c r="AX66" s="205">
        <v>3600</v>
      </c>
      <c r="AY66" s="203"/>
      <c r="AZ66" s="203"/>
      <c r="BA66" s="203"/>
    </row>
    <row r="67" spans="1:64" x14ac:dyDescent="0.25">
      <c r="A67" s="202" t="s">
        <v>98</v>
      </c>
      <c r="B67" s="174">
        <v>1</v>
      </c>
      <c r="C67" s="174"/>
      <c r="D67" s="174">
        <v>3</v>
      </c>
      <c r="E67" s="174"/>
      <c r="F67" s="174"/>
      <c r="G67" s="174"/>
      <c r="H67" s="174">
        <v>3</v>
      </c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>
        <v>3</v>
      </c>
      <c r="Z67" s="174">
        <v>1</v>
      </c>
      <c r="AA67" s="174"/>
      <c r="AB67" s="174">
        <v>3</v>
      </c>
      <c r="AC67" s="174"/>
      <c r="AD67" s="174"/>
      <c r="AE67" s="174"/>
      <c r="AF67" s="174">
        <v>3</v>
      </c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>
        <v>3</v>
      </c>
      <c r="AX67" s="205">
        <v>1120</v>
      </c>
      <c r="AY67" s="203"/>
      <c r="AZ67" s="203"/>
      <c r="BA67" s="203"/>
    </row>
    <row r="68" spans="1:64" x14ac:dyDescent="0.25">
      <c r="A68" s="202" t="s">
        <v>99</v>
      </c>
      <c r="B68" s="174">
        <v>2</v>
      </c>
      <c r="C68" s="174"/>
      <c r="D68" s="174">
        <v>20</v>
      </c>
      <c r="E68" s="174"/>
      <c r="F68" s="174"/>
      <c r="G68" s="174"/>
      <c r="H68" s="174">
        <v>20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v>20</v>
      </c>
      <c r="Z68" s="174">
        <v>2</v>
      </c>
      <c r="AA68" s="174"/>
      <c r="AB68" s="174">
        <v>11</v>
      </c>
      <c r="AC68" s="174"/>
      <c r="AD68" s="174"/>
      <c r="AE68" s="174"/>
      <c r="AF68" s="174">
        <v>11</v>
      </c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>
        <v>11</v>
      </c>
      <c r="AX68" s="205">
        <v>7567</v>
      </c>
      <c r="AY68" s="203"/>
      <c r="AZ68" s="203"/>
      <c r="BA68" s="203"/>
    </row>
    <row r="69" spans="1:64" x14ac:dyDescent="0.25">
      <c r="A69" s="202" t="s">
        <v>100</v>
      </c>
      <c r="B69" s="174">
        <v>3</v>
      </c>
      <c r="C69" s="174"/>
      <c r="D69" s="174">
        <v>12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>
        <v>6</v>
      </c>
      <c r="O69" s="174"/>
      <c r="P69" s="174"/>
      <c r="Q69" s="174"/>
      <c r="R69" s="174"/>
      <c r="S69" s="174"/>
      <c r="T69" s="174"/>
      <c r="U69" s="174">
        <v>3</v>
      </c>
      <c r="V69" s="174"/>
      <c r="W69" s="174"/>
      <c r="X69" s="174">
        <v>3</v>
      </c>
      <c r="Y69" s="174">
        <v>12</v>
      </c>
      <c r="Z69" s="174">
        <v>1</v>
      </c>
      <c r="AA69" s="174"/>
      <c r="AB69" s="174">
        <v>3</v>
      </c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>
        <v>3</v>
      </c>
      <c r="AT69" s="174"/>
      <c r="AU69" s="174"/>
      <c r="AV69" s="174"/>
      <c r="AW69" s="174">
        <v>3</v>
      </c>
      <c r="AX69" s="156">
        <v>960</v>
      </c>
      <c r="AY69" s="203"/>
      <c r="AZ69" s="203"/>
      <c r="BA69" s="203"/>
    </row>
    <row r="70" spans="1:64" x14ac:dyDescent="0.25">
      <c r="A70" s="202" t="s">
        <v>132</v>
      </c>
      <c r="B70" s="174">
        <v>1</v>
      </c>
      <c r="C70" s="174"/>
      <c r="D70" s="174">
        <v>2</v>
      </c>
      <c r="E70" s="174"/>
      <c r="F70" s="174"/>
      <c r="G70" s="174"/>
      <c r="H70" s="174"/>
      <c r="I70" s="174"/>
      <c r="J70" s="174"/>
      <c r="K70" s="174"/>
      <c r="L70" s="174">
        <v>2</v>
      </c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>
        <v>2</v>
      </c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56"/>
      <c r="AY70" s="203"/>
      <c r="AZ70" s="203"/>
      <c r="BA70" s="203"/>
    </row>
    <row r="71" spans="1:64" x14ac:dyDescent="0.25">
      <c r="A71" s="202" t="s">
        <v>131</v>
      </c>
      <c r="B71" s="174">
        <v>6</v>
      </c>
      <c r="C71" s="174"/>
      <c r="D71" s="174">
        <v>6</v>
      </c>
      <c r="E71" s="174"/>
      <c r="F71" s="174"/>
      <c r="G71" s="174"/>
      <c r="H71" s="174"/>
      <c r="I71" s="174"/>
      <c r="J71" s="174"/>
      <c r="K71" s="174">
        <v>2</v>
      </c>
      <c r="L71" s="174">
        <v>2</v>
      </c>
      <c r="M71" s="174"/>
      <c r="N71" s="174"/>
      <c r="O71" s="174">
        <v>2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>
        <v>6</v>
      </c>
      <c r="Z71" s="174">
        <v>4</v>
      </c>
      <c r="AA71" s="174"/>
      <c r="AB71" s="174">
        <v>4</v>
      </c>
      <c r="AC71" s="174"/>
      <c r="AD71" s="174"/>
      <c r="AE71" s="174"/>
      <c r="AF71" s="174"/>
      <c r="AG71" s="174"/>
      <c r="AH71" s="174"/>
      <c r="AI71" s="174">
        <v>2</v>
      </c>
      <c r="AJ71" s="174">
        <v>1</v>
      </c>
      <c r="AK71" s="174"/>
      <c r="AL71" s="174"/>
      <c r="AM71" s="174">
        <v>1</v>
      </c>
      <c r="AN71" s="174"/>
      <c r="AO71" s="174"/>
      <c r="AP71" s="174"/>
      <c r="AQ71" s="174"/>
      <c r="AR71" s="174"/>
      <c r="AS71" s="174"/>
      <c r="AT71" s="174"/>
      <c r="AU71" s="174"/>
      <c r="AV71" s="174"/>
      <c r="AW71" s="174">
        <v>4</v>
      </c>
      <c r="AX71" s="205">
        <v>4577.55</v>
      </c>
      <c r="AY71" s="203"/>
      <c r="AZ71" s="203"/>
      <c r="BA71" s="203"/>
    </row>
    <row r="72" spans="1:64" x14ac:dyDescent="0.25">
      <c r="A72" s="202" t="s">
        <v>130</v>
      </c>
      <c r="B72" s="174">
        <v>1</v>
      </c>
      <c r="C72" s="174"/>
      <c r="D72" s="174">
        <v>13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>
        <v>13</v>
      </c>
      <c r="Y72" s="174">
        <v>13</v>
      </c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205"/>
      <c r="AY72" s="203"/>
      <c r="AZ72" s="203"/>
      <c r="BA72" s="203"/>
    </row>
    <row r="73" spans="1:64" x14ac:dyDescent="0.25">
      <c r="A73" s="201" t="s">
        <v>42</v>
      </c>
      <c r="B73" s="174">
        <f t="shared" ref="B73:AW73" si="4">SUM(B74:B93)</f>
        <v>344</v>
      </c>
      <c r="C73" s="174">
        <f t="shared" si="4"/>
        <v>69</v>
      </c>
      <c r="D73" s="174">
        <f t="shared" si="4"/>
        <v>1492</v>
      </c>
      <c r="E73" s="174">
        <f t="shared" si="4"/>
        <v>421</v>
      </c>
      <c r="F73" s="174">
        <f t="shared" si="4"/>
        <v>0</v>
      </c>
      <c r="G73" s="174">
        <f t="shared" si="4"/>
        <v>0</v>
      </c>
      <c r="H73" s="174">
        <f t="shared" si="4"/>
        <v>400</v>
      </c>
      <c r="I73" s="174">
        <f t="shared" si="4"/>
        <v>5</v>
      </c>
      <c r="J73" s="174">
        <f t="shared" si="4"/>
        <v>11</v>
      </c>
      <c r="K73" s="174">
        <f t="shared" si="4"/>
        <v>22</v>
      </c>
      <c r="L73" s="174">
        <f t="shared" si="4"/>
        <v>157</v>
      </c>
      <c r="M73" s="174">
        <f t="shared" si="4"/>
        <v>16</v>
      </c>
      <c r="N73" s="174">
        <f t="shared" si="4"/>
        <v>67</v>
      </c>
      <c r="O73" s="174">
        <f t="shared" si="4"/>
        <v>48</v>
      </c>
      <c r="P73" s="174">
        <f t="shared" si="4"/>
        <v>67</v>
      </c>
      <c r="Q73" s="174">
        <f t="shared" si="4"/>
        <v>1</v>
      </c>
      <c r="R73" s="174">
        <f t="shared" si="4"/>
        <v>55</v>
      </c>
      <c r="S73" s="174">
        <f t="shared" si="4"/>
        <v>26</v>
      </c>
      <c r="T73" s="174">
        <f t="shared" si="4"/>
        <v>272</v>
      </c>
      <c r="U73" s="174">
        <f t="shared" si="4"/>
        <v>22</v>
      </c>
      <c r="V73" s="174">
        <f t="shared" si="4"/>
        <v>270</v>
      </c>
      <c r="W73" s="174">
        <f t="shared" si="4"/>
        <v>19</v>
      </c>
      <c r="X73" s="174">
        <f t="shared" si="4"/>
        <v>34</v>
      </c>
      <c r="Y73" s="174">
        <f t="shared" si="4"/>
        <v>1492</v>
      </c>
      <c r="Z73" s="174">
        <f t="shared" si="4"/>
        <v>198</v>
      </c>
      <c r="AA73" s="174">
        <f t="shared" si="4"/>
        <v>37</v>
      </c>
      <c r="AB73" s="174">
        <f t="shared" si="4"/>
        <v>858</v>
      </c>
      <c r="AC73" s="174">
        <f t="shared" si="4"/>
        <v>194</v>
      </c>
      <c r="AD73" s="174">
        <f t="shared" si="4"/>
        <v>0</v>
      </c>
      <c r="AE73" s="174">
        <f t="shared" si="4"/>
        <v>0</v>
      </c>
      <c r="AF73" s="174">
        <f t="shared" si="4"/>
        <v>304</v>
      </c>
      <c r="AG73" s="174">
        <f t="shared" si="4"/>
        <v>5</v>
      </c>
      <c r="AH73" s="174">
        <f t="shared" si="4"/>
        <v>3</v>
      </c>
      <c r="AI73" s="174">
        <f t="shared" si="4"/>
        <v>10</v>
      </c>
      <c r="AJ73" s="174">
        <f t="shared" si="4"/>
        <v>49</v>
      </c>
      <c r="AK73" s="174">
        <f t="shared" si="4"/>
        <v>2</v>
      </c>
      <c r="AL73" s="174">
        <f t="shared" si="4"/>
        <v>45</v>
      </c>
      <c r="AM73" s="174">
        <f t="shared" si="4"/>
        <v>32</v>
      </c>
      <c r="AN73" s="174">
        <f t="shared" si="4"/>
        <v>67</v>
      </c>
      <c r="AO73" s="174">
        <f t="shared" si="4"/>
        <v>1</v>
      </c>
      <c r="AP73" s="174">
        <f t="shared" si="4"/>
        <v>38</v>
      </c>
      <c r="AQ73" s="174">
        <f t="shared" si="4"/>
        <v>23</v>
      </c>
      <c r="AR73" s="174">
        <f t="shared" si="4"/>
        <v>138</v>
      </c>
      <c r="AS73" s="174">
        <f t="shared" si="4"/>
        <v>12</v>
      </c>
      <c r="AT73" s="174">
        <f t="shared" si="4"/>
        <v>110</v>
      </c>
      <c r="AU73" s="174">
        <f t="shared" si="4"/>
        <v>12</v>
      </c>
      <c r="AV73" s="174">
        <f t="shared" si="4"/>
        <v>7</v>
      </c>
      <c r="AW73" s="174">
        <f t="shared" si="4"/>
        <v>858</v>
      </c>
      <c r="AX73" s="206">
        <v>3346.46</v>
      </c>
      <c r="AY73" s="156">
        <f>Z73*100/B73</f>
        <v>57.558139534883722</v>
      </c>
      <c r="AZ73" s="185">
        <f>B73-Z73</f>
        <v>146</v>
      </c>
      <c r="BA73" s="156">
        <f>AZ73*100/B73</f>
        <v>42.441860465116278</v>
      </c>
    </row>
    <row r="74" spans="1:64" x14ac:dyDescent="0.25">
      <c r="A74" s="202" t="s">
        <v>171</v>
      </c>
      <c r="B74" s="174">
        <v>30</v>
      </c>
      <c r="C74" s="174">
        <v>2</v>
      </c>
      <c r="D74" s="174">
        <v>234</v>
      </c>
      <c r="E74" s="174">
        <v>2</v>
      </c>
      <c r="F74" s="174"/>
      <c r="G74" s="174"/>
      <c r="H74" s="174">
        <v>86</v>
      </c>
      <c r="I74" s="174"/>
      <c r="J74" s="174"/>
      <c r="K74" s="174">
        <v>1</v>
      </c>
      <c r="L74" s="174">
        <v>85</v>
      </c>
      <c r="M74" s="174"/>
      <c r="N74" s="174">
        <v>25</v>
      </c>
      <c r="O74" s="174">
        <v>1</v>
      </c>
      <c r="P74" s="174"/>
      <c r="Q74" s="174"/>
      <c r="R74" s="174">
        <v>5</v>
      </c>
      <c r="S74" s="174">
        <v>20</v>
      </c>
      <c r="T74" s="174"/>
      <c r="U74" s="174">
        <v>1</v>
      </c>
      <c r="V74" s="174">
        <v>6</v>
      </c>
      <c r="W74" s="174">
        <v>4</v>
      </c>
      <c r="X74" s="174"/>
      <c r="Y74" s="174">
        <v>234</v>
      </c>
      <c r="Z74" s="174">
        <v>21</v>
      </c>
      <c r="AA74" s="174">
        <v>2</v>
      </c>
      <c r="AB74" s="174">
        <v>127</v>
      </c>
      <c r="AC74" s="174">
        <v>2</v>
      </c>
      <c r="AD74" s="174"/>
      <c r="AE74" s="174"/>
      <c r="AF74" s="174">
        <v>63</v>
      </c>
      <c r="AG74" s="174"/>
      <c r="AH74" s="174"/>
      <c r="AI74" s="174">
        <v>1</v>
      </c>
      <c r="AJ74" s="174">
        <v>10</v>
      </c>
      <c r="AK74" s="174"/>
      <c r="AL74" s="174">
        <v>24</v>
      </c>
      <c r="AM74" s="174">
        <v>1</v>
      </c>
      <c r="AN74" s="174"/>
      <c r="AO74" s="174"/>
      <c r="AP74" s="174">
        <v>5</v>
      </c>
      <c r="AQ74" s="174">
        <v>18</v>
      </c>
      <c r="AR74" s="174"/>
      <c r="AS74" s="174">
        <v>1</v>
      </c>
      <c r="AT74" s="174"/>
      <c r="AU74" s="174">
        <v>4</v>
      </c>
      <c r="AV74" s="174"/>
      <c r="AW74" s="174">
        <v>127</v>
      </c>
      <c r="AX74" s="205">
        <v>2479.4260000000004</v>
      </c>
      <c r="AY74" s="203"/>
      <c r="AZ74" s="203"/>
      <c r="BA74" s="203"/>
    </row>
    <row r="75" spans="1:64" x14ac:dyDescent="0.25">
      <c r="A75" s="202" t="s">
        <v>172</v>
      </c>
      <c r="B75" s="174">
        <v>13</v>
      </c>
      <c r="C75" s="174"/>
      <c r="D75" s="174">
        <v>26</v>
      </c>
      <c r="E75" s="174"/>
      <c r="F75" s="174"/>
      <c r="G75" s="174"/>
      <c r="H75" s="174"/>
      <c r="I75" s="174"/>
      <c r="J75" s="174"/>
      <c r="K75" s="174"/>
      <c r="L75" s="174">
        <v>1</v>
      </c>
      <c r="M75" s="174">
        <v>9</v>
      </c>
      <c r="N75" s="174">
        <v>5</v>
      </c>
      <c r="O75" s="174">
        <v>3</v>
      </c>
      <c r="P75" s="174"/>
      <c r="Q75" s="174"/>
      <c r="R75" s="174"/>
      <c r="S75" s="174"/>
      <c r="T75" s="174"/>
      <c r="U75" s="174"/>
      <c r="V75" s="174"/>
      <c r="W75" s="174"/>
      <c r="X75" s="174">
        <v>8</v>
      </c>
      <c r="Y75" s="174">
        <v>26</v>
      </c>
      <c r="Z75" s="174">
        <v>7</v>
      </c>
      <c r="AA75" s="174"/>
      <c r="AB75" s="174">
        <v>9</v>
      </c>
      <c r="AC75" s="174"/>
      <c r="AD75" s="174"/>
      <c r="AE75" s="174"/>
      <c r="AF75" s="174"/>
      <c r="AG75" s="174"/>
      <c r="AH75" s="174"/>
      <c r="AI75" s="174"/>
      <c r="AJ75" s="174"/>
      <c r="AK75" s="174">
        <v>1</v>
      </c>
      <c r="AL75" s="174">
        <v>5</v>
      </c>
      <c r="AM75" s="174">
        <v>2</v>
      </c>
      <c r="AN75" s="174"/>
      <c r="AO75" s="174"/>
      <c r="AP75" s="174"/>
      <c r="AQ75" s="174"/>
      <c r="AR75" s="174"/>
      <c r="AS75" s="174"/>
      <c r="AT75" s="174"/>
      <c r="AU75" s="174"/>
      <c r="AV75" s="174">
        <v>1</v>
      </c>
      <c r="AW75" s="174">
        <v>9</v>
      </c>
      <c r="AX75" s="205">
        <v>3197.6</v>
      </c>
      <c r="AY75" s="203"/>
      <c r="AZ75" s="203"/>
      <c r="BA75" s="203"/>
    </row>
    <row r="76" spans="1:64" x14ac:dyDescent="0.25">
      <c r="A76" s="202" t="s">
        <v>173</v>
      </c>
      <c r="B76" s="174">
        <v>42</v>
      </c>
      <c r="C76" s="174">
        <v>25</v>
      </c>
      <c r="D76" s="174">
        <v>282</v>
      </c>
      <c r="E76" s="174">
        <v>189</v>
      </c>
      <c r="F76" s="174"/>
      <c r="G76" s="174"/>
      <c r="H76" s="174">
        <v>6</v>
      </c>
      <c r="I76" s="174">
        <v>5</v>
      </c>
      <c r="J76" s="174">
        <v>5</v>
      </c>
      <c r="K76" s="174">
        <v>1</v>
      </c>
      <c r="L76" s="174">
        <v>19</v>
      </c>
      <c r="M76" s="174"/>
      <c r="N76" s="174">
        <v>5</v>
      </c>
      <c r="O76" s="174">
        <v>2</v>
      </c>
      <c r="P76" s="174">
        <v>40</v>
      </c>
      <c r="Q76" s="174"/>
      <c r="R76" s="174">
        <v>12</v>
      </c>
      <c r="S76" s="174"/>
      <c r="T76" s="174">
        <v>184</v>
      </c>
      <c r="U76" s="174"/>
      <c r="V76" s="174">
        <v>1</v>
      </c>
      <c r="W76" s="174">
        <v>1</v>
      </c>
      <c r="X76" s="174">
        <v>1</v>
      </c>
      <c r="Y76" s="174">
        <v>282</v>
      </c>
      <c r="Z76" s="174">
        <v>26</v>
      </c>
      <c r="AA76" s="174">
        <v>16</v>
      </c>
      <c r="AB76" s="174">
        <v>200</v>
      </c>
      <c r="AC76" s="174">
        <v>117</v>
      </c>
      <c r="AD76" s="174"/>
      <c r="AE76" s="174"/>
      <c r="AF76" s="174"/>
      <c r="AG76" s="174">
        <v>5</v>
      </c>
      <c r="AH76" s="174">
        <v>2</v>
      </c>
      <c r="AI76" s="174">
        <v>1</v>
      </c>
      <c r="AJ76" s="174">
        <v>19</v>
      </c>
      <c r="AK76" s="174"/>
      <c r="AL76" s="174">
        <v>5</v>
      </c>
      <c r="AM76" s="174"/>
      <c r="AN76" s="174">
        <v>40</v>
      </c>
      <c r="AO76" s="174"/>
      <c r="AP76" s="174">
        <v>11</v>
      </c>
      <c r="AQ76" s="174"/>
      <c r="AR76" s="174">
        <v>115</v>
      </c>
      <c r="AS76" s="174"/>
      <c r="AT76" s="174">
        <v>1</v>
      </c>
      <c r="AU76" s="174">
        <v>1</v>
      </c>
      <c r="AV76" s="174"/>
      <c r="AW76" s="174">
        <v>200</v>
      </c>
      <c r="AX76" s="205">
        <v>2795.1226315789477</v>
      </c>
      <c r="AY76" s="203"/>
      <c r="AZ76" s="203"/>
      <c r="BA76" s="203"/>
    </row>
    <row r="77" spans="1:64" x14ac:dyDescent="0.25">
      <c r="A77" s="202" t="s">
        <v>174</v>
      </c>
      <c r="B77" s="174">
        <v>9</v>
      </c>
      <c r="C77" s="174">
        <v>4</v>
      </c>
      <c r="D77" s="174">
        <v>236</v>
      </c>
      <c r="E77" s="174">
        <v>78</v>
      </c>
      <c r="F77" s="174"/>
      <c r="G77" s="174"/>
      <c r="H77" s="174">
        <v>28</v>
      </c>
      <c r="I77" s="174"/>
      <c r="J77" s="174"/>
      <c r="K77" s="174"/>
      <c r="L77" s="174"/>
      <c r="M77" s="174"/>
      <c r="N77" s="174">
        <v>5</v>
      </c>
      <c r="O77" s="174"/>
      <c r="P77" s="174"/>
      <c r="Q77" s="174"/>
      <c r="R77" s="174"/>
      <c r="S77" s="174"/>
      <c r="T77" s="174"/>
      <c r="U77" s="174">
        <v>5</v>
      </c>
      <c r="V77" s="174">
        <v>198</v>
      </c>
      <c r="W77" s="174"/>
      <c r="X77" s="174"/>
      <c r="Y77" s="174">
        <v>236</v>
      </c>
      <c r="Z77" s="174">
        <v>7</v>
      </c>
      <c r="AA77" s="174">
        <v>3</v>
      </c>
      <c r="AB77" s="174">
        <v>114</v>
      </c>
      <c r="AC77" s="174">
        <v>34</v>
      </c>
      <c r="AD77" s="174"/>
      <c r="AE77" s="174"/>
      <c r="AF77" s="174">
        <v>28</v>
      </c>
      <c r="AG77" s="174"/>
      <c r="AH77" s="174"/>
      <c r="AI77" s="174"/>
      <c r="AJ77" s="174"/>
      <c r="AK77" s="174"/>
      <c r="AL77" s="174">
        <v>5</v>
      </c>
      <c r="AM77" s="174"/>
      <c r="AN77" s="174"/>
      <c r="AO77" s="174"/>
      <c r="AP77" s="174"/>
      <c r="AQ77" s="174"/>
      <c r="AR77" s="174"/>
      <c r="AS77" s="174">
        <v>5</v>
      </c>
      <c r="AT77" s="174">
        <v>76</v>
      </c>
      <c r="AU77" s="174"/>
      <c r="AV77" s="174"/>
      <c r="AW77" s="174">
        <v>114</v>
      </c>
      <c r="AX77" s="205">
        <v>2286.3207142857145</v>
      </c>
      <c r="AY77" s="203"/>
      <c r="AZ77" s="203"/>
      <c r="BA77" s="203"/>
    </row>
    <row r="78" spans="1:64" x14ac:dyDescent="0.25">
      <c r="A78" s="202" t="s">
        <v>175</v>
      </c>
      <c r="B78" s="174">
        <v>18</v>
      </c>
      <c r="C78" s="174"/>
      <c r="D78" s="174">
        <v>52</v>
      </c>
      <c r="E78" s="174"/>
      <c r="F78" s="174"/>
      <c r="G78" s="174"/>
      <c r="H78" s="174">
        <v>32</v>
      </c>
      <c r="I78" s="174"/>
      <c r="J78" s="174"/>
      <c r="K78" s="174">
        <v>6</v>
      </c>
      <c r="L78" s="174">
        <v>4</v>
      </c>
      <c r="M78" s="174"/>
      <c r="N78" s="174"/>
      <c r="O78" s="174"/>
      <c r="P78" s="174"/>
      <c r="Q78" s="174"/>
      <c r="R78" s="174">
        <v>10</v>
      </c>
      <c r="S78" s="174"/>
      <c r="T78" s="174"/>
      <c r="U78" s="174"/>
      <c r="V78" s="174"/>
      <c r="W78" s="174"/>
      <c r="X78" s="174"/>
      <c r="Y78" s="174">
        <v>52</v>
      </c>
      <c r="Z78" s="174">
        <v>15</v>
      </c>
      <c r="AA78" s="174"/>
      <c r="AB78" s="174">
        <v>35</v>
      </c>
      <c r="AC78" s="174"/>
      <c r="AD78" s="174"/>
      <c r="AE78" s="174"/>
      <c r="AF78" s="174">
        <v>21</v>
      </c>
      <c r="AG78" s="174"/>
      <c r="AH78" s="174"/>
      <c r="AI78" s="174">
        <v>4</v>
      </c>
      <c r="AJ78" s="174">
        <v>4</v>
      </c>
      <c r="AK78" s="174"/>
      <c r="AL78" s="174"/>
      <c r="AM78" s="174"/>
      <c r="AN78" s="174"/>
      <c r="AO78" s="174"/>
      <c r="AP78" s="174">
        <v>6</v>
      </c>
      <c r="AQ78" s="174"/>
      <c r="AR78" s="174"/>
      <c r="AS78" s="174"/>
      <c r="AT78" s="174"/>
      <c r="AU78" s="174"/>
      <c r="AV78" s="174"/>
      <c r="AW78" s="174">
        <v>35</v>
      </c>
      <c r="AX78" s="205">
        <v>3816.0416666666665</v>
      </c>
      <c r="AY78" s="203"/>
      <c r="AZ78" s="203"/>
      <c r="BA78" s="203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</row>
    <row r="79" spans="1:64" x14ac:dyDescent="0.25">
      <c r="A79" s="202" t="s">
        <v>176</v>
      </c>
      <c r="B79" s="174">
        <v>13</v>
      </c>
      <c r="C79" s="174"/>
      <c r="D79" s="174">
        <v>26</v>
      </c>
      <c r="E79" s="174"/>
      <c r="F79" s="174"/>
      <c r="G79" s="174"/>
      <c r="H79" s="174">
        <v>15</v>
      </c>
      <c r="I79" s="174"/>
      <c r="J79" s="174"/>
      <c r="K79" s="174">
        <v>3</v>
      </c>
      <c r="L79" s="174">
        <v>2</v>
      </c>
      <c r="M79" s="174"/>
      <c r="N79" s="174"/>
      <c r="O79" s="174">
        <v>4</v>
      </c>
      <c r="P79" s="174"/>
      <c r="Q79" s="174"/>
      <c r="R79" s="174"/>
      <c r="S79" s="174"/>
      <c r="T79" s="174"/>
      <c r="U79" s="174"/>
      <c r="V79" s="174"/>
      <c r="W79" s="174"/>
      <c r="X79" s="174">
        <v>2</v>
      </c>
      <c r="Y79" s="174">
        <v>26</v>
      </c>
      <c r="Z79" s="174">
        <v>7</v>
      </c>
      <c r="AA79" s="174"/>
      <c r="AB79" s="174">
        <v>19</v>
      </c>
      <c r="AC79" s="174"/>
      <c r="AD79" s="174"/>
      <c r="AE79" s="174"/>
      <c r="AF79" s="174">
        <v>15</v>
      </c>
      <c r="AG79" s="174"/>
      <c r="AH79" s="174"/>
      <c r="AI79" s="174"/>
      <c r="AJ79" s="174">
        <v>1</v>
      </c>
      <c r="AK79" s="174"/>
      <c r="AL79" s="174"/>
      <c r="AM79" s="174">
        <v>2</v>
      </c>
      <c r="AN79" s="174"/>
      <c r="AO79" s="174"/>
      <c r="AP79" s="174"/>
      <c r="AQ79" s="174"/>
      <c r="AR79" s="174"/>
      <c r="AS79" s="174"/>
      <c r="AT79" s="174"/>
      <c r="AU79" s="174"/>
      <c r="AV79" s="174">
        <v>1</v>
      </c>
      <c r="AW79" s="174">
        <v>19</v>
      </c>
      <c r="AX79" s="205">
        <v>4836.6660000000002</v>
      </c>
      <c r="AY79" s="203"/>
      <c r="AZ79" s="203"/>
      <c r="BA79" s="203"/>
    </row>
    <row r="80" spans="1:64" x14ac:dyDescent="0.25">
      <c r="A80" s="202" t="s">
        <v>178</v>
      </c>
      <c r="B80" s="174">
        <v>36</v>
      </c>
      <c r="C80" s="174">
        <v>10</v>
      </c>
      <c r="D80" s="174">
        <v>211</v>
      </c>
      <c r="E80" s="174">
        <v>96</v>
      </c>
      <c r="F80" s="174"/>
      <c r="G80" s="174"/>
      <c r="H80" s="174">
        <v>34</v>
      </c>
      <c r="I80" s="174"/>
      <c r="J80" s="174">
        <v>1</v>
      </c>
      <c r="K80" s="174">
        <v>4</v>
      </c>
      <c r="L80" s="174"/>
      <c r="M80" s="174">
        <v>4</v>
      </c>
      <c r="N80" s="174">
        <v>4</v>
      </c>
      <c r="O80" s="174">
        <v>2</v>
      </c>
      <c r="P80" s="174">
        <v>27</v>
      </c>
      <c r="Q80" s="174"/>
      <c r="R80" s="174">
        <v>6</v>
      </c>
      <c r="S80" s="174"/>
      <c r="T80" s="174">
        <v>72</v>
      </c>
      <c r="U80" s="174"/>
      <c r="V80" s="174">
        <v>50</v>
      </c>
      <c r="W80" s="174">
        <v>2</v>
      </c>
      <c r="X80" s="174">
        <v>5</v>
      </c>
      <c r="Y80" s="174">
        <v>211</v>
      </c>
      <c r="Z80" s="174">
        <v>21</v>
      </c>
      <c r="AA80" s="174">
        <v>4</v>
      </c>
      <c r="AB80" s="174">
        <v>97</v>
      </c>
      <c r="AC80" s="174">
        <v>14</v>
      </c>
      <c r="AD80" s="174"/>
      <c r="AE80" s="174"/>
      <c r="AF80" s="174">
        <v>19</v>
      </c>
      <c r="AG80" s="174"/>
      <c r="AH80" s="174">
        <v>1</v>
      </c>
      <c r="AI80" s="174">
        <v>4</v>
      </c>
      <c r="AJ80" s="174"/>
      <c r="AK80" s="174"/>
      <c r="AL80" s="174">
        <v>3</v>
      </c>
      <c r="AM80" s="174">
        <v>1</v>
      </c>
      <c r="AN80" s="174">
        <v>27</v>
      </c>
      <c r="AO80" s="174"/>
      <c r="AP80" s="174">
        <v>6</v>
      </c>
      <c r="AQ80" s="174"/>
      <c r="AR80" s="174">
        <v>12</v>
      </c>
      <c r="AS80" s="174"/>
      <c r="AT80" s="174">
        <v>22</v>
      </c>
      <c r="AU80" s="174">
        <v>2</v>
      </c>
      <c r="AV80" s="174"/>
      <c r="AW80" s="174">
        <v>97</v>
      </c>
      <c r="AX80" s="205">
        <v>1124.702</v>
      </c>
      <c r="AY80" s="203"/>
      <c r="AZ80" s="203"/>
      <c r="BA80" s="203"/>
    </row>
    <row r="81" spans="1:53" x14ac:dyDescent="0.25">
      <c r="A81" s="202" t="s">
        <v>177</v>
      </c>
      <c r="B81" s="174">
        <v>28</v>
      </c>
      <c r="C81" s="174">
        <v>3</v>
      </c>
      <c r="D81" s="174">
        <v>60</v>
      </c>
      <c r="E81" s="174">
        <v>13</v>
      </c>
      <c r="F81" s="174"/>
      <c r="G81" s="174"/>
      <c r="H81" s="174">
        <v>27</v>
      </c>
      <c r="I81" s="174"/>
      <c r="J81" s="174"/>
      <c r="K81" s="174"/>
      <c r="L81" s="174">
        <v>15</v>
      </c>
      <c r="M81" s="174">
        <v>1</v>
      </c>
      <c r="N81" s="174"/>
      <c r="O81" s="174">
        <v>4</v>
      </c>
      <c r="P81" s="174"/>
      <c r="Q81" s="174"/>
      <c r="R81" s="174"/>
      <c r="S81" s="174">
        <v>2</v>
      </c>
      <c r="T81" s="174"/>
      <c r="U81" s="174">
        <v>10</v>
      </c>
      <c r="V81" s="174">
        <v>1</v>
      </c>
      <c r="W81" s="174"/>
      <c r="X81" s="174"/>
      <c r="Y81" s="174">
        <v>60</v>
      </c>
      <c r="Z81" s="174">
        <v>14</v>
      </c>
      <c r="AA81" s="174">
        <v>2</v>
      </c>
      <c r="AB81" s="174">
        <v>30</v>
      </c>
      <c r="AC81" s="174">
        <v>6</v>
      </c>
      <c r="AD81" s="174"/>
      <c r="AE81" s="174"/>
      <c r="AF81" s="174">
        <v>19</v>
      </c>
      <c r="AG81" s="174"/>
      <c r="AH81" s="174"/>
      <c r="AI81" s="174"/>
      <c r="AJ81" s="174">
        <v>3</v>
      </c>
      <c r="AK81" s="174"/>
      <c r="AL81" s="174"/>
      <c r="AM81" s="174">
        <v>2</v>
      </c>
      <c r="AN81" s="174"/>
      <c r="AO81" s="174"/>
      <c r="AP81" s="174"/>
      <c r="AQ81" s="174"/>
      <c r="AR81" s="174"/>
      <c r="AS81" s="174">
        <v>6</v>
      </c>
      <c r="AT81" s="174"/>
      <c r="AU81" s="174"/>
      <c r="AV81" s="174"/>
      <c r="AW81" s="174">
        <v>30</v>
      </c>
      <c r="AX81" s="205">
        <v>3955.9762500000002</v>
      </c>
      <c r="AY81" s="203"/>
      <c r="AZ81" s="203"/>
      <c r="BA81" s="203"/>
    </row>
    <row r="82" spans="1:53" x14ac:dyDescent="0.25">
      <c r="A82" s="202" t="s">
        <v>159</v>
      </c>
      <c r="B82" s="174">
        <v>6</v>
      </c>
      <c r="C82" s="174"/>
      <c r="D82" s="174">
        <v>18</v>
      </c>
      <c r="E82" s="174"/>
      <c r="F82" s="174"/>
      <c r="G82" s="174"/>
      <c r="H82" s="174"/>
      <c r="I82" s="174"/>
      <c r="J82" s="174"/>
      <c r="K82" s="174"/>
      <c r="L82" s="174">
        <v>1</v>
      </c>
      <c r="M82" s="174"/>
      <c r="N82" s="174">
        <v>11</v>
      </c>
      <c r="O82" s="174">
        <v>4</v>
      </c>
      <c r="P82" s="174"/>
      <c r="Q82" s="174"/>
      <c r="R82" s="174"/>
      <c r="S82" s="174"/>
      <c r="T82" s="174"/>
      <c r="U82" s="174"/>
      <c r="V82" s="174"/>
      <c r="W82" s="174"/>
      <c r="X82" s="174">
        <v>2</v>
      </c>
      <c r="Y82" s="174">
        <v>18</v>
      </c>
      <c r="Z82" s="174">
        <v>3</v>
      </c>
      <c r="AA82" s="174"/>
      <c r="AB82" s="174">
        <v>5</v>
      </c>
      <c r="AC82" s="174"/>
      <c r="AD82" s="174"/>
      <c r="AE82" s="174"/>
      <c r="AF82" s="174"/>
      <c r="AG82" s="174"/>
      <c r="AH82" s="174"/>
      <c r="AI82" s="174"/>
      <c r="AJ82" s="174">
        <v>1</v>
      </c>
      <c r="AK82" s="174"/>
      <c r="AL82" s="174"/>
      <c r="AM82" s="174">
        <v>4</v>
      </c>
      <c r="AN82" s="174"/>
      <c r="AO82" s="174"/>
      <c r="AP82" s="174"/>
      <c r="AQ82" s="174"/>
      <c r="AR82" s="174"/>
      <c r="AS82" s="174"/>
      <c r="AT82" s="174"/>
      <c r="AU82" s="174"/>
      <c r="AV82" s="174"/>
      <c r="AW82" s="174">
        <v>5</v>
      </c>
      <c r="AX82" s="205">
        <v>3487.5</v>
      </c>
      <c r="AY82" s="203"/>
      <c r="AZ82" s="203"/>
      <c r="BA82" s="203"/>
    </row>
    <row r="83" spans="1:53" x14ac:dyDescent="0.25">
      <c r="A83" s="202" t="s">
        <v>160</v>
      </c>
      <c r="B83" s="174">
        <v>27</v>
      </c>
      <c r="C83" s="174">
        <v>2</v>
      </c>
      <c r="D83" s="174">
        <v>31</v>
      </c>
      <c r="E83" s="174">
        <v>2</v>
      </c>
      <c r="F83" s="174"/>
      <c r="G83" s="174"/>
      <c r="H83" s="174">
        <v>5</v>
      </c>
      <c r="I83" s="174"/>
      <c r="J83" s="174"/>
      <c r="K83" s="174">
        <v>1</v>
      </c>
      <c r="L83" s="174">
        <v>5</v>
      </c>
      <c r="M83" s="174">
        <v>1</v>
      </c>
      <c r="N83" s="174">
        <v>3</v>
      </c>
      <c r="O83" s="174">
        <v>3</v>
      </c>
      <c r="P83" s="174"/>
      <c r="Q83" s="174">
        <v>1</v>
      </c>
      <c r="R83" s="174">
        <v>10</v>
      </c>
      <c r="S83" s="174"/>
      <c r="T83" s="174"/>
      <c r="U83" s="174"/>
      <c r="V83" s="174">
        <v>2</v>
      </c>
      <c r="W83" s="174"/>
      <c r="X83" s="174"/>
      <c r="Y83" s="174">
        <v>31</v>
      </c>
      <c r="Z83" s="174">
        <v>13</v>
      </c>
      <c r="AA83" s="174">
        <v>1</v>
      </c>
      <c r="AB83" s="174">
        <v>14</v>
      </c>
      <c r="AC83" s="174">
        <v>1</v>
      </c>
      <c r="AD83" s="174"/>
      <c r="AE83" s="174"/>
      <c r="AF83" s="174">
        <v>1</v>
      </c>
      <c r="AG83" s="174"/>
      <c r="AH83" s="174"/>
      <c r="AI83" s="174"/>
      <c r="AJ83" s="174">
        <v>2</v>
      </c>
      <c r="AK83" s="174"/>
      <c r="AL83" s="174">
        <v>2</v>
      </c>
      <c r="AM83" s="174">
        <v>2</v>
      </c>
      <c r="AN83" s="174"/>
      <c r="AO83" s="174">
        <v>1</v>
      </c>
      <c r="AP83" s="174">
        <v>5</v>
      </c>
      <c r="AQ83" s="174"/>
      <c r="AR83" s="174"/>
      <c r="AS83" s="174"/>
      <c r="AT83" s="174">
        <v>1</v>
      </c>
      <c r="AU83" s="174"/>
      <c r="AV83" s="174"/>
      <c r="AW83" s="174">
        <v>14</v>
      </c>
      <c r="AX83" s="205">
        <v>1522.590909090909</v>
      </c>
      <c r="AY83" s="203"/>
      <c r="AZ83" s="203"/>
      <c r="BA83" s="203"/>
    </row>
    <row r="84" spans="1:53" x14ac:dyDescent="0.25">
      <c r="A84" s="202" t="s">
        <v>161</v>
      </c>
      <c r="B84" s="174">
        <v>6</v>
      </c>
      <c r="C84" s="174"/>
      <c r="D84" s="174">
        <v>32</v>
      </c>
      <c r="E84" s="174"/>
      <c r="F84" s="174"/>
      <c r="G84" s="174"/>
      <c r="H84" s="174">
        <v>28</v>
      </c>
      <c r="I84" s="174"/>
      <c r="J84" s="174"/>
      <c r="K84" s="174">
        <v>1</v>
      </c>
      <c r="L84" s="174">
        <v>1</v>
      </c>
      <c r="M84" s="174"/>
      <c r="N84" s="174"/>
      <c r="O84" s="174"/>
      <c r="P84" s="174"/>
      <c r="Q84" s="174"/>
      <c r="R84" s="174">
        <v>2</v>
      </c>
      <c r="S84" s="174"/>
      <c r="T84" s="174"/>
      <c r="U84" s="174"/>
      <c r="V84" s="174"/>
      <c r="W84" s="174"/>
      <c r="X84" s="174"/>
      <c r="Y84" s="174">
        <v>32</v>
      </c>
      <c r="Z84" s="174">
        <v>4</v>
      </c>
      <c r="AA84" s="174"/>
      <c r="AB84" s="174">
        <v>30</v>
      </c>
      <c r="AC84" s="174"/>
      <c r="AD84" s="174"/>
      <c r="AE84" s="174"/>
      <c r="AF84" s="174">
        <v>27</v>
      </c>
      <c r="AG84" s="174"/>
      <c r="AH84" s="174"/>
      <c r="AI84" s="174"/>
      <c r="AJ84" s="174">
        <v>1</v>
      </c>
      <c r="AK84" s="174"/>
      <c r="AL84" s="174"/>
      <c r="AM84" s="174"/>
      <c r="AN84" s="174"/>
      <c r="AO84" s="174"/>
      <c r="AP84" s="174">
        <v>2</v>
      </c>
      <c r="AQ84" s="174"/>
      <c r="AR84" s="174"/>
      <c r="AS84" s="174"/>
      <c r="AT84" s="174"/>
      <c r="AU84" s="174"/>
      <c r="AV84" s="174"/>
      <c r="AW84" s="174">
        <v>30</v>
      </c>
      <c r="AX84" s="205">
        <v>1496.0900000000001</v>
      </c>
      <c r="AY84" s="203"/>
      <c r="AZ84" s="203"/>
      <c r="BA84" s="203"/>
    </row>
    <row r="85" spans="1:53" x14ac:dyDescent="0.25">
      <c r="A85" s="202" t="s">
        <v>162</v>
      </c>
      <c r="B85" s="174">
        <v>8</v>
      </c>
      <c r="C85" s="174"/>
      <c r="D85" s="174">
        <v>11</v>
      </c>
      <c r="E85" s="174"/>
      <c r="F85" s="174"/>
      <c r="G85" s="174"/>
      <c r="H85" s="174">
        <v>1</v>
      </c>
      <c r="I85" s="174"/>
      <c r="J85" s="174"/>
      <c r="K85" s="174"/>
      <c r="L85" s="174"/>
      <c r="M85" s="174"/>
      <c r="N85" s="174"/>
      <c r="O85" s="174">
        <v>9</v>
      </c>
      <c r="P85" s="174"/>
      <c r="Q85" s="174"/>
      <c r="R85" s="174"/>
      <c r="S85" s="174"/>
      <c r="T85" s="174"/>
      <c r="U85" s="174"/>
      <c r="V85" s="174"/>
      <c r="W85" s="174"/>
      <c r="X85" s="174">
        <v>1</v>
      </c>
      <c r="Y85" s="174">
        <v>11</v>
      </c>
      <c r="Z85" s="174">
        <v>7</v>
      </c>
      <c r="AA85" s="174"/>
      <c r="AB85" s="174">
        <v>8</v>
      </c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>
        <v>7</v>
      </c>
      <c r="AN85" s="174"/>
      <c r="AO85" s="174"/>
      <c r="AP85" s="174"/>
      <c r="AQ85" s="174"/>
      <c r="AR85" s="174"/>
      <c r="AS85" s="174"/>
      <c r="AT85" s="174"/>
      <c r="AU85" s="174"/>
      <c r="AV85" s="174">
        <v>1</v>
      </c>
      <c r="AW85" s="174">
        <v>8</v>
      </c>
      <c r="AX85" s="205">
        <v>3306.6666666666665</v>
      </c>
      <c r="AY85" s="203"/>
      <c r="AZ85" s="203"/>
      <c r="BA85" s="203"/>
    </row>
    <row r="86" spans="1:53" x14ac:dyDescent="0.25">
      <c r="A86" s="202" t="s">
        <v>163</v>
      </c>
      <c r="B86" s="174">
        <v>2</v>
      </c>
      <c r="C86" s="174"/>
      <c r="D86" s="174">
        <v>3</v>
      </c>
      <c r="E86" s="174"/>
      <c r="F86" s="174"/>
      <c r="G86" s="174"/>
      <c r="H86" s="174">
        <v>3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>
        <v>3</v>
      </c>
      <c r="Z86" s="174">
        <v>2</v>
      </c>
      <c r="AA86" s="174"/>
      <c r="AB86" s="174">
        <v>3</v>
      </c>
      <c r="AC86" s="174"/>
      <c r="AD86" s="174"/>
      <c r="AE86" s="174"/>
      <c r="AF86" s="174">
        <v>3</v>
      </c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>
        <v>3</v>
      </c>
      <c r="AX86" s="205">
        <v>3000</v>
      </c>
      <c r="AY86" s="203"/>
      <c r="AZ86" s="203"/>
      <c r="BA86" s="203"/>
    </row>
    <row r="87" spans="1:53" x14ac:dyDescent="0.25">
      <c r="A87" s="202" t="s">
        <v>164</v>
      </c>
      <c r="B87" s="174">
        <v>1</v>
      </c>
      <c r="C87" s="174"/>
      <c r="D87" s="174">
        <v>2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>
        <v>2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>
        <v>2</v>
      </c>
      <c r="Z87" s="174">
        <v>1</v>
      </c>
      <c r="AA87" s="174"/>
      <c r="AB87" s="174">
        <v>2</v>
      </c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>
        <v>2</v>
      </c>
      <c r="AN87" s="174"/>
      <c r="AO87" s="174"/>
      <c r="AP87" s="174"/>
      <c r="AQ87" s="174"/>
      <c r="AR87" s="174"/>
      <c r="AS87" s="174"/>
      <c r="AT87" s="174"/>
      <c r="AU87" s="174"/>
      <c r="AV87" s="174"/>
      <c r="AW87" s="174">
        <v>2</v>
      </c>
      <c r="AX87" s="205">
        <v>4640</v>
      </c>
      <c r="AY87" s="203"/>
      <c r="AZ87" s="203"/>
      <c r="BA87" s="203"/>
    </row>
    <row r="88" spans="1:53" x14ac:dyDescent="0.25">
      <c r="A88" s="202" t="s">
        <v>165</v>
      </c>
      <c r="B88" s="174">
        <v>37</v>
      </c>
      <c r="C88" s="174">
        <v>11</v>
      </c>
      <c r="D88" s="174">
        <v>59</v>
      </c>
      <c r="E88" s="174">
        <v>18</v>
      </c>
      <c r="F88" s="174"/>
      <c r="G88" s="174"/>
      <c r="H88" s="174">
        <v>13</v>
      </c>
      <c r="I88" s="174"/>
      <c r="J88" s="174">
        <v>5</v>
      </c>
      <c r="K88" s="174"/>
      <c r="L88" s="174">
        <v>5</v>
      </c>
      <c r="M88" s="174"/>
      <c r="N88" s="174"/>
      <c r="O88" s="174">
        <v>8</v>
      </c>
      <c r="P88" s="174"/>
      <c r="Q88" s="174"/>
      <c r="R88" s="174"/>
      <c r="S88" s="174">
        <v>4</v>
      </c>
      <c r="T88" s="174">
        <v>9</v>
      </c>
      <c r="U88" s="174"/>
      <c r="V88" s="174">
        <v>12</v>
      </c>
      <c r="W88" s="174"/>
      <c r="X88" s="174">
        <v>3</v>
      </c>
      <c r="Y88" s="174">
        <v>59</v>
      </c>
      <c r="Z88" s="174">
        <v>20</v>
      </c>
      <c r="AA88" s="174">
        <v>4</v>
      </c>
      <c r="AB88" s="174">
        <v>31</v>
      </c>
      <c r="AC88" s="174">
        <v>9</v>
      </c>
      <c r="AD88" s="174"/>
      <c r="AE88" s="174"/>
      <c r="AF88" s="174">
        <v>4</v>
      </c>
      <c r="AG88" s="174"/>
      <c r="AH88" s="174"/>
      <c r="AI88" s="174"/>
      <c r="AJ88" s="174">
        <v>4</v>
      </c>
      <c r="AK88" s="174"/>
      <c r="AL88" s="174"/>
      <c r="AM88" s="174">
        <v>4</v>
      </c>
      <c r="AN88" s="174"/>
      <c r="AO88" s="174"/>
      <c r="AP88" s="174"/>
      <c r="AQ88" s="174"/>
      <c r="AR88" s="174">
        <v>9</v>
      </c>
      <c r="AS88" s="174"/>
      <c r="AT88" s="174">
        <v>10</v>
      </c>
      <c r="AU88" s="174"/>
      <c r="AV88" s="174"/>
      <c r="AW88" s="174">
        <v>31</v>
      </c>
      <c r="AX88" s="205">
        <v>3155.375</v>
      </c>
      <c r="AY88" s="203"/>
      <c r="AZ88" s="203"/>
      <c r="BA88" s="203"/>
    </row>
    <row r="89" spans="1:53" x14ac:dyDescent="0.25">
      <c r="A89" s="202" t="s">
        <v>166</v>
      </c>
      <c r="B89" s="174">
        <v>28</v>
      </c>
      <c r="C89" s="174">
        <v>7</v>
      </c>
      <c r="D89" s="174">
        <v>28</v>
      </c>
      <c r="E89" s="174">
        <v>7</v>
      </c>
      <c r="F89" s="174"/>
      <c r="G89" s="174"/>
      <c r="H89" s="174"/>
      <c r="I89" s="174"/>
      <c r="J89" s="174"/>
      <c r="K89" s="174"/>
      <c r="L89" s="174">
        <v>12</v>
      </c>
      <c r="M89" s="174"/>
      <c r="N89" s="174"/>
      <c r="O89" s="174">
        <v>6</v>
      </c>
      <c r="P89" s="174"/>
      <c r="Q89" s="174"/>
      <c r="R89" s="174">
        <v>6</v>
      </c>
      <c r="S89" s="174"/>
      <c r="T89" s="174"/>
      <c r="U89" s="174">
        <v>1</v>
      </c>
      <c r="V89" s="174"/>
      <c r="W89" s="174"/>
      <c r="X89" s="174">
        <v>3</v>
      </c>
      <c r="Y89" s="174">
        <v>28</v>
      </c>
      <c r="Z89" s="174">
        <v>6</v>
      </c>
      <c r="AA89" s="174"/>
      <c r="AB89" s="174">
        <v>6</v>
      </c>
      <c r="AC89" s="174"/>
      <c r="AD89" s="174"/>
      <c r="AE89" s="174"/>
      <c r="AF89" s="174"/>
      <c r="AG89" s="174"/>
      <c r="AH89" s="174"/>
      <c r="AI89" s="174"/>
      <c r="AJ89" s="174">
        <v>1</v>
      </c>
      <c r="AK89" s="174"/>
      <c r="AL89" s="174"/>
      <c r="AM89" s="174">
        <v>3</v>
      </c>
      <c r="AN89" s="174"/>
      <c r="AO89" s="174"/>
      <c r="AP89" s="174"/>
      <c r="AQ89" s="174"/>
      <c r="AR89" s="174"/>
      <c r="AS89" s="174"/>
      <c r="AT89" s="174"/>
      <c r="AU89" s="174"/>
      <c r="AV89" s="174">
        <v>2</v>
      </c>
      <c r="AW89" s="174">
        <v>6</v>
      </c>
      <c r="AX89" s="205">
        <v>8350</v>
      </c>
      <c r="AY89" s="203"/>
      <c r="AZ89" s="203"/>
      <c r="BA89" s="203"/>
    </row>
    <row r="90" spans="1:53" x14ac:dyDescent="0.25">
      <c r="A90" s="202" t="s">
        <v>167</v>
      </c>
      <c r="B90" s="174">
        <v>17</v>
      </c>
      <c r="C90" s="174">
        <v>1</v>
      </c>
      <c r="D90" s="174">
        <v>36</v>
      </c>
      <c r="E90" s="174">
        <v>8</v>
      </c>
      <c r="F90" s="174"/>
      <c r="G90" s="174"/>
      <c r="H90" s="174"/>
      <c r="I90" s="174"/>
      <c r="J90" s="174"/>
      <c r="K90" s="174">
        <v>5</v>
      </c>
      <c r="L90" s="174">
        <v>3</v>
      </c>
      <c r="M90" s="174"/>
      <c r="N90" s="174">
        <v>9</v>
      </c>
      <c r="O90" s="174"/>
      <c r="P90" s="174"/>
      <c r="Q90" s="174"/>
      <c r="R90" s="174">
        <v>1</v>
      </c>
      <c r="S90" s="174"/>
      <c r="T90" s="174"/>
      <c r="U90" s="174"/>
      <c r="V90" s="174"/>
      <c r="W90" s="174">
        <v>10</v>
      </c>
      <c r="X90" s="174">
        <v>8</v>
      </c>
      <c r="Y90" s="174">
        <v>36</v>
      </c>
      <c r="Z90" s="174">
        <v>8</v>
      </c>
      <c r="AA90" s="174">
        <v>1</v>
      </c>
      <c r="AB90" s="174">
        <v>10</v>
      </c>
      <c r="AC90" s="174">
        <v>3</v>
      </c>
      <c r="AD90" s="174"/>
      <c r="AE90" s="174"/>
      <c r="AF90" s="174"/>
      <c r="AG90" s="174"/>
      <c r="AH90" s="174"/>
      <c r="AI90" s="174"/>
      <c r="AJ90" s="174">
        <v>2</v>
      </c>
      <c r="AK90" s="174"/>
      <c r="AL90" s="174">
        <v>1</v>
      </c>
      <c r="AM90" s="174">
        <v>2</v>
      </c>
      <c r="AN90" s="174"/>
      <c r="AO90" s="174"/>
      <c r="AP90" s="174"/>
      <c r="AQ90" s="174"/>
      <c r="AR90" s="174"/>
      <c r="AS90" s="174"/>
      <c r="AT90" s="174"/>
      <c r="AU90" s="174">
        <v>3</v>
      </c>
      <c r="AV90" s="174">
        <v>2</v>
      </c>
      <c r="AW90" s="174">
        <v>10</v>
      </c>
      <c r="AX90" s="205">
        <v>3435.772857142857</v>
      </c>
      <c r="AY90" s="203"/>
      <c r="AZ90" s="203"/>
      <c r="BA90" s="203"/>
    </row>
    <row r="91" spans="1:53" x14ac:dyDescent="0.25">
      <c r="A91" s="202" t="s">
        <v>168</v>
      </c>
      <c r="B91" s="174">
        <v>1</v>
      </c>
      <c r="C91" s="174"/>
      <c r="D91" s="174">
        <v>1</v>
      </c>
      <c r="E91" s="174"/>
      <c r="F91" s="174"/>
      <c r="G91" s="174"/>
      <c r="H91" s="174"/>
      <c r="I91" s="174"/>
      <c r="J91" s="174"/>
      <c r="K91" s="174"/>
      <c r="L91" s="174">
        <v>1</v>
      </c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>
        <v>1</v>
      </c>
      <c r="Z91" s="174">
        <v>1</v>
      </c>
      <c r="AA91" s="174"/>
      <c r="AB91" s="174">
        <v>1</v>
      </c>
      <c r="AC91" s="174"/>
      <c r="AD91" s="174"/>
      <c r="AE91" s="174"/>
      <c r="AF91" s="174"/>
      <c r="AG91" s="174"/>
      <c r="AH91" s="174"/>
      <c r="AI91" s="174"/>
      <c r="AJ91" s="174">
        <v>1</v>
      </c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>
        <v>1</v>
      </c>
      <c r="AX91" s="205">
        <v>6400</v>
      </c>
      <c r="AY91" s="203"/>
      <c r="AZ91" s="203"/>
      <c r="BA91" s="203"/>
    </row>
    <row r="92" spans="1:53" x14ac:dyDescent="0.25">
      <c r="A92" s="202" t="s">
        <v>169</v>
      </c>
      <c r="B92" s="174">
        <v>18</v>
      </c>
      <c r="C92" s="174"/>
      <c r="D92" s="174">
        <v>136</v>
      </c>
      <c r="E92" s="174"/>
      <c r="F92" s="174"/>
      <c r="G92" s="174"/>
      <c r="H92" s="174">
        <v>122</v>
      </c>
      <c r="I92" s="174"/>
      <c r="J92" s="174"/>
      <c r="K92" s="174"/>
      <c r="L92" s="174">
        <v>3</v>
      </c>
      <c r="M92" s="174"/>
      <c r="N92" s="174"/>
      <c r="O92" s="174"/>
      <c r="P92" s="174"/>
      <c r="Q92" s="174"/>
      <c r="R92" s="174">
        <v>3</v>
      </c>
      <c r="S92" s="174"/>
      <c r="T92" s="174">
        <v>2</v>
      </c>
      <c r="U92" s="174">
        <v>5</v>
      </c>
      <c r="V92" s="174"/>
      <c r="W92" s="174"/>
      <c r="X92" s="174">
        <v>1</v>
      </c>
      <c r="Y92" s="174">
        <v>136</v>
      </c>
      <c r="Z92" s="174">
        <v>11</v>
      </c>
      <c r="AA92" s="174"/>
      <c r="AB92" s="174">
        <v>109</v>
      </c>
      <c r="AC92" s="174"/>
      <c r="AD92" s="174"/>
      <c r="AE92" s="174"/>
      <c r="AF92" s="174">
        <v>104</v>
      </c>
      <c r="AG92" s="174"/>
      <c r="AH92" s="174"/>
      <c r="AI92" s="174"/>
      <c r="AJ92" s="174"/>
      <c r="AK92" s="174"/>
      <c r="AL92" s="174"/>
      <c r="AM92" s="174"/>
      <c r="AN92" s="174"/>
      <c r="AO92" s="174"/>
      <c r="AP92" s="174">
        <v>3</v>
      </c>
      <c r="AQ92" s="174"/>
      <c r="AR92" s="174">
        <v>2</v>
      </c>
      <c r="AS92" s="174"/>
      <c r="AT92" s="174"/>
      <c r="AU92" s="174"/>
      <c r="AV92" s="174"/>
      <c r="AW92" s="174">
        <v>109</v>
      </c>
      <c r="AX92" s="205">
        <v>1444.6112499999999</v>
      </c>
      <c r="AY92" s="203"/>
      <c r="AZ92" s="203"/>
      <c r="BA92" s="203"/>
    </row>
    <row r="93" spans="1:53" x14ac:dyDescent="0.25">
      <c r="A93" s="202" t="s">
        <v>170</v>
      </c>
      <c r="B93" s="174">
        <v>4</v>
      </c>
      <c r="C93" s="174">
        <v>4</v>
      </c>
      <c r="D93" s="174">
        <v>8</v>
      </c>
      <c r="E93" s="174">
        <v>8</v>
      </c>
      <c r="F93" s="174"/>
      <c r="G93" s="174"/>
      <c r="H93" s="174"/>
      <c r="I93" s="174"/>
      <c r="J93" s="174"/>
      <c r="K93" s="174"/>
      <c r="L93" s="174"/>
      <c r="M93" s="174">
        <v>1</v>
      </c>
      <c r="N93" s="174"/>
      <c r="O93" s="174"/>
      <c r="P93" s="174"/>
      <c r="Q93" s="174"/>
      <c r="R93" s="174"/>
      <c r="S93" s="174"/>
      <c r="T93" s="174">
        <v>5</v>
      </c>
      <c r="U93" s="174"/>
      <c r="V93" s="174"/>
      <c r="W93" s="174">
        <v>2</v>
      </c>
      <c r="X93" s="174"/>
      <c r="Y93" s="174">
        <v>8</v>
      </c>
      <c r="Z93" s="174">
        <v>4</v>
      </c>
      <c r="AA93" s="174">
        <v>4</v>
      </c>
      <c r="AB93" s="174">
        <v>8</v>
      </c>
      <c r="AC93" s="174">
        <v>8</v>
      </c>
      <c r="AD93" s="174"/>
      <c r="AE93" s="174"/>
      <c r="AF93" s="174"/>
      <c r="AG93" s="174"/>
      <c r="AH93" s="174"/>
      <c r="AI93" s="174"/>
      <c r="AJ93" s="174"/>
      <c r="AK93" s="174">
        <v>1</v>
      </c>
      <c r="AL93" s="174"/>
      <c r="AM93" s="174"/>
      <c r="AN93" s="174"/>
      <c r="AO93" s="174"/>
      <c r="AP93" s="174"/>
      <c r="AQ93" s="174">
        <v>5</v>
      </c>
      <c r="AR93" s="174"/>
      <c r="AS93" s="174"/>
      <c r="AT93" s="174"/>
      <c r="AU93" s="174">
        <v>2</v>
      </c>
      <c r="AV93" s="174"/>
      <c r="AW93" s="174">
        <v>8</v>
      </c>
      <c r="AX93" s="205">
        <v>2198.6666666666665</v>
      </c>
      <c r="AY93" s="203"/>
      <c r="AZ93" s="203"/>
      <c r="BA93" s="203"/>
    </row>
    <row r="94" spans="1:53" x14ac:dyDescent="0.25">
      <c r="A94" s="201" t="s">
        <v>43</v>
      </c>
      <c r="B94" s="174">
        <f t="shared" ref="B94:AW94" si="5">SUM(B95:B177)</f>
        <v>1059</v>
      </c>
      <c r="C94" s="174">
        <f t="shared" si="5"/>
        <v>41</v>
      </c>
      <c r="D94" s="174">
        <f t="shared" si="5"/>
        <v>4930</v>
      </c>
      <c r="E94" s="174">
        <f t="shared" si="5"/>
        <v>183</v>
      </c>
      <c r="F94" s="174">
        <f t="shared" si="5"/>
        <v>0</v>
      </c>
      <c r="G94" s="174">
        <f t="shared" si="5"/>
        <v>10</v>
      </c>
      <c r="H94" s="174">
        <f t="shared" si="5"/>
        <v>3077</v>
      </c>
      <c r="I94" s="174">
        <f t="shared" si="5"/>
        <v>0</v>
      </c>
      <c r="J94" s="174">
        <f t="shared" si="5"/>
        <v>43</v>
      </c>
      <c r="K94" s="174">
        <f t="shared" si="5"/>
        <v>394</v>
      </c>
      <c r="L94" s="174">
        <f t="shared" si="5"/>
        <v>168</v>
      </c>
      <c r="M94" s="174">
        <f t="shared" si="5"/>
        <v>20</v>
      </c>
      <c r="N94" s="174">
        <f t="shared" si="5"/>
        <v>301</v>
      </c>
      <c r="O94" s="174">
        <f t="shared" si="5"/>
        <v>56</v>
      </c>
      <c r="P94" s="174">
        <f t="shared" si="5"/>
        <v>4</v>
      </c>
      <c r="Q94" s="174">
        <f t="shared" si="5"/>
        <v>10</v>
      </c>
      <c r="R94" s="174">
        <f t="shared" si="5"/>
        <v>55</v>
      </c>
      <c r="S94" s="174">
        <f t="shared" si="5"/>
        <v>32</v>
      </c>
      <c r="T94" s="174">
        <f t="shared" si="5"/>
        <v>8</v>
      </c>
      <c r="U94" s="174">
        <f t="shared" si="5"/>
        <v>72</v>
      </c>
      <c r="V94" s="174">
        <f t="shared" si="5"/>
        <v>130</v>
      </c>
      <c r="W94" s="174">
        <f t="shared" si="5"/>
        <v>0</v>
      </c>
      <c r="X94" s="174">
        <f t="shared" si="5"/>
        <v>550</v>
      </c>
      <c r="Y94" s="174">
        <f t="shared" si="5"/>
        <v>4930</v>
      </c>
      <c r="Z94" s="174">
        <f t="shared" si="5"/>
        <v>659</v>
      </c>
      <c r="AA94" s="174">
        <f t="shared" si="5"/>
        <v>33</v>
      </c>
      <c r="AB94" s="174">
        <f t="shared" si="5"/>
        <v>3151</v>
      </c>
      <c r="AC94" s="174">
        <f t="shared" si="5"/>
        <v>134</v>
      </c>
      <c r="AD94" s="174">
        <f t="shared" si="5"/>
        <v>0</v>
      </c>
      <c r="AE94" s="174">
        <f t="shared" si="5"/>
        <v>5</v>
      </c>
      <c r="AF94" s="174">
        <f t="shared" si="5"/>
        <v>2105</v>
      </c>
      <c r="AG94" s="174">
        <f t="shared" si="5"/>
        <v>0</v>
      </c>
      <c r="AH94" s="174">
        <f t="shared" si="5"/>
        <v>39</v>
      </c>
      <c r="AI94" s="174">
        <f t="shared" si="5"/>
        <v>270</v>
      </c>
      <c r="AJ94" s="174">
        <f t="shared" si="5"/>
        <v>87</v>
      </c>
      <c r="AK94" s="174">
        <f t="shared" si="5"/>
        <v>17</v>
      </c>
      <c r="AL94" s="174">
        <f t="shared" si="5"/>
        <v>170</v>
      </c>
      <c r="AM94" s="174">
        <f t="shared" si="5"/>
        <v>36</v>
      </c>
      <c r="AN94" s="174">
        <f t="shared" si="5"/>
        <v>4</v>
      </c>
      <c r="AO94" s="174">
        <f t="shared" si="5"/>
        <v>9</v>
      </c>
      <c r="AP94" s="174">
        <f t="shared" si="5"/>
        <v>16</v>
      </c>
      <c r="AQ94" s="174">
        <f t="shared" si="5"/>
        <v>12</v>
      </c>
      <c r="AR94" s="174">
        <f t="shared" si="5"/>
        <v>5</v>
      </c>
      <c r="AS94" s="174">
        <f t="shared" si="5"/>
        <v>46</v>
      </c>
      <c r="AT94" s="174">
        <f t="shared" si="5"/>
        <v>96</v>
      </c>
      <c r="AU94" s="174">
        <f t="shared" si="5"/>
        <v>0</v>
      </c>
      <c r="AV94" s="174">
        <f t="shared" si="5"/>
        <v>234</v>
      </c>
      <c r="AW94" s="174">
        <f t="shared" si="5"/>
        <v>3151</v>
      </c>
      <c r="AX94" s="206">
        <v>2752.59</v>
      </c>
      <c r="AY94" s="156">
        <f>Z94*100/B94</f>
        <v>62.228517469310674</v>
      </c>
      <c r="AZ94" s="185">
        <f>B94-Z94</f>
        <v>400</v>
      </c>
      <c r="BA94" s="156">
        <f>AZ94*100/B94</f>
        <v>37.771482530689326</v>
      </c>
    </row>
    <row r="95" spans="1:53" x14ac:dyDescent="0.25">
      <c r="A95" s="202" t="s">
        <v>114</v>
      </c>
      <c r="B95" s="174">
        <v>18</v>
      </c>
      <c r="C95" s="174">
        <v>4</v>
      </c>
      <c r="D95" s="174">
        <v>95</v>
      </c>
      <c r="E95" s="174">
        <v>16</v>
      </c>
      <c r="F95" s="174"/>
      <c r="G95" s="174"/>
      <c r="H95" s="174"/>
      <c r="I95" s="174"/>
      <c r="J95" s="174"/>
      <c r="K95" s="174"/>
      <c r="L95" s="174">
        <v>7</v>
      </c>
      <c r="M95" s="174"/>
      <c r="N95" s="174">
        <v>71</v>
      </c>
      <c r="O95" s="174"/>
      <c r="P95" s="174"/>
      <c r="Q95" s="174"/>
      <c r="R95" s="174"/>
      <c r="S95" s="174">
        <v>7</v>
      </c>
      <c r="T95" s="174"/>
      <c r="U95" s="174"/>
      <c r="V95" s="174">
        <v>10</v>
      </c>
      <c r="W95" s="174"/>
      <c r="X95" s="174"/>
      <c r="Y95" s="174">
        <v>95</v>
      </c>
      <c r="Z95" s="174">
        <v>9</v>
      </c>
      <c r="AA95" s="174">
        <v>1</v>
      </c>
      <c r="AB95" s="174">
        <v>56</v>
      </c>
      <c r="AC95" s="174">
        <v>5</v>
      </c>
      <c r="AD95" s="174"/>
      <c r="AE95" s="174"/>
      <c r="AF95" s="174"/>
      <c r="AG95" s="174"/>
      <c r="AH95" s="174"/>
      <c r="AI95" s="174"/>
      <c r="AJ95" s="174"/>
      <c r="AK95" s="174"/>
      <c r="AL95" s="174">
        <v>49</v>
      </c>
      <c r="AM95" s="174"/>
      <c r="AN95" s="174"/>
      <c r="AO95" s="174"/>
      <c r="AP95" s="174"/>
      <c r="AQ95" s="174"/>
      <c r="AR95" s="174"/>
      <c r="AS95" s="174"/>
      <c r="AT95" s="174">
        <v>7</v>
      </c>
      <c r="AU95" s="174"/>
      <c r="AV95" s="174"/>
      <c r="AW95" s="174">
        <v>56</v>
      </c>
      <c r="AX95" s="156">
        <v>5107.7777777777774</v>
      </c>
      <c r="AY95" s="203"/>
      <c r="AZ95" s="203"/>
      <c r="BA95" s="203"/>
    </row>
    <row r="96" spans="1:53" x14ac:dyDescent="0.25">
      <c r="A96" s="202" t="s">
        <v>101</v>
      </c>
      <c r="B96" s="174">
        <v>68</v>
      </c>
      <c r="C96" s="174">
        <v>8</v>
      </c>
      <c r="D96" s="174">
        <v>323</v>
      </c>
      <c r="E96" s="174">
        <v>34</v>
      </c>
      <c r="F96" s="174"/>
      <c r="G96" s="174"/>
      <c r="H96" s="174">
        <v>19</v>
      </c>
      <c r="I96" s="174"/>
      <c r="J96" s="174"/>
      <c r="K96" s="174"/>
      <c r="L96" s="174">
        <v>8</v>
      </c>
      <c r="M96" s="174"/>
      <c r="N96" s="174">
        <v>176</v>
      </c>
      <c r="O96" s="174"/>
      <c r="P96" s="174"/>
      <c r="Q96" s="174"/>
      <c r="R96" s="174">
        <v>15</v>
      </c>
      <c r="S96" s="174">
        <v>5</v>
      </c>
      <c r="T96" s="174"/>
      <c r="U96" s="174">
        <v>36</v>
      </c>
      <c r="V96" s="174">
        <v>12</v>
      </c>
      <c r="W96" s="174"/>
      <c r="X96" s="174">
        <v>52</v>
      </c>
      <c r="Y96" s="174">
        <v>323</v>
      </c>
      <c r="Z96" s="174">
        <v>44</v>
      </c>
      <c r="AA96" s="174">
        <v>7</v>
      </c>
      <c r="AB96" s="174">
        <v>185</v>
      </c>
      <c r="AC96" s="174">
        <v>26</v>
      </c>
      <c r="AD96" s="174"/>
      <c r="AE96" s="174"/>
      <c r="AF96" s="174">
        <v>19</v>
      </c>
      <c r="AG96" s="174"/>
      <c r="AH96" s="174"/>
      <c r="AI96" s="174"/>
      <c r="AJ96" s="174"/>
      <c r="AK96" s="174"/>
      <c r="AL96" s="174">
        <v>96</v>
      </c>
      <c r="AM96" s="174"/>
      <c r="AN96" s="174"/>
      <c r="AO96" s="174"/>
      <c r="AP96" s="174">
        <v>12</v>
      </c>
      <c r="AQ96" s="174">
        <v>3</v>
      </c>
      <c r="AR96" s="174"/>
      <c r="AS96" s="174">
        <v>26</v>
      </c>
      <c r="AT96" s="174">
        <v>6</v>
      </c>
      <c r="AU96" s="174"/>
      <c r="AV96" s="174">
        <v>23</v>
      </c>
      <c r="AW96" s="174">
        <v>185</v>
      </c>
      <c r="AX96" s="205">
        <v>2660.5195878787881</v>
      </c>
      <c r="AY96" s="203"/>
      <c r="AZ96" s="203"/>
      <c r="BA96" s="203"/>
    </row>
    <row r="97" spans="1:53" x14ac:dyDescent="0.25">
      <c r="A97" s="202" t="s">
        <v>102</v>
      </c>
      <c r="B97" s="174">
        <v>10</v>
      </c>
      <c r="C97" s="174"/>
      <c r="D97" s="174">
        <v>32</v>
      </c>
      <c r="E97" s="174"/>
      <c r="F97" s="174"/>
      <c r="G97" s="174"/>
      <c r="H97" s="174"/>
      <c r="I97" s="174"/>
      <c r="J97" s="174"/>
      <c r="K97" s="174">
        <v>4</v>
      </c>
      <c r="L97" s="174"/>
      <c r="M97" s="174"/>
      <c r="N97" s="174">
        <v>18</v>
      </c>
      <c r="O97" s="174"/>
      <c r="P97" s="174"/>
      <c r="Q97" s="174"/>
      <c r="R97" s="174"/>
      <c r="S97" s="174">
        <v>2</v>
      </c>
      <c r="T97" s="174"/>
      <c r="U97" s="174"/>
      <c r="V97" s="174"/>
      <c r="W97" s="174"/>
      <c r="X97" s="174">
        <v>8</v>
      </c>
      <c r="Y97" s="174">
        <v>32</v>
      </c>
      <c r="Z97" s="174">
        <v>6</v>
      </c>
      <c r="AA97" s="174"/>
      <c r="AB97" s="174">
        <v>19</v>
      </c>
      <c r="AC97" s="174"/>
      <c r="AD97" s="174"/>
      <c r="AE97" s="174"/>
      <c r="AF97" s="174"/>
      <c r="AG97" s="174"/>
      <c r="AH97" s="174"/>
      <c r="AI97" s="174"/>
      <c r="AJ97" s="174"/>
      <c r="AK97" s="174"/>
      <c r="AL97" s="174">
        <v>14</v>
      </c>
      <c r="AM97" s="174"/>
      <c r="AN97" s="174"/>
      <c r="AO97" s="174"/>
      <c r="AP97" s="174"/>
      <c r="AQ97" s="174"/>
      <c r="AR97" s="174"/>
      <c r="AS97" s="174"/>
      <c r="AT97" s="174"/>
      <c r="AU97" s="174"/>
      <c r="AV97" s="174">
        <v>5</v>
      </c>
      <c r="AW97" s="174">
        <v>19</v>
      </c>
      <c r="AX97" s="156">
        <v>4292</v>
      </c>
      <c r="AY97" s="203"/>
      <c r="AZ97" s="203"/>
      <c r="BA97" s="203"/>
    </row>
    <row r="98" spans="1:53" x14ac:dyDescent="0.25">
      <c r="A98" s="202" t="s">
        <v>179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205"/>
      <c r="AY98" s="203"/>
      <c r="AZ98" s="203"/>
      <c r="BA98" s="203"/>
    </row>
    <row r="99" spans="1:53" x14ac:dyDescent="0.25">
      <c r="A99" s="202" t="s">
        <v>180</v>
      </c>
      <c r="B99" s="174">
        <v>1</v>
      </c>
      <c r="C99" s="174"/>
      <c r="D99" s="174">
        <v>1</v>
      </c>
      <c r="E99" s="174"/>
      <c r="F99" s="174"/>
      <c r="G99" s="174"/>
      <c r="H99" s="174"/>
      <c r="I99" s="174"/>
      <c r="J99" s="174"/>
      <c r="K99" s="174">
        <v>1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>
        <v>1</v>
      </c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205"/>
      <c r="AY99" s="203"/>
      <c r="AZ99" s="203"/>
      <c r="BA99" s="203"/>
    </row>
    <row r="100" spans="1:53" x14ac:dyDescent="0.25">
      <c r="A100" s="202" t="s">
        <v>181</v>
      </c>
      <c r="B100" s="174">
        <v>2</v>
      </c>
      <c r="C100" s="174"/>
      <c r="D100" s="174">
        <v>2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>
        <v>2</v>
      </c>
      <c r="Y100" s="174">
        <v>2</v>
      </c>
      <c r="Z100" s="174">
        <v>1</v>
      </c>
      <c r="AA100" s="174"/>
      <c r="AB100" s="174">
        <v>1</v>
      </c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>
        <v>1</v>
      </c>
      <c r="AW100" s="174">
        <v>1</v>
      </c>
      <c r="AX100" s="205">
        <v>552</v>
      </c>
      <c r="AY100" s="203"/>
      <c r="AZ100" s="203"/>
      <c r="BA100" s="203"/>
    </row>
    <row r="101" spans="1:53" x14ac:dyDescent="0.25">
      <c r="A101" s="202" t="s">
        <v>182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205"/>
      <c r="AY101" s="203"/>
      <c r="AZ101" s="203"/>
      <c r="BA101" s="203"/>
    </row>
    <row r="102" spans="1:53" x14ac:dyDescent="0.25">
      <c r="A102" s="202" t="s">
        <v>183</v>
      </c>
      <c r="B102" s="174">
        <v>2</v>
      </c>
      <c r="C102" s="174"/>
      <c r="D102" s="174">
        <v>4</v>
      </c>
      <c r="E102" s="174"/>
      <c r="F102" s="174"/>
      <c r="G102" s="174"/>
      <c r="H102" s="174">
        <v>3</v>
      </c>
      <c r="I102" s="174"/>
      <c r="J102" s="174"/>
      <c r="K102" s="174">
        <v>1</v>
      </c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>
        <v>4</v>
      </c>
      <c r="Z102" s="174">
        <v>1</v>
      </c>
      <c r="AA102" s="174"/>
      <c r="AB102" s="174">
        <v>1</v>
      </c>
      <c r="AC102" s="174"/>
      <c r="AD102" s="174"/>
      <c r="AE102" s="174"/>
      <c r="AF102" s="174"/>
      <c r="AG102" s="174"/>
      <c r="AH102" s="174"/>
      <c r="AI102" s="174">
        <v>1</v>
      </c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>
        <v>1</v>
      </c>
      <c r="AX102" s="205">
        <v>1500</v>
      </c>
      <c r="AY102" s="203"/>
      <c r="AZ102" s="203"/>
      <c r="BA102" s="203"/>
    </row>
    <row r="103" spans="1:53" x14ac:dyDescent="0.25">
      <c r="A103" s="202" t="s">
        <v>184</v>
      </c>
      <c r="B103" s="174">
        <v>3</v>
      </c>
      <c r="C103" s="174"/>
      <c r="D103" s="174">
        <v>20</v>
      </c>
      <c r="E103" s="174"/>
      <c r="F103" s="174"/>
      <c r="G103" s="174"/>
      <c r="H103" s="174"/>
      <c r="I103" s="174"/>
      <c r="J103" s="174"/>
      <c r="K103" s="174">
        <v>20</v>
      </c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>
        <v>20</v>
      </c>
      <c r="Z103" s="174">
        <v>2</v>
      </c>
      <c r="AA103" s="174"/>
      <c r="AB103" s="174">
        <v>15</v>
      </c>
      <c r="AC103" s="174"/>
      <c r="AD103" s="174"/>
      <c r="AE103" s="174"/>
      <c r="AF103" s="174"/>
      <c r="AG103" s="174"/>
      <c r="AH103" s="174"/>
      <c r="AI103" s="174">
        <v>15</v>
      </c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>
        <v>15</v>
      </c>
      <c r="AX103" s="156">
        <v>540</v>
      </c>
      <c r="AY103" s="203"/>
      <c r="AZ103" s="203"/>
      <c r="BA103" s="203"/>
    </row>
    <row r="104" spans="1:53" x14ac:dyDescent="0.25">
      <c r="A104" s="202" t="s">
        <v>185</v>
      </c>
      <c r="B104" s="174">
        <v>29</v>
      </c>
      <c r="C104" s="174"/>
      <c r="D104" s="174">
        <v>44</v>
      </c>
      <c r="E104" s="174"/>
      <c r="F104" s="174"/>
      <c r="G104" s="174">
        <v>4</v>
      </c>
      <c r="H104" s="174">
        <v>2</v>
      </c>
      <c r="I104" s="174"/>
      <c r="J104" s="174">
        <v>3</v>
      </c>
      <c r="K104" s="174">
        <v>32</v>
      </c>
      <c r="L104" s="174">
        <v>1</v>
      </c>
      <c r="M104" s="174">
        <v>1</v>
      </c>
      <c r="N104" s="174"/>
      <c r="O104" s="174"/>
      <c r="P104" s="174"/>
      <c r="Q104" s="174"/>
      <c r="R104" s="174"/>
      <c r="S104" s="174">
        <v>1</v>
      </c>
      <c r="T104" s="174"/>
      <c r="U104" s="174"/>
      <c r="V104" s="174"/>
      <c r="W104" s="174"/>
      <c r="X104" s="174"/>
      <c r="Y104" s="174">
        <v>44</v>
      </c>
      <c r="Z104" s="174">
        <v>25</v>
      </c>
      <c r="AA104" s="174"/>
      <c r="AB104" s="174">
        <v>39</v>
      </c>
      <c r="AC104" s="174"/>
      <c r="AD104" s="174"/>
      <c r="AE104" s="174">
        <v>2</v>
      </c>
      <c r="AF104" s="174">
        <v>2</v>
      </c>
      <c r="AG104" s="174"/>
      <c r="AH104" s="174">
        <v>3</v>
      </c>
      <c r="AI104" s="174">
        <v>30</v>
      </c>
      <c r="AJ104" s="174">
        <v>1</v>
      </c>
      <c r="AK104" s="174">
        <v>1</v>
      </c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>
        <v>39</v>
      </c>
      <c r="AX104" s="205">
        <v>1974.84</v>
      </c>
      <c r="AY104" s="203"/>
      <c r="AZ104" s="203"/>
      <c r="BA104" s="203"/>
    </row>
    <row r="105" spans="1:53" x14ac:dyDescent="0.25">
      <c r="A105" s="202" t="s">
        <v>186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205"/>
      <c r="AY105" s="203"/>
      <c r="AZ105" s="203"/>
      <c r="BA105" s="203"/>
    </row>
    <row r="106" spans="1:53" x14ac:dyDescent="0.25">
      <c r="A106" s="202" t="s">
        <v>187</v>
      </c>
      <c r="B106" s="174">
        <v>1</v>
      </c>
      <c r="C106" s="174">
        <v>1</v>
      </c>
      <c r="D106" s="174">
        <v>54</v>
      </c>
      <c r="E106" s="174">
        <v>54</v>
      </c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>
        <v>54</v>
      </c>
      <c r="W106" s="174"/>
      <c r="X106" s="174"/>
      <c r="Y106" s="174">
        <v>54</v>
      </c>
      <c r="Z106" s="174">
        <v>1</v>
      </c>
      <c r="AA106" s="174">
        <v>1</v>
      </c>
      <c r="AB106" s="174">
        <v>54</v>
      </c>
      <c r="AC106" s="174">
        <v>54</v>
      </c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>
        <v>54</v>
      </c>
      <c r="AU106" s="174"/>
      <c r="AV106" s="174"/>
      <c r="AW106" s="174">
        <v>54</v>
      </c>
      <c r="AX106" s="205">
        <v>560</v>
      </c>
      <c r="AY106" s="203"/>
      <c r="AZ106" s="203"/>
      <c r="BA106" s="203"/>
    </row>
    <row r="107" spans="1:53" x14ac:dyDescent="0.25">
      <c r="A107" s="202" t="s">
        <v>188</v>
      </c>
      <c r="B107" s="174">
        <v>211</v>
      </c>
      <c r="C107" s="174">
        <v>1</v>
      </c>
      <c r="D107" s="174">
        <v>283</v>
      </c>
      <c r="E107" s="174">
        <v>1</v>
      </c>
      <c r="F107" s="174"/>
      <c r="G107" s="174"/>
      <c r="H107" s="174"/>
      <c r="I107" s="174"/>
      <c r="J107" s="174"/>
      <c r="K107" s="174"/>
      <c r="L107" s="174">
        <v>3</v>
      </c>
      <c r="M107" s="174">
        <v>1</v>
      </c>
      <c r="N107" s="174">
        <v>3</v>
      </c>
      <c r="O107" s="174"/>
      <c r="P107" s="174"/>
      <c r="Q107" s="174">
        <v>3</v>
      </c>
      <c r="R107" s="174"/>
      <c r="S107" s="174"/>
      <c r="T107" s="174"/>
      <c r="U107" s="174"/>
      <c r="V107" s="174">
        <v>22</v>
      </c>
      <c r="W107" s="174"/>
      <c r="X107" s="174">
        <v>251</v>
      </c>
      <c r="Y107" s="174">
        <v>283</v>
      </c>
      <c r="Z107" s="174">
        <v>101</v>
      </c>
      <c r="AA107" s="174">
        <v>1</v>
      </c>
      <c r="AB107" s="174">
        <v>123</v>
      </c>
      <c r="AC107" s="174">
        <v>1</v>
      </c>
      <c r="AD107" s="174"/>
      <c r="AE107" s="174"/>
      <c r="AF107" s="174"/>
      <c r="AG107" s="174"/>
      <c r="AH107" s="174"/>
      <c r="AI107" s="174"/>
      <c r="AJ107" s="174">
        <v>2</v>
      </c>
      <c r="AK107" s="174">
        <v>1</v>
      </c>
      <c r="AL107" s="174">
        <v>3</v>
      </c>
      <c r="AM107" s="174"/>
      <c r="AN107" s="174"/>
      <c r="AO107" s="174">
        <v>2</v>
      </c>
      <c r="AP107" s="174"/>
      <c r="AQ107" s="174"/>
      <c r="AR107" s="174"/>
      <c r="AS107" s="174"/>
      <c r="AT107" s="174">
        <v>16</v>
      </c>
      <c r="AU107" s="174"/>
      <c r="AV107" s="174">
        <v>99</v>
      </c>
      <c r="AW107" s="174">
        <v>123</v>
      </c>
      <c r="AX107" s="205">
        <v>4373.9107692307698</v>
      </c>
      <c r="AY107" s="203"/>
      <c r="AZ107" s="203"/>
      <c r="BA107" s="203"/>
    </row>
    <row r="108" spans="1:53" x14ac:dyDescent="0.25">
      <c r="A108" s="202" t="s">
        <v>189</v>
      </c>
      <c r="B108" s="174">
        <v>28</v>
      </c>
      <c r="C108" s="174"/>
      <c r="D108" s="174">
        <v>249</v>
      </c>
      <c r="E108" s="174"/>
      <c r="F108" s="174"/>
      <c r="G108" s="174"/>
      <c r="H108" s="174">
        <v>229</v>
      </c>
      <c r="I108" s="174"/>
      <c r="J108" s="174">
        <v>5</v>
      </c>
      <c r="K108" s="174">
        <v>10</v>
      </c>
      <c r="L108" s="174">
        <v>3</v>
      </c>
      <c r="M108" s="174">
        <v>2</v>
      </c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>
        <v>249</v>
      </c>
      <c r="Z108" s="174">
        <v>20</v>
      </c>
      <c r="AA108" s="174"/>
      <c r="AB108" s="174">
        <v>176</v>
      </c>
      <c r="AC108" s="174"/>
      <c r="AD108" s="174"/>
      <c r="AE108" s="174"/>
      <c r="AF108" s="174">
        <v>161</v>
      </c>
      <c r="AG108" s="174"/>
      <c r="AH108" s="174">
        <v>5</v>
      </c>
      <c r="AI108" s="174">
        <v>7</v>
      </c>
      <c r="AJ108" s="174">
        <v>1</v>
      </c>
      <c r="AK108" s="174">
        <v>2</v>
      </c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>
        <v>176</v>
      </c>
      <c r="AX108" s="205">
        <v>685.91</v>
      </c>
      <c r="AY108" s="203"/>
      <c r="AZ108" s="203"/>
      <c r="BA108" s="203"/>
    </row>
    <row r="109" spans="1:53" x14ac:dyDescent="0.25">
      <c r="A109" s="202" t="s">
        <v>190</v>
      </c>
      <c r="B109" s="174">
        <v>134</v>
      </c>
      <c r="C109" s="174"/>
      <c r="D109" s="174">
        <v>229</v>
      </c>
      <c r="E109" s="174"/>
      <c r="F109" s="174"/>
      <c r="G109" s="174"/>
      <c r="H109" s="174"/>
      <c r="I109" s="174"/>
      <c r="J109" s="174"/>
      <c r="K109" s="174"/>
      <c r="L109" s="174">
        <v>2</v>
      </c>
      <c r="M109" s="174"/>
      <c r="N109" s="174"/>
      <c r="O109" s="174"/>
      <c r="P109" s="174"/>
      <c r="Q109" s="174"/>
      <c r="R109" s="174"/>
      <c r="S109" s="174"/>
      <c r="T109" s="174">
        <v>1</v>
      </c>
      <c r="U109" s="174">
        <v>2</v>
      </c>
      <c r="V109" s="174">
        <v>2</v>
      </c>
      <c r="W109" s="174"/>
      <c r="X109" s="174">
        <v>222</v>
      </c>
      <c r="Y109" s="174">
        <v>229</v>
      </c>
      <c r="Z109" s="174">
        <v>74</v>
      </c>
      <c r="AA109" s="174"/>
      <c r="AB109" s="174">
        <v>105</v>
      </c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>
        <v>1</v>
      </c>
      <c r="AS109" s="174">
        <v>2</v>
      </c>
      <c r="AT109" s="174">
        <v>1</v>
      </c>
      <c r="AU109" s="174"/>
      <c r="AV109" s="174">
        <v>101</v>
      </c>
      <c r="AW109" s="174">
        <v>105</v>
      </c>
      <c r="AX109" s="205">
        <v>5583.1656410256419</v>
      </c>
      <c r="AY109" s="203"/>
      <c r="AZ109" s="203"/>
      <c r="BA109" s="203"/>
    </row>
    <row r="110" spans="1:53" x14ac:dyDescent="0.25">
      <c r="A110" s="202" t="s">
        <v>191</v>
      </c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205"/>
      <c r="AY110" s="203"/>
      <c r="AZ110" s="203"/>
      <c r="BA110" s="203"/>
    </row>
    <row r="111" spans="1:53" x14ac:dyDescent="0.25">
      <c r="A111" s="202" t="s">
        <v>192</v>
      </c>
      <c r="B111" s="174">
        <v>1</v>
      </c>
      <c r="C111" s="174"/>
      <c r="D111" s="174">
        <v>8</v>
      </c>
      <c r="E111" s="174"/>
      <c r="F111" s="174"/>
      <c r="G111" s="174"/>
      <c r="H111" s="174">
        <v>8</v>
      </c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>
        <v>8</v>
      </c>
      <c r="Z111" s="174">
        <v>1</v>
      </c>
      <c r="AA111" s="174"/>
      <c r="AB111" s="174">
        <v>5</v>
      </c>
      <c r="AC111" s="174"/>
      <c r="AD111" s="174"/>
      <c r="AE111" s="174"/>
      <c r="AF111" s="174">
        <v>5</v>
      </c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>
        <v>5</v>
      </c>
      <c r="AX111" s="205">
        <v>4500</v>
      </c>
      <c r="AY111" s="203"/>
      <c r="AZ111" s="203"/>
      <c r="BA111" s="203"/>
    </row>
    <row r="112" spans="1:53" x14ac:dyDescent="0.25">
      <c r="A112" s="202" t="s">
        <v>193</v>
      </c>
      <c r="B112" s="174">
        <v>17</v>
      </c>
      <c r="C112" s="174"/>
      <c r="D112" s="174">
        <v>239</v>
      </c>
      <c r="E112" s="174"/>
      <c r="F112" s="174"/>
      <c r="G112" s="174"/>
      <c r="H112" s="174">
        <v>219</v>
      </c>
      <c r="I112" s="174"/>
      <c r="J112" s="174"/>
      <c r="K112" s="174">
        <v>12</v>
      </c>
      <c r="L112" s="174">
        <v>5</v>
      </c>
      <c r="M112" s="174">
        <v>3</v>
      </c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>
        <v>239</v>
      </c>
      <c r="Z112" s="174">
        <v>14</v>
      </c>
      <c r="AA112" s="174"/>
      <c r="AB112" s="174">
        <v>257</v>
      </c>
      <c r="AC112" s="174"/>
      <c r="AD112" s="174"/>
      <c r="AE112" s="174"/>
      <c r="AF112" s="174">
        <v>241</v>
      </c>
      <c r="AG112" s="174"/>
      <c r="AH112" s="174"/>
      <c r="AI112" s="174">
        <v>11</v>
      </c>
      <c r="AJ112" s="174">
        <v>2</v>
      </c>
      <c r="AK112" s="174">
        <v>3</v>
      </c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>
        <v>257</v>
      </c>
      <c r="AX112" s="205">
        <v>1002.1625</v>
      </c>
      <c r="AY112" s="203"/>
      <c r="AZ112" s="203"/>
      <c r="BA112" s="203"/>
    </row>
    <row r="113" spans="1:87" x14ac:dyDescent="0.25">
      <c r="A113" s="202" t="s">
        <v>194</v>
      </c>
      <c r="B113" s="174">
        <v>231</v>
      </c>
      <c r="C113" s="174">
        <v>2</v>
      </c>
      <c r="D113" s="174">
        <v>1771</v>
      </c>
      <c r="E113" s="174">
        <v>10</v>
      </c>
      <c r="F113" s="174"/>
      <c r="G113" s="174">
        <v>6</v>
      </c>
      <c r="H113" s="174">
        <v>1553</v>
      </c>
      <c r="I113" s="174"/>
      <c r="J113" s="174">
        <v>8</v>
      </c>
      <c r="K113" s="174">
        <v>141</v>
      </c>
      <c r="L113" s="174">
        <v>13</v>
      </c>
      <c r="M113" s="174"/>
      <c r="N113" s="174"/>
      <c r="O113" s="174">
        <v>18</v>
      </c>
      <c r="P113" s="174"/>
      <c r="Q113" s="174"/>
      <c r="R113" s="174">
        <v>22</v>
      </c>
      <c r="S113" s="174"/>
      <c r="T113" s="174"/>
      <c r="U113" s="174">
        <v>10</v>
      </c>
      <c r="V113" s="174"/>
      <c r="W113" s="174"/>
      <c r="X113" s="174"/>
      <c r="Y113" s="174">
        <v>1771</v>
      </c>
      <c r="Z113" s="174">
        <v>147</v>
      </c>
      <c r="AA113" s="174">
        <v>2</v>
      </c>
      <c r="AB113" s="174">
        <v>902</v>
      </c>
      <c r="AC113" s="174">
        <v>6</v>
      </c>
      <c r="AD113" s="174"/>
      <c r="AE113" s="174">
        <v>3</v>
      </c>
      <c r="AF113" s="174">
        <v>778</v>
      </c>
      <c r="AG113" s="174"/>
      <c r="AH113" s="174">
        <v>5</v>
      </c>
      <c r="AI113" s="174">
        <v>109</v>
      </c>
      <c r="AJ113" s="174">
        <v>1</v>
      </c>
      <c r="AK113" s="174"/>
      <c r="AL113" s="174"/>
      <c r="AM113" s="174"/>
      <c r="AN113" s="174"/>
      <c r="AO113" s="174"/>
      <c r="AP113" s="174"/>
      <c r="AQ113" s="174"/>
      <c r="AR113" s="174"/>
      <c r="AS113" s="174">
        <v>6</v>
      </c>
      <c r="AT113" s="174"/>
      <c r="AU113" s="174"/>
      <c r="AV113" s="174"/>
      <c r="AW113" s="174">
        <v>902</v>
      </c>
      <c r="AX113" s="205">
        <v>2048.5730851063831</v>
      </c>
      <c r="AY113" s="203"/>
      <c r="AZ113" s="203"/>
      <c r="BA113" s="203"/>
      <c r="BB113" s="112">
        <v>6080</v>
      </c>
      <c r="BC113" s="112">
        <v>1600</v>
      </c>
      <c r="BD113" s="112">
        <v>1600</v>
      </c>
      <c r="BE113" s="112">
        <v>1600</v>
      </c>
      <c r="BF113" s="112">
        <v>1600</v>
      </c>
      <c r="BG113" s="112">
        <v>2000</v>
      </c>
      <c r="BH113" s="112">
        <v>2000</v>
      </c>
      <c r="BI113" s="112">
        <v>1600</v>
      </c>
      <c r="BJ113" s="112">
        <v>1600</v>
      </c>
      <c r="BK113" s="112">
        <v>1600</v>
      </c>
      <c r="BL113" s="112">
        <v>480</v>
      </c>
      <c r="BM113" s="112">
        <v>2600</v>
      </c>
      <c r="BN113" s="112">
        <v>1600</v>
      </c>
      <c r="BO113" s="112">
        <v>1600</v>
      </c>
      <c r="BP113" s="112">
        <v>2144</v>
      </c>
      <c r="BQ113" s="112">
        <v>1488</v>
      </c>
      <c r="BR113" s="112">
        <v>1760</v>
      </c>
      <c r="BS113" s="112">
        <v>1600</v>
      </c>
      <c r="BT113" s="112">
        <v>1680</v>
      </c>
      <c r="BU113" s="112">
        <v>1488</v>
      </c>
      <c r="BV113" s="112">
        <v>1400</v>
      </c>
      <c r="BW113" s="112">
        <v>1616</v>
      </c>
      <c r="BX113" s="112">
        <v>1600</v>
      </c>
      <c r="BY113" s="112">
        <v>1908.57</v>
      </c>
      <c r="BZ113" s="112">
        <v>2200</v>
      </c>
      <c r="CA113" s="112">
        <v>2200</v>
      </c>
      <c r="CB113" s="112">
        <v>2760</v>
      </c>
      <c r="CC113" s="112">
        <v>1680</v>
      </c>
      <c r="CD113" s="112">
        <v>2400</v>
      </c>
      <c r="CE113" s="112">
        <v>1760</v>
      </c>
      <c r="CF113" s="112">
        <v>1480</v>
      </c>
      <c r="CG113" s="112">
        <v>2186.67</v>
      </c>
      <c r="CH113" s="112">
        <v>960</v>
      </c>
      <c r="CI113" s="112">
        <v>1856</v>
      </c>
    </row>
    <row r="114" spans="1:87" x14ac:dyDescent="0.25">
      <c r="A114" s="202" t="s">
        <v>195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205"/>
      <c r="AY114" s="203"/>
      <c r="AZ114" s="203"/>
      <c r="BA114" s="203"/>
    </row>
    <row r="115" spans="1:87" x14ac:dyDescent="0.25">
      <c r="A115" s="202" t="s">
        <v>196</v>
      </c>
      <c r="B115" s="174">
        <v>15</v>
      </c>
      <c r="C115" s="174">
        <v>3</v>
      </c>
      <c r="D115" s="174">
        <v>28</v>
      </c>
      <c r="E115" s="174">
        <v>9</v>
      </c>
      <c r="F115" s="174"/>
      <c r="G115" s="174"/>
      <c r="H115" s="174">
        <v>9</v>
      </c>
      <c r="I115" s="174"/>
      <c r="J115" s="174">
        <v>9</v>
      </c>
      <c r="K115" s="174">
        <v>10</v>
      </c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>
        <v>28</v>
      </c>
      <c r="Z115" s="174">
        <v>12</v>
      </c>
      <c r="AA115" s="174">
        <v>3</v>
      </c>
      <c r="AB115" s="174">
        <v>21</v>
      </c>
      <c r="AC115" s="174">
        <v>9</v>
      </c>
      <c r="AD115" s="174"/>
      <c r="AE115" s="174"/>
      <c r="AF115" s="174">
        <v>6</v>
      </c>
      <c r="AG115" s="174"/>
      <c r="AH115" s="174">
        <v>9</v>
      </c>
      <c r="AI115" s="174">
        <v>6</v>
      </c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>
        <v>21</v>
      </c>
      <c r="AX115" s="205">
        <v>2242.11625</v>
      </c>
      <c r="AY115" s="203"/>
      <c r="AZ115" s="203"/>
      <c r="BA115" s="203"/>
    </row>
    <row r="116" spans="1:87" x14ac:dyDescent="0.25">
      <c r="A116" s="202" t="s">
        <v>197</v>
      </c>
      <c r="B116" s="174">
        <v>1</v>
      </c>
      <c r="C116" s="174"/>
      <c r="D116" s="174">
        <v>1</v>
      </c>
      <c r="E116" s="174"/>
      <c r="F116" s="174"/>
      <c r="G116" s="174"/>
      <c r="H116" s="174"/>
      <c r="I116" s="174"/>
      <c r="J116" s="174"/>
      <c r="K116" s="174"/>
      <c r="L116" s="174">
        <v>1</v>
      </c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>
        <v>1</v>
      </c>
      <c r="Z116" s="174">
        <v>1</v>
      </c>
      <c r="AA116" s="174"/>
      <c r="AB116" s="174">
        <v>1</v>
      </c>
      <c r="AC116" s="174"/>
      <c r="AD116" s="174"/>
      <c r="AE116" s="174"/>
      <c r="AF116" s="174"/>
      <c r="AG116" s="174"/>
      <c r="AH116" s="174"/>
      <c r="AI116" s="174"/>
      <c r="AJ116" s="174">
        <v>1</v>
      </c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>
        <v>1</v>
      </c>
      <c r="AX116" s="205">
        <v>2050</v>
      </c>
      <c r="AY116" s="203"/>
      <c r="AZ116" s="203"/>
      <c r="BA116" s="203"/>
    </row>
    <row r="117" spans="1:87" x14ac:dyDescent="0.25">
      <c r="A117" s="202" t="s">
        <v>198</v>
      </c>
      <c r="B117" s="174">
        <v>37</v>
      </c>
      <c r="C117" s="174"/>
      <c r="D117" s="174">
        <v>128</v>
      </c>
      <c r="E117" s="174"/>
      <c r="F117" s="174"/>
      <c r="G117" s="174"/>
      <c r="H117" s="174">
        <v>72</v>
      </c>
      <c r="I117" s="174"/>
      <c r="J117" s="174"/>
      <c r="K117" s="174">
        <v>8</v>
      </c>
      <c r="L117" s="174">
        <v>41</v>
      </c>
      <c r="M117" s="174">
        <v>7</v>
      </c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>
        <v>128</v>
      </c>
      <c r="Z117" s="174">
        <v>22</v>
      </c>
      <c r="AA117" s="174"/>
      <c r="AB117" s="174">
        <v>86</v>
      </c>
      <c r="AC117" s="174"/>
      <c r="AD117" s="174"/>
      <c r="AE117" s="174"/>
      <c r="AF117" s="174">
        <v>57</v>
      </c>
      <c r="AG117" s="174"/>
      <c r="AH117" s="174"/>
      <c r="AI117" s="174"/>
      <c r="AJ117" s="174">
        <v>24</v>
      </c>
      <c r="AK117" s="174">
        <v>5</v>
      </c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>
        <v>86</v>
      </c>
      <c r="AX117" s="205">
        <v>3356.2980000000002</v>
      </c>
      <c r="AY117" s="203"/>
      <c r="AZ117" s="203"/>
      <c r="BA117" s="203"/>
    </row>
    <row r="118" spans="1:87" x14ac:dyDescent="0.25">
      <c r="A118" s="202" t="s">
        <v>199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56"/>
      <c r="AY118" s="203"/>
      <c r="AZ118" s="203"/>
      <c r="BA118" s="203"/>
    </row>
    <row r="119" spans="1:87" x14ac:dyDescent="0.25">
      <c r="A119" s="202" t="s">
        <v>200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56"/>
      <c r="AY119" s="203"/>
      <c r="AZ119" s="203"/>
      <c r="BA119" s="203"/>
    </row>
    <row r="120" spans="1:87" x14ac:dyDescent="0.25">
      <c r="A120" s="202" t="s">
        <v>201</v>
      </c>
      <c r="B120" s="174">
        <v>7</v>
      </c>
      <c r="C120" s="174"/>
      <c r="D120" s="174">
        <v>27</v>
      </c>
      <c r="E120" s="174"/>
      <c r="F120" s="174"/>
      <c r="G120" s="174"/>
      <c r="H120" s="174">
        <v>24</v>
      </c>
      <c r="I120" s="174"/>
      <c r="J120" s="174"/>
      <c r="K120" s="174">
        <v>2</v>
      </c>
      <c r="L120" s="174">
        <v>1</v>
      </c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>
        <v>27</v>
      </c>
      <c r="Z120" s="174">
        <v>7</v>
      </c>
      <c r="AA120" s="174"/>
      <c r="AB120" s="174">
        <v>26</v>
      </c>
      <c r="AC120" s="174"/>
      <c r="AD120" s="174"/>
      <c r="AE120" s="174"/>
      <c r="AF120" s="174">
        <v>23</v>
      </c>
      <c r="AG120" s="174"/>
      <c r="AH120" s="174"/>
      <c r="AI120" s="174">
        <v>2</v>
      </c>
      <c r="AJ120" s="174">
        <v>1</v>
      </c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>
        <v>26</v>
      </c>
      <c r="AX120" s="156">
        <v>2741.6333333333332</v>
      </c>
      <c r="AY120" s="203"/>
      <c r="AZ120" s="203"/>
      <c r="BA120" s="203"/>
    </row>
    <row r="121" spans="1:87" x14ac:dyDescent="0.25">
      <c r="A121" s="202" t="s">
        <v>202</v>
      </c>
      <c r="B121" s="174">
        <v>1</v>
      </c>
      <c r="C121" s="174"/>
      <c r="D121" s="174">
        <v>2</v>
      </c>
      <c r="E121" s="174"/>
      <c r="F121" s="174"/>
      <c r="G121" s="174"/>
      <c r="H121" s="174"/>
      <c r="I121" s="174"/>
      <c r="J121" s="174"/>
      <c r="K121" s="174">
        <v>2</v>
      </c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>
        <v>2</v>
      </c>
      <c r="Z121" s="174">
        <v>1</v>
      </c>
      <c r="AA121" s="174"/>
      <c r="AB121" s="174">
        <v>2</v>
      </c>
      <c r="AC121" s="174"/>
      <c r="AD121" s="174"/>
      <c r="AE121" s="174"/>
      <c r="AF121" s="174"/>
      <c r="AG121" s="174"/>
      <c r="AH121" s="174"/>
      <c r="AI121" s="174">
        <v>2</v>
      </c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>
        <v>2</v>
      </c>
      <c r="AX121" s="205">
        <v>1500</v>
      </c>
      <c r="AY121" s="203"/>
      <c r="AZ121" s="203"/>
      <c r="BA121" s="203"/>
    </row>
    <row r="122" spans="1:87" x14ac:dyDescent="0.25">
      <c r="A122" s="202" t="s">
        <v>203</v>
      </c>
      <c r="B122" s="174">
        <v>1</v>
      </c>
      <c r="C122" s="174"/>
      <c r="D122" s="174">
        <v>6</v>
      </c>
      <c r="E122" s="174"/>
      <c r="F122" s="174"/>
      <c r="G122" s="174"/>
      <c r="H122" s="174">
        <v>6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>
        <v>6</v>
      </c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205"/>
      <c r="AY122" s="203"/>
      <c r="AZ122" s="203"/>
      <c r="BA122" s="203"/>
    </row>
    <row r="123" spans="1:87" x14ac:dyDescent="0.25">
      <c r="A123" s="202" t="s">
        <v>204</v>
      </c>
      <c r="B123" s="174">
        <v>7</v>
      </c>
      <c r="C123" s="174"/>
      <c r="D123" s="174">
        <v>16</v>
      </c>
      <c r="E123" s="174"/>
      <c r="F123" s="174"/>
      <c r="G123" s="174"/>
      <c r="H123" s="174"/>
      <c r="I123" s="174"/>
      <c r="J123" s="174"/>
      <c r="K123" s="174"/>
      <c r="L123" s="174"/>
      <c r="M123" s="174">
        <v>1</v>
      </c>
      <c r="N123" s="174"/>
      <c r="O123" s="174">
        <v>8</v>
      </c>
      <c r="P123" s="174"/>
      <c r="Q123" s="174"/>
      <c r="R123" s="174"/>
      <c r="S123" s="174">
        <v>2</v>
      </c>
      <c r="T123" s="174"/>
      <c r="U123" s="174"/>
      <c r="V123" s="174"/>
      <c r="W123" s="174"/>
      <c r="X123" s="174">
        <v>5</v>
      </c>
      <c r="Y123" s="174">
        <v>16</v>
      </c>
      <c r="Z123" s="174">
        <v>3</v>
      </c>
      <c r="AA123" s="174"/>
      <c r="AB123" s="174">
        <v>11</v>
      </c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>
        <v>8</v>
      </c>
      <c r="AN123" s="174"/>
      <c r="AO123" s="174"/>
      <c r="AP123" s="174"/>
      <c r="AQ123" s="174">
        <v>1</v>
      </c>
      <c r="AR123" s="174"/>
      <c r="AS123" s="174"/>
      <c r="AT123" s="174"/>
      <c r="AU123" s="174"/>
      <c r="AV123" s="174">
        <v>2</v>
      </c>
      <c r="AW123" s="174">
        <v>11</v>
      </c>
      <c r="AX123" s="205">
        <v>9511.6666666666661</v>
      </c>
      <c r="AY123" s="203"/>
      <c r="AZ123" s="203"/>
      <c r="BA123" s="203"/>
    </row>
    <row r="124" spans="1:87" x14ac:dyDescent="0.25">
      <c r="A124" s="202" t="s">
        <v>205</v>
      </c>
      <c r="B124" s="174">
        <v>5</v>
      </c>
      <c r="C124" s="174"/>
      <c r="D124" s="174">
        <v>28</v>
      </c>
      <c r="E124" s="174"/>
      <c r="F124" s="174"/>
      <c r="G124" s="174"/>
      <c r="H124" s="174">
        <v>28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>
        <v>28</v>
      </c>
      <c r="Z124" s="174">
        <v>5</v>
      </c>
      <c r="AA124" s="174"/>
      <c r="AB124" s="174">
        <v>28</v>
      </c>
      <c r="AC124" s="174"/>
      <c r="AD124" s="174"/>
      <c r="AE124" s="174"/>
      <c r="AF124" s="174">
        <v>28</v>
      </c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>
        <v>28</v>
      </c>
      <c r="AX124" s="156">
        <v>1480</v>
      </c>
      <c r="AY124" s="203"/>
      <c r="AZ124" s="203"/>
      <c r="BA124" s="203"/>
    </row>
    <row r="125" spans="1:87" x14ac:dyDescent="0.25">
      <c r="A125" s="202" t="s">
        <v>206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56"/>
      <c r="AY125" s="203"/>
      <c r="AZ125" s="203"/>
      <c r="BA125" s="203"/>
    </row>
    <row r="126" spans="1:87" x14ac:dyDescent="0.25">
      <c r="A126" s="202" t="s">
        <v>207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56"/>
      <c r="AY126" s="203"/>
      <c r="AZ126" s="203"/>
      <c r="BA126" s="203"/>
    </row>
    <row r="127" spans="1:87" x14ac:dyDescent="0.25">
      <c r="A127" s="202" t="s">
        <v>208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56"/>
      <c r="AY127" s="203"/>
      <c r="AZ127" s="203"/>
      <c r="BA127" s="203"/>
    </row>
    <row r="128" spans="1:87" x14ac:dyDescent="0.25">
      <c r="A128" s="202" t="s">
        <v>209</v>
      </c>
      <c r="B128" s="174">
        <v>19</v>
      </c>
      <c r="C128" s="174"/>
      <c r="D128" s="174">
        <v>244</v>
      </c>
      <c r="E128" s="174"/>
      <c r="F128" s="174"/>
      <c r="G128" s="174"/>
      <c r="H128" s="174">
        <v>215</v>
      </c>
      <c r="I128" s="174"/>
      <c r="J128" s="174"/>
      <c r="K128" s="174">
        <v>7</v>
      </c>
      <c r="L128" s="174">
        <v>4</v>
      </c>
      <c r="M128" s="174"/>
      <c r="N128" s="174"/>
      <c r="O128" s="174">
        <v>18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>
        <v>244</v>
      </c>
      <c r="Z128" s="174">
        <v>15</v>
      </c>
      <c r="AA128" s="174"/>
      <c r="AB128" s="174">
        <v>236</v>
      </c>
      <c r="AC128" s="174"/>
      <c r="AD128" s="174"/>
      <c r="AE128" s="174"/>
      <c r="AF128" s="174">
        <v>211</v>
      </c>
      <c r="AG128" s="174"/>
      <c r="AH128" s="174"/>
      <c r="AI128" s="174">
        <v>7</v>
      </c>
      <c r="AJ128" s="174"/>
      <c r="AK128" s="174"/>
      <c r="AL128" s="174"/>
      <c r="AM128" s="174">
        <v>18</v>
      </c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>
        <v>236</v>
      </c>
      <c r="AX128" s="205">
        <v>522.51</v>
      </c>
      <c r="AY128" s="203"/>
      <c r="AZ128" s="203"/>
      <c r="BA128" s="203"/>
    </row>
    <row r="129" spans="1:53" x14ac:dyDescent="0.25">
      <c r="A129" s="202" t="s">
        <v>210</v>
      </c>
      <c r="B129" s="174">
        <v>6</v>
      </c>
      <c r="C129" s="174"/>
      <c r="D129" s="174">
        <v>42</v>
      </c>
      <c r="E129" s="174"/>
      <c r="F129" s="174"/>
      <c r="G129" s="174"/>
      <c r="H129" s="174">
        <v>19</v>
      </c>
      <c r="I129" s="174"/>
      <c r="J129" s="174"/>
      <c r="K129" s="174">
        <v>20</v>
      </c>
      <c r="L129" s="174">
        <v>3</v>
      </c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>
        <v>42</v>
      </c>
      <c r="Z129" s="174">
        <v>6</v>
      </c>
      <c r="AA129" s="174"/>
      <c r="AB129" s="174">
        <v>42</v>
      </c>
      <c r="AC129" s="174"/>
      <c r="AD129" s="174"/>
      <c r="AE129" s="174"/>
      <c r="AF129" s="174">
        <v>19</v>
      </c>
      <c r="AG129" s="174"/>
      <c r="AH129" s="174"/>
      <c r="AI129" s="174">
        <v>20</v>
      </c>
      <c r="AJ129" s="174">
        <v>3</v>
      </c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>
        <v>42</v>
      </c>
      <c r="AX129" s="205">
        <v>608.71202380952388</v>
      </c>
      <c r="AY129" s="203"/>
      <c r="AZ129" s="203"/>
      <c r="BA129" s="203"/>
    </row>
    <row r="130" spans="1:53" x14ac:dyDescent="0.25">
      <c r="A130" s="202" t="s">
        <v>211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205"/>
      <c r="AY130" s="203"/>
      <c r="AZ130" s="203"/>
      <c r="BA130" s="203"/>
    </row>
    <row r="131" spans="1:53" x14ac:dyDescent="0.25">
      <c r="A131" s="202" t="s">
        <v>212</v>
      </c>
      <c r="B131" s="174">
        <v>3</v>
      </c>
      <c r="C131" s="174"/>
      <c r="D131" s="174">
        <v>3</v>
      </c>
      <c r="E131" s="174"/>
      <c r="F131" s="174"/>
      <c r="G131" s="174"/>
      <c r="H131" s="174">
        <v>1</v>
      </c>
      <c r="I131" s="174"/>
      <c r="J131" s="174"/>
      <c r="K131" s="174">
        <v>1</v>
      </c>
      <c r="L131" s="174"/>
      <c r="M131" s="174">
        <v>1</v>
      </c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>
        <v>3</v>
      </c>
      <c r="Z131" s="174">
        <v>1</v>
      </c>
      <c r="AA131" s="174"/>
      <c r="AB131" s="174">
        <v>1</v>
      </c>
      <c r="AC131" s="174"/>
      <c r="AD131" s="174"/>
      <c r="AE131" s="174"/>
      <c r="AF131" s="174"/>
      <c r="AG131" s="174"/>
      <c r="AH131" s="174"/>
      <c r="AI131" s="174"/>
      <c r="AJ131" s="174"/>
      <c r="AK131" s="174">
        <v>1</v>
      </c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>
        <v>1</v>
      </c>
      <c r="AX131" s="205">
        <v>1900</v>
      </c>
      <c r="AY131" s="203"/>
      <c r="AZ131" s="203"/>
      <c r="BA131" s="203"/>
    </row>
    <row r="132" spans="1:53" x14ac:dyDescent="0.25">
      <c r="A132" s="202" t="s">
        <v>213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205"/>
      <c r="AY132" s="203"/>
      <c r="AZ132" s="203"/>
      <c r="BA132" s="203"/>
    </row>
    <row r="133" spans="1:53" x14ac:dyDescent="0.25">
      <c r="A133" s="202" t="s">
        <v>214</v>
      </c>
      <c r="B133" s="174">
        <v>7</v>
      </c>
      <c r="C133" s="174"/>
      <c r="D133" s="174">
        <v>44</v>
      </c>
      <c r="E133" s="174"/>
      <c r="F133" s="174"/>
      <c r="G133" s="174"/>
      <c r="H133" s="174">
        <v>29</v>
      </c>
      <c r="I133" s="174"/>
      <c r="J133" s="174"/>
      <c r="K133" s="174"/>
      <c r="L133" s="174">
        <v>5</v>
      </c>
      <c r="M133" s="174"/>
      <c r="N133" s="174"/>
      <c r="O133" s="174">
        <v>10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>
        <v>44</v>
      </c>
      <c r="Z133" s="174">
        <v>4</v>
      </c>
      <c r="AA133" s="174"/>
      <c r="AB133" s="174">
        <v>25</v>
      </c>
      <c r="AC133" s="174"/>
      <c r="AD133" s="174"/>
      <c r="AE133" s="174"/>
      <c r="AF133" s="174">
        <v>10</v>
      </c>
      <c r="AG133" s="174"/>
      <c r="AH133" s="174"/>
      <c r="AI133" s="174"/>
      <c r="AJ133" s="174">
        <v>5</v>
      </c>
      <c r="AK133" s="174"/>
      <c r="AL133" s="174"/>
      <c r="AM133" s="174">
        <v>10</v>
      </c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>
        <v>25</v>
      </c>
      <c r="AX133" s="205">
        <v>4442.2</v>
      </c>
      <c r="AY133" s="203"/>
      <c r="AZ133" s="203"/>
      <c r="BA133" s="203"/>
    </row>
    <row r="134" spans="1:53" x14ac:dyDescent="0.25">
      <c r="A134" s="202" t="s">
        <v>215</v>
      </c>
      <c r="B134" s="174">
        <v>5</v>
      </c>
      <c r="C134" s="174"/>
      <c r="D134" s="174">
        <v>11</v>
      </c>
      <c r="E134" s="174"/>
      <c r="F134" s="174"/>
      <c r="G134" s="174"/>
      <c r="H134" s="174">
        <v>5</v>
      </c>
      <c r="I134" s="174"/>
      <c r="J134" s="174"/>
      <c r="K134" s="174"/>
      <c r="L134" s="174"/>
      <c r="M134" s="174">
        <v>1</v>
      </c>
      <c r="N134" s="174"/>
      <c r="O134" s="174"/>
      <c r="P134" s="174"/>
      <c r="Q134" s="174"/>
      <c r="R134" s="174"/>
      <c r="S134" s="174">
        <v>5</v>
      </c>
      <c r="T134" s="174"/>
      <c r="U134" s="174"/>
      <c r="V134" s="174"/>
      <c r="W134" s="174"/>
      <c r="X134" s="174"/>
      <c r="Y134" s="174">
        <v>11</v>
      </c>
      <c r="Z134" s="174">
        <v>2</v>
      </c>
      <c r="AA134" s="174"/>
      <c r="AB134" s="174">
        <v>4</v>
      </c>
      <c r="AC134" s="174"/>
      <c r="AD134" s="174"/>
      <c r="AE134" s="174"/>
      <c r="AF134" s="174"/>
      <c r="AG134" s="174"/>
      <c r="AH134" s="174"/>
      <c r="AI134" s="174"/>
      <c r="AJ134" s="174"/>
      <c r="AK134" s="174">
        <v>1</v>
      </c>
      <c r="AL134" s="174"/>
      <c r="AM134" s="174"/>
      <c r="AN134" s="174"/>
      <c r="AO134" s="174"/>
      <c r="AP134" s="174"/>
      <c r="AQ134" s="174">
        <v>3</v>
      </c>
      <c r="AR134" s="174"/>
      <c r="AS134" s="174"/>
      <c r="AT134" s="174"/>
      <c r="AU134" s="174"/>
      <c r="AV134" s="174"/>
      <c r="AW134" s="174">
        <v>4</v>
      </c>
      <c r="AX134" s="205">
        <v>3157</v>
      </c>
      <c r="AY134" s="203"/>
      <c r="AZ134" s="203"/>
      <c r="BA134" s="203"/>
    </row>
    <row r="135" spans="1:53" x14ac:dyDescent="0.25">
      <c r="A135" s="202" t="s">
        <v>216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205"/>
      <c r="AY135" s="203"/>
      <c r="AZ135" s="203"/>
      <c r="BA135" s="203"/>
    </row>
    <row r="136" spans="1:53" x14ac:dyDescent="0.25">
      <c r="A136" s="202" t="s">
        <v>217</v>
      </c>
      <c r="B136" s="174">
        <v>17</v>
      </c>
      <c r="C136" s="174"/>
      <c r="D136" s="174">
        <v>45</v>
      </c>
      <c r="E136" s="174"/>
      <c r="F136" s="174"/>
      <c r="G136" s="174"/>
      <c r="H136" s="174">
        <v>8</v>
      </c>
      <c r="I136" s="174"/>
      <c r="J136" s="174"/>
      <c r="K136" s="174">
        <v>4</v>
      </c>
      <c r="L136" s="174">
        <v>33</v>
      </c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>
        <v>45</v>
      </c>
      <c r="Z136" s="174">
        <v>16</v>
      </c>
      <c r="AA136" s="174"/>
      <c r="AB136" s="174">
        <v>38</v>
      </c>
      <c r="AC136" s="174"/>
      <c r="AD136" s="174"/>
      <c r="AE136" s="174"/>
      <c r="AF136" s="174">
        <v>6</v>
      </c>
      <c r="AG136" s="174"/>
      <c r="AH136" s="174"/>
      <c r="AI136" s="174">
        <v>4</v>
      </c>
      <c r="AJ136" s="174">
        <v>28</v>
      </c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>
        <v>38</v>
      </c>
      <c r="AX136" s="205">
        <v>2841.9740000000002</v>
      </c>
      <c r="AY136" s="203"/>
      <c r="AZ136" s="203"/>
      <c r="BA136" s="203"/>
    </row>
    <row r="137" spans="1:53" x14ac:dyDescent="0.25">
      <c r="A137" s="202" t="s">
        <v>218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205"/>
      <c r="AY137" s="203"/>
      <c r="AZ137" s="203"/>
      <c r="BA137" s="203"/>
    </row>
    <row r="138" spans="1:53" x14ac:dyDescent="0.25">
      <c r="A138" s="202" t="s">
        <v>219</v>
      </c>
      <c r="B138" s="174">
        <v>17</v>
      </c>
      <c r="C138" s="174"/>
      <c r="D138" s="174">
        <v>64</v>
      </c>
      <c r="E138" s="174"/>
      <c r="F138" s="174"/>
      <c r="G138" s="174"/>
      <c r="H138" s="174">
        <v>47</v>
      </c>
      <c r="I138" s="174"/>
      <c r="J138" s="174"/>
      <c r="K138" s="174">
        <v>17</v>
      </c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>
        <v>64</v>
      </c>
      <c r="Z138" s="174">
        <v>15</v>
      </c>
      <c r="AA138" s="174"/>
      <c r="AB138" s="174">
        <v>38</v>
      </c>
      <c r="AC138" s="174"/>
      <c r="AD138" s="174"/>
      <c r="AE138" s="174"/>
      <c r="AF138" s="174">
        <v>22</v>
      </c>
      <c r="AG138" s="174"/>
      <c r="AH138" s="174"/>
      <c r="AI138" s="174">
        <v>16</v>
      </c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>
        <v>38</v>
      </c>
      <c r="AX138" s="205">
        <v>644.04466666666667</v>
      </c>
      <c r="AY138" s="203"/>
      <c r="AZ138" s="203"/>
      <c r="BA138" s="203"/>
    </row>
    <row r="139" spans="1:53" x14ac:dyDescent="0.25">
      <c r="A139" s="202" t="s">
        <v>220</v>
      </c>
      <c r="B139" s="174">
        <v>41</v>
      </c>
      <c r="C139" s="174">
        <v>4</v>
      </c>
      <c r="D139" s="174">
        <v>575</v>
      </c>
      <c r="E139" s="174">
        <v>15</v>
      </c>
      <c r="F139" s="174"/>
      <c r="G139" s="174"/>
      <c r="H139" s="174">
        <v>486</v>
      </c>
      <c r="I139" s="174"/>
      <c r="J139" s="174">
        <v>15</v>
      </c>
      <c r="K139" s="174">
        <v>65</v>
      </c>
      <c r="L139" s="174">
        <v>3</v>
      </c>
      <c r="M139" s="174"/>
      <c r="N139" s="174"/>
      <c r="O139" s="174"/>
      <c r="P139" s="174"/>
      <c r="Q139" s="174">
        <v>6</v>
      </c>
      <c r="R139" s="174"/>
      <c r="S139" s="174"/>
      <c r="T139" s="174"/>
      <c r="U139" s="174"/>
      <c r="V139" s="174"/>
      <c r="W139" s="174"/>
      <c r="X139" s="174"/>
      <c r="Y139" s="174">
        <v>575</v>
      </c>
      <c r="Z139" s="174">
        <v>30</v>
      </c>
      <c r="AA139" s="174">
        <v>4</v>
      </c>
      <c r="AB139" s="174">
        <v>493</v>
      </c>
      <c r="AC139" s="174">
        <v>15</v>
      </c>
      <c r="AD139" s="174"/>
      <c r="AE139" s="174"/>
      <c r="AF139" s="174">
        <v>457</v>
      </c>
      <c r="AG139" s="174"/>
      <c r="AH139" s="174">
        <v>15</v>
      </c>
      <c r="AI139" s="174">
        <v>14</v>
      </c>
      <c r="AJ139" s="174">
        <v>1</v>
      </c>
      <c r="AK139" s="174"/>
      <c r="AL139" s="174"/>
      <c r="AM139" s="174"/>
      <c r="AN139" s="174"/>
      <c r="AO139" s="174">
        <v>6</v>
      </c>
      <c r="AP139" s="174"/>
      <c r="AQ139" s="174"/>
      <c r="AR139" s="174"/>
      <c r="AS139" s="174"/>
      <c r="AT139" s="174"/>
      <c r="AU139" s="174"/>
      <c r="AV139" s="174"/>
      <c r="AW139" s="174">
        <v>493</v>
      </c>
      <c r="AX139" s="205">
        <v>1572.823333333333</v>
      </c>
      <c r="AY139" s="203"/>
      <c r="AZ139" s="203"/>
      <c r="BA139" s="203"/>
    </row>
    <row r="140" spans="1:53" x14ac:dyDescent="0.25">
      <c r="A140" s="202" t="s">
        <v>221</v>
      </c>
      <c r="B140" s="174">
        <v>1</v>
      </c>
      <c r="C140" s="174"/>
      <c r="D140" s="174">
        <v>7</v>
      </c>
      <c r="E140" s="174"/>
      <c r="F140" s="174"/>
      <c r="G140" s="174"/>
      <c r="H140" s="174">
        <v>7</v>
      </c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>
        <v>7</v>
      </c>
      <c r="Z140" s="174">
        <v>1</v>
      </c>
      <c r="AA140" s="174"/>
      <c r="AB140" s="174">
        <v>7</v>
      </c>
      <c r="AC140" s="174"/>
      <c r="AD140" s="174"/>
      <c r="AE140" s="174"/>
      <c r="AF140" s="174">
        <v>7</v>
      </c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>
        <v>7</v>
      </c>
      <c r="AX140" s="205">
        <v>569.87</v>
      </c>
      <c r="AY140" s="203"/>
      <c r="AZ140" s="203"/>
      <c r="BA140" s="203"/>
    </row>
    <row r="141" spans="1:53" x14ac:dyDescent="0.25">
      <c r="A141" s="202" t="s">
        <v>222</v>
      </c>
      <c r="B141" s="174">
        <v>1</v>
      </c>
      <c r="C141" s="174"/>
      <c r="D141" s="174">
        <v>2</v>
      </c>
      <c r="E141" s="174"/>
      <c r="F141" s="174"/>
      <c r="G141" s="174"/>
      <c r="H141" s="174"/>
      <c r="I141" s="174"/>
      <c r="J141" s="174"/>
      <c r="K141" s="174"/>
      <c r="L141" s="174">
        <v>2</v>
      </c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>
        <v>2</v>
      </c>
      <c r="Z141" s="174">
        <v>1</v>
      </c>
      <c r="AA141" s="174"/>
      <c r="AB141" s="174">
        <v>2</v>
      </c>
      <c r="AC141" s="174"/>
      <c r="AD141" s="174"/>
      <c r="AE141" s="174"/>
      <c r="AF141" s="174"/>
      <c r="AG141" s="174"/>
      <c r="AH141" s="174"/>
      <c r="AI141" s="174"/>
      <c r="AJ141" s="174">
        <v>2</v>
      </c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>
        <v>2</v>
      </c>
      <c r="AX141" s="205">
        <v>6000</v>
      </c>
      <c r="AY141" s="203"/>
      <c r="AZ141" s="203"/>
      <c r="BA141" s="203"/>
    </row>
    <row r="142" spans="1:53" x14ac:dyDescent="0.25">
      <c r="A142" s="202" t="s">
        <v>223</v>
      </c>
      <c r="B142" s="174">
        <v>1</v>
      </c>
      <c r="C142" s="174"/>
      <c r="D142" s="174">
        <v>4</v>
      </c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>
        <v>4</v>
      </c>
      <c r="T142" s="174"/>
      <c r="U142" s="174"/>
      <c r="V142" s="174"/>
      <c r="W142" s="174"/>
      <c r="X142" s="174"/>
      <c r="Y142" s="174">
        <v>4</v>
      </c>
      <c r="Z142" s="174">
        <v>1</v>
      </c>
      <c r="AA142" s="174"/>
      <c r="AB142" s="174">
        <v>4</v>
      </c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>
        <v>4</v>
      </c>
      <c r="AR142" s="174"/>
      <c r="AS142" s="174"/>
      <c r="AT142" s="174"/>
      <c r="AU142" s="174"/>
      <c r="AV142" s="174"/>
      <c r="AW142" s="174">
        <v>4</v>
      </c>
      <c r="AX142" s="205">
        <v>3950</v>
      </c>
      <c r="AY142" s="203"/>
      <c r="AZ142" s="203"/>
      <c r="BA142" s="203"/>
    </row>
    <row r="143" spans="1:53" x14ac:dyDescent="0.25">
      <c r="A143" s="202" t="s">
        <v>224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205"/>
      <c r="AY143" s="203"/>
      <c r="AZ143" s="203"/>
      <c r="BA143" s="203"/>
    </row>
    <row r="144" spans="1:53" x14ac:dyDescent="0.25">
      <c r="A144" s="202" t="s">
        <v>225</v>
      </c>
      <c r="B144" s="174">
        <v>2</v>
      </c>
      <c r="C144" s="174"/>
      <c r="D144" s="174">
        <v>18</v>
      </c>
      <c r="E144" s="174"/>
      <c r="F144" s="174"/>
      <c r="G144" s="174"/>
      <c r="H144" s="174"/>
      <c r="I144" s="174"/>
      <c r="J144" s="174"/>
      <c r="K144" s="174"/>
      <c r="L144" s="174"/>
      <c r="M144" s="174"/>
      <c r="N144" s="174">
        <v>18</v>
      </c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>
        <v>18</v>
      </c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205"/>
      <c r="AY144" s="203"/>
      <c r="AZ144" s="203"/>
      <c r="BA144" s="203"/>
    </row>
    <row r="145" spans="1:53" x14ac:dyDescent="0.25">
      <c r="A145" s="202" t="s">
        <v>226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205"/>
      <c r="AY145" s="203"/>
      <c r="AZ145" s="203"/>
      <c r="BA145" s="203"/>
    </row>
    <row r="146" spans="1:53" x14ac:dyDescent="0.25">
      <c r="A146" s="202" t="s">
        <v>227</v>
      </c>
      <c r="B146" s="174">
        <v>5</v>
      </c>
      <c r="C146" s="174">
        <v>4</v>
      </c>
      <c r="D146" s="174">
        <v>21</v>
      </c>
      <c r="E146" s="174">
        <v>7</v>
      </c>
      <c r="F146" s="174"/>
      <c r="G146" s="174"/>
      <c r="H146" s="174">
        <v>14</v>
      </c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>
        <v>7</v>
      </c>
      <c r="U146" s="174"/>
      <c r="V146" s="174"/>
      <c r="W146" s="174"/>
      <c r="X146" s="174"/>
      <c r="Y146" s="174">
        <v>21</v>
      </c>
      <c r="Z146" s="174">
        <v>5</v>
      </c>
      <c r="AA146" s="174">
        <v>4</v>
      </c>
      <c r="AB146" s="174">
        <v>16</v>
      </c>
      <c r="AC146" s="174">
        <v>3</v>
      </c>
      <c r="AD146" s="174"/>
      <c r="AE146" s="174"/>
      <c r="AF146" s="174">
        <v>12</v>
      </c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>
        <v>4</v>
      </c>
      <c r="AS146" s="174"/>
      <c r="AT146" s="174"/>
      <c r="AU146" s="174"/>
      <c r="AV146" s="174"/>
      <c r="AW146" s="174">
        <v>16</v>
      </c>
      <c r="AX146" s="205">
        <v>2111.7333333333331</v>
      </c>
      <c r="AY146" s="203"/>
      <c r="AZ146" s="203"/>
      <c r="BA146" s="203"/>
    </row>
    <row r="147" spans="1:53" x14ac:dyDescent="0.25">
      <c r="A147" s="202" t="s">
        <v>228</v>
      </c>
      <c r="B147" s="174">
        <v>18</v>
      </c>
      <c r="C147" s="174"/>
      <c r="D147" s="174">
        <v>27</v>
      </c>
      <c r="E147" s="174"/>
      <c r="F147" s="174"/>
      <c r="G147" s="174"/>
      <c r="H147" s="174">
        <v>3</v>
      </c>
      <c r="I147" s="174"/>
      <c r="J147" s="174"/>
      <c r="K147" s="174">
        <v>12</v>
      </c>
      <c r="L147" s="174">
        <v>9</v>
      </c>
      <c r="M147" s="174"/>
      <c r="N147" s="174">
        <v>1</v>
      </c>
      <c r="O147" s="174"/>
      <c r="P147" s="174"/>
      <c r="Q147" s="174"/>
      <c r="R147" s="174">
        <v>1</v>
      </c>
      <c r="S147" s="174"/>
      <c r="T147" s="174"/>
      <c r="U147" s="174"/>
      <c r="V147" s="174">
        <v>1</v>
      </c>
      <c r="W147" s="174"/>
      <c r="X147" s="174"/>
      <c r="Y147" s="174">
        <v>27</v>
      </c>
      <c r="Z147" s="174">
        <v>11</v>
      </c>
      <c r="AA147" s="174"/>
      <c r="AB147" s="174">
        <v>15</v>
      </c>
      <c r="AC147" s="174"/>
      <c r="AD147" s="174"/>
      <c r="AE147" s="174"/>
      <c r="AF147" s="174">
        <v>3</v>
      </c>
      <c r="AG147" s="174"/>
      <c r="AH147" s="174"/>
      <c r="AI147" s="174">
        <v>5</v>
      </c>
      <c r="AJ147" s="174">
        <v>5</v>
      </c>
      <c r="AK147" s="174"/>
      <c r="AL147" s="174"/>
      <c r="AM147" s="174"/>
      <c r="AN147" s="174"/>
      <c r="AO147" s="174"/>
      <c r="AP147" s="174">
        <v>1</v>
      </c>
      <c r="AQ147" s="174"/>
      <c r="AR147" s="174"/>
      <c r="AS147" s="174"/>
      <c r="AT147" s="174">
        <v>1</v>
      </c>
      <c r="AU147" s="174"/>
      <c r="AV147" s="174"/>
      <c r="AW147" s="174">
        <v>15</v>
      </c>
      <c r="AX147" s="205">
        <v>5050.5</v>
      </c>
      <c r="AY147" s="203"/>
      <c r="AZ147" s="203"/>
      <c r="BA147" s="203"/>
    </row>
    <row r="148" spans="1:53" x14ac:dyDescent="0.25">
      <c r="A148" s="202" t="s">
        <v>229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56"/>
      <c r="AY148" s="203"/>
      <c r="AZ148" s="203"/>
      <c r="BA148" s="203"/>
    </row>
    <row r="149" spans="1:53" x14ac:dyDescent="0.25">
      <c r="A149" s="202" t="s">
        <v>230</v>
      </c>
      <c r="B149" s="174">
        <v>3</v>
      </c>
      <c r="C149" s="174"/>
      <c r="D149" s="174">
        <v>9</v>
      </c>
      <c r="E149" s="174"/>
      <c r="F149" s="174"/>
      <c r="G149" s="174"/>
      <c r="H149" s="174"/>
      <c r="I149" s="174"/>
      <c r="J149" s="174"/>
      <c r="K149" s="174"/>
      <c r="L149" s="174"/>
      <c r="M149" s="174"/>
      <c r="N149" s="174">
        <v>7</v>
      </c>
      <c r="O149" s="174">
        <v>2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>
        <v>9</v>
      </c>
      <c r="Z149" s="174">
        <v>1</v>
      </c>
      <c r="AA149" s="174"/>
      <c r="AB149" s="174">
        <v>7</v>
      </c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>
        <v>7</v>
      </c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>
        <v>7</v>
      </c>
      <c r="AX149" s="156">
        <v>1200</v>
      </c>
      <c r="AY149" s="203"/>
      <c r="AZ149" s="203"/>
      <c r="BA149" s="203"/>
    </row>
    <row r="150" spans="1:53" x14ac:dyDescent="0.25">
      <c r="A150" s="202" t="s">
        <v>231</v>
      </c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56"/>
      <c r="AY150" s="203"/>
      <c r="AZ150" s="203"/>
      <c r="BA150" s="203"/>
    </row>
    <row r="151" spans="1:53" x14ac:dyDescent="0.25">
      <c r="A151" s="202" t="s">
        <v>232</v>
      </c>
      <c r="B151" s="174">
        <v>6</v>
      </c>
      <c r="C151" s="174">
        <v>2</v>
      </c>
      <c r="D151" s="174">
        <v>28</v>
      </c>
      <c r="E151" s="174">
        <v>12</v>
      </c>
      <c r="F151" s="174"/>
      <c r="G151" s="174"/>
      <c r="H151" s="174">
        <v>6</v>
      </c>
      <c r="I151" s="174"/>
      <c r="J151" s="174"/>
      <c r="K151" s="174"/>
      <c r="L151" s="174">
        <v>1</v>
      </c>
      <c r="M151" s="174"/>
      <c r="N151" s="174">
        <v>6</v>
      </c>
      <c r="O151" s="174"/>
      <c r="P151" s="174"/>
      <c r="Q151" s="174"/>
      <c r="R151" s="174"/>
      <c r="S151" s="174"/>
      <c r="T151" s="174"/>
      <c r="U151" s="174"/>
      <c r="V151" s="174">
        <v>12</v>
      </c>
      <c r="W151" s="174"/>
      <c r="X151" s="174">
        <v>3</v>
      </c>
      <c r="Y151" s="174">
        <v>28</v>
      </c>
      <c r="Z151" s="174">
        <v>2</v>
      </c>
      <c r="AA151" s="174">
        <v>1</v>
      </c>
      <c r="AB151" s="174">
        <v>4</v>
      </c>
      <c r="AC151" s="174">
        <v>1</v>
      </c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>
        <v>1</v>
      </c>
      <c r="AU151" s="174"/>
      <c r="AV151" s="174">
        <v>3</v>
      </c>
      <c r="AW151" s="174">
        <v>4</v>
      </c>
      <c r="AX151" s="156">
        <v>4000</v>
      </c>
      <c r="AY151" s="203"/>
      <c r="AZ151" s="203"/>
      <c r="BA151" s="203"/>
    </row>
    <row r="152" spans="1:53" x14ac:dyDescent="0.25">
      <c r="A152" s="202" t="s">
        <v>233</v>
      </c>
      <c r="B152" s="174">
        <v>5</v>
      </c>
      <c r="C152" s="174">
        <v>4</v>
      </c>
      <c r="D152" s="174">
        <v>7</v>
      </c>
      <c r="E152" s="174">
        <v>4</v>
      </c>
      <c r="F152" s="174"/>
      <c r="G152" s="174"/>
      <c r="H152" s="174">
        <v>3</v>
      </c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>
        <v>4</v>
      </c>
      <c r="V152" s="174"/>
      <c r="W152" s="174"/>
      <c r="X152" s="174"/>
      <c r="Y152" s="174">
        <v>7</v>
      </c>
      <c r="Z152" s="174">
        <v>5</v>
      </c>
      <c r="AA152" s="174">
        <v>4</v>
      </c>
      <c r="AB152" s="174">
        <v>7</v>
      </c>
      <c r="AC152" s="174">
        <v>4</v>
      </c>
      <c r="AD152" s="174"/>
      <c r="AE152" s="174"/>
      <c r="AF152" s="174">
        <v>4</v>
      </c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>
        <v>3</v>
      </c>
      <c r="AT152" s="174"/>
      <c r="AU152" s="174"/>
      <c r="AV152" s="174"/>
      <c r="AW152" s="174">
        <v>7</v>
      </c>
      <c r="AX152" s="205">
        <v>2706</v>
      </c>
      <c r="AY152" s="203"/>
      <c r="AZ152" s="203"/>
      <c r="BA152" s="203"/>
    </row>
    <row r="153" spans="1:53" x14ac:dyDescent="0.25">
      <c r="A153" s="202" t="s">
        <v>234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205"/>
      <c r="AY153" s="203"/>
      <c r="AZ153" s="203"/>
      <c r="BA153" s="203"/>
    </row>
    <row r="154" spans="1:53" x14ac:dyDescent="0.25">
      <c r="A154" s="202" t="s">
        <v>235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205"/>
      <c r="AY154" s="203"/>
      <c r="AZ154" s="203"/>
      <c r="BA154" s="203"/>
    </row>
    <row r="155" spans="1:53" x14ac:dyDescent="0.25">
      <c r="A155" s="202" t="s">
        <v>236</v>
      </c>
      <c r="B155" s="174">
        <v>4</v>
      </c>
      <c r="C155" s="174"/>
      <c r="D155" s="174">
        <v>21</v>
      </c>
      <c r="E155" s="174"/>
      <c r="F155" s="174"/>
      <c r="G155" s="174"/>
      <c r="H155" s="174">
        <v>19</v>
      </c>
      <c r="I155" s="174"/>
      <c r="J155" s="174"/>
      <c r="K155" s="174"/>
      <c r="L155" s="174"/>
      <c r="M155" s="174"/>
      <c r="N155" s="174">
        <v>1</v>
      </c>
      <c r="O155" s="174"/>
      <c r="P155" s="174"/>
      <c r="Q155" s="174"/>
      <c r="R155" s="174">
        <v>1</v>
      </c>
      <c r="S155" s="174"/>
      <c r="T155" s="174"/>
      <c r="U155" s="174"/>
      <c r="V155" s="174"/>
      <c r="W155" s="174"/>
      <c r="X155" s="174"/>
      <c r="Y155" s="174">
        <v>21</v>
      </c>
      <c r="Z155" s="174">
        <v>3</v>
      </c>
      <c r="AA155" s="174"/>
      <c r="AB155" s="174">
        <v>13</v>
      </c>
      <c r="AC155" s="174"/>
      <c r="AD155" s="174"/>
      <c r="AE155" s="174"/>
      <c r="AF155" s="174">
        <v>12</v>
      </c>
      <c r="AG155" s="174"/>
      <c r="AH155" s="174"/>
      <c r="AI155" s="174"/>
      <c r="AJ155" s="174"/>
      <c r="AK155" s="174"/>
      <c r="AL155" s="174">
        <v>1</v>
      </c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>
        <v>13</v>
      </c>
      <c r="AX155" s="205">
        <v>1490.6666666666667</v>
      </c>
      <c r="AY155" s="203"/>
      <c r="AZ155" s="203"/>
      <c r="BA155" s="203"/>
    </row>
    <row r="156" spans="1:53" x14ac:dyDescent="0.25">
      <c r="A156" s="202" t="s">
        <v>237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206"/>
      <c r="AY156" s="203"/>
      <c r="AZ156" s="203"/>
      <c r="BA156" s="203"/>
    </row>
    <row r="157" spans="1:53" x14ac:dyDescent="0.25">
      <c r="A157" s="202" t="s">
        <v>238</v>
      </c>
      <c r="B157" s="174">
        <v>2</v>
      </c>
      <c r="C157" s="174"/>
      <c r="D157" s="174">
        <v>2</v>
      </c>
      <c r="E157" s="174"/>
      <c r="F157" s="174"/>
      <c r="G157" s="174"/>
      <c r="H157" s="174"/>
      <c r="I157" s="174"/>
      <c r="J157" s="174"/>
      <c r="K157" s="174"/>
      <c r="L157" s="174"/>
      <c r="M157" s="174">
        <v>2</v>
      </c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>
        <v>2</v>
      </c>
      <c r="Z157" s="174">
        <v>2</v>
      </c>
      <c r="AA157" s="174"/>
      <c r="AB157" s="174">
        <v>2</v>
      </c>
      <c r="AC157" s="174"/>
      <c r="AD157" s="174"/>
      <c r="AE157" s="174"/>
      <c r="AF157" s="174"/>
      <c r="AG157" s="174"/>
      <c r="AH157" s="174"/>
      <c r="AI157" s="174"/>
      <c r="AJ157" s="174"/>
      <c r="AK157" s="174">
        <v>2</v>
      </c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>
        <v>2</v>
      </c>
      <c r="AX157" s="156">
        <v>1200</v>
      </c>
      <c r="AY157" s="203"/>
      <c r="AZ157" s="203"/>
      <c r="BA157" s="203"/>
    </row>
    <row r="158" spans="1:53" x14ac:dyDescent="0.25">
      <c r="A158" s="202" t="s">
        <v>239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205"/>
      <c r="AY158" s="203"/>
      <c r="AZ158" s="203"/>
      <c r="BA158" s="203"/>
    </row>
    <row r="159" spans="1:53" x14ac:dyDescent="0.25">
      <c r="A159" s="202" t="s">
        <v>240</v>
      </c>
      <c r="B159" s="174">
        <v>1</v>
      </c>
      <c r="C159" s="174"/>
      <c r="D159" s="174">
        <v>2</v>
      </c>
      <c r="E159" s="174"/>
      <c r="F159" s="174"/>
      <c r="G159" s="174"/>
      <c r="H159" s="174"/>
      <c r="I159" s="174"/>
      <c r="J159" s="174"/>
      <c r="K159" s="174">
        <v>2</v>
      </c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>
        <v>2</v>
      </c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56"/>
      <c r="AY159" s="203"/>
      <c r="AZ159" s="203"/>
      <c r="BA159" s="203"/>
    </row>
    <row r="160" spans="1:53" x14ac:dyDescent="0.25">
      <c r="A160" s="202" t="s">
        <v>241</v>
      </c>
      <c r="B160" s="174">
        <v>11</v>
      </c>
      <c r="C160" s="174"/>
      <c r="D160" s="174">
        <v>35</v>
      </c>
      <c r="E160" s="174"/>
      <c r="F160" s="174"/>
      <c r="G160" s="174"/>
      <c r="H160" s="174">
        <v>2</v>
      </c>
      <c r="I160" s="174"/>
      <c r="J160" s="174"/>
      <c r="K160" s="174">
        <v>5</v>
      </c>
      <c r="L160" s="174">
        <v>1</v>
      </c>
      <c r="M160" s="174"/>
      <c r="N160" s="174"/>
      <c r="O160" s="174"/>
      <c r="P160" s="174">
        <v>1</v>
      </c>
      <c r="Q160" s="174"/>
      <c r="R160" s="174">
        <v>15</v>
      </c>
      <c r="S160" s="174"/>
      <c r="T160" s="174"/>
      <c r="U160" s="174"/>
      <c r="V160" s="174">
        <v>11</v>
      </c>
      <c r="W160" s="174"/>
      <c r="X160" s="174"/>
      <c r="Y160" s="174">
        <v>35</v>
      </c>
      <c r="Z160" s="174">
        <v>9</v>
      </c>
      <c r="AA160" s="174"/>
      <c r="AB160" s="174">
        <v>15</v>
      </c>
      <c r="AC160" s="174"/>
      <c r="AD160" s="174"/>
      <c r="AE160" s="174"/>
      <c r="AF160" s="174">
        <v>2</v>
      </c>
      <c r="AG160" s="174"/>
      <c r="AH160" s="174"/>
      <c r="AI160" s="174">
        <v>4</v>
      </c>
      <c r="AJ160" s="174">
        <v>1</v>
      </c>
      <c r="AK160" s="174"/>
      <c r="AL160" s="174"/>
      <c r="AM160" s="174"/>
      <c r="AN160" s="174">
        <v>1</v>
      </c>
      <c r="AO160" s="174"/>
      <c r="AP160" s="174">
        <v>3</v>
      </c>
      <c r="AQ160" s="174"/>
      <c r="AR160" s="174"/>
      <c r="AS160" s="174"/>
      <c r="AT160" s="174">
        <v>4</v>
      </c>
      <c r="AU160" s="174"/>
      <c r="AV160" s="174"/>
      <c r="AW160" s="174">
        <v>15</v>
      </c>
      <c r="AX160" s="156">
        <v>5138.25</v>
      </c>
      <c r="AY160" s="203"/>
      <c r="AZ160" s="203"/>
      <c r="BA160" s="203"/>
    </row>
    <row r="161" spans="1:64" x14ac:dyDescent="0.25">
      <c r="A161" s="202" t="s">
        <v>242</v>
      </c>
      <c r="B161" s="174">
        <v>2</v>
      </c>
      <c r="C161" s="174"/>
      <c r="D161" s="174">
        <v>10</v>
      </c>
      <c r="E161" s="174"/>
      <c r="F161" s="174"/>
      <c r="G161" s="174"/>
      <c r="H161" s="174">
        <v>10</v>
      </c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>
        <v>10</v>
      </c>
      <c r="Z161" s="174">
        <v>1</v>
      </c>
      <c r="AA161" s="174"/>
      <c r="AB161" s="174">
        <v>6</v>
      </c>
      <c r="AC161" s="174"/>
      <c r="AD161" s="174"/>
      <c r="AE161" s="174"/>
      <c r="AF161" s="174">
        <v>6</v>
      </c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>
        <v>6</v>
      </c>
      <c r="AX161" s="205">
        <v>1200</v>
      </c>
      <c r="AY161" s="203"/>
      <c r="AZ161" s="203"/>
      <c r="BA161" s="203"/>
    </row>
    <row r="162" spans="1:64" x14ac:dyDescent="0.25">
      <c r="A162" s="202" t="s">
        <v>243</v>
      </c>
      <c r="B162" s="174">
        <v>11</v>
      </c>
      <c r="C162" s="174"/>
      <c r="D162" s="174">
        <v>21</v>
      </c>
      <c r="E162" s="174"/>
      <c r="F162" s="174"/>
      <c r="G162" s="174"/>
      <c r="H162" s="174">
        <v>13</v>
      </c>
      <c r="I162" s="174"/>
      <c r="J162" s="174"/>
      <c r="K162" s="174">
        <v>2</v>
      </c>
      <c r="L162" s="174"/>
      <c r="M162" s="174"/>
      <c r="N162" s="174"/>
      <c r="O162" s="174"/>
      <c r="P162" s="174"/>
      <c r="Q162" s="174"/>
      <c r="R162" s="174"/>
      <c r="S162" s="174"/>
      <c r="T162" s="174"/>
      <c r="U162" s="174">
        <v>6</v>
      </c>
      <c r="V162" s="174"/>
      <c r="W162" s="174"/>
      <c r="X162" s="174"/>
      <c r="Y162" s="174">
        <v>21</v>
      </c>
      <c r="Z162" s="174">
        <v>4</v>
      </c>
      <c r="AA162" s="174"/>
      <c r="AB162" s="174">
        <v>8</v>
      </c>
      <c r="AC162" s="174"/>
      <c r="AD162" s="174"/>
      <c r="AE162" s="174"/>
      <c r="AF162" s="174">
        <v>2</v>
      </c>
      <c r="AG162" s="174"/>
      <c r="AH162" s="174"/>
      <c r="AI162" s="174">
        <v>2</v>
      </c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>
        <v>4</v>
      </c>
      <c r="AT162" s="174"/>
      <c r="AU162" s="174"/>
      <c r="AV162" s="174"/>
      <c r="AW162" s="174">
        <v>8</v>
      </c>
      <c r="AX162" s="205">
        <v>3195</v>
      </c>
      <c r="AY162" s="203"/>
      <c r="AZ162" s="203"/>
      <c r="BA162" s="203"/>
    </row>
    <row r="163" spans="1:64" x14ac:dyDescent="0.25">
      <c r="A163" s="202" t="s">
        <v>244</v>
      </c>
      <c r="B163" s="174">
        <v>2</v>
      </c>
      <c r="C163" s="174"/>
      <c r="D163" s="174">
        <v>6</v>
      </c>
      <c r="E163" s="174"/>
      <c r="F163" s="174"/>
      <c r="G163" s="174"/>
      <c r="H163" s="174">
        <v>6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>
        <v>6</v>
      </c>
      <c r="Z163" s="174">
        <v>2</v>
      </c>
      <c r="AA163" s="174"/>
      <c r="AB163" s="174">
        <v>6</v>
      </c>
      <c r="AC163" s="174"/>
      <c r="AD163" s="174"/>
      <c r="AE163" s="174"/>
      <c r="AF163" s="174">
        <v>6</v>
      </c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>
        <v>6</v>
      </c>
      <c r="AX163" s="205">
        <v>1239.2</v>
      </c>
      <c r="AY163" s="203"/>
      <c r="AZ163" s="203"/>
      <c r="BA163" s="203"/>
    </row>
    <row r="164" spans="1:64" x14ac:dyDescent="0.25">
      <c r="A164" s="202" t="s">
        <v>245</v>
      </c>
      <c r="B164" s="174">
        <v>2</v>
      </c>
      <c r="C164" s="174">
        <v>2</v>
      </c>
      <c r="D164" s="174">
        <v>10</v>
      </c>
      <c r="E164" s="174">
        <v>10</v>
      </c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>
        <v>10</v>
      </c>
      <c r="V164" s="174"/>
      <c r="W164" s="174"/>
      <c r="X164" s="174"/>
      <c r="Y164" s="174">
        <v>10</v>
      </c>
      <c r="Z164" s="174">
        <v>1</v>
      </c>
      <c r="AA164" s="174">
        <v>1</v>
      </c>
      <c r="AB164" s="174">
        <v>5</v>
      </c>
      <c r="AC164" s="174">
        <v>5</v>
      </c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>
        <v>5</v>
      </c>
      <c r="AT164" s="174"/>
      <c r="AU164" s="174"/>
      <c r="AV164" s="174"/>
      <c r="AW164" s="174">
        <v>5</v>
      </c>
      <c r="AX164" s="205">
        <v>480</v>
      </c>
      <c r="AY164" s="203"/>
      <c r="AZ164" s="203"/>
      <c r="BA164" s="203"/>
    </row>
    <row r="165" spans="1:64" x14ac:dyDescent="0.25">
      <c r="A165" s="202" t="s">
        <v>246</v>
      </c>
      <c r="B165" s="174">
        <v>2</v>
      </c>
      <c r="C165" s="174"/>
      <c r="D165" s="174">
        <v>10</v>
      </c>
      <c r="E165" s="174"/>
      <c r="F165" s="174"/>
      <c r="G165" s="174"/>
      <c r="H165" s="174"/>
      <c r="I165" s="174"/>
      <c r="J165" s="174"/>
      <c r="K165" s="174"/>
      <c r="L165" s="174">
        <v>10</v>
      </c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>
        <v>10</v>
      </c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205"/>
      <c r="AY165" s="203"/>
      <c r="AZ165" s="203"/>
      <c r="BA165" s="203"/>
    </row>
    <row r="166" spans="1:64" x14ac:dyDescent="0.25">
      <c r="A166" s="202" t="s">
        <v>247</v>
      </c>
      <c r="B166" s="174">
        <v>8</v>
      </c>
      <c r="C166" s="174">
        <v>3</v>
      </c>
      <c r="D166" s="174">
        <v>9</v>
      </c>
      <c r="E166" s="174">
        <v>3</v>
      </c>
      <c r="F166" s="174"/>
      <c r="G166" s="174"/>
      <c r="H166" s="174"/>
      <c r="I166" s="174"/>
      <c r="J166" s="174"/>
      <c r="K166" s="174"/>
      <c r="L166" s="174">
        <v>2</v>
      </c>
      <c r="M166" s="174">
        <v>1</v>
      </c>
      <c r="N166" s="174"/>
      <c r="O166" s="174"/>
      <c r="P166" s="174">
        <v>2</v>
      </c>
      <c r="Q166" s="174"/>
      <c r="R166" s="174"/>
      <c r="S166" s="174"/>
      <c r="T166" s="174"/>
      <c r="U166" s="174"/>
      <c r="V166" s="174">
        <v>4</v>
      </c>
      <c r="W166" s="174"/>
      <c r="X166" s="174"/>
      <c r="Y166" s="174">
        <v>9</v>
      </c>
      <c r="Z166" s="174">
        <v>7</v>
      </c>
      <c r="AA166" s="174">
        <v>3</v>
      </c>
      <c r="AB166" s="174">
        <v>8</v>
      </c>
      <c r="AC166" s="174">
        <v>3</v>
      </c>
      <c r="AD166" s="174"/>
      <c r="AE166" s="174"/>
      <c r="AF166" s="174"/>
      <c r="AG166" s="174"/>
      <c r="AH166" s="174"/>
      <c r="AI166" s="174"/>
      <c r="AJ166" s="174">
        <v>1</v>
      </c>
      <c r="AK166" s="174">
        <v>1</v>
      </c>
      <c r="AL166" s="174"/>
      <c r="AM166" s="174"/>
      <c r="AN166" s="174">
        <v>2</v>
      </c>
      <c r="AO166" s="174"/>
      <c r="AP166" s="174"/>
      <c r="AQ166" s="174"/>
      <c r="AR166" s="174"/>
      <c r="AS166" s="174"/>
      <c r="AT166" s="174">
        <v>4</v>
      </c>
      <c r="AU166" s="174"/>
      <c r="AV166" s="174"/>
      <c r="AW166" s="174">
        <v>8</v>
      </c>
      <c r="AX166" s="205">
        <v>5252</v>
      </c>
      <c r="AY166" s="203"/>
      <c r="AZ166" s="203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</row>
    <row r="167" spans="1:64" x14ac:dyDescent="0.25">
      <c r="A167" s="202" t="s">
        <v>248</v>
      </c>
      <c r="B167" s="174">
        <v>1</v>
      </c>
      <c r="C167" s="174"/>
      <c r="D167" s="174">
        <v>2</v>
      </c>
      <c r="E167" s="174"/>
      <c r="F167" s="174"/>
      <c r="G167" s="174"/>
      <c r="H167" s="174"/>
      <c r="I167" s="174"/>
      <c r="J167" s="174"/>
      <c r="K167" s="174"/>
      <c r="L167" s="174">
        <v>2</v>
      </c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>
        <v>2</v>
      </c>
      <c r="Z167" s="174">
        <v>1</v>
      </c>
      <c r="AA167" s="174"/>
      <c r="AB167" s="174">
        <v>2</v>
      </c>
      <c r="AC167" s="174"/>
      <c r="AD167" s="174"/>
      <c r="AE167" s="174"/>
      <c r="AF167" s="174"/>
      <c r="AG167" s="174"/>
      <c r="AH167" s="174"/>
      <c r="AI167" s="174"/>
      <c r="AJ167" s="174">
        <v>2</v>
      </c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>
        <v>2</v>
      </c>
      <c r="AX167" s="205">
        <v>8800</v>
      </c>
      <c r="AY167" s="203"/>
      <c r="AZ167" s="203"/>
      <c r="BA167" s="203"/>
    </row>
    <row r="168" spans="1:64" x14ac:dyDescent="0.25">
      <c r="A168" s="202" t="s">
        <v>249</v>
      </c>
      <c r="B168" s="174">
        <v>3</v>
      </c>
      <c r="C168" s="174"/>
      <c r="D168" s="174">
        <v>6</v>
      </c>
      <c r="E168" s="174"/>
      <c r="F168" s="174"/>
      <c r="G168" s="174"/>
      <c r="H168" s="174">
        <v>6</v>
      </c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>
        <v>6</v>
      </c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205"/>
      <c r="AY168" s="203"/>
      <c r="AZ168" s="203"/>
      <c r="BA168" s="203"/>
    </row>
    <row r="169" spans="1:64" x14ac:dyDescent="0.25">
      <c r="A169" s="202" t="s">
        <v>250</v>
      </c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205"/>
      <c r="AY169" s="203"/>
      <c r="AZ169" s="203"/>
      <c r="BA169" s="203"/>
    </row>
    <row r="170" spans="1:64" x14ac:dyDescent="0.25">
      <c r="A170" s="202" t="s">
        <v>251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205"/>
      <c r="AY170" s="203"/>
      <c r="AZ170" s="203"/>
      <c r="BA170" s="203"/>
    </row>
    <row r="171" spans="1:64" x14ac:dyDescent="0.25">
      <c r="A171" s="202" t="s">
        <v>252</v>
      </c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205"/>
      <c r="AY171" s="203"/>
      <c r="AZ171" s="203"/>
      <c r="BA171" s="203"/>
    </row>
    <row r="172" spans="1:64" x14ac:dyDescent="0.25">
      <c r="A172" s="202" t="s">
        <v>253</v>
      </c>
      <c r="B172" s="174">
        <v>3</v>
      </c>
      <c r="C172" s="174">
        <v>1</v>
      </c>
      <c r="D172" s="174">
        <v>9</v>
      </c>
      <c r="E172" s="174">
        <v>5</v>
      </c>
      <c r="F172" s="174"/>
      <c r="G172" s="174"/>
      <c r="H172" s="174">
        <v>4</v>
      </c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>
        <v>5</v>
      </c>
      <c r="T172" s="174"/>
      <c r="U172" s="174"/>
      <c r="V172" s="174"/>
      <c r="W172" s="174"/>
      <c r="X172" s="174"/>
      <c r="Y172" s="174">
        <v>9</v>
      </c>
      <c r="Z172" s="174">
        <v>2</v>
      </c>
      <c r="AA172" s="174"/>
      <c r="AB172" s="174">
        <v>4</v>
      </c>
      <c r="AC172" s="174"/>
      <c r="AD172" s="174"/>
      <c r="AE172" s="174"/>
      <c r="AF172" s="174">
        <v>4</v>
      </c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>
        <v>4</v>
      </c>
      <c r="AX172" s="205">
        <v>2628</v>
      </c>
      <c r="AY172" s="203"/>
      <c r="AZ172" s="203"/>
      <c r="BA172" s="203"/>
    </row>
    <row r="173" spans="1:64" x14ac:dyDescent="0.25">
      <c r="A173" s="202" t="s">
        <v>254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56"/>
      <c r="AY173" s="203"/>
      <c r="AZ173" s="203"/>
      <c r="BA173" s="203"/>
    </row>
    <row r="174" spans="1:64" x14ac:dyDescent="0.25">
      <c r="A174" s="202" t="s">
        <v>255</v>
      </c>
      <c r="B174" s="174">
        <v>15</v>
      </c>
      <c r="C174" s="174"/>
      <c r="D174" s="174">
        <v>30</v>
      </c>
      <c r="E174" s="174"/>
      <c r="F174" s="174"/>
      <c r="G174" s="174"/>
      <c r="H174" s="174">
        <v>2</v>
      </c>
      <c r="I174" s="174"/>
      <c r="J174" s="174"/>
      <c r="K174" s="174">
        <v>16</v>
      </c>
      <c r="L174" s="174">
        <v>8</v>
      </c>
      <c r="M174" s="174"/>
      <c r="N174" s="174"/>
      <c r="O174" s="174"/>
      <c r="P174" s="174">
        <v>1</v>
      </c>
      <c r="Q174" s="174">
        <v>1</v>
      </c>
      <c r="R174" s="174">
        <v>1</v>
      </c>
      <c r="S174" s="174">
        <v>1</v>
      </c>
      <c r="T174" s="174"/>
      <c r="U174" s="174"/>
      <c r="V174" s="174"/>
      <c r="W174" s="174"/>
      <c r="X174" s="174"/>
      <c r="Y174" s="174">
        <v>30</v>
      </c>
      <c r="Z174" s="174">
        <v>12</v>
      </c>
      <c r="AA174" s="174"/>
      <c r="AB174" s="174">
        <v>26</v>
      </c>
      <c r="AC174" s="174"/>
      <c r="AD174" s="174"/>
      <c r="AE174" s="174"/>
      <c r="AF174" s="174">
        <v>2</v>
      </c>
      <c r="AG174" s="174"/>
      <c r="AH174" s="174"/>
      <c r="AI174" s="174">
        <v>15</v>
      </c>
      <c r="AJ174" s="174">
        <v>6</v>
      </c>
      <c r="AK174" s="174"/>
      <c r="AL174" s="174"/>
      <c r="AM174" s="174"/>
      <c r="AN174" s="174">
        <v>1</v>
      </c>
      <c r="AO174" s="174">
        <v>1</v>
      </c>
      <c r="AP174" s="174"/>
      <c r="AQ174" s="174">
        <v>1</v>
      </c>
      <c r="AR174" s="174"/>
      <c r="AS174" s="174"/>
      <c r="AT174" s="174"/>
      <c r="AU174" s="174"/>
      <c r="AV174" s="174"/>
      <c r="AW174" s="174">
        <v>26</v>
      </c>
      <c r="AX174" s="205">
        <v>3626.2</v>
      </c>
      <c r="AY174" s="203"/>
      <c r="AZ174" s="203"/>
      <c r="BA174" s="203"/>
    </row>
    <row r="175" spans="1:64" x14ac:dyDescent="0.25">
      <c r="A175" s="202" t="s">
        <v>256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205"/>
      <c r="AY175" s="203"/>
      <c r="AZ175" s="203"/>
      <c r="BA175" s="203"/>
    </row>
    <row r="176" spans="1:64" x14ac:dyDescent="0.25">
      <c r="A176" s="202" t="s">
        <v>257</v>
      </c>
      <c r="B176" s="174">
        <v>4</v>
      </c>
      <c r="C176" s="174">
        <v>2</v>
      </c>
      <c r="D176" s="174">
        <v>13</v>
      </c>
      <c r="E176" s="174">
        <v>3</v>
      </c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>
        <v>4</v>
      </c>
      <c r="V176" s="174">
        <v>2</v>
      </c>
      <c r="W176" s="174"/>
      <c r="X176" s="174">
        <v>7</v>
      </c>
      <c r="Y176" s="174">
        <v>13</v>
      </c>
      <c r="Z176" s="174">
        <v>1</v>
      </c>
      <c r="AA176" s="174">
        <v>1</v>
      </c>
      <c r="AB176" s="174">
        <v>2</v>
      </c>
      <c r="AC176" s="174">
        <v>2</v>
      </c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>
        <v>2</v>
      </c>
      <c r="AU176" s="174"/>
      <c r="AV176" s="174"/>
      <c r="AW176" s="174">
        <v>2</v>
      </c>
      <c r="AX176" s="205">
        <v>2080</v>
      </c>
      <c r="AY176" s="203"/>
      <c r="AZ176" s="203"/>
      <c r="BA176" s="203"/>
    </row>
    <row r="177" spans="1:53" x14ac:dyDescent="0.25">
      <c r="A177" s="202" t="s">
        <v>258</v>
      </c>
      <c r="B177" s="174">
        <v>1</v>
      </c>
      <c r="C177" s="174"/>
      <c r="D177" s="174">
        <v>3</v>
      </c>
      <c r="E177" s="174"/>
      <c r="F177" s="174"/>
      <c r="G177" s="174"/>
      <c r="H177" s="174"/>
      <c r="I177" s="174"/>
      <c r="J177" s="174">
        <v>3</v>
      </c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>
        <v>3</v>
      </c>
      <c r="Z177" s="174">
        <v>1</v>
      </c>
      <c r="AA177" s="174"/>
      <c r="AB177" s="174">
        <v>2</v>
      </c>
      <c r="AC177" s="174"/>
      <c r="AD177" s="174"/>
      <c r="AE177" s="174"/>
      <c r="AF177" s="174"/>
      <c r="AG177" s="174"/>
      <c r="AH177" s="174">
        <v>2</v>
      </c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>
        <v>2</v>
      </c>
      <c r="AX177" s="205">
        <v>1760</v>
      </c>
      <c r="AY177" s="203"/>
      <c r="AZ177" s="203"/>
      <c r="BA177" s="203"/>
    </row>
    <row r="178" spans="1:53" x14ac:dyDescent="0.25">
      <c r="A178" s="201" t="s">
        <v>44</v>
      </c>
      <c r="B178" s="174">
        <f t="shared" ref="B178:AW178" si="6">SUM(B179:B180)</f>
        <v>38</v>
      </c>
      <c r="C178" s="174">
        <f t="shared" si="6"/>
        <v>10</v>
      </c>
      <c r="D178" s="174">
        <f t="shared" si="6"/>
        <v>86</v>
      </c>
      <c r="E178" s="174">
        <f t="shared" si="6"/>
        <v>23</v>
      </c>
      <c r="F178" s="174">
        <f t="shared" si="6"/>
        <v>0</v>
      </c>
      <c r="G178" s="174">
        <f t="shared" si="6"/>
        <v>0</v>
      </c>
      <c r="H178" s="174">
        <f t="shared" si="6"/>
        <v>8</v>
      </c>
      <c r="I178" s="174">
        <f t="shared" si="6"/>
        <v>0</v>
      </c>
      <c r="J178" s="174">
        <f t="shared" si="6"/>
        <v>9</v>
      </c>
      <c r="K178" s="174">
        <f t="shared" si="6"/>
        <v>1</v>
      </c>
      <c r="L178" s="174">
        <f t="shared" si="6"/>
        <v>20</v>
      </c>
      <c r="M178" s="174">
        <f t="shared" si="6"/>
        <v>3</v>
      </c>
      <c r="N178" s="174">
        <f t="shared" si="6"/>
        <v>0</v>
      </c>
      <c r="O178" s="174">
        <f t="shared" si="6"/>
        <v>1</v>
      </c>
      <c r="P178" s="174">
        <f t="shared" si="6"/>
        <v>0</v>
      </c>
      <c r="Q178" s="174">
        <f t="shared" si="6"/>
        <v>0</v>
      </c>
      <c r="R178" s="174">
        <f t="shared" si="6"/>
        <v>10</v>
      </c>
      <c r="S178" s="174">
        <f t="shared" si="6"/>
        <v>3</v>
      </c>
      <c r="T178" s="174">
        <f t="shared" si="6"/>
        <v>6</v>
      </c>
      <c r="U178" s="174">
        <f t="shared" si="6"/>
        <v>1</v>
      </c>
      <c r="V178" s="174">
        <f t="shared" si="6"/>
        <v>8</v>
      </c>
      <c r="W178" s="174">
        <f t="shared" si="6"/>
        <v>2</v>
      </c>
      <c r="X178" s="174">
        <f t="shared" si="6"/>
        <v>14</v>
      </c>
      <c r="Y178" s="174">
        <f t="shared" si="6"/>
        <v>86</v>
      </c>
      <c r="Z178" s="174">
        <f t="shared" si="6"/>
        <v>17</v>
      </c>
      <c r="AA178" s="174">
        <f t="shared" si="6"/>
        <v>5</v>
      </c>
      <c r="AB178" s="174">
        <f t="shared" si="6"/>
        <v>42</v>
      </c>
      <c r="AC178" s="174">
        <f t="shared" si="6"/>
        <v>16</v>
      </c>
      <c r="AD178" s="174">
        <f t="shared" si="6"/>
        <v>0</v>
      </c>
      <c r="AE178" s="174">
        <f t="shared" si="6"/>
        <v>0</v>
      </c>
      <c r="AF178" s="174">
        <f t="shared" si="6"/>
        <v>5</v>
      </c>
      <c r="AG178" s="174">
        <f t="shared" si="6"/>
        <v>0</v>
      </c>
      <c r="AH178" s="174">
        <f t="shared" si="6"/>
        <v>9</v>
      </c>
      <c r="AI178" s="174">
        <f t="shared" si="6"/>
        <v>1</v>
      </c>
      <c r="AJ178" s="174">
        <f t="shared" si="6"/>
        <v>3</v>
      </c>
      <c r="AK178" s="174">
        <f t="shared" si="6"/>
        <v>1</v>
      </c>
      <c r="AL178" s="174">
        <f t="shared" si="6"/>
        <v>0</v>
      </c>
      <c r="AM178" s="174">
        <f t="shared" si="6"/>
        <v>0</v>
      </c>
      <c r="AN178" s="174">
        <f t="shared" si="6"/>
        <v>0</v>
      </c>
      <c r="AO178" s="174">
        <f t="shared" si="6"/>
        <v>0</v>
      </c>
      <c r="AP178" s="174">
        <f t="shared" si="6"/>
        <v>4</v>
      </c>
      <c r="AQ178" s="174">
        <f t="shared" si="6"/>
        <v>2</v>
      </c>
      <c r="AR178" s="174">
        <f t="shared" si="6"/>
        <v>6</v>
      </c>
      <c r="AS178" s="174">
        <f t="shared" si="6"/>
        <v>0</v>
      </c>
      <c r="AT178" s="174">
        <f t="shared" si="6"/>
        <v>8</v>
      </c>
      <c r="AU178" s="174">
        <f t="shared" si="6"/>
        <v>0</v>
      </c>
      <c r="AV178" s="174">
        <f t="shared" si="6"/>
        <v>3</v>
      </c>
      <c r="AW178" s="174">
        <f t="shared" si="6"/>
        <v>42</v>
      </c>
      <c r="AX178" s="206">
        <v>3313.87</v>
      </c>
      <c r="AY178" s="156">
        <f>Z178*100/B178</f>
        <v>44.736842105263158</v>
      </c>
      <c r="AZ178" s="185">
        <f>B178-Z178</f>
        <v>21</v>
      </c>
      <c r="BA178" s="156">
        <f>AZ178*100/B178</f>
        <v>55.263157894736842</v>
      </c>
    </row>
    <row r="179" spans="1:53" x14ac:dyDescent="0.25">
      <c r="A179" s="202" t="s">
        <v>128</v>
      </c>
      <c r="B179" s="174">
        <v>37</v>
      </c>
      <c r="C179" s="174">
        <v>10</v>
      </c>
      <c r="D179" s="174">
        <v>85</v>
      </c>
      <c r="E179" s="174">
        <v>23</v>
      </c>
      <c r="F179" s="174"/>
      <c r="G179" s="174"/>
      <c r="H179" s="174">
        <v>8</v>
      </c>
      <c r="I179" s="174"/>
      <c r="J179" s="174">
        <v>9</v>
      </c>
      <c r="K179" s="174">
        <v>1</v>
      </c>
      <c r="L179" s="174">
        <v>20</v>
      </c>
      <c r="M179" s="174">
        <v>3</v>
      </c>
      <c r="N179" s="174"/>
      <c r="O179" s="174">
        <v>1</v>
      </c>
      <c r="P179" s="174"/>
      <c r="Q179" s="174"/>
      <c r="R179" s="174">
        <v>10</v>
      </c>
      <c r="S179" s="174">
        <v>3</v>
      </c>
      <c r="T179" s="174">
        <v>6</v>
      </c>
      <c r="U179" s="174">
        <v>1</v>
      </c>
      <c r="V179" s="174">
        <v>7</v>
      </c>
      <c r="W179" s="174">
        <v>2</v>
      </c>
      <c r="X179" s="174">
        <v>14</v>
      </c>
      <c r="Y179" s="174">
        <v>85</v>
      </c>
      <c r="Z179" s="174">
        <v>16</v>
      </c>
      <c r="AA179" s="174">
        <v>5</v>
      </c>
      <c r="AB179" s="174">
        <v>41</v>
      </c>
      <c r="AC179" s="174">
        <v>16</v>
      </c>
      <c r="AD179" s="174"/>
      <c r="AE179" s="174"/>
      <c r="AF179" s="174">
        <v>5</v>
      </c>
      <c r="AG179" s="174"/>
      <c r="AH179" s="174">
        <v>9</v>
      </c>
      <c r="AI179" s="174">
        <v>1</v>
      </c>
      <c r="AJ179" s="174">
        <v>3</v>
      </c>
      <c r="AK179" s="174">
        <v>1</v>
      </c>
      <c r="AL179" s="174"/>
      <c r="AM179" s="174"/>
      <c r="AN179" s="174"/>
      <c r="AO179" s="174"/>
      <c r="AP179" s="174">
        <v>4</v>
      </c>
      <c r="AQ179" s="174">
        <v>2</v>
      </c>
      <c r="AR179" s="174">
        <v>6</v>
      </c>
      <c r="AS179" s="174"/>
      <c r="AT179" s="174">
        <v>7</v>
      </c>
      <c r="AU179" s="174"/>
      <c r="AV179" s="174">
        <v>3</v>
      </c>
      <c r="AW179" s="174">
        <v>41</v>
      </c>
      <c r="AX179" s="156">
        <v>5427.7349999999997</v>
      </c>
      <c r="AY179" s="203"/>
      <c r="AZ179" s="203"/>
      <c r="BA179" s="203"/>
    </row>
    <row r="180" spans="1:53" x14ac:dyDescent="0.25">
      <c r="A180" s="208" t="s">
        <v>129</v>
      </c>
      <c r="B180" s="174">
        <v>1</v>
      </c>
      <c r="C180" s="174"/>
      <c r="D180" s="174">
        <v>1</v>
      </c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>
        <v>1</v>
      </c>
      <c r="W180" s="174"/>
      <c r="X180" s="174"/>
      <c r="Y180" s="174">
        <v>1</v>
      </c>
      <c r="Z180" s="174">
        <v>1</v>
      </c>
      <c r="AA180" s="174"/>
      <c r="AB180" s="174">
        <v>1</v>
      </c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>
        <v>1</v>
      </c>
      <c r="AU180" s="174"/>
      <c r="AV180" s="174"/>
      <c r="AW180" s="174">
        <v>1</v>
      </c>
      <c r="AX180" s="205">
        <v>1200</v>
      </c>
      <c r="AY180" s="203"/>
      <c r="AZ180" s="203"/>
      <c r="BA180" s="203"/>
    </row>
    <row r="181" spans="1:53" x14ac:dyDescent="0.25">
      <c r="A181" s="209" t="s">
        <v>45</v>
      </c>
      <c r="B181" s="174">
        <f t="shared" ref="B181:AW181" si="7">SUM(B182:B194)</f>
        <v>136</v>
      </c>
      <c r="C181" s="174">
        <f t="shared" si="7"/>
        <v>80</v>
      </c>
      <c r="D181" s="174">
        <f t="shared" si="7"/>
        <v>500</v>
      </c>
      <c r="E181" s="174">
        <f t="shared" si="7"/>
        <v>250</v>
      </c>
      <c r="F181" s="174">
        <f t="shared" si="7"/>
        <v>0</v>
      </c>
      <c r="G181" s="174">
        <f t="shared" si="7"/>
        <v>0</v>
      </c>
      <c r="H181" s="174">
        <f t="shared" si="7"/>
        <v>0</v>
      </c>
      <c r="I181" s="174">
        <f t="shared" si="7"/>
        <v>0</v>
      </c>
      <c r="J181" s="174">
        <f t="shared" si="7"/>
        <v>0</v>
      </c>
      <c r="K181" s="174">
        <f t="shared" si="7"/>
        <v>0</v>
      </c>
      <c r="L181" s="174">
        <f t="shared" si="7"/>
        <v>0</v>
      </c>
      <c r="M181" s="174">
        <f t="shared" si="7"/>
        <v>0</v>
      </c>
      <c r="N181" s="174">
        <f t="shared" si="7"/>
        <v>0</v>
      </c>
      <c r="O181" s="174">
        <f t="shared" si="7"/>
        <v>0</v>
      </c>
      <c r="P181" s="174">
        <f t="shared" si="7"/>
        <v>0</v>
      </c>
      <c r="Q181" s="174">
        <f t="shared" si="7"/>
        <v>0</v>
      </c>
      <c r="R181" s="174">
        <f t="shared" si="7"/>
        <v>2</v>
      </c>
      <c r="S181" s="174">
        <f t="shared" si="7"/>
        <v>0</v>
      </c>
      <c r="T181" s="174">
        <f t="shared" si="7"/>
        <v>47</v>
      </c>
      <c r="U181" s="174">
        <f t="shared" si="7"/>
        <v>218</v>
      </c>
      <c r="V181" s="174">
        <f t="shared" si="7"/>
        <v>125</v>
      </c>
      <c r="W181" s="174">
        <f t="shared" si="7"/>
        <v>0</v>
      </c>
      <c r="X181" s="174">
        <f t="shared" si="7"/>
        <v>108</v>
      </c>
      <c r="Y181" s="174">
        <f t="shared" si="7"/>
        <v>500</v>
      </c>
      <c r="Z181" s="174">
        <f t="shared" si="7"/>
        <v>96</v>
      </c>
      <c r="AA181" s="174">
        <f t="shared" si="7"/>
        <v>65</v>
      </c>
      <c r="AB181" s="174">
        <f t="shared" si="7"/>
        <v>355</v>
      </c>
      <c r="AC181" s="174">
        <f t="shared" si="7"/>
        <v>228</v>
      </c>
      <c r="AD181" s="174">
        <f t="shared" si="7"/>
        <v>0</v>
      </c>
      <c r="AE181" s="174">
        <f t="shared" si="7"/>
        <v>0</v>
      </c>
      <c r="AF181" s="174">
        <f t="shared" si="7"/>
        <v>0</v>
      </c>
      <c r="AG181" s="174">
        <f t="shared" si="7"/>
        <v>0</v>
      </c>
      <c r="AH181" s="174">
        <f t="shared" si="7"/>
        <v>0</v>
      </c>
      <c r="AI181" s="174">
        <f t="shared" si="7"/>
        <v>0</v>
      </c>
      <c r="AJ181" s="174">
        <f t="shared" si="7"/>
        <v>0</v>
      </c>
      <c r="AK181" s="174">
        <f t="shared" si="7"/>
        <v>0</v>
      </c>
      <c r="AL181" s="174">
        <f t="shared" si="7"/>
        <v>0</v>
      </c>
      <c r="AM181" s="174">
        <f t="shared" si="7"/>
        <v>0</v>
      </c>
      <c r="AN181" s="174">
        <f t="shared" si="7"/>
        <v>0</v>
      </c>
      <c r="AO181" s="174">
        <f t="shared" si="7"/>
        <v>0</v>
      </c>
      <c r="AP181" s="174">
        <f t="shared" si="7"/>
        <v>1</v>
      </c>
      <c r="AQ181" s="174">
        <f t="shared" si="7"/>
        <v>0</v>
      </c>
      <c r="AR181" s="174">
        <f t="shared" si="7"/>
        <v>47</v>
      </c>
      <c r="AS181" s="174">
        <f t="shared" si="7"/>
        <v>172</v>
      </c>
      <c r="AT181" s="174">
        <f t="shared" si="7"/>
        <v>80</v>
      </c>
      <c r="AU181" s="174">
        <f t="shared" si="7"/>
        <v>0</v>
      </c>
      <c r="AV181" s="174">
        <f t="shared" si="7"/>
        <v>55</v>
      </c>
      <c r="AW181" s="174">
        <f t="shared" si="7"/>
        <v>355</v>
      </c>
      <c r="AX181" s="206">
        <v>2699.15</v>
      </c>
      <c r="AY181" s="156">
        <f>Z181*100/B181</f>
        <v>70.588235294117652</v>
      </c>
      <c r="AZ181" s="185">
        <f>B181-Z181</f>
        <v>40</v>
      </c>
      <c r="BA181" s="156">
        <f>AZ181*100/B181</f>
        <v>29.411764705882351</v>
      </c>
    </row>
    <row r="182" spans="1:53" x14ac:dyDescent="0.25">
      <c r="A182" s="208" t="s">
        <v>259</v>
      </c>
      <c r="B182" s="174">
        <v>10</v>
      </c>
      <c r="C182" s="174">
        <v>4</v>
      </c>
      <c r="D182" s="174">
        <v>45</v>
      </c>
      <c r="E182" s="174">
        <v>3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>
        <v>1</v>
      </c>
      <c r="V182" s="174">
        <v>32</v>
      </c>
      <c r="W182" s="174"/>
      <c r="X182" s="174">
        <v>12</v>
      </c>
      <c r="Y182" s="174">
        <v>45</v>
      </c>
      <c r="Z182" s="174">
        <v>9</v>
      </c>
      <c r="AA182" s="174">
        <v>4</v>
      </c>
      <c r="AB182" s="174">
        <v>44</v>
      </c>
      <c r="AC182" s="174">
        <v>28</v>
      </c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>
        <v>1</v>
      </c>
      <c r="AT182" s="174">
        <v>32</v>
      </c>
      <c r="AU182" s="174"/>
      <c r="AV182" s="174">
        <v>11</v>
      </c>
      <c r="AW182" s="174">
        <v>44</v>
      </c>
      <c r="AX182" s="205">
        <v>2043.9442857142856</v>
      </c>
      <c r="AY182" s="203"/>
      <c r="AZ182" s="203"/>
      <c r="BA182" s="203"/>
    </row>
    <row r="183" spans="1:53" x14ac:dyDescent="0.25">
      <c r="A183" s="202" t="s">
        <v>260</v>
      </c>
      <c r="B183" s="174">
        <v>18</v>
      </c>
      <c r="C183" s="174">
        <v>10</v>
      </c>
      <c r="D183" s="174">
        <v>91</v>
      </c>
      <c r="E183" s="174">
        <v>61</v>
      </c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>
        <v>39</v>
      </c>
      <c r="U183" s="174">
        <v>20</v>
      </c>
      <c r="V183" s="174">
        <v>19</v>
      </c>
      <c r="W183" s="174"/>
      <c r="X183" s="174">
        <v>13</v>
      </c>
      <c r="Y183" s="174">
        <v>91</v>
      </c>
      <c r="Z183" s="174">
        <v>15</v>
      </c>
      <c r="AA183" s="174">
        <v>10</v>
      </c>
      <c r="AB183" s="174">
        <v>83</v>
      </c>
      <c r="AC183" s="174">
        <v>61</v>
      </c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>
        <v>39</v>
      </c>
      <c r="AS183" s="174">
        <v>20</v>
      </c>
      <c r="AT183" s="174">
        <v>18</v>
      </c>
      <c r="AU183" s="174"/>
      <c r="AV183" s="174">
        <v>6</v>
      </c>
      <c r="AW183" s="174">
        <v>83</v>
      </c>
      <c r="AX183" s="205">
        <v>1570.2</v>
      </c>
      <c r="AY183" s="203"/>
      <c r="AZ183" s="203"/>
      <c r="BA183" s="203"/>
    </row>
    <row r="184" spans="1:53" x14ac:dyDescent="0.25">
      <c r="A184" s="202" t="s">
        <v>261</v>
      </c>
      <c r="B184" s="174">
        <v>23</v>
      </c>
      <c r="C184" s="174">
        <v>16</v>
      </c>
      <c r="D184" s="174">
        <v>122</v>
      </c>
      <c r="E184" s="174">
        <v>76</v>
      </c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>
        <v>103</v>
      </c>
      <c r="V184" s="174">
        <v>16</v>
      </c>
      <c r="W184" s="174"/>
      <c r="X184" s="174">
        <v>3</v>
      </c>
      <c r="Y184" s="174">
        <v>122</v>
      </c>
      <c r="Z184" s="174">
        <v>14</v>
      </c>
      <c r="AA184" s="174">
        <v>10</v>
      </c>
      <c r="AB184" s="174">
        <v>90</v>
      </c>
      <c r="AC184" s="174">
        <v>61</v>
      </c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>
        <v>89</v>
      </c>
      <c r="AT184" s="174">
        <v>1</v>
      </c>
      <c r="AU184" s="174"/>
      <c r="AV184" s="174"/>
      <c r="AW184" s="174">
        <v>90</v>
      </c>
      <c r="AX184" s="205">
        <v>2861.6</v>
      </c>
      <c r="AY184" s="203"/>
      <c r="AZ184" s="203"/>
      <c r="BA184" s="203"/>
    </row>
    <row r="185" spans="1:53" x14ac:dyDescent="0.25">
      <c r="A185" s="202" t="s">
        <v>262</v>
      </c>
      <c r="B185" s="174">
        <v>5</v>
      </c>
      <c r="C185" s="174">
        <v>5</v>
      </c>
      <c r="D185" s="174">
        <v>15</v>
      </c>
      <c r="E185" s="174">
        <v>15</v>
      </c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>
        <v>8</v>
      </c>
      <c r="U185" s="174">
        <v>1</v>
      </c>
      <c r="V185" s="174">
        <v>6</v>
      </c>
      <c r="W185" s="174"/>
      <c r="X185" s="174"/>
      <c r="Y185" s="174">
        <v>15</v>
      </c>
      <c r="Z185" s="174">
        <v>5</v>
      </c>
      <c r="AA185" s="174">
        <v>5</v>
      </c>
      <c r="AB185" s="174">
        <v>15</v>
      </c>
      <c r="AC185" s="174">
        <v>15</v>
      </c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>
        <v>8</v>
      </c>
      <c r="AS185" s="174">
        <v>1</v>
      </c>
      <c r="AT185" s="174">
        <v>6</v>
      </c>
      <c r="AU185" s="174"/>
      <c r="AV185" s="174"/>
      <c r="AW185" s="174">
        <v>15</v>
      </c>
      <c r="AX185" s="205">
        <v>979.05</v>
      </c>
      <c r="AY185" s="203"/>
      <c r="AZ185" s="203"/>
      <c r="BA185" s="203"/>
    </row>
    <row r="186" spans="1:53" x14ac:dyDescent="0.25">
      <c r="A186" s="202" t="s">
        <v>263</v>
      </c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205"/>
      <c r="AY186" s="203"/>
      <c r="AZ186" s="203"/>
      <c r="BA186" s="203"/>
    </row>
    <row r="187" spans="1:53" x14ac:dyDescent="0.25">
      <c r="A187" s="202" t="s">
        <v>264</v>
      </c>
      <c r="B187" s="174">
        <v>5</v>
      </c>
      <c r="C187" s="174">
        <v>2</v>
      </c>
      <c r="D187" s="174">
        <v>29</v>
      </c>
      <c r="E187" s="174">
        <v>17</v>
      </c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>
        <v>9</v>
      </c>
      <c r="W187" s="174"/>
      <c r="X187" s="174">
        <v>20</v>
      </c>
      <c r="Y187" s="174">
        <v>29</v>
      </c>
      <c r="Z187" s="174">
        <v>3</v>
      </c>
      <c r="AA187" s="174">
        <v>1</v>
      </c>
      <c r="AB187" s="174">
        <v>21</v>
      </c>
      <c r="AC187" s="174">
        <v>10</v>
      </c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>
        <v>1</v>
      </c>
      <c r="AU187" s="174"/>
      <c r="AV187" s="174">
        <v>20</v>
      </c>
      <c r="AW187" s="174">
        <v>21</v>
      </c>
      <c r="AX187" s="156">
        <v>2235.8666666666668</v>
      </c>
      <c r="AY187" s="203"/>
      <c r="AZ187" s="203"/>
      <c r="BA187" s="203"/>
    </row>
    <row r="188" spans="1:53" x14ac:dyDescent="0.25">
      <c r="A188" s="202" t="s">
        <v>265</v>
      </c>
      <c r="B188" s="174">
        <v>10</v>
      </c>
      <c r="C188" s="174">
        <v>1</v>
      </c>
      <c r="D188" s="174">
        <v>46</v>
      </c>
      <c r="E188" s="174">
        <v>1</v>
      </c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>
        <v>18</v>
      </c>
      <c r="V188" s="174">
        <v>5</v>
      </c>
      <c r="W188" s="174"/>
      <c r="X188" s="174">
        <v>23</v>
      </c>
      <c r="Y188" s="174">
        <v>46</v>
      </c>
      <c r="Z188" s="174">
        <v>2</v>
      </c>
      <c r="AA188" s="174"/>
      <c r="AB188" s="174">
        <v>18</v>
      </c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>
        <v>1</v>
      </c>
      <c r="AU188" s="174"/>
      <c r="AV188" s="174">
        <v>17</v>
      </c>
      <c r="AW188" s="174">
        <v>18</v>
      </c>
      <c r="AX188" s="156">
        <v>4360</v>
      </c>
      <c r="AY188" s="203"/>
      <c r="AZ188" s="203"/>
      <c r="BA188" s="203"/>
    </row>
    <row r="189" spans="1:53" x14ac:dyDescent="0.25">
      <c r="A189" s="202" t="s">
        <v>266</v>
      </c>
      <c r="B189" s="174">
        <v>17</v>
      </c>
      <c r="C189" s="174">
        <v>10</v>
      </c>
      <c r="D189" s="174">
        <v>26</v>
      </c>
      <c r="E189" s="174">
        <v>17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>
        <v>18</v>
      </c>
      <c r="V189" s="174">
        <v>8</v>
      </c>
      <c r="W189" s="174"/>
      <c r="X189" s="174"/>
      <c r="Y189" s="174">
        <v>26</v>
      </c>
      <c r="Z189" s="174">
        <v>11</v>
      </c>
      <c r="AA189" s="174">
        <v>7</v>
      </c>
      <c r="AB189" s="174">
        <v>15</v>
      </c>
      <c r="AC189" s="174">
        <v>9</v>
      </c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>
        <v>10</v>
      </c>
      <c r="AT189" s="174">
        <v>5</v>
      </c>
      <c r="AU189" s="174"/>
      <c r="AV189" s="174"/>
      <c r="AW189" s="174">
        <v>15</v>
      </c>
      <c r="AX189" s="156">
        <v>1862.109090909091</v>
      </c>
      <c r="AY189" s="203"/>
      <c r="AZ189" s="203"/>
      <c r="BA189" s="203"/>
    </row>
    <row r="190" spans="1:53" x14ac:dyDescent="0.25">
      <c r="A190" s="202" t="s">
        <v>267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56"/>
      <c r="AY190" s="203"/>
      <c r="AZ190" s="203"/>
      <c r="BA190" s="203"/>
    </row>
    <row r="191" spans="1:53" x14ac:dyDescent="0.25">
      <c r="A191" s="202" t="s">
        <v>268</v>
      </c>
      <c r="B191" s="174">
        <v>3</v>
      </c>
      <c r="C191" s="174">
        <v>3</v>
      </c>
      <c r="D191" s="174">
        <v>5</v>
      </c>
      <c r="E191" s="174">
        <v>5</v>
      </c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>
        <v>5</v>
      </c>
      <c r="V191" s="174"/>
      <c r="W191" s="174"/>
      <c r="X191" s="174"/>
      <c r="Y191" s="174">
        <v>5</v>
      </c>
      <c r="Z191" s="174">
        <v>2</v>
      </c>
      <c r="AA191" s="174">
        <v>2</v>
      </c>
      <c r="AB191" s="174">
        <v>3</v>
      </c>
      <c r="AC191" s="174">
        <v>3</v>
      </c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>
        <v>3</v>
      </c>
      <c r="AT191" s="174"/>
      <c r="AU191" s="174"/>
      <c r="AV191" s="174"/>
      <c r="AW191" s="174">
        <v>3</v>
      </c>
      <c r="AX191" s="205">
        <v>1894.6</v>
      </c>
      <c r="AY191" s="203"/>
      <c r="AZ191" s="203"/>
      <c r="BA191" s="203"/>
    </row>
    <row r="192" spans="1:53" x14ac:dyDescent="0.25">
      <c r="A192" s="202" t="s">
        <v>269</v>
      </c>
      <c r="B192" s="174">
        <v>1</v>
      </c>
      <c r="C192" s="174"/>
      <c r="D192" s="174">
        <v>11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>
        <v>11</v>
      </c>
      <c r="Y192" s="174">
        <v>11</v>
      </c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205"/>
      <c r="AY192" s="203"/>
      <c r="AZ192" s="203"/>
      <c r="BA192" s="203"/>
    </row>
    <row r="193" spans="1:53" x14ac:dyDescent="0.25">
      <c r="A193" s="202" t="s">
        <v>270</v>
      </c>
      <c r="B193" s="174">
        <v>40</v>
      </c>
      <c r="C193" s="174">
        <v>25</v>
      </c>
      <c r="D193" s="174">
        <v>97</v>
      </c>
      <c r="E193" s="174">
        <v>42</v>
      </c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>
        <v>2</v>
      </c>
      <c r="S193" s="174"/>
      <c r="T193" s="174"/>
      <c r="U193" s="174">
        <v>39</v>
      </c>
      <c r="V193" s="174">
        <v>30</v>
      </c>
      <c r="W193" s="174"/>
      <c r="X193" s="174">
        <v>26</v>
      </c>
      <c r="Y193" s="174">
        <v>97</v>
      </c>
      <c r="Z193" s="174">
        <v>32</v>
      </c>
      <c r="AA193" s="174">
        <v>23</v>
      </c>
      <c r="AB193" s="174">
        <v>54</v>
      </c>
      <c r="AC193" s="174">
        <v>29</v>
      </c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>
        <v>1</v>
      </c>
      <c r="AQ193" s="174"/>
      <c r="AR193" s="174"/>
      <c r="AS193" s="174">
        <v>36</v>
      </c>
      <c r="AT193" s="174">
        <v>16</v>
      </c>
      <c r="AU193" s="174"/>
      <c r="AV193" s="174">
        <v>1</v>
      </c>
      <c r="AW193" s="174">
        <v>54</v>
      </c>
      <c r="AX193" s="205">
        <v>3850.1615384615384</v>
      </c>
      <c r="AY193" s="203"/>
      <c r="AZ193" s="203"/>
      <c r="BA193" s="203"/>
    </row>
    <row r="194" spans="1:53" x14ac:dyDescent="0.25">
      <c r="A194" s="202" t="s">
        <v>271</v>
      </c>
      <c r="B194" s="174">
        <v>4</v>
      </c>
      <c r="C194" s="174">
        <v>4</v>
      </c>
      <c r="D194" s="174">
        <v>13</v>
      </c>
      <c r="E194" s="174">
        <v>13</v>
      </c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>
        <v>13</v>
      </c>
      <c r="V194" s="174"/>
      <c r="W194" s="174"/>
      <c r="X194" s="174"/>
      <c r="Y194" s="174">
        <v>13</v>
      </c>
      <c r="Z194" s="174">
        <v>3</v>
      </c>
      <c r="AA194" s="174">
        <v>3</v>
      </c>
      <c r="AB194" s="174">
        <v>12</v>
      </c>
      <c r="AC194" s="174">
        <v>12</v>
      </c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>
        <v>12</v>
      </c>
      <c r="AT194" s="174"/>
      <c r="AU194" s="174"/>
      <c r="AV194" s="174"/>
      <c r="AW194" s="174">
        <v>12</v>
      </c>
      <c r="AX194" s="205">
        <v>5333.9266666666672</v>
      </c>
      <c r="AY194" s="203"/>
      <c r="AZ194" s="203"/>
      <c r="BA194" s="203"/>
    </row>
    <row r="195" spans="1:53" x14ac:dyDescent="0.25">
      <c r="A195" s="201" t="s">
        <v>46</v>
      </c>
      <c r="B195" s="174">
        <f t="shared" ref="B195:AW195" si="8">SUM(B196:B222)</f>
        <v>64</v>
      </c>
      <c r="C195" s="174">
        <f t="shared" si="8"/>
        <v>31</v>
      </c>
      <c r="D195" s="174">
        <f t="shared" si="8"/>
        <v>367</v>
      </c>
      <c r="E195" s="174">
        <f t="shared" si="8"/>
        <v>158</v>
      </c>
      <c r="F195" s="174">
        <f t="shared" si="8"/>
        <v>0</v>
      </c>
      <c r="G195" s="174">
        <f t="shared" si="8"/>
        <v>0</v>
      </c>
      <c r="H195" s="174">
        <f t="shared" si="8"/>
        <v>0</v>
      </c>
      <c r="I195" s="174">
        <f t="shared" si="8"/>
        <v>0</v>
      </c>
      <c r="J195" s="174">
        <f t="shared" si="8"/>
        <v>0</v>
      </c>
      <c r="K195" s="174">
        <f t="shared" si="8"/>
        <v>0</v>
      </c>
      <c r="L195" s="174">
        <f t="shared" si="8"/>
        <v>1</v>
      </c>
      <c r="M195" s="174">
        <f t="shared" si="8"/>
        <v>0</v>
      </c>
      <c r="N195" s="174">
        <f t="shared" si="8"/>
        <v>2</v>
      </c>
      <c r="O195" s="174">
        <f t="shared" si="8"/>
        <v>0</v>
      </c>
      <c r="P195" s="174">
        <f t="shared" si="8"/>
        <v>0</v>
      </c>
      <c r="Q195" s="174">
        <f t="shared" si="8"/>
        <v>0</v>
      </c>
      <c r="R195" s="174">
        <f t="shared" si="8"/>
        <v>8</v>
      </c>
      <c r="S195" s="174">
        <f t="shared" si="8"/>
        <v>0</v>
      </c>
      <c r="T195" s="174">
        <f t="shared" si="8"/>
        <v>0</v>
      </c>
      <c r="U195" s="174">
        <f t="shared" si="8"/>
        <v>263</v>
      </c>
      <c r="V195" s="174">
        <f t="shared" si="8"/>
        <v>52</v>
      </c>
      <c r="W195" s="174">
        <f t="shared" si="8"/>
        <v>6</v>
      </c>
      <c r="X195" s="174">
        <f t="shared" si="8"/>
        <v>35</v>
      </c>
      <c r="Y195" s="174">
        <f t="shared" si="8"/>
        <v>367</v>
      </c>
      <c r="Z195" s="174">
        <f t="shared" si="8"/>
        <v>43</v>
      </c>
      <c r="AA195" s="174">
        <f t="shared" si="8"/>
        <v>22</v>
      </c>
      <c r="AB195" s="174">
        <f t="shared" si="8"/>
        <v>231</v>
      </c>
      <c r="AC195" s="174">
        <f t="shared" si="8"/>
        <v>116</v>
      </c>
      <c r="AD195" s="174">
        <f t="shared" si="8"/>
        <v>0</v>
      </c>
      <c r="AE195" s="174">
        <f t="shared" si="8"/>
        <v>0</v>
      </c>
      <c r="AF195" s="174">
        <f t="shared" si="8"/>
        <v>0</v>
      </c>
      <c r="AG195" s="174">
        <f t="shared" si="8"/>
        <v>0</v>
      </c>
      <c r="AH195" s="174">
        <f t="shared" si="8"/>
        <v>0</v>
      </c>
      <c r="AI195" s="174">
        <f t="shared" si="8"/>
        <v>0</v>
      </c>
      <c r="AJ195" s="174">
        <f t="shared" si="8"/>
        <v>1</v>
      </c>
      <c r="AK195" s="174">
        <f t="shared" si="8"/>
        <v>0</v>
      </c>
      <c r="AL195" s="174">
        <f t="shared" si="8"/>
        <v>0</v>
      </c>
      <c r="AM195" s="174">
        <f t="shared" si="8"/>
        <v>0</v>
      </c>
      <c r="AN195" s="174">
        <f t="shared" si="8"/>
        <v>0</v>
      </c>
      <c r="AO195" s="174">
        <f t="shared" si="8"/>
        <v>0</v>
      </c>
      <c r="AP195" s="174">
        <f t="shared" si="8"/>
        <v>8</v>
      </c>
      <c r="AQ195" s="174">
        <f t="shared" si="8"/>
        <v>0</v>
      </c>
      <c r="AR195" s="174">
        <f t="shared" si="8"/>
        <v>0</v>
      </c>
      <c r="AS195" s="174">
        <f t="shared" si="8"/>
        <v>159</v>
      </c>
      <c r="AT195" s="174">
        <f t="shared" si="8"/>
        <v>32</v>
      </c>
      <c r="AU195" s="174">
        <f t="shared" si="8"/>
        <v>0</v>
      </c>
      <c r="AV195" s="174">
        <f t="shared" si="8"/>
        <v>31</v>
      </c>
      <c r="AW195" s="174">
        <f t="shared" si="8"/>
        <v>231</v>
      </c>
      <c r="AX195" s="206">
        <v>2439.5500000000002</v>
      </c>
      <c r="AY195" s="156">
        <f>Z195*100/B195</f>
        <v>67.1875</v>
      </c>
      <c r="AZ195" s="185">
        <f>B195-Z195</f>
        <v>21</v>
      </c>
      <c r="BA195" s="156">
        <f>AZ195*100/B195</f>
        <v>32.8125</v>
      </c>
    </row>
    <row r="196" spans="1:53" x14ac:dyDescent="0.25">
      <c r="A196" s="202" t="s">
        <v>115</v>
      </c>
      <c r="B196" s="174">
        <v>20</v>
      </c>
      <c r="C196" s="174">
        <v>6</v>
      </c>
      <c r="D196" s="174">
        <v>112</v>
      </c>
      <c r="E196" s="174">
        <v>28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>
        <v>71</v>
      </c>
      <c r="V196" s="174">
        <v>33</v>
      </c>
      <c r="W196" s="174"/>
      <c r="X196" s="174">
        <v>8</v>
      </c>
      <c r="Y196" s="174">
        <v>112</v>
      </c>
      <c r="Z196" s="174">
        <v>9</v>
      </c>
      <c r="AA196" s="174">
        <v>2</v>
      </c>
      <c r="AB196" s="174">
        <v>64</v>
      </c>
      <c r="AC196" s="174">
        <v>16</v>
      </c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>
        <v>43</v>
      </c>
      <c r="AT196" s="174">
        <v>14</v>
      </c>
      <c r="AU196" s="174"/>
      <c r="AV196" s="174">
        <v>7</v>
      </c>
      <c r="AW196" s="174">
        <v>64</v>
      </c>
      <c r="AX196" s="156">
        <v>1776.1577777777777</v>
      </c>
      <c r="AY196" s="203"/>
      <c r="AZ196" s="203"/>
      <c r="BA196" s="203"/>
    </row>
    <row r="197" spans="1:53" x14ac:dyDescent="0.25">
      <c r="A197" s="202" t="s">
        <v>116</v>
      </c>
      <c r="B197" s="174">
        <v>5</v>
      </c>
      <c r="C197" s="174">
        <v>5</v>
      </c>
      <c r="D197" s="174">
        <v>8</v>
      </c>
      <c r="E197" s="174">
        <v>8</v>
      </c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>
        <v>8</v>
      </c>
      <c r="S197" s="174"/>
      <c r="T197" s="174"/>
      <c r="U197" s="174"/>
      <c r="V197" s="174"/>
      <c r="W197" s="174"/>
      <c r="X197" s="174"/>
      <c r="Y197" s="174">
        <v>8</v>
      </c>
      <c r="Z197" s="174">
        <v>5</v>
      </c>
      <c r="AA197" s="174">
        <v>5</v>
      </c>
      <c r="AB197" s="174">
        <v>8</v>
      </c>
      <c r="AC197" s="174">
        <v>8</v>
      </c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>
        <v>8</v>
      </c>
      <c r="AQ197" s="174"/>
      <c r="AR197" s="174"/>
      <c r="AS197" s="174"/>
      <c r="AT197" s="174"/>
      <c r="AU197" s="174"/>
      <c r="AV197" s="174"/>
      <c r="AW197" s="174">
        <v>8</v>
      </c>
      <c r="AX197" s="156">
        <v>257.60000000000002</v>
      </c>
      <c r="AY197" s="203"/>
      <c r="AZ197" s="203"/>
      <c r="BA197" s="203"/>
    </row>
    <row r="198" spans="1:53" x14ac:dyDescent="0.25">
      <c r="A198" s="202" t="s">
        <v>59</v>
      </c>
      <c r="B198" s="174">
        <v>2</v>
      </c>
      <c r="C198" s="174">
        <v>1</v>
      </c>
      <c r="D198" s="174">
        <v>13</v>
      </c>
      <c r="E198" s="174">
        <v>12</v>
      </c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>
        <v>1</v>
      </c>
      <c r="V198" s="174">
        <v>12</v>
      </c>
      <c r="W198" s="174"/>
      <c r="X198" s="174"/>
      <c r="Y198" s="174">
        <v>13</v>
      </c>
      <c r="Z198" s="174">
        <v>1</v>
      </c>
      <c r="AA198" s="174">
        <v>1</v>
      </c>
      <c r="AB198" s="174">
        <v>11</v>
      </c>
      <c r="AC198" s="174">
        <v>11</v>
      </c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>
        <v>11</v>
      </c>
      <c r="AU198" s="174"/>
      <c r="AV198" s="174"/>
      <c r="AW198" s="174">
        <v>11</v>
      </c>
      <c r="AX198" s="205">
        <v>2800</v>
      </c>
      <c r="AY198" s="203"/>
      <c r="AZ198" s="203"/>
      <c r="BA198" s="203"/>
    </row>
    <row r="199" spans="1:53" x14ac:dyDescent="0.25">
      <c r="A199" s="202" t="s">
        <v>60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205"/>
      <c r="AY199" s="203"/>
      <c r="AZ199" s="203"/>
      <c r="BA199" s="203"/>
    </row>
    <row r="200" spans="1:53" x14ac:dyDescent="0.25">
      <c r="A200" s="202" t="s">
        <v>117</v>
      </c>
      <c r="B200" s="174">
        <v>1</v>
      </c>
      <c r="C200" s="174"/>
      <c r="D200" s="174">
        <v>1</v>
      </c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>
        <v>1</v>
      </c>
      <c r="V200" s="174"/>
      <c r="W200" s="174"/>
      <c r="X200" s="174"/>
      <c r="Y200" s="174">
        <v>1</v>
      </c>
      <c r="Z200" s="174">
        <v>1</v>
      </c>
      <c r="AA200" s="174"/>
      <c r="AB200" s="174">
        <v>1</v>
      </c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>
        <v>1</v>
      </c>
      <c r="AT200" s="174"/>
      <c r="AU200" s="174"/>
      <c r="AV200" s="174"/>
      <c r="AW200" s="174">
        <v>1</v>
      </c>
      <c r="AX200" s="205">
        <v>2800</v>
      </c>
      <c r="AY200" s="203"/>
      <c r="AZ200" s="203"/>
      <c r="BA200" s="203"/>
    </row>
    <row r="201" spans="1:53" x14ac:dyDescent="0.25">
      <c r="A201" s="202" t="s">
        <v>118</v>
      </c>
      <c r="B201" s="174">
        <v>1</v>
      </c>
      <c r="C201" s="174">
        <v>1</v>
      </c>
      <c r="D201" s="174">
        <v>6</v>
      </c>
      <c r="E201" s="174">
        <v>6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>
        <v>6</v>
      </c>
      <c r="X201" s="174"/>
      <c r="Y201" s="174">
        <v>6</v>
      </c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205"/>
      <c r="AY201" s="203"/>
      <c r="AZ201" s="203"/>
      <c r="BA201" s="203"/>
    </row>
    <row r="202" spans="1:53" x14ac:dyDescent="0.25">
      <c r="A202" s="202" t="s">
        <v>119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56"/>
      <c r="AY202" s="203"/>
      <c r="AZ202" s="203"/>
      <c r="BA202" s="203"/>
    </row>
    <row r="203" spans="1:53" x14ac:dyDescent="0.25">
      <c r="A203" s="202" t="s">
        <v>120</v>
      </c>
      <c r="B203" s="174">
        <v>1</v>
      </c>
      <c r="C203" s="174"/>
      <c r="D203" s="174">
        <v>13</v>
      </c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>
        <v>13</v>
      </c>
      <c r="Y203" s="174">
        <v>13</v>
      </c>
      <c r="Z203" s="174">
        <v>1</v>
      </c>
      <c r="AA203" s="174"/>
      <c r="AB203" s="174">
        <v>13</v>
      </c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>
        <v>13</v>
      </c>
      <c r="AW203" s="174">
        <v>13</v>
      </c>
      <c r="AX203" s="156">
        <v>1136</v>
      </c>
      <c r="AY203" s="203"/>
      <c r="AZ203" s="203"/>
      <c r="BA203" s="203"/>
    </row>
    <row r="204" spans="1:53" x14ac:dyDescent="0.25">
      <c r="A204" s="202" t="s">
        <v>121</v>
      </c>
      <c r="B204" s="174">
        <v>5</v>
      </c>
      <c r="C204" s="174">
        <v>2</v>
      </c>
      <c r="D204" s="174">
        <v>11</v>
      </c>
      <c r="E204" s="174">
        <v>2</v>
      </c>
      <c r="F204" s="174"/>
      <c r="G204" s="174"/>
      <c r="H204" s="174"/>
      <c r="I204" s="174"/>
      <c r="J204" s="174"/>
      <c r="K204" s="174"/>
      <c r="L204" s="174">
        <v>1</v>
      </c>
      <c r="M204" s="174"/>
      <c r="N204" s="174"/>
      <c r="O204" s="174"/>
      <c r="P204" s="174"/>
      <c r="Q204" s="174"/>
      <c r="R204" s="174"/>
      <c r="S204" s="174"/>
      <c r="T204" s="174"/>
      <c r="U204" s="174">
        <v>2</v>
      </c>
      <c r="V204" s="174">
        <v>7</v>
      </c>
      <c r="W204" s="174"/>
      <c r="X204" s="174">
        <v>1</v>
      </c>
      <c r="Y204" s="174">
        <v>11</v>
      </c>
      <c r="Z204" s="174">
        <v>5</v>
      </c>
      <c r="AA204" s="174">
        <v>2</v>
      </c>
      <c r="AB204" s="174">
        <v>11</v>
      </c>
      <c r="AC204" s="174">
        <v>2</v>
      </c>
      <c r="AD204" s="174"/>
      <c r="AE204" s="174"/>
      <c r="AF204" s="174"/>
      <c r="AG204" s="174"/>
      <c r="AH204" s="174"/>
      <c r="AI204" s="174"/>
      <c r="AJ204" s="174">
        <v>1</v>
      </c>
      <c r="AK204" s="174"/>
      <c r="AL204" s="174"/>
      <c r="AM204" s="174"/>
      <c r="AN204" s="174"/>
      <c r="AO204" s="174"/>
      <c r="AP204" s="174"/>
      <c r="AQ204" s="174"/>
      <c r="AR204" s="174"/>
      <c r="AS204" s="174">
        <v>2</v>
      </c>
      <c r="AT204" s="174">
        <v>7</v>
      </c>
      <c r="AU204" s="174"/>
      <c r="AV204" s="174">
        <v>1</v>
      </c>
      <c r="AW204" s="174">
        <v>11</v>
      </c>
      <c r="AX204" s="156">
        <v>2023.2400000000002</v>
      </c>
      <c r="AY204" s="203"/>
      <c r="AZ204" s="203"/>
      <c r="BA204" s="203"/>
    </row>
    <row r="205" spans="1:53" x14ac:dyDescent="0.25">
      <c r="A205" s="202" t="s">
        <v>122</v>
      </c>
      <c r="B205" s="174">
        <v>3</v>
      </c>
      <c r="C205" s="174"/>
      <c r="D205" s="174">
        <v>15</v>
      </c>
      <c r="E205" s="174"/>
      <c r="F205" s="174"/>
      <c r="G205" s="174"/>
      <c r="H205" s="174"/>
      <c r="I205" s="174"/>
      <c r="J205" s="174"/>
      <c r="K205" s="174"/>
      <c r="L205" s="174"/>
      <c r="M205" s="174"/>
      <c r="N205" s="174">
        <v>2</v>
      </c>
      <c r="O205" s="174"/>
      <c r="P205" s="174"/>
      <c r="Q205" s="174"/>
      <c r="R205" s="174"/>
      <c r="S205" s="174"/>
      <c r="T205" s="174"/>
      <c r="U205" s="174">
        <v>10</v>
      </c>
      <c r="V205" s="174"/>
      <c r="W205" s="174"/>
      <c r="X205" s="174">
        <v>3</v>
      </c>
      <c r="Y205" s="174">
        <v>15</v>
      </c>
      <c r="Z205" s="174">
        <v>1</v>
      </c>
      <c r="AA205" s="174"/>
      <c r="AB205" s="174">
        <v>10</v>
      </c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>
        <v>10</v>
      </c>
      <c r="AT205" s="174"/>
      <c r="AU205" s="174"/>
      <c r="AV205" s="174"/>
      <c r="AW205" s="174">
        <v>10</v>
      </c>
      <c r="AX205" s="156">
        <v>384</v>
      </c>
      <c r="AY205" s="203"/>
      <c r="AZ205" s="203"/>
      <c r="BA205" s="203"/>
    </row>
    <row r="206" spans="1:53" x14ac:dyDescent="0.25">
      <c r="A206" s="202" t="s">
        <v>123</v>
      </c>
      <c r="B206" s="174">
        <v>3</v>
      </c>
      <c r="C206" s="174">
        <v>1</v>
      </c>
      <c r="D206" s="174">
        <v>45</v>
      </c>
      <c r="E206" s="174">
        <v>10</v>
      </c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>
        <v>36</v>
      </c>
      <c r="V206" s="174"/>
      <c r="W206" s="174"/>
      <c r="X206" s="174">
        <v>9</v>
      </c>
      <c r="Y206" s="174">
        <v>45</v>
      </c>
      <c r="Z206" s="174">
        <v>3</v>
      </c>
      <c r="AA206" s="174">
        <v>1</v>
      </c>
      <c r="AB206" s="174">
        <v>24</v>
      </c>
      <c r="AC206" s="174">
        <v>10</v>
      </c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>
        <v>15</v>
      </c>
      <c r="AT206" s="174"/>
      <c r="AU206" s="174"/>
      <c r="AV206" s="174">
        <v>9</v>
      </c>
      <c r="AW206" s="174">
        <v>24</v>
      </c>
      <c r="AX206" s="156">
        <v>2196</v>
      </c>
      <c r="AY206" s="203"/>
      <c r="AZ206" s="203"/>
      <c r="BA206" s="203"/>
    </row>
    <row r="207" spans="1:53" x14ac:dyDescent="0.25">
      <c r="A207" s="202" t="s">
        <v>61</v>
      </c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56"/>
      <c r="AY207" s="203"/>
      <c r="AZ207" s="203"/>
      <c r="BA207" s="203"/>
    </row>
    <row r="208" spans="1:53" x14ac:dyDescent="0.25">
      <c r="A208" s="202" t="s">
        <v>62</v>
      </c>
      <c r="B208" s="174">
        <v>11</v>
      </c>
      <c r="C208" s="174">
        <v>9</v>
      </c>
      <c r="D208" s="174">
        <v>99</v>
      </c>
      <c r="E208" s="174">
        <v>64</v>
      </c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>
        <v>99</v>
      </c>
      <c r="V208" s="174"/>
      <c r="W208" s="174"/>
      <c r="X208" s="174"/>
      <c r="Y208" s="174">
        <v>99</v>
      </c>
      <c r="Z208" s="174">
        <v>7</v>
      </c>
      <c r="AA208" s="174">
        <v>6</v>
      </c>
      <c r="AB208" s="174">
        <v>58</v>
      </c>
      <c r="AC208" s="174">
        <v>44</v>
      </c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>
        <v>58</v>
      </c>
      <c r="AT208" s="174"/>
      <c r="AU208" s="174"/>
      <c r="AV208" s="174"/>
      <c r="AW208" s="174">
        <v>58</v>
      </c>
      <c r="AX208" s="156">
        <v>10320</v>
      </c>
      <c r="AY208" s="203"/>
      <c r="AZ208" s="203"/>
      <c r="BA208" s="203"/>
    </row>
    <row r="209" spans="1:53" x14ac:dyDescent="0.25">
      <c r="A209" s="202" t="s">
        <v>63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205"/>
      <c r="AY209" s="203"/>
      <c r="AZ209" s="203"/>
      <c r="BA209" s="203"/>
    </row>
    <row r="210" spans="1:53" x14ac:dyDescent="0.25">
      <c r="A210" s="202" t="s">
        <v>64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205"/>
      <c r="AY210" s="203"/>
      <c r="AZ210" s="203"/>
      <c r="BA210" s="203"/>
    </row>
    <row r="211" spans="1:53" x14ac:dyDescent="0.25">
      <c r="A211" s="202" t="s">
        <v>65</v>
      </c>
      <c r="B211" s="174">
        <v>2</v>
      </c>
      <c r="C211" s="174"/>
      <c r="D211" s="174">
        <v>2</v>
      </c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>
        <v>1</v>
      </c>
      <c r="V211" s="174"/>
      <c r="W211" s="174"/>
      <c r="X211" s="174">
        <v>1</v>
      </c>
      <c r="Y211" s="174">
        <v>2</v>
      </c>
      <c r="Z211" s="174">
        <v>2</v>
      </c>
      <c r="AA211" s="174"/>
      <c r="AB211" s="174">
        <v>2</v>
      </c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>
        <v>1</v>
      </c>
      <c r="AT211" s="174"/>
      <c r="AU211" s="174"/>
      <c r="AV211" s="174">
        <v>1</v>
      </c>
      <c r="AW211" s="174">
        <v>2</v>
      </c>
      <c r="AX211" s="205">
        <v>2320</v>
      </c>
      <c r="AY211" s="203"/>
      <c r="AZ211" s="203"/>
      <c r="BA211" s="203"/>
    </row>
    <row r="212" spans="1:53" x14ac:dyDescent="0.25">
      <c r="A212" s="202" t="s">
        <v>66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56"/>
      <c r="AY212" s="203"/>
      <c r="AZ212" s="203"/>
      <c r="BA212" s="203"/>
    </row>
    <row r="213" spans="1:53" x14ac:dyDescent="0.25">
      <c r="A213" s="202" t="s">
        <v>67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56"/>
      <c r="AY213" s="203"/>
      <c r="AZ213" s="203"/>
      <c r="BA213" s="203"/>
    </row>
    <row r="214" spans="1:53" x14ac:dyDescent="0.25">
      <c r="A214" s="202" t="s">
        <v>68</v>
      </c>
      <c r="B214" s="174">
        <v>1</v>
      </c>
      <c r="C214" s="174">
        <v>1</v>
      </c>
      <c r="D214" s="174">
        <v>1</v>
      </c>
      <c r="E214" s="174">
        <v>1</v>
      </c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>
        <v>1</v>
      </c>
      <c r="V214" s="174"/>
      <c r="W214" s="174"/>
      <c r="X214" s="174"/>
      <c r="Y214" s="174">
        <v>1</v>
      </c>
      <c r="Z214" s="174">
        <v>1</v>
      </c>
      <c r="AA214" s="174">
        <v>1</v>
      </c>
      <c r="AB214" s="174">
        <v>1</v>
      </c>
      <c r="AC214" s="174">
        <v>1</v>
      </c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>
        <v>1</v>
      </c>
      <c r="AT214" s="174"/>
      <c r="AU214" s="174"/>
      <c r="AV214" s="174"/>
      <c r="AW214" s="174">
        <v>1</v>
      </c>
      <c r="AX214" s="156">
        <v>2112</v>
      </c>
      <c r="AY214" s="203"/>
      <c r="AZ214" s="203"/>
      <c r="BA214" s="203"/>
    </row>
    <row r="215" spans="1:53" x14ac:dyDescent="0.25">
      <c r="A215" s="202" t="s">
        <v>69</v>
      </c>
      <c r="B215" s="174">
        <v>3</v>
      </c>
      <c r="C215" s="174">
        <v>2</v>
      </c>
      <c r="D215" s="174">
        <v>30</v>
      </c>
      <c r="E215" s="174">
        <v>20</v>
      </c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>
        <v>30</v>
      </c>
      <c r="V215" s="174"/>
      <c r="W215" s="174"/>
      <c r="X215" s="174"/>
      <c r="Y215" s="174">
        <v>30</v>
      </c>
      <c r="Z215" s="174">
        <v>2</v>
      </c>
      <c r="AA215" s="174">
        <v>2</v>
      </c>
      <c r="AB215" s="174">
        <v>20</v>
      </c>
      <c r="AC215" s="174">
        <v>20</v>
      </c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>
        <v>20</v>
      </c>
      <c r="AT215" s="174"/>
      <c r="AU215" s="174"/>
      <c r="AV215" s="174"/>
      <c r="AW215" s="174">
        <v>20</v>
      </c>
      <c r="AX215" s="205">
        <v>456</v>
      </c>
      <c r="AY215" s="203"/>
      <c r="AZ215" s="203"/>
      <c r="BA215" s="203"/>
    </row>
    <row r="216" spans="1:53" x14ac:dyDescent="0.25">
      <c r="A216" s="202" t="s">
        <v>70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205"/>
      <c r="AY216" s="203"/>
      <c r="AZ216" s="203"/>
      <c r="BA216" s="203"/>
    </row>
    <row r="217" spans="1:53" x14ac:dyDescent="0.25">
      <c r="A217" s="202" t="s">
        <v>71</v>
      </c>
      <c r="B217" s="174">
        <v>1</v>
      </c>
      <c r="C217" s="174">
        <v>1</v>
      </c>
      <c r="D217" s="174">
        <v>1</v>
      </c>
      <c r="E217" s="174">
        <v>1</v>
      </c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>
        <v>1</v>
      </c>
      <c r="V217" s="174"/>
      <c r="W217" s="174"/>
      <c r="X217" s="174"/>
      <c r="Y217" s="174">
        <v>1</v>
      </c>
      <c r="Z217" s="174">
        <v>1</v>
      </c>
      <c r="AA217" s="174">
        <v>1</v>
      </c>
      <c r="AB217" s="174">
        <v>1</v>
      </c>
      <c r="AC217" s="174">
        <v>1</v>
      </c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>
        <v>1</v>
      </c>
      <c r="AT217" s="174"/>
      <c r="AU217" s="174"/>
      <c r="AV217" s="174"/>
      <c r="AW217" s="174">
        <v>1</v>
      </c>
      <c r="AX217" s="205">
        <v>2800</v>
      </c>
      <c r="AY217" s="203"/>
      <c r="AZ217" s="203"/>
      <c r="BA217" s="203"/>
    </row>
    <row r="218" spans="1:53" x14ac:dyDescent="0.25">
      <c r="A218" s="202" t="s">
        <v>72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205"/>
      <c r="AY218" s="203"/>
      <c r="AZ218" s="203"/>
      <c r="BA218" s="203"/>
    </row>
    <row r="219" spans="1:53" x14ac:dyDescent="0.25">
      <c r="A219" s="202" t="s">
        <v>73</v>
      </c>
      <c r="B219" s="174">
        <v>4</v>
      </c>
      <c r="C219" s="174">
        <v>1</v>
      </c>
      <c r="D219" s="174">
        <v>7</v>
      </c>
      <c r="E219" s="174">
        <v>3</v>
      </c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>
        <v>7</v>
      </c>
      <c r="V219" s="174"/>
      <c r="W219" s="174"/>
      <c r="X219" s="174"/>
      <c r="Y219" s="174">
        <v>7</v>
      </c>
      <c r="Z219" s="174">
        <v>4</v>
      </c>
      <c r="AA219" s="174">
        <v>1</v>
      </c>
      <c r="AB219" s="174">
        <v>7</v>
      </c>
      <c r="AC219" s="174">
        <v>3</v>
      </c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>
        <v>7</v>
      </c>
      <c r="AT219" s="174"/>
      <c r="AU219" s="174"/>
      <c r="AV219" s="174"/>
      <c r="AW219" s="174">
        <v>7</v>
      </c>
      <c r="AX219" s="205">
        <v>2772.64</v>
      </c>
      <c r="AY219" s="203"/>
      <c r="AZ219" s="203"/>
      <c r="BA219" s="203"/>
    </row>
    <row r="220" spans="1:53" x14ac:dyDescent="0.25">
      <c r="A220" s="202" t="s">
        <v>74</v>
      </c>
      <c r="B220" s="174">
        <v>1</v>
      </c>
      <c r="C220" s="174">
        <v>1</v>
      </c>
      <c r="D220" s="174">
        <v>3</v>
      </c>
      <c r="E220" s="174">
        <v>3</v>
      </c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>
        <v>3</v>
      </c>
      <c r="V220" s="174"/>
      <c r="W220" s="174"/>
      <c r="X220" s="174"/>
      <c r="Y220" s="174">
        <v>3</v>
      </c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205"/>
      <c r="AY220" s="203"/>
      <c r="AZ220" s="203"/>
      <c r="BA220" s="203"/>
    </row>
    <row r="221" spans="1:53" x14ac:dyDescent="0.25">
      <c r="A221" s="202" t="s">
        <v>75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205"/>
      <c r="AY221" s="203"/>
      <c r="AZ221" s="203"/>
      <c r="BA221" s="203"/>
    </row>
    <row r="222" spans="1:53" x14ac:dyDescent="0.25">
      <c r="A222" s="202" t="s">
        <v>76</v>
      </c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205"/>
      <c r="AY222" s="203"/>
      <c r="AZ222" s="203"/>
      <c r="BA222" s="203"/>
    </row>
    <row r="223" spans="1:53" x14ac:dyDescent="0.25">
      <c r="A223" s="201" t="s">
        <v>47</v>
      </c>
      <c r="B223" s="174">
        <f t="shared" ref="B223:AW223" si="9">SUM(B224:B230)</f>
        <v>62</v>
      </c>
      <c r="C223" s="174">
        <f t="shared" si="9"/>
        <v>6</v>
      </c>
      <c r="D223" s="174">
        <f t="shared" si="9"/>
        <v>162</v>
      </c>
      <c r="E223" s="174">
        <f t="shared" si="9"/>
        <v>8</v>
      </c>
      <c r="F223" s="174">
        <f t="shared" si="9"/>
        <v>1</v>
      </c>
      <c r="G223" s="174">
        <f t="shared" si="9"/>
        <v>0</v>
      </c>
      <c r="H223" s="174">
        <f t="shared" si="9"/>
        <v>19</v>
      </c>
      <c r="I223" s="174">
        <f t="shared" si="9"/>
        <v>0</v>
      </c>
      <c r="J223" s="174">
        <f t="shared" si="9"/>
        <v>3</v>
      </c>
      <c r="K223" s="174">
        <f t="shared" si="9"/>
        <v>30</v>
      </c>
      <c r="L223" s="174">
        <f t="shared" si="9"/>
        <v>20</v>
      </c>
      <c r="M223" s="174">
        <f t="shared" si="9"/>
        <v>25</v>
      </c>
      <c r="N223" s="174">
        <f t="shared" si="9"/>
        <v>0</v>
      </c>
      <c r="O223" s="174">
        <f t="shared" si="9"/>
        <v>0</v>
      </c>
      <c r="P223" s="174">
        <f t="shared" si="9"/>
        <v>0</v>
      </c>
      <c r="Q223" s="174">
        <f t="shared" si="9"/>
        <v>0</v>
      </c>
      <c r="R223" s="174">
        <f t="shared" si="9"/>
        <v>2</v>
      </c>
      <c r="S223" s="174">
        <f t="shared" si="9"/>
        <v>1</v>
      </c>
      <c r="T223" s="174">
        <f t="shared" si="9"/>
        <v>3</v>
      </c>
      <c r="U223" s="174">
        <f t="shared" si="9"/>
        <v>3</v>
      </c>
      <c r="V223" s="174">
        <f t="shared" si="9"/>
        <v>54</v>
      </c>
      <c r="W223" s="174">
        <f t="shared" si="9"/>
        <v>1</v>
      </c>
      <c r="X223" s="174">
        <f t="shared" si="9"/>
        <v>0</v>
      </c>
      <c r="Y223" s="174">
        <f t="shared" si="9"/>
        <v>162</v>
      </c>
      <c r="Z223" s="174">
        <f t="shared" si="9"/>
        <v>50</v>
      </c>
      <c r="AA223" s="174">
        <f t="shared" si="9"/>
        <v>5</v>
      </c>
      <c r="AB223" s="174">
        <f t="shared" si="9"/>
        <v>97</v>
      </c>
      <c r="AC223" s="174">
        <f t="shared" si="9"/>
        <v>7</v>
      </c>
      <c r="AD223" s="174">
        <f t="shared" si="9"/>
        <v>0</v>
      </c>
      <c r="AE223" s="174">
        <f t="shared" si="9"/>
        <v>0</v>
      </c>
      <c r="AF223" s="174">
        <f t="shared" si="9"/>
        <v>7</v>
      </c>
      <c r="AG223" s="174">
        <f t="shared" si="9"/>
        <v>0</v>
      </c>
      <c r="AH223" s="174">
        <f t="shared" si="9"/>
        <v>3</v>
      </c>
      <c r="AI223" s="174">
        <f t="shared" si="9"/>
        <v>24</v>
      </c>
      <c r="AJ223" s="174">
        <f t="shared" si="9"/>
        <v>16</v>
      </c>
      <c r="AK223" s="174">
        <f t="shared" si="9"/>
        <v>19</v>
      </c>
      <c r="AL223" s="174">
        <f t="shared" si="9"/>
        <v>0</v>
      </c>
      <c r="AM223" s="174">
        <f t="shared" si="9"/>
        <v>0</v>
      </c>
      <c r="AN223" s="174">
        <f t="shared" si="9"/>
        <v>0</v>
      </c>
      <c r="AO223" s="174">
        <f t="shared" si="9"/>
        <v>0</v>
      </c>
      <c r="AP223" s="174">
        <f t="shared" si="9"/>
        <v>1</v>
      </c>
      <c r="AQ223" s="174">
        <f t="shared" si="9"/>
        <v>1</v>
      </c>
      <c r="AR223" s="174">
        <f t="shared" si="9"/>
        <v>2</v>
      </c>
      <c r="AS223" s="174">
        <f t="shared" si="9"/>
        <v>3</v>
      </c>
      <c r="AT223" s="174">
        <f t="shared" si="9"/>
        <v>20</v>
      </c>
      <c r="AU223" s="174">
        <f t="shared" si="9"/>
        <v>1</v>
      </c>
      <c r="AV223" s="174">
        <f t="shared" si="9"/>
        <v>0</v>
      </c>
      <c r="AW223" s="174">
        <f t="shared" si="9"/>
        <v>97</v>
      </c>
      <c r="AX223" s="203">
        <v>3365.79</v>
      </c>
      <c r="AY223" s="156">
        <f>Z223*100/B223</f>
        <v>80.645161290322577</v>
      </c>
      <c r="AZ223" s="185">
        <f>B223-Z223</f>
        <v>12</v>
      </c>
      <c r="BA223" s="156">
        <f>AZ223*100/B223</f>
        <v>19.35483870967742</v>
      </c>
    </row>
    <row r="224" spans="1:53" x14ac:dyDescent="0.25">
      <c r="A224" s="202" t="s">
        <v>48</v>
      </c>
      <c r="B224" s="174">
        <v>4</v>
      </c>
      <c r="C224" s="174">
        <v>1</v>
      </c>
      <c r="D224" s="174">
        <v>9</v>
      </c>
      <c r="E224" s="174">
        <v>1</v>
      </c>
      <c r="F224" s="174"/>
      <c r="G224" s="174"/>
      <c r="H224" s="174"/>
      <c r="I224" s="174"/>
      <c r="J224" s="174"/>
      <c r="K224" s="174">
        <v>7</v>
      </c>
      <c r="L224" s="174"/>
      <c r="M224" s="174"/>
      <c r="N224" s="174"/>
      <c r="O224" s="174"/>
      <c r="P224" s="174"/>
      <c r="Q224" s="174"/>
      <c r="R224" s="174"/>
      <c r="S224" s="174">
        <v>1</v>
      </c>
      <c r="T224" s="174"/>
      <c r="U224" s="174"/>
      <c r="V224" s="174"/>
      <c r="W224" s="174">
        <v>1</v>
      </c>
      <c r="X224" s="174"/>
      <c r="Y224" s="174">
        <v>9</v>
      </c>
      <c r="Z224" s="174">
        <v>3</v>
      </c>
      <c r="AA224" s="174">
        <v>1</v>
      </c>
      <c r="AB224" s="174">
        <v>4</v>
      </c>
      <c r="AC224" s="174">
        <v>1</v>
      </c>
      <c r="AD224" s="174"/>
      <c r="AE224" s="174"/>
      <c r="AF224" s="174"/>
      <c r="AG224" s="174"/>
      <c r="AH224" s="174"/>
      <c r="AI224" s="174">
        <v>2</v>
      </c>
      <c r="AJ224" s="174"/>
      <c r="AK224" s="174"/>
      <c r="AL224" s="174"/>
      <c r="AM224" s="174"/>
      <c r="AN224" s="174"/>
      <c r="AO224" s="174"/>
      <c r="AP224" s="174"/>
      <c r="AQ224" s="174">
        <v>1</v>
      </c>
      <c r="AR224" s="174"/>
      <c r="AS224" s="174"/>
      <c r="AT224" s="174"/>
      <c r="AU224" s="174">
        <v>1</v>
      </c>
      <c r="AV224" s="174"/>
      <c r="AW224" s="174">
        <v>4</v>
      </c>
      <c r="AX224" s="205">
        <v>1731.6666666666667</v>
      </c>
      <c r="AY224" s="203"/>
      <c r="AZ224" s="203"/>
      <c r="BA224" s="203"/>
    </row>
    <row r="225" spans="1:137" x14ac:dyDescent="0.25">
      <c r="A225" s="202" t="s">
        <v>49</v>
      </c>
      <c r="B225" s="174">
        <v>13</v>
      </c>
      <c r="C225" s="174">
        <v>2</v>
      </c>
      <c r="D225" s="174">
        <v>30</v>
      </c>
      <c r="E225" s="174">
        <v>2</v>
      </c>
      <c r="F225" s="174"/>
      <c r="G225" s="174"/>
      <c r="H225" s="174"/>
      <c r="I225" s="174"/>
      <c r="J225" s="174"/>
      <c r="K225" s="174">
        <v>9</v>
      </c>
      <c r="L225" s="174"/>
      <c r="M225" s="174">
        <v>17</v>
      </c>
      <c r="N225" s="174"/>
      <c r="O225" s="174"/>
      <c r="P225" s="174"/>
      <c r="Q225" s="174"/>
      <c r="R225" s="174">
        <v>1</v>
      </c>
      <c r="S225" s="174"/>
      <c r="T225" s="174">
        <v>2</v>
      </c>
      <c r="U225" s="174"/>
      <c r="V225" s="174">
        <v>1</v>
      </c>
      <c r="W225" s="174"/>
      <c r="X225" s="174"/>
      <c r="Y225" s="174">
        <v>30</v>
      </c>
      <c r="Z225" s="174">
        <v>12</v>
      </c>
      <c r="AA225" s="174">
        <v>2</v>
      </c>
      <c r="AB225" s="174">
        <v>27</v>
      </c>
      <c r="AC225" s="174">
        <v>2</v>
      </c>
      <c r="AD225" s="174"/>
      <c r="AE225" s="174"/>
      <c r="AF225" s="174"/>
      <c r="AG225" s="174"/>
      <c r="AH225" s="174"/>
      <c r="AI225" s="174">
        <v>9</v>
      </c>
      <c r="AJ225" s="174"/>
      <c r="AK225" s="174">
        <v>15</v>
      </c>
      <c r="AL225" s="174"/>
      <c r="AM225" s="174"/>
      <c r="AN225" s="174"/>
      <c r="AO225" s="174"/>
      <c r="AP225" s="174"/>
      <c r="AQ225" s="174"/>
      <c r="AR225" s="174">
        <v>2</v>
      </c>
      <c r="AS225" s="174"/>
      <c r="AT225" s="174">
        <v>1</v>
      </c>
      <c r="AU225" s="174"/>
      <c r="AV225" s="174"/>
      <c r="AW225" s="174">
        <v>27</v>
      </c>
      <c r="AX225" s="205">
        <v>3205</v>
      </c>
      <c r="AY225" s="203"/>
      <c r="AZ225" s="203"/>
      <c r="BA225" s="203"/>
    </row>
    <row r="226" spans="1:137" x14ac:dyDescent="0.25">
      <c r="A226" s="202" t="s">
        <v>50</v>
      </c>
      <c r="B226" s="174">
        <v>44</v>
      </c>
      <c r="C226" s="174">
        <v>2</v>
      </c>
      <c r="D226" s="174">
        <v>120</v>
      </c>
      <c r="E226" s="174">
        <v>2</v>
      </c>
      <c r="F226" s="174">
        <v>1</v>
      </c>
      <c r="G226" s="174"/>
      <c r="H226" s="174">
        <v>19</v>
      </c>
      <c r="I226" s="174"/>
      <c r="J226" s="174">
        <v>3</v>
      </c>
      <c r="K226" s="174">
        <v>14</v>
      </c>
      <c r="L226" s="174">
        <v>20</v>
      </c>
      <c r="M226" s="174">
        <v>8</v>
      </c>
      <c r="N226" s="174"/>
      <c r="O226" s="174"/>
      <c r="P226" s="174"/>
      <c r="Q226" s="174"/>
      <c r="R226" s="174">
        <v>1</v>
      </c>
      <c r="S226" s="174"/>
      <c r="T226" s="174">
        <v>1</v>
      </c>
      <c r="U226" s="174"/>
      <c r="V226" s="174">
        <v>53</v>
      </c>
      <c r="W226" s="174"/>
      <c r="X226" s="174"/>
      <c r="Y226" s="174">
        <v>120</v>
      </c>
      <c r="Z226" s="174">
        <v>34</v>
      </c>
      <c r="AA226" s="174">
        <v>1</v>
      </c>
      <c r="AB226" s="174">
        <v>63</v>
      </c>
      <c r="AC226" s="174">
        <v>1</v>
      </c>
      <c r="AD226" s="174"/>
      <c r="AE226" s="174"/>
      <c r="AF226" s="174">
        <v>7</v>
      </c>
      <c r="AG226" s="174"/>
      <c r="AH226" s="174">
        <v>3</v>
      </c>
      <c r="AI226" s="174">
        <v>13</v>
      </c>
      <c r="AJ226" s="174">
        <v>16</v>
      </c>
      <c r="AK226" s="174">
        <v>4</v>
      </c>
      <c r="AL226" s="174"/>
      <c r="AM226" s="174"/>
      <c r="AN226" s="174"/>
      <c r="AO226" s="174"/>
      <c r="AP226" s="174">
        <v>1</v>
      </c>
      <c r="AQ226" s="174"/>
      <c r="AR226" s="174"/>
      <c r="AS226" s="174"/>
      <c r="AT226" s="174">
        <v>19</v>
      </c>
      <c r="AU226" s="174"/>
      <c r="AV226" s="174"/>
      <c r="AW226" s="174">
        <v>63</v>
      </c>
      <c r="AX226" s="205">
        <v>4526.4838709677415</v>
      </c>
      <c r="AY226" s="203"/>
      <c r="AZ226" s="203"/>
      <c r="BA226" s="203"/>
    </row>
    <row r="227" spans="1:137" x14ac:dyDescent="0.25">
      <c r="A227" s="202" t="s">
        <v>51</v>
      </c>
      <c r="B227" s="174">
        <v>1</v>
      </c>
      <c r="C227" s="174">
        <v>1</v>
      </c>
      <c r="D227" s="174">
        <v>3</v>
      </c>
      <c r="E227" s="174">
        <v>3</v>
      </c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>
        <v>3</v>
      </c>
      <c r="V227" s="174"/>
      <c r="W227" s="174"/>
      <c r="X227" s="174"/>
      <c r="Y227" s="174">
        <v>3</v>
      </c>
      <c r="Z227" s="174">
        <v>1</v>
      </c>
      <c r="AA227" s="174">
        <v>1</v>
      </c>
      <c r="AB227" s="174">
        <v>3</v>
      </c>
      <c r="AC227" s="174">
        <v>3</v>
      </c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>
        <v>3</v>
      </c>
      <c r="AT227" s="174"/>
      <c r="AU227" s="174"/>
      <c r="AV227" s="174"/>
      <c r="AW227" s="174">
        <v>3</v>
      </c>
      <c r="AX227" s="205">
        <v>4000</v>
      </c>
      <c r="AY227" s="203"/>
      <c r="AZ227" s="203"/>
      <c r="BA227" s="203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207"/>
      <c r="CH227" s="207"/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207"/>
      <c r="DF227" s="207"/>
      <c r="DG227" s="207"/>
      <c r="DH227" s="207"/>
      <c r="DI227" s="207"/>
      <c r="DJ227" s="207"/>
      <c r="DK227" s="207"/>
      <c r="DL227" s="207"/>
      <c r="DM227" s="207"/>
      <c r="DN227" s="207"/>
      <c r="DO227" s="207"/>
      <c r="DP227" s="207"/>
      <c r="DQ227" s="207"/>
      <c r="DR227" s="207"/>
      <c r="DS227" s="207"/>
      <c r="DT227" s="207"/>
      <c r="DU227" s="207"/>
      <c r="DV227" s="207"/>
      <c r="DW227" s="207"/>
      <c r="DX227" s="207"/>
      <c r="DY227" s="207"/>
      <c r="DZ227" s="207"/>
      <c r="EA227" s="207"/>
      <c r="EB227" s="207"/>
      <c r="EC227" s="207"/>
      <c r="ED227" s="207"/>
      <c r="EE227" s="207"/>
      <c r="EF227" s="207"/>
      <c r="EG227" s="207"/>
    </row>
    <row r="228" spans="1:137" x14ac:dyDescent="0.25">
      <c r="A228" s="202" t="s">
        <v>52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205"/>
      <c r="AY228" s="203"/>
      <c r="AZ228" s="203"/>
      <c r="BA228" s="203"/>
    </row>
    <row r="229" spans="1:137" x14ac:dyDescent="0.25">
      <c r="A229" s="202" t="s">
        <v>53</v>
      </c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205"/>
      <c r="AY229" s="203"/>
      <c r="AZ229" s="203"/>
      <c r="BA229" s="203"/>
    </row>
    <row r="230" spans="1:137" x14ac:dyDescent="0.25">
      <c r="A230" s="202" t="s">
        <v>54</v>
      </c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205"/>
      <c r="AY230" s="203"/>
      <c r="AZ230" s="203"/>
      <c r="BA230" s="203"/>
    </row>
    <row r="231" spans="1:137" x14ac:dyDescent="0.25">
      <c r="A231" s="201" t="s">
        <v>55</v>
      </c>
      <c r="B231" s="174">
        <f t="shared" ref="B231:AW231" si="10">SUM(B232:B246)</f>
        <v>384</v>
      </c>
      <c r="C231" s="174">
        <f t="shared" si="10"/>
        <v>88</v>
      </c>
      <c r="D231" s="174">
        <f t="shared" si="10"/>
        <v>504</v>
      </c>
      <c r="E231" s="174">
        <f t="shared" si="10"/>
        <v>136</v>
      </c>
      <c r="F231" s="174">
        <f t="shared" si="10"/>
        <v>1</v>
      </c>
      <c r="G231" s="174">
        <f t="shared" si="10"/>
        <v>2</v>
      </c>
      <c r="H231" s="174">
        <f t="shared" si="10"/>
        <v>86</v>
      </c>
      <c r="I231" s="174">
        <f t="shared" si="10"/>
        <v>1</v>
      </c>
      <c r="J231" s="174">
        <f t="shared" si="10"/>
        <v>12</v>
      </c>
      <c r="K231" s="174">
        <f t="shared" si="10"/>
        <v>28</v>
      </c>
      <c r="L231" s="174">
        <f t="shared" si="10"/>
        <v>33</v>
      </c>
      <c r="M231" s="174">
        <f t="shared" si="10"/>
        <v>19</v>
      </c>
      <c r="N231" s="174">
        <f t="shared" si="10"/>
        <v>8</v>
      </c>
      <c r="O231" s="174">
        <f t="shared" si="10"/>
        <v>11</v>
      </c>
      <c r="P231" s="174">
        <f t="shared" si="10"/>
        <v>3</v>
      </c>
      <c r="Q231" s="174">
        <f t="shared" si="10"/>
        <v>4</v>
      </c>
      <c r="R231" s="174">
        <f t="shared" si="10"/>
        <v>158</v>
      </c>
      <c r="S231" s="174">
        <f t="shared" si="10"/>
        <v>3</v>
      </c>
      <c r="T231" s="174">
        <f t="shared" si="10"/>
        <v>101</v>
      </c>
      <c r="U231" s="174">
        <f t="shared" si="10"/>
        <v>7</v>
      </c>
      <c r="V231" s="174">
        <f t="shared" si="10"/>
        <v>11</v>
      </c>
      <c r="W231" s="174">
        <f t="shared" si="10"/>
        <v>7</v>
      </c>
      <c r="X231" s="174">
        <f t="shared" si="10"/>
        <v>9</v>
      </c>
      <c r="Y231" s="174">
        <f t="shared" si="10"/>
        <v>504</v>
      </c>
      <c r="Z231" s="174">
        <f t="shared" si="10"/>
        <v>291</v>
      </c>
      <c r="AA231" s="174">
        <f t="shared" si="10"/>
        <v>79</v>
      </c>
      <c r="AB231" s="174">
        <f t="shared" si="10"/>
        <v>375</v>
      </c>
      <c r="AC231" s="174">
        <f t="shared" si="10"/>
        <v>114</v>
      </c>
      <c r="AD231" s="174">
        <f t="shared" si="10"/>
        <v>1</v>
      </c>
      <c r="AE231" s="174">
        <f t="shared" si="10"/>
        <v>1</v>
      </c>
      <c r="AF231" s="174">
        <f t="shared" si="10"/>
        <v>61</v>
      </c>
      <c r="AG231" s="174">
        <f t="shared" si="10"/>
        <v>1</v>
      </c>
      <c r="AH231" s="174">
        <f t="shared" si="10"/>
        <v>10</v>
      </c>
      <c r="AI231" s="174">
        <f t="shared" si="10"/>
        <v>16</v>
      </c>
      <c r="AJ231" s="174">
        <f t="shared" si="10"/>
        <v>25</v>
      </c>
      <c r="AK231" s="174">
        <f t="shared" si="10"/>
        <v>12</v>
      </c>
      <c r="AL231" s="174">
        <f t="shared" si="10"/>
        <v>6</v>
      </c>
      <c r="AM231" s="174">
        <f t="shared" si="10"/>
        <v>6</v>
      </c>
      <c r="AN231" s="174">
        <f t="shared" si="10"/>
        <v>3</v>
      </c>
      <c r="AO231" s="174">
        <f t="shared" si="10"/>
        <v>4</v>
      </c>
      <c r="AP231" s="174">
        <f t="shared" si="10"/>
        <v>119</v>
      </c>
      <c r="AQ231" s="174">
        <f t="shared" si="10"/>
        <v>1</v>
      </c>
      <c r="AR231" s="174">
        <f t="shared" si="10"/>
        <v>83</v>
      </c>
      <c r="AS231" s="174">
        <f t="shared" si="10"/>
        <v>6</v>
      </c>
      <c r="AT231" s="174">
        <f t="shared" si="10"/>
        <v>10</v>
      </c>
      <c r="AU231" s="174">
        <f t="shared" si="10"/>
        <v>4</v>
      </c>
      <c r="AV231" s="174">
        <f t="shared" si="10"/>
        <v>6</v>
      </c>
      <c r="AW231" s="174">
        <f t="shared" si="10"/>
        <v>375</v>
      </c>
      <c r="AX231" s="206">
        <v>1705.43</v>
      </c>
      <c r="AY231" s="156">
        <f>Z231*100/B231</f>
        <v>75.78125</v>
      </c>
      <c r="AZ231" s="185">
        <f>B231-Z231</f>
        <v>93</v>
      </c>
      <c r="BA231" s="156">
        <f>AZ231*100/B231</f>
        <v>24.21875</v>
      </c>
    </row>
    <row r="232" spans="1:137" x14ac:dyDescent="0.25">
      <c r="A232" s="202" t="s">
        <v>124</v>
      </c>
      <c r="B232" s="174">
        <v>81</v>
      </c>
      <c r="C232" s="174">
        <v>5</v>
      </c>
      <c r="D232" s="174">
        <v>87</v>
      </c>
      <c r="E232" s="174">
        <v>5</v>
      </c>
      <c r="F232" s="174"/>
      <c r="G232" s="174"/>
      <c r="H232" s="174">
        <v>16</v>
      </c>
      <c r="I232" s="174"/>
      <c r="J232" s="174">
        <v>1</v>
      </c>
      <c r="K232" s="174">
        <v>11</v>
      </c>
      <c r="L232" s="174">
        <v>2</v>
      </c>
      <c r="M232" s="174">
        <v>1</v>
      </c>
      <c r="N232" s="174">
        <v>3</v>
      </c>
      <c r="O232" s="174">
        <v>1</v>
      </c>
      <c r="P232" s="174">
        <v>1</v>
      </c>
      <c r="Q232" s="174"/>
      <c r="R232" s="174">
        <v>45</v>
      </c>
      <c r="S232" s="174">
        <v>1</v>
      </c>
      <c r="T232" s="174">
        <v>3</v>
      </c>
      <c r="U232" s="174"/>
      <c r="V232" s="174">
        <v>1</v>
      </c>
      <c r="W232" s="174">
        <v>1</v>
      </c>
      <c r="X232" s="174"/>
      <c r="Y232" s="174">
        <v>87</v>
      </c>
      <c r="Z232" s="174">
        <v>54</v>
      </c>
      <c r="AA232" s="174">
        <v>4</v>
      </c>
      <c r="AB232" s="174">
        <v>60</v>
      </c>
      <c r="AC232" s="174">
        <v>4</v>
      </c>
      <c r="AD232" s="174"/>
      <c r="AE232" s="174"/>
      <c r="AF232" s="174">
        <v>11</v>
      </c>
      <c r="AG232" s="174"/>
      <c r="AH232" s="174">
        <v>1</v>
      </c>
      <c r="AI232" s="174">
        <v>4</v>
      </c>
      <c r="AJ232" s="174">
        <v>2</v>
      </c>
      <c r="AK232" s="174"/>
      <c r="AL232" s="174">
        <v>2</v>
      </c>
      <c r="AM232" s="174">
        <v>1</v>
      </c>
      <c r="AN232" s="174">
        <v>1</v>
      </c>
      <c r="AO232" s="174"/>
      <c r="AP232" s="174">
        <v>33</v>
      </c>
      <c r="AQ232" s="174">
        <v>1</v>
      </c>
      <c r="AR232" s="174">
        <v>3</v>
      </c>
      <c r="AS232" s="174"/>
      <c r="AT232" s="174">
        <v>1</v>
      </c>
      <c r="AU232" s="174"/>
      <c r="AV232" s="174"/>
      <c r="AW232" s="174">
        <v>60</v>
      </c>
      <c r="AX232" s="205">
        <v>2803.0081818181816</v>
      </c>
      <c r="AY232" s="203"/>
      <c r="AZ232" s="203"/>
      <c r="BA232" s="203"/>
    </row>
    <row r="233" spans="1:137" x14ac:dyDescent="0.25">
      <c r="A233" s="202" t="s">
        <v>125</v>
      </c>
      <c r="B233" s="174">
        <v>16</v>
      </c>
      <c r="C233" s="174">
        <v>14</v>
      </c>
      <c r="D233" s="174">
        <v>17</v>
      </c>
      <c r="E233" s="174">
        <v>15</v>
      </c>
      <c r="F233" s="174"/>
      <c r="G233" s="174"/>
      <c r="H233" s="174">
        <v>1</v>
      </c>
      <c r="I233" s="174"/>
      <c r="J233" s="174">
        <v>5</v>
      </c>
      <c r="K233" s="174"/>
      <c r="L233" s="174"/>
      <c r="M233" s="174">
        <v>1</v>
      </c>
      <c r="N233" s="174"/>
      <c r="O233" s="174"/>
      <c r="P233" s="174"/>
      <c r="Q233" s="174">
        <v>1</v>
      </c>
      <c r="R233" s="174">
        <v>1</v>
      </c>
      <c r="S233" s="174"/>
      <c r="T233" s="174">
        <v>8</v>
      </c>
      <c r="U233" s="174"/>
      <c r="V233" s="174"/>
      <c r="W233" s="174"/>
      <c r="X233" s="174"/>
      <c r="Y233" s="174">
        <v>17</v>
      </c>
      <c r="Z233" s="174">
        <v>14</v>
      </c>
      <c r="AA233" s="174">
        <v>14</v>
      </c>
      <c r="AB233" s="174">
        <v>15</v>
      </c>
      <c r="AC233" s="174">
        <v>15</v>
      </c>
      <c r="AD233" s="174"/>
      <c r="AE233" s="174"/>
      <c r="AF233" s="174"/>
      <c r="AG233" s="174"/>
      <c r="AH233" s="174">
        <v>4</v>
      </c>
      <c r="AI233" s="174"/>
      <c r="AJ233" s="174"/>
      <c r="AK233" s="174">
        <v>1</v>
      </c>
      <c r="AL233" s="174"/>
      <c r="AM233" s="174"/>
      <c r="AN233" s="174"/>
      <c r="AO233" s="174">
        <v>1</v>
      </c>
      <c r="AP233" s="174">
        <v>1</v>
      </c>
      <c r="AQ233" s="174"/>
      <c r="AR233" s="174">
        <v>8</v>
      </c>
      <c r="AS233" s="174"/>
      <c r="AT233" s="174"/>
      <c r="AU233" s="174"/>
      <c r="AV233" s="174"/>
      <c r="AW233" s="174">
        <v>15</v>
      </c>
      <c r="AX233" s="206">
        <v>1514.1818181818182</v>
      </c>
      <c r="AY233" s="203"/>
      <c r="AZ233" s="203"/>
      <c r="BA233" s="203"/>
    </row>
    <row r="234" spans="1:137" x14ac:dyDescent="0.25">
      <c r="A234" s="202" t="s">
        <v>126</v>
      </c>
      <c r="B234" s="174">
        <v>51</v>
      </c>
      <c r="C234" s="174">
        <v>6</v>
      </c>
      <c r="D234" s="174">
        <v>72</v>
      </c>
      <c r="E234" s="174">
        <v>6</v>
      </c>
      <c r="F234" s="174"/>
      <c r="G234" s="174">
        <v>2</v>
      </c>
      <c r="H234" s="174">
        <v>14</v>
      </c>
      <c r="I234" s="174"/>
      <c r="J234" s="174">
        <v>1</v>
      </c>
      <c r="K234" s="174">
        <v>3</v>
      </c>
      <c r="L234" s="174">
        <v>5</v>
      </c>
      <c r="M234" s="174">
        <v>2</v>
      </c>
      <c r="N234" s="174"/>
      <c r="O234" s="174">
        <v>1</v>
      </c>
      <c r="P234" s="174"/>
      <c r="Q234" s="174">
        <v>2</v>
      </c>
      <c r="R234" s="174">
        <v>31</v>
      </c>
      <c r="S234" s="174"/>
      <c r="T234" s="174">
        <v>3</v>
      </c>
      <c r="U234" s="174">
        <v>1</v>
      </c>
      <c r="V234" s="174">
        <v>2</v>
      </c>
      <c r="W234" s="174"/>
      <c r="X234" s="174">
        <v>5</v>
      </c>
      <c r="Y234" s="174">
        <v>72</v>
      </c>
      <c r="Z234" s="174">
        <v>42</v>
      </c>
      <c r="AA234" s="174">
        <v>5</v>
      </c>
      <c r="AB234" s="174">
        <v>61</v>
      </c>
      <c r="AC234" s="174">
        <v>4</v>
      </c>
      <c r="AD234" s="174"/>
      <c r="AE234" s="174">
        <v>1</v>
      </c>
      <c r="AF234" s="174">
        <v>10</v>
      </c>
      <c r="AG234" s="174"/>
      <c r="AH234" s="174"/>
      <c r="AI234" s="174">
        <v>3</v>
      </c>
      <c r="AJ234" s="174">
        <v>5</v>
      </c>
      <c r="AK234" s="174">
        <v>1</v>
      </c>
      <c r="AL234" s="174"/>
      <c r="AM234" s="174">
        <v>1</v>
      </c>
      <c r="AN234" s="174"/>
      <c r="AO234" s="174">
        <v>2</v>
      </c>
      <c r="AP234" s="174">
        <v>29</v>
      </c>
      <c r="AQ234" s="174"/>
      <c r="AR234" s="174">
        <v>3</v>
      </c>
      <c r="AS234" s="174">
        <v>1</v>
      </c>
      <c r="AT234" s="174">
        <v>1</v>
      </c>
      <c r="AU234" s="174"/>
      <c r="AV234" s="174">
        <v>4</v>
      </c>
      <c r="AW234" s="174">
        <v>61</v>
      </c>
      <c r="AX234" s="156">
        <v>1504.4027777777778</v>
      </c>
      <c r="AY234" s="203"/>
      <c r="AZ234" s="203"/>
      <c r="BA234" s="203"/>
    </row>
    <row r="235" spans="1:137" x14ac:dyDescent="0.25">
      <c r="A235" s="202" t="s">
        <v>127</v>
      </c>
      <c r="B235" s="174">
        <v>28</v>
      </c>
      <c r="C235" s="174">
        <v>24</v>
      </c>
      <c r="D235" s="174">
        <v>41</v>
      </c>
      <c r="E235" s="174">
        <v>36</v>
      </c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>
        <v>2</v>
      </c>
      <c r="S235" s="174"/>
      <c r="T235" s="174">
        <v>33</v>
      </c>
      <c r="U235" s="174">
        <v>1</v>
      </c>
      <c r="V235" s="174">
        <v>3</v>
      </c>
      <c r="W235" s="174">
        <v>1</v>
      </c>
      <c r="X235" s="174">
        <v>1</v>
      </c>
      <c r="Y235" s="174">
        <v>41</v>
      </c>
      <c r="Z235" s="174">
        <v>24</v>
      </c>
      <c r="AA235" s="174">
        <v>21</v>
      </c>
      <c r="AB235" s="174">
        <v>36</v>
      </c>
      <c r="AC235" s="174">
        <v>33</v>
      </c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>
        <v>1</v>
      </c>
      <c r="AQ235" s="174"/>
      <c r="AR235" s="174">
        <v>30</v>
      </c>
      <c r="AS235" s="174">
        <v>1</v>
      </c>
      <c r="AT235" s="174">
        <v>3</v>
      </c>
      <c r="AU235" s="174"/>
      <c r="AV235" s="174">
        <v>1</v>
      </c>
      <c r="AW235" s="174">
        <v>36</v>
      </c>
      <c r="AX235" s="203">
        <v>1229.0086956521739</v>
      </c>
      <c r="AY235" s="203"/>
      <c r="AZ235" s="203"/>
      <c r="BA235" s="203"/>
    </row>
    <row r="236" spans="1:137" x14ac:dyDescent="0.25">
      <c r="A236" s="202" t="s">
        <v>103</v>
      </c>
      <c r="B236" s="174">
        <v>46</v>
      </c>
      <c r="C236" s="174">
        <v>3</v>
      </c>
      <c r="D236" s="174">
        <v>60</v>
      </c>
      <c r="E236" s="174">
        <v>4</v>
      </c>
      <c r="F236" s="174"/>
      <c r="G236" s="174"/>
      <c r="H236" s="174">
        <v>10</v>
      </c>
      <c r="I236" s="174"/>
      <c r="J236" s="174">
        <v>4</v>
      </c>
      <c r="K236" s="174"/>
      <c r="L236" s="174">
        <v>10</v>
      </c>
      <c r="M236" s="174">
        <v>10</v>
      </c>
      <c r="N236" s="174">
        <v>1</v>
      </c>
      <c r="O236" s="174"/>
      <c r="P236" s="174"/>
      <c r="Q236" s="174"/>
      <c r="R236" s="174">
        <v>21</v>
      </c>
      <c r="S236" s="174"/>
      <c r="T236" s="174">
        <v>2</v>
      </c>
      <c r="U236" s="174"/>
      <c r="V236" s="174">
        <v>1</v>
      </c>
      <c r="W236" s="174"/>
      <c r="X236" s="174">
        <v>1</v>
      </c>
      <c r="Y236" s="174">
        <v>60</v>
      </c>
      <c r="Z236" s="174">
        <v>40</v>
      </c>
      <c r="AA236" s="174">
        <v>3</v>
      </c>
      <c r="AB236" s="174">
        <v>49</v>
      </c>
      <c r="AC236" s="174">
        <v>4</v>
      </c>
      <c r="AD236" s="174"/>
      <c r="AE236" s="174"/>
      <c r="AF236" s="174">
        <v>8</v>
      </c>
      <c r="AG236" s="174"/>
      <c r="AH236" s="174">
        <v>4</v>
      </c>
      <c r="AI236" s="174"/>
      <c r="AJ236" s="174">
        <v>9</v>
      </c>
      <c r="AK236" s="174">
        <v>8</v>
      </c>
      <c r="AL236" s="174">
        <v>1</v>
      </c>
      <c r="AM236" s="174"/>
      <c r="AN236" s="174"/>
      <c r="AO236" s="174"/>
      <c r="AP236" s="174">
        <v>15</v>
      </c>
      <c r="AQ236" s="174"/>
      <c r="AR236" s="174">
        <v>2</v>
      </c>
      <c r="AS236" s="174"/>
      <c r="AT236" s="174">
        <v>1</v>
      </c>
      <c r="AU236" s="174"/>
      <c r="AV236" s="174">
        <v>1</v>
      </c>
      <c r="AW236" s="174">
        <v>49</v>
      </c>
      <c r="AX236" s="156">
        <v>3384.8684210526317</v>
      </c>
      <c r="AY236" s="203"/>
      <c r="AZ236" s="203"/>
      <c r="BA236" s="203"/>
    </row>
    <row r="237" spans="1:137" x14ac:dyDescent="0.25">
      <c r="A237" s="202" t="s">
        <v>104</v>
      </c>
      <c r="B237" s="174">
        <v>32</v>
      </c>
      <c r="C237" s="174">
        <v>6</v>
      </c>
      <c r="D237" s="174">
        <v>46</v>
      </c>
      <c r="E237" s="174">
        <v>12</v>
      </c>
      <c r="F237" s="174"/>
      <c r="G237" s="174"/>
      <c r="H237" s="174">
        <v>15</v>
      </c>
      <c r="I237" s="174"/>
      <c r="J237" s="174"/>
      <c r="K237" s="174">
        <v>3</v>
      </c>
      <c r="L237" s="174">
        <v>10</v>
      </c>
      <c r="M237" s="174">
        <v>1</v>
      </c>
      <c r="N237" s="174"/>
      <c r="O237" s="174">
        <v>3</v>
      </c>
      <c r="P237" s="174">
        <v>1</v>
      </c>
      <c r="Q237" s="174"/>
      <c r="R237" s="174">
        <v>4</v>
      </c>
      <c r="S237" s="174"/>
      <c r="T237" s="174">
        <v>8</v>
      </c>
      <c r="U237" s="174"/>
      <c r="V237" s="174"/>
      <c r="W237" s="174">
        <v>1</v>
      </c>
      <c r="X237" s="174"/>
      <c r="Y237" s="174">
        <v>46</v>
      </c>
      <c r="Z237" s="174">
        <v>26</v>
      </c>
      <c r="AA237" s="174">
        <v>6</v>
      </c>
      <c r="AB237" s="174">
        <v>36</v>
      </c>
      <c r="AC237" s="174">
        <v>12</v>
      </c>
      <c r="AD237" s="174"/>
      <c r="AE237" s="174"/>
      <c r="AF237" s="174">
        <v>13</v>
      </c>
      <c r="AG237" s="174"/>
      <c r="AH237" s="174"/>
      <c r="AI237" s="174">
        <v>1</v>
      </c>
      <c r="AJ237" s="174">
        <v>6</v>
      </c>
      <c r="AK237" s="174"/>
      <c r="AL237" s="174"/>
      <c r="AM237" s="174">
        <v>3</v>
      </c>
      <c r="AN237" s="174">
        <v>1</v>
      </c>
      <c r="AO237" s="174"/>
      <c r="AP237" s="174">
        <v>3</v>
      </c>
      <c r="AQ237" s="174"/>
      <c r="AR237" s="174">
        <v>8</v>
      </c>
      <c r="AS237" s="174"/>
      <c r="AT237" s="174"/>
      <c r="AU237" s="174">
        <v>1</v>
      </c>
      <c r="AV237" s="174"/>
      <c r="AW237" s="174">
        <v>36</v>
      </c>
      <c r="AX237" s="156">
        <v>2270.6895652173912</v>
      </c>
      <c r="AY237" s="203"/>
      <c r="AZ237" s="203"/>
      <c r="BA237" s="203"/>
    </row>
    <row r="238" spans="1:137" x14ac:dyDescent="0.25">
      <c r="A238" s="202" t="s">
        <v>105</v>
      </c>
      <c r="B238" s="174">
        <v>3</v>
      </c>
      <c r="C238" s="174">
        <v>1</v>
      </c>
      <c r="D238" s="174">
        <v>3</v>
      </c>
      <c r="E238" s="174">
        <v>1</v>
      </c>
      <c r="F238" s="174"/>
      <c r="G238" s="174"/>
      <c r="H238" s="174">
        <v>1</v>
      </c>
      <c r="I238" s="174"/>
      <c r="J238" s="174"/>
      <c r="K238" s="174"/>
      <c r="L238" s="174"/>
      <c r="M238" s="174"/>
      <c r="N238" s="174"/>
      <c r="O238" s="174"/>
      <c r="P238" s="174"/>
      <c r="Q238" s="174"/>
      <c r="R238" s="174">
        <v>2</v>
      </c>
      <c r="S238" s="174"/>
      <c r="T238" s="174"/>
      <c r="U238" s="174"/>
      <c r="V238" s="174"/>
      <c r="W238" s="174"/>
      <c r="X238" s="174"/>
      <c r="Y238" s="174">
        <v>3</v>
      </c>
      <c r="Z238" s="174">
        <v>2</v>
      </c>
      <c r="AA238" s="174">
        <v>1</v>
      </c>
      <c r="AB238" s="174">
        <v>2</v>
      </c>
      <c r="AC238" s="174">
        <v>1</v>
      </c>
      <c r="AD238" s="174"/>
      <c r="AE238" s="174"/>
      <c r="AF238" s="174">
        <v>1</v>
      </c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>
        <v>1</v>
      </c>
      <c r="AQ238" s="174"/>
      <c r="AR238" s="174"/>
      <c r="AS238" s="174"/>
      <c r="AT238" s="174"/>
      <c r="AU238" s="174"/>
      <c r="AV238" s="174"/>
      <c r="AW238" s="174">
        <v>2</v>
      </c>
      <c r="AX238" s="205">
        <v>1166</v>
      </c>
      <c r="AY238" s="203"/>
      <c r="AZ238" s="203"/>
      <c r="BA238" s="203"/>
    </row>
    <row r="239" spans="1:137" x14ac:dyDescent="0.25">
      <c r="A239" s="202" t="s">
        <v>106</v>
      </c>
      <c r="B239" s="174">
        <v>65</v>
      </c>
      <c r="C239" s="174">
        <v>7</v>
      </c>
      <c r="D239" s="174">
        <v>72</v>
      </c>
      <c r="E239" s="174">
        <v>7</v>
      </c>
      <c r="F239" s="174"/>
      <c r="G239" s="174"/>
      <c r="H239" s="174">
        <v>11</v>
      </c>
      <c r="I239" s="174"/>
      <c r="J239" s="174">
        <v>1</v>
      </c>
      <c r="K239" s="174">
        <v>3</v>
      </c>
      <c r="L239" s="174">
        <v>4</v>
      </c>
      <c r="M239" s="174">
        <v>1</v>
      </c>
      <c r="N239" s="174">
        <v>2</v>
      </c>
      <c r="O239" s="174">
        <v>3</v>
      </c>
      <c r="P239" s="174"/>
      <c r="Q239" s="174">
        <v>1</v>
      </c>
      <c r="R239" s="174">
        <v>36</v>
      </c>
      <c r="S239" s="174">
        <v>1</v>
      </c>
      <c r="T239" s="174">
        <v>1</v>
      </c>
      <c r="U239" s="174">
        <v>2</v>
      </c>
      <c r="V239" s="174">
        <v>2</v>
      </c>
      <c r="W239" s="174">
        <v>4</v>
      </c>
      <c r="X239" s="174"/>
      <c r="Y239" s="174">
        <v>72</v>
      </c>
      <c r="Z239" s="174">
        <v>46</v>
      </c>
      <c r="AA239" s="174">
        <v>6</v>
      </c>
      <c r="AB239" s="174">
        <v>47</v>
      </c>
      <c r="AC239" s="174">
        <v>6</v>
      </c>
      <c r="AD239" s="174"/>
      <c r="AE239" s="174"/>
      <c r="AF239" s="174">
        <v>8</v>
      </c>
      <c r="AG239" s="174"/>
      <c r="AH239" s="174">
        <v>1</v>
      </c>
      <c r="AI239" s="174">
        <v>2</v>
      </c>
      <c r="AJ239" s="174">
        <v>3</v>
      </c>
      <c r="AK239" s="174">
        <v>1</v>
      </c>
      <c r="AL239" s="174">
        <v>1</v>
      </c>
      <c r="AM239" s="174">
        <v>1</v>
      </c>
      <c r="AN239" s="174"/>
      <c r="AO239" s="174">
        <v>1</v>
      </c>
      <c r="AP239" s="174">
        <v>22</v>
      </c>
      <c r="AQ239" s="174"/>
      <c r="AR239" s="174">
        <v>1</v>
      </c>
      <c r="AS239" s="174">
        <v>1</v>
      </c>
      <c r="AT239" s="174">
        <v>2</v>
      </c>
      <c r="AU239" s="174">
        <v>3</v>
      </c>
      <c r="AV239" s="174"/>
      <c r="AW239" s="174">
        <v>47</v>
      </c>
      <c r="AX239" s="205">
        <v>2200.135135135135</v>
      </c>
      <c r="AY239" s="203"/>
      <c r="AZ239" s="203"/>
      <c r="BA239" s="203"/>
    </row>
    <row r="240" spans="1:137" x14ac:dyDescent="0.25">
      <c r="A240" s="202" t="s">
        <v>107</v>
      </c>
      <c r="B240" s="174">
        <v>13</v>
      </c>
      <c r="C240" s="174">
        <v>11</v>
      </c>
      <c r="D240" s="174">
        <v>44</v>
      </c>
      <c r="E240" s="174">
        <v>39</v>
      </c>
      <c r="F240" s="174"/>
      <c r="G240" s="174"/>
      <c r="H240" s="174">
        <v>4</v>
      </c>
      <c r="I240" s="174"/>
      <c r="J240" s="174"/>
      <c r="K240" s="174"/>
      <c r="L240" s="174"/>
      <c r="M240" s="174"/>
      <c r="N240" s="174"/>
      <c r="O240" s="174"/>
      <c r="P240" s="174"/>
      <c r="Q240" s="174"/>
      <c r="R240" s="174">
        <v>1</v>
      </c>
      <c r="S240" s="174"/>
      <c r="T240" s="174">
        <v>36</v>
      </c>
      <c r="U240" s="174">
        <v>1</v>
      </c>
      <c r="V240" s="174">
        <v>1</v>
      </c>
      <c r="W240" s="174"/>
      <c r="X240" s="174">
        <v>1</v>
      </c>
      <c r="Y240" s="174">
        <v>44</v>
      </c>
      <c r="Z240" s="174">
        <v>9</v>
      </c>
      <c r="AA240" s="174">
        <v>9</v>
      </c>
      <c r="AB240" s="174">
        <v>25</v>
      </c>
      <c r="AC240" s="174">
        <v>25</v>
      </c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>
        <v>1</v>
      </c>
      <c r="AQ240" s="174"/>
      <c r="AR240" s="174">
        <v>22</v>
      </c>
      <c r="AS240" s="174">
        <v>1</v>
      </c>
      <c r="AT240" s="174">
        <v>1</v>
      </c>
      <c r="AU240" s="174"/>
      <c r="AV240" s="174"/>
      <c r="AW240" s="174">
        <v>25</v>
      </c>
      <c r="AX240" s="205">
        <v>1143.3325</v>
      </c>
      <c r="AY240" s="203"/>
      <c r="AZ240" s="203"/>
      <c r="BA240" s="203"/>
    </row>
    <row r="241" spans="1:53" x14ac:dyDescent="0.25">
      <c r="A241" s="202" t="s">
        <v>108</v>
      </c>
      <c r="B241" s="174">
        <v>15</v>
      </c>
      <c r="C241" s="174">
        <v>1</v>
      </c>
      <c r="D241" s="174">
        <v>18</v>
      </c>
      <c r="E241" s="174">
        <v>1</v>
      </c>
      <c r="F241" s="174">
        <v>1</v>
      </c>
      <c r="G241" s="174"/>
      <c r="H241" s="174">
        <v>7</v>
      </c>
      <c r="I241" s="174"/>
      <c r="J241" s="174"/>
      <c r="K241" s="174">
        <v>2</v>
      </c>
      <c r="L241" s="174"/>
      <c r="M241" s="174">
        <v>3</v>
      </c>
      <c r="N241" s="174"/>
      <c r="O241" s="174"/>
      <c r="P241" s="174"/>
      <c r="Q241" s="174"/>
      <c r="R241" s="174">
        <v>4</v>
      </c>
      <c r="S241" s="174">
        <v>1</v>
      </c>
      <c r="T241" s="174"/>
      <c r="U241" s="174"/>
      <c r="V241" s="174"/>
      <c r="W241" s="174"/>
      <c r="X241" s="174"/>
      <c r="Y241" s="174">
        <v>18</v>
      </c>
      <c r="Z241" s="174">
        <v>11</v>
      </c>
      <c r="AA241" s="174">
        <v>1</v>
      </c>
      <c r="AB241" s="174">
        <v>13</v>
      </c>
      <c r="AC241" s="174">
        <v>1</v>
      </c>
      <c r="AD241" s="174">
        <v>1</v>
      </c>
      <c r="AE241" s="174"/>
      <c r="AF241" s="174">
        <v>5</v>
      </c>
      <c r="AG241" s="174"/>
      <c r="AH241" s="174"/>
      <c r="AI241" s="174">
        <v>2</v>
      </c>
      <c r="AJ241" s="174"/>
      <c r="AK241" s="174">
        <v>1</v>
      </c>
      <c r="AL241" s="174"/>
      <c r="AM241" s="174"/>
      <c r="AN241" s="174"/>
      <c r="AO241" s="174"/>
      <c r="AP241" s="174">
        <v>4</v>
      </c>
      <c r="AQ241" s="174"/>
      <c r="AR241" s="174"/>
      <c r="AS241" s="174"/>
      <c r="AT241" s="174"/>
      <c r="AU241" s="174"/>
      <c r="AV241" s="174"/>
      <c r="AW241" s="174">
        <v>13</v>
      </c>
      <c r="AX241" s="205">
        <v>1835.6363636363637</v>
      </c>
      <c r="AY241" s="203"/>
      <c r="AZ241" s="203"/>
      <c r="BA241" s="203"/>
    </row>
    <row r="242" spans="1:53" x14ac:dyDescent="0.25">
      <c r="A242" s="202" t="s">
        <v>109</v>
      </c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205"/>
      <c r="AY242" s="203"/>
      <c r="AZ242" s="203"/>
      <c r="BA242" s="203"/>
    </row>
    <row r="243" spans="1:53" x14ac:dyDescent="0.25">
      <c r="A243" s="202" t="s">
        <v>110</v>
      </c>
      <c r="B243" s="174">
        <v>1</v>
      </c>
      <c r="C243" s="174">
        <v>1</v>
      </c>
      <c r="D243" s="174">
        <v>1</v>
      </c>
      <c r="E243" s="174">
        <v>1</v>
      </c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>
        <v>1</v>
      </c>
      <c r="S243" s="174"/>
      <c r="T243" s="174"/>
      <c r="U243" s="174"/>
      <c r="V243" s="174"/>
      <c r="W243" s="174"/>
      <c r="X243" s="174"/>
      <c r="Y243" s="174">
        <v>1</v>
      </c>
      <c r="Z243" s="174">
        <v>1</v>
      </c>
      <c r="AA243" s="174">
        <v>1</v>
      </c>
      <c r="AB243" s="174">
        <v>1</v>
      </c>
      <c r="AC243" s="174">
        <v>1</v>
      </c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>
        <v>1</v>
      </c>
      <c r="AQ243" s="174"/>
      <c r="AR243" s="174"/>
      <c r="AS243" s="174"/>
      <c r="AT243" s="174"/>
      <c r="AU243" s="174"/>
      <c r="AV243" s="174"/>
      <c r="AW243" s="174">
        <v>1</v>
      </c>
      <c r="AX243" s="205">
        <v>264</v>
      </c>
      <c r="AY243" s="203"/>
      <c r="AZ243" s="203"/>
      <c r="BA243" s="203"/>
    </row>
    <row r="244" spans="1:53" x14ac:dyDescent="0.25">
      <c r="A244" s="202" t="s">
        <v>111</v>
      </c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74"/>
      <c r="AS244" s="174"/>
      <c r="AT244" s="174"/>
      <c r="AU244" s="174"/>
      <c r="AV244" s="174"/>
      <c r="AW244" s="174"/>
      <c r="AX244" s="205"/>
      <c r="AY244" s="203"/>
      <c r="AZ244" s="203"/>
      <c r="BA244" s="203"/>
    </row>
    <row r="245" spans="1:53" x14ac:dyDescent="0.25">
      <c r="A245" s="202" t="s">
        <v>112</v>
      </c>
      <c r="B245" s="174">
        <v>26</v>
      </c>
      <c r="C245" s="174">
        <v>8</v>
      </c>
      <c r="D245" s="174">
        <v>36</v>
      </c>
      <c r="E245" s="174">
        <v>8</v>
      </c>
      <c r="F245" s="174"/>
      <c r="G245" s="174"/>
      <c r="H245" s="174">
        <v>5</v>
      </c>
      <c r="I245" s="174"/>
      <c r="J245" s="174"/>
      <c r="K245" s="174">
        <v>6</v>
      </c>
      <c r="L245" s="174">
        <v>1</v>
      </c>
      <c r="M245" s="174"/>
      <c r="N245" s="174">
        <v>2</v>
      </c>
      <c r="O245" s="174">
        <v>3</v>
      </c>
      <c r="P245" s="174">
        <v>1</v>
      </c>
      <c r="Q245" s="174"/>
      <c r="R245" s="174">
        <v>8</v>
      </c>
      <c r="S245" s="174"/>
      <c r="T245" s="174">
        <v>7</v>
      </c>
      <c r="U245" s="174">
        <v>2</v>
      </c>
      <c r="V245" s="174">
        <v>1</v>
      </c>
      <c r="W245" s="174"/>
      <c r="X245" s="174"/>
      <c r="Y245" s="174">
        <v>36</v>
      </c>
      <c r="Z245" s="174">
        <v>17</v>
      </c>
      <c r="AA245" s="174">
        <v>7</v>
      </c>
      <c r="AB245" s="174">
        <v>25</v>
      </c>
      <c r="AC245" s="174">
        <v>7</v>
      </c>
      <c r="AD245" s="174"/>
      <c r="AE245" s="174"/>
      <c r="AF245" s="174">
        <v>3</v>
      </c>
      <c r="AG245" s="174"/>
      <c r="AH245" s="174"/>
      <c r="AI245" s="174">
        <v>4</v>
      </c>
      <c r="AJ245" s="174"/>
      <c r="AK245" s="174"/>
      <c r="AL245" s="174">
        <v>2</v>
      </c>
      <c r="AM245" s="174"/>
      <c r="AN245" s="174">
        <v>1</v>
      </c>
      <c r="AO245" s="174"/>
      <c r="AP245" s="174">
        <v>6</v>
      </c>
      <c r="AQ245" s="174"/>
      <c r="AR245" s="174">
        <v>6</v>
      </c>
      <c r="AS245" s="174">
        <v>2</v>
      </c>
      <c r="AT245" s="174">
        <v>1</v>
      </c>
      <c r="AU245" s="174"/>
      <c r="AV245" s="174"/>
      <c r="AW245" s="174">
        <v>25</v>
      </c>
      <c r="AX245" s="156">
        <v>1376.1785714285713</v>
      </c>
      <c r="AY245" s="203"/>
      <c r="AZ245" s="203"/>
      <c r="BA245" s="203"/>
    </row>
    <row r="246" spans="1:53" x14ac:dyDescent="0.25">
      <c r="A246" s="202" t="s">
        <v>113</v>
      </c>
      <c r="B246" s="174">
        <v>7</v>
      </c>
      <c r="C246" s="174">
        <v>1</v>
      </c>
      <c r="D246" s="174">
        <v>7</v>
      </c>
      <c r="E246" s="174">
        <v>1</v>
      </c>
      <c r="F246" s="174"/>
      <c r="G246" s="174"/>
      <c r="H246" s="174">
        <v>2</v>
      </c>
      <c r="I246" s="174">
        <v>1</v>
      </c>
      <c r="J246" s="174"/>
      <c r="K246" s="174"/>
      <c r="L246" s="174">
        <v>1</v>
      </c>
      <c r="M246" s="174"/>
      <c r="N246" s="174"/>
      <c r="O246" s="174"/>
      <c r="P246" s="174"/>
      <c r="Q246" s="174"/>
      <c r="R246" s="174">
        <v>2</v>
      </c>
      <c r="S246" s="174"/>
      <c r="T246" s="174"/>
      <c r="U246" s="174"/>
      <c r="V246" s="174"/>
      <c r="W246" s="174"/>
      <c r="X246" s="174">
        <v>1</v>
      </c>
      <c r="Y246" s="174">
        <v>7</v>
      </c>
      <c r="Z246" s="174">
        <v>5</v>
      </c>
      <c r="AA246" s="174">
        <v>1</v>
      </c>
      <c r="AB246" s="174">
        <v>5</v>
      </c>
      <c r="AC246" s="174">
        <v>1</v>
      </c>
      <c r="AD246" s="174"/>
      <c r="AE246" s="174"/>
      <c r="AF246" s="174">
        <v>2</v>
      </c>
      <c r="AG246" s="174">
        <v>1</v>
      </c>
      <c r="AH246" s="174"/>
      <c r="AI246" s="174"/>
      <c r="AJ246" s="174"/>
      <c r="AK246" s="174"/>
      <c r="AL246" s="174"/>
      <c r="AM246" s="174"/>
      <c r="AN246" s="174"/>
      <c r="AO246" s="174"/>
      <c r="AP246" s="174">
        <v>2</v>
      </c>
      <c r="AQ246" s="174"/>
      <c r="AR246" s="174"/>
      <c r="AS246" s="174"/>
      <c r="AT246" s="174"/>
      <c r="AU246" s="174"/>
      <c r="AV246" s="174"/>
      <c r="AW246" s="174">
        <v>5</v>
      </c>
      <c r="AX246" s="156">
        <v>1479.2</v>
      </c>
      <c r="AY246" s="203"/>
      <c r="AZ246" s="203"/>
      <c r="BA246" s="203"/>
    </row>
    <row r="247" spans="1:53" s="113" customFormat="1" x14ac:dyDescent="0.25">
      <c r="A247" s="177" t="s">
        <v>56</v>
      </c>
      <c r="B247" s="113">
        <f>SUM(B6+B26+B44+B63+B73+B94+B178+B181+B195+B223+B231)</f>
        <v>2957</v>
      </c>
      <c r="C247" s="113">
        <f t="shared" ref="C247:AW247" si="11">SUM(C6+C26+C44+C63+C73+C94+C178+C181+C195+C223+C231)</f>
        <v>519</v>
      </c>
      <c r="D247" s="113">
        <f t="shared" si="11"/>
        <v>11742</v>
      </c>
      <c r="E247" s="113">
        <f t="shared" si="11"/>
        <v>2697</v>
      </c>
      <c r="F247" s="113">
        <f t="shared" si="11"/>
        <v>2</v>
      </c>
      <c r="G247" s="113">
        <f t="shared" si="11"/>
        <v>12</v>
      </c>
      <c r="H247" s="113">
        <f t="shared" si="11"/>
        <v>3812</v>
      </c>
      <c r="I247" s="113">
        <f t="shared" si="11"/>
        <v>12</v>
      </c>
      <c r="J247" s="113">
        <f t="shared" si="11"/>
        <v>86</v>
      </c>
      <c r="K247" s="113">
        <f t="shared" si="11"/>
        <v>532</v>
      </c>
      <c r="L247" s="113">
        <f t="shared" si="11"/>
        <v>745</v>
      </c>
      <c r="M247" s="113">
        <f t="shared" si="11"/>
        <v>107</v>
      </c>
      <c r="N247" s="113">
        <f t="shared" si="11"/>
        <v>448</v>
      </c>
      <c r="O247" s="113">
        <f t="shared" si="11"/>
        <v>128</v>
      </c>
      <c r="P247" s="113">
        <f t="shared" si="11"/>
        <v>152</v>
      </c>
      <c r="Q247" s="113">
        <f t="shared" si="11"/>
        <v>18</v>
      </c>
      <c r="R247" s="113">
        <f t="shared" si="11"/>
        <v>307</v>
      </c>
      <c r="S247" s="113">
        <f t="shared" si="11"/>
        <v>66</v>
      </c>
      <c r="T247" s="113">
        <f t="shared" si="11"/>
        <v>598</v>
      </c>
      <c r="U247" s="113">
        <f t="shared" si="11"/>
        <v>667</v>
      </c>
      <c r="V247" s="113">
        <f t="shared" si="11"/>
        <v>2997</v>
      </c>
      <c r="W247" s="113">
        <f t="shared" si="11"/>
        <v>102</v>
      </c>
      <c r="X247" s="113">
        <f t="shared" si="11"/>
        <v>951</v>
      </c>
      <c r="Y247" s="113">
        <f t="shared" si="11"/>
        <v>11742</v>
      </c>
      <c r="Z247" s="113">
        <f t="shared" si="11"/>
        <v>1940</v>
      </c>
      <c r="AA247" s="113">
        <f t="shared" si="11"/>
        <v>374</v>
      </c>
      <c r="AB247" s="113">
        <f t="shared" si="11"/>
        <v>7611</v>
      </c>
      <c r="AC247" s="113">
        <f t="shared" si="11"/>
        <v>1843</v>
      </c>
      <c r="AD247" s="113">
        <f t="shared" si="11"/>
        <v>1</v>
      </c>
      <c r="AE247" s="113">
        <f t="shared" si="11"/>
        <v>6</v>
      </c>
      <c r="AF247" s="113">
        <f t="shared" si="11"/>
        <v>2616</v>
      </c>
      <c r="AG247" s="113">
        <f t="shared" si="11"/>
        <v>8</v>
      </c>
      <c r="AH247" s="113">
        <f t="shared" si="11"/>
        <v>68</v>
      </c>
      <c r="AI247" s="113">
        <f t="shared" si="11"/>
        <v>343</v>
      </c>
      <c r="AJ247" s="113">
        <f t="shared" si="11"/>
        <v>419</v>
      </c>
      <c r="AK247" s="113">
        <f t="shared" si="11"/>
        <v>62</v>
      </c>
      <c r="AL247" s="113">
        <f t="shared" si="11"/>
        <v>257</v>
      </c>
      <c r="AM247" s="113">
        <f t="shared" si="11"/>
        <v>81</v>
      </c>
      <c r="AN247" s="113">
        <f t="shared" si="11"/>
        <v>127</v>
      </c>
      <c r="AO247" s="113">
        <f t="shared" si="11"/>
        <v>15</v>
      </c>
      <c r="AP247" s="113">
        <f t="shared" si="11"/>
        <v>197</v>
      </c>
      <c r="AQ247" s="113">
        <f t="shared" si="11"/>
        <v>42</v>
      </c>
      <c r="AR247" s="113">
        <f t="shared" si="11"/>
        <v>361</v>
      </c>
      <c r="AS247" s="113">
        <f t="shared" si="11"/>
        <v>441</v>
      </c>
      <c r="AT247" s="113">
        <f t="shared" si="11"/>
        <v>2108</v>
      </c>
      <c r="AU247" s="113">
        <f t="shared" si="11"/>
        <v>48</v>
      </c>
      <c r="AV247" s="113">
        <f t="shared" si="11"/>
        <v>409</v>
      </c>
      <c r="AW247" s="113">
        <f t="shared" si="11"/>
        <v>7611</v>
      </c>
      <c r="AX247" s="210">
        <v>2763.39</v>
      </c>
      <c r="AY247" s="156">
        <f>Z247*100/B247</f>
        <v>65.607034156239436</v>
      </c>
      <c r="AZ247" s="185">
        <f>B247-Z247</f>
        <v>1017</v>
      </c>
      <c r="BA247" s="156">
        <f>AZ247*100/B247</f>
        <v>34.392965843760571</v>
      </c>
    </row>
  </sheetData>
  <autoFilter ref="A5:FG247" xr:uid="{9AE87EB8-E15C-48FB-AAAB-0E546E3A1C06}">
    <filterColumn colId="49">
      <colorFilter dxfId="1"/>
    </filterColumn>
    <sortState ref="A6:FG222">
      <sortCondition ref="A6:A222" customList="1.1,1.2,1.3,1.4"/>
    </sortState>
  </autoFilter>
  <mergeCells count="4">
    <mergeCell ref="B4:C4"/>
    <mergeCell ref="D4:Y4"/>
    <mergeCell ref="Z4:AA4"/>
    <mergeCell ref="AB4:AW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F260"/>
  <sheetViews>
    <sheetView workbookViewId="0">
      <pane ySplit="5" topLeftCell="A6" activePane="bottomLeft" state="frozen"/>
      <selection activeCell="Y39" sqref="Y39"/>
      <selection pane="bottomLeft" activeCell="B11" sqref="B11"/>
    </sheetView>
  </sheetViews>
  <sheetFormatPr defaultRowHeight="15" x14ac:dyDescent="0.25"/>
  <cols>
    <col min="1" max="1" width="74.42578125" bestFit="1" customWidth="1"/>
    <col min="2" max="2" width="11.7109375" style="24" customWidth="1"/>
    <col min="3" max="3" width="8.7109375" style="1" customWidth="1"/>
    <col min="4" max="4" width="10.7109375" style="1" customWidth="1"/>
    <col min="5" max="5" width="9" style="1" customWidth="1"/>
    <col min="6" max="6" width="6.85546875" style="1" customWidth="1"/>
    <col min="7" max="7" width="9.140625" style="1" customWidth="1"/>
    <col min="8" max="8" width="6.42578125" style="1" customWidth="1"/>
    <col min="9" max="9" width="4.7109375" style="1" customWidth="1"/>
    <col min="10" max="10" width="6.42578125" style="1" customWidth="1"/>
    <col min="11" max="11" width="6.28515625" style="1" customWidth="1"/>
    <col min="12" max="12" width="6" style="1" customWidth="1"/>
    <col min="13" max="13" width="4.7109375" style="1" customWidth="1"/>
    <col min="14" max="14" width="7" style="1" customWidth="1"/>
    <col min="15" max="15" width="5.42578125" style="1" customWidth="1"/>
    <col min="16" max="16" width="6.42578125" style="1" customWidth="1"/>
    <col min="17" max="17" width="7" style="1" customWidth="1"/>
    <col min="18" max="18" width="5.42578125" style="1" customWidth="1"/>
    <col min="19" max="19" width="6.7109375" style="1" customWidth="1"/>
    <col min="20" max="20" width="6.85546875" style="1" customWidth="1"/>
    <col min="21" max="22" width="6.7109375" style="1" customWidth="1"/>
    <col min="23" max="23" width="7.85546875" style="1" customWidth="1"/>
    <col min="24" max="24" width="7.28515625" style="1" customWidth="1"/>
    <col min="25" max="25" width="6.42578125" style="1" customWidth="1"/>
    <col min="26" max="26" width="9.140625" style="1" customWidth="1"/>
    <col min="27" max="27" width="10.85546875" style="1" customWidth="1"/>
    <col min="28" max="28" width="7.140625" style="1" customWidth="1"/>
    <col min="29" max="29" width="10.7109375" style="1" customWidth="1"/>
    <col min="30" max="31" width="6.5703125" style="1" customWidth="1"/>
    <col min="32" max="32" width="5.42578125" style="1" customWidth="1"/>
    <col min="33" max="33" width="6.7109375" style="1" customWidth="1"/>
    <col min="34" max="34" width="6.42578125" style="1" customWidth="1"/>
    <col min="35" max="35" width="6.28515625" style="1" customWidth="1"/>
    <col min="36" max="36" width="5.42578125" style="1" customWidth="1"/>
    <col min="37" max="37" width="6.7109375" style="1" customWidth="1"/>
    <col min="38" max="38" width="6" style="1" customWidth="1"/>
    <col min="39" max="39" width="6.140625" style="1" customWidth="1"/>
    <col min="40" max="40" width="6.42578125" style="1" customWidth="1"/>
    <col min="41" max="41" width="6.28515625" style="1" customWidth="1"/>
    <col min="42" max="42" width="7.140625" style="1" customWidth="1"/>
    <col min="43" max="46" width="6.7109375" style="1" customWidth="1"/>
    <col min="47" max="47" width="6.5703125" style="1" customWidth="1"/>
    <col min="48" max="48" width="5.42578125" style="1" customWidth="1"/>
    <col min="49" max="49" width="6.7109375" style="1" customWidth="1"/>
    <col min="50" max="50" width="29.85546875" style="22" customWidth="1"/>
    <col min="51" max="51" width="14.7109375" customWidth="1"/>
    <col min="52" max="52" width="14.85546875" customWidth="1"/>
    <col min="53" max="68" width="8.85546875" customWidth="1"/>
    <col min="69" max="70" width="9.28515625" customWidth="1"/>
    <col min="71" max="71" width="11.28515625" customWidth="1"/>
    <col min="72" max="135" width="8.85546875" customWidth="1"/>
  </cols>
  <sheetData>
    <row r="2" spans="1:136" x14ac:dyDescent="0.25">
      <c r="D2" s="25"/>
      <c r="AC2" s="25"/>
    </row>
    <row r="3" spans="1:136" x14ac:dyDescent="0.25">
      <c r="A3" s="114" t="s">
        <v>57</v>
      </c>
      <c r="B3" s="119" t="s">
        <v>0</v>
      </c>
      <c r="C3" s="120"/>
      <c r="D3" s="137" t="s">
        <v>1</v>
      </c>
      <c r="E3" s="138"/>
      <c r="F3" s="141" t="s">
        <v>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4"/>
      <c r="Z3" s="135" t="s">
        <v>2</v>
      </c>
      <c r="AA3" s="136"/>
      <c r="AB3" s="26" t="s">
        <v>3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8"/>
      <c r="AW3" s="6"/>
      <c r="AX3" s="29"/>
    </row>
    <row r="4" spans="1:136" x14ac:dyDescent="0.25">
      <c r="A4" s="114"/>
      <c r="B4" s="121"/>
      <c r="C4" s="122"/>
      <c r="D4" s="139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4"/>
      <c r="Z4" s="130"/>
      <c r="AA4" s="131"/>
      <c r="AB4" s="6"/>
      <c r="AC4" s="6"/>
      <c r="AD4" s="132" t="s">
        <v>4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4"/>
      <c r="AW4" s="6"/>
      <c r="AX4" s="29"/>
    </row>
    <row r="5" spans="1:136" s="39" customFormat="1" ht="75" x14ac:dyDescent="0.25">
      <c r="A5" s="115"/>
      <c r="B5" s="30" t="s">
        <v>5</v>
      </c>
      <c r="C5" s="31" t="s">
        <v>6</v>
      </c>
      <c r="D5" s="32" t="s">
        <v>7</v>
      </c>
      <c r="E5" s="33" t="s">
        <v>6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  <c r="L5" s="32" t="s">
        <v>14</v>
      </c>
      <c r="M5" s="32" t="s">
        <v>15</v>
      </c>
      <c r="N5" s="32" t="s">
        <v>16</v>
      </c>
      <c r="O5" s="32" t="s">
        <v>17</v>
      </c>
      <c r="P5" s="32" t="s">
        <v>18</v>
      </c>
      <c r="Q5" s="32" t="s">
        <v>19</v>
      </c>
      <c r="R5" s="32" t="s">
        <v>20</v>
      </c>
      <c r="S5" s="32" t="s">
        <v>21</v>
      </c>
      <c r="T5" s="32" t="s">
        <v>22</v>
      </c>
      <c r="U5" s="32" t="s">
        <v>23</v>
      </c>
      <c r="V5" s="32" t="s">
        <v>24</v>
      </c>
      <c r="W5" s="32" t="s">
        <v>25</v>
      </c>
      <c r="X5" s="32" t="s">
        <v>26</v>
      </c>
      <c r="Y5" s="32"/>
      <c r="Z5" s="34" t="s">
        <v>5</v>
      </c>
      <c r="AA5" s="35" t="s">
        <v>27</v>
      </c>
      <c r="AB5" s="36" t="s">
        <v>7</v>
      </c>
      <c r="AC5" s="37" t="s">
        <v>6</v>
      </c>
      <c r="AD5" s="36" t="s">
        <v>8</v>
      </c>
      <c r="AE5" s="36" t="s">
        <v>9</v>
      </c>
      <c r="AF5" s="36" t="s">
        <v>10</v>
      </c>
      <c r="AG5" s="36" t="s">
        <v>11</v>
      </c>
      <c r="AH5" s="36" t="s">
        <v>12</v>
      </c>
      <c r="AI5" s="36" t="s">
        <v>13</v>
      </c>
      <c r="AJ5" s="36" t="s">
        <v>14</v>
      </c>
      <c r="AK5" s="36" t="s">
        <v>15</v>
      </c>
      <c r="AL5" s="36" t="s">
        <v>16</v>
      </c>
      <c r="AM5" s="36" t="s">
        <v>17</v>
      </c>
      <c r="AN5" s="36" t="s">
        <v>18</v>
      </c>
      <c r="AO5" s="36" t="s">
        <v>19</v>
      </c>
      <c r="AP5" s="36" t="s">
        <v>20</v>
      </c>
      <c r="AQ5" s="36" t="s">
        <v>21</v>
      </c>
      <c r="AR5" s="36" t="s">
        <v>22</v>
      </c>
      <c r="AS5" s="36" t="s">
        <v>23</v>
      </c>
      <c r="AT5" s="36" t="s">
        <v>24</v>
      </c>
      <c r="AU5" s="36" t="s">
        <v>25</v>
      </c>
      <c r="AV5" s="36" t="s">
        <v>26</v>
      </c>
      <c r="AW5" s="36"/>
      <c r="AX5" s="38" t="s">
        <v>28</v>
      </c>
      <c r="AY5" s="2"/>
    </row>
    <row r="6" spans="1:136" x14ac:dyDescent="0.25">
      <c r="A6" s="40" t="s">
        <v>29</v>
      </c>
      <c r="B6" s="41">
        <f t="shared" ref="B6:X6" si="0">SUM(B7:B25)</f>
        <v>425</v>
      </c>
      <c r="C6" s="41">
        <f t="shared" si="0"/>
        <v>416</v>
      </c>
      <c r="D6" s="41">
        <f t="shared" si="0"/>
        <v>1689</v>
      </c>
      <c r="E6" s="41">
        <f t="shared" si="0"/>
        <v>889</v>
      </c>
      <c r="F6" s="41">
        <f t="shared" si="0"/>
        <v>0</v>
      </c>
      <c r="G6" s="41">
        <f t="shared" si="0"/>
        <v>0</v>
      </c>
      <c r="H6" s="41">
        <f t="shared" si="0"/>
        <v>119</v>
      </c>
      <c r="I6" s="41">
        <f t="shared" si="0"/>
        <v>0</v>
      </c>
      <c r="J6" s="41">
        <f t="shared" si="0"/>
        <v>147</v>
      </c>
      <c r="K6" s="41">
        <f t="shared" si="0"/>
        <v>10</v>
      </c>
      <c r="L6" s="41">
        <f t="shared" si="0"/>
        <v>9</v>
      </c>
      <c r="M6" s="41">
        <f t="shared" si="0"/>
        <v>2</v>
      </c>
      <c r="N6" s="41">
        <f t="shared" si="0"/>
        <v>0</v>
      </c>
      <c r="O6" s="41">
        <f t="shared" si="0"/>
        <v>10</v>
      </c>
      <c r="P6" s="41">
        <f t="shared" si="0"/>
        <v>0</v>
      </c>
      <c r="Q6" s="41">
        <f t="shared" si="0"/>
        <v>176</v>
      </c>
      <c r="R6" s="41">
        <f t="shared" si="0"/>
        <v>62</v>
      </c>
      <c r="S6" s="41">
        <f t="shared" si="0"/>
        <v>4</v>
      </c>
      <c r="T6" s="41">
        <f t="shared" si="0"/>
        <v>200</v>
      </c>
      <c r="U6" s="41">
        <f t="shared" si="0"/>
        <v>10</v>
      </c>
      <c r="V6" s="41">
        <f t="shared" si="0"/>
        <v>891</v>
      </c>
      <c r="W6" s="41">
        <f t="shared" si="0"/>
        <v>14</v>
      </c>
      <c r="X6" s="41">
        <f t="shared" si="0"/>
        <v>35</v>
      </c>
      <c r="Y6" s="41">
        <f t="shared" ref="Y6:Y64" si="1">SUM(F6:X6)</f>
        <v>1689</v>
      </c>
      <c r="Z6" s="41">
        <f t="shared" ref="Z6:AV6" si="2">SUM(Z7:Z25)</f>
        <v>330</v>
      </c>
      <c r="AA6" s="41">
        <f t="shared" si="2"/>
        <v>190</v>
      </c>
      <c r="AB6" s="41">
        <f t="shared" si="2"/>
        <v>913</v>
      </c>
      <c r="AC6" s="41">
        <f t="shared" si="2"/>
        <v>621</v>
      </c>
      <c r="AD6" s="41">
        <f t="shared" si="2"/>
        <v>0</v>
      </c>
      <c r="AE6" s="41">
        <f t="shared" si="2"/>
        <v>0</v>
      </c>
      <c r="AF6" s="41">
        <f t="shared" si="2"/>
        <v>68</v>
      </c>
      <c r="AG6" s="41">
        <f t="shared" si="2"/>
        <v>0</v>
      </c>
      <c r="AH6" s="41">
        <f t="shared" si="2"/>
        <v>95</v>
      </c>
      <c r="AI6" s="41">
        <f t="shared" si="2"/>
        <v>1</v>
      </c>
      <c r="AJ6" s="41">
        <f t="shared" si="2"/>
        <v>7</v>
      </c>
      <c r="AK6" s="41">
        <f t="shared" si="2"/>
        <v>0</v>
      </c>
      <c r="AL6" s="41">
        <f t="shared" si="2"/>
        <v>0</v>
      </c>
      <c r="AM6" s="41">
        <f t="shared" si="2"/>
        <v>8</v>
      </c>
      <c r="AN6" s="41">
        <f t="shared" si="2"/>
        <v>0</v>
      </c>
      <c r="AO6" s="41">
        <f t="shared" si="2"/>
        <v>16</v>
      </c>
      <c r="AP6" s="41">
        <f t="shared" si="2"/>
        <v>20</v>
      </c>
      <c r="AQ6" s="41">
        <f t="shared" si="2"/>
        <v>1</v>
      </c>
      <c r="AR6" s="41">
        <f t="shared" si="2"/>
        <v>129</v>
      </c>
      <c r="AS6" s="41">
        <f t="shared" si="2"/>
        <v>9</v>
      </c>
      <c r="AT6" s="41">
        <f t="shared" si="2"/>
        <v>515</v>
      </c>
      <c r="AU6" s="41">
        <f t="shared" si="2"/>
        <v>14</v>
      </c>
      <c r="AV6" s="41">
        <f t="shared" si="2"/>
        <v>30</v>
      </c>
      <c r="AW6" s="41">
        <f t="shared" ref="AW6:AW64" si="3">SUM(AD6:AV6)</f>
        <v>913</v>
      </c>
      <c r="AX6" s="42">
        <f t="shared" ref="AX6:AX64" si="4">AY6/3</f>
        <v>975.79299330095284</v>
      </c>
      <c r="AY6" s="43">
        <f>'[1]2018'!AX6+'[1]2019'!AX6+'[1]2020'!AX6</f>
        <v>2927.3789799028586</v>
      </c>
      <c r="AZ6" s="42">
        <f>AB6*100/D6</f>
        <v>54.055654233274126</v>
      </c>
      <c r="BA6" s="44"/>
      <c r="BB6" s="44"/>
      <c r="BC6" s="44"/>
      <c r="BD6" s="44"/>
      <c r="BE6" s="44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</row>
    <row r="7" spans="1:136" x14ac:dyDescent="0.25">
      <c r="A7" s="10" t="s">
        <v>151</v>
      </c>
      <c r="B7" s="46">
        <f>'[1]2018'!B7+'[1]2019'!B7+'[1]2020'!B7</f>
        <v>134</v>
      </c>
      <c r="C7" s="46">
        <f>'[1]2018'!C7+'[1]2019'!C7+'[1]2020'!C7</f>
        <v>112</v>
      </c>
      <c r="D7" s="46">
        <f>'[1]2018'!D7+'[1]2019'!D7+'[1]2020'!D7</f>
        <v>813</v>
      </c>
      <c r="E7" s="46">
        <f>'[1]2018'!E7+'[1]2019'!E7+'[1]2020'!E7</f>
        <v>429</v>
      </c>
      <c r="F7" s="46">
        <f>'[1]2018'!F7+'[1]2019'!F7+'[1]2020'!F7</f>
        <v>0</v>
      </c>
      <c r="G7" s="46">
        <f>'[1]2018'!G7+'[1]2019'!G7+'[1]2020'!G7</f>
        <v>0</v>
      </c>
      <c r="H7" s="46">
        <f>'[1]2018'!H7+'[1]2019'!H7+'[1]2020'!H7</f>
        <v>0</v>
      </c>
      <c r="I7" s="46">
        <f>'[1]2018'!I7+'[1]2019'!I7+'[1]2020'!I7</f>
        <v>0</v>
      </c>
      <c r="J7" s="46">
        <f>'[1]2018'!J7+'[1]2019'!J7+'[1]2020'!J7</f>
        <v>0</v>
      </c>
      <c r="K7" s="46">
        <f>'[1]2018'!K7+'[1]2019'!K7+'[1]2020'!K7</f>
        <v>0</v>
      </c>
      <c r="L7" s="46">
        <f>'[1]2018'!L7+'[1]2019'!L7+'[1]2020'!L7</f>
        <v>0</v>
      </c>
      <c r="M7" s="46">
        <f>'[1]2018'!M7+'[1]2019'!M7+'[1]2020'!M7</f>
        <v>0</v>
      </c>
      <c r="N7" s="46">
        <f>'[1]2018'!N7+'[1]2019'!N7+'[1]2020'!N7</f>
        <v>0</v>
      </c>
      <c r="O7" s="46">
        <f>'[1]2018'!O7+'[1]2019'!O7+'[1]2020'!O7</f>
        <v>0</v>
      </c>
      <c r="P7" s="46">
        <f>'[1]2018'!P7+'[1]2019'!P7+'[1]2020'!P7</f>
        <v>0</v>
      </c>
      <c r="Q7" s="46">
        <f>'[1]2018'!Q7+'[1]2019'!Q7+'[1]2020'!Q7</f>
        <v>176</v>
      </c>
      <c r="R7" s="46">
        <f>'[1]2018'!R7+'[1]2019'!R7+'[1]2020'!R7</f>
        <v>0</v>
      </c>
      <c r="S7" s="46">
        <f>'[1]2018'!S7+'[1]2019'!S7+'[1]2020'!S7</f>
        <v>0</v>
      </c>
      <c r="T7" s="46">
        <f>'[1]2018'!T7+'[1]2019'!T7+'[1]2020'!T7</f>
        <v>6</v>
      </c>
      <c r="U7" s="46">
        <f>'[1]2018'!U7+'[1]2019'!U7+'[1]2020'!U7</f>
        <v>0</v>
      </c>
      <c r="V7" s="46">
        <f>'[1]2018'!V7+'[1]2019'!V7+'[1]2020'!V7</f>
        <v>605</v>
      </c>
      <c r="W7" s="46">
        <f>'[1]2018'!W7+'[1]2019'!W7+'[1]2020'!W7</f>
        <v>0</v>
      </c>
      <c r="X7" s="46">
        <f>'[1]2018'!X7+'[1]2019'!X7+'[1]2020'!X7</f>
        <v>26</v>
      </c>
      <c r="Y7" s="41">
        <f t="shared" si="1"/>
        <v>813</v>
      </c>
      <c r="Z7" s="11">
        <f>'[1]2018'!Z7+'[1]2019'!Z7+'[1]2020'!Z7</f>
        <v>112</v>
      </c>
      <c r="AA7" s="11">
        <f>'[1]2018'!AA7+'[1]2019'!AA7+'[1]2020'!AA7</f>
        <v>75</v>
      </c>
      <c r="AB7" s="11">
        <f>'[1]2018'!AB7+'[1]2019'!AB7+'[1]2020'!AB7</f>
        <v>365</v>
      </c>
      <c r="AC7" s="11">
        <f>'[1]2018'!AC7+'[1]2019'!AC7+'[1]2020'!AC7</f>
        <v>289</v>
      </c>
      <c r="AD7" s="11">
        <f>'[1]2018'!AD7+'[1]2019'!AD7+'[1]2020'!AD7</f>
        <v>0</v>
      </c>
      <c r="AE7" s="11">
        <f>'[1]2018'!AE7+'[1]2019'!AE7+'[1]2020'!AE7</f>
        <v>0</v>
      </c>
      <c r="AF7" s="11">
        <f>'[1]2018'!AF7+'[1]2019'!AF7+'[1]2020'!AF7</f>
        <v>0</v>
      </c>
      <c r="AG7" s="11">
        <f>'[1]2018'!AG7+'[1]2019'!AG7+'[1]2020'!AG7</f>
        <v>0</v>
      </c>
      <c r="AH7" s="11">
        <f>'[1]2018'!AH7+'[1]2019'!AH7+'[1]2020'!AH7</f>
        <v>0</v>
      </c>
      <c r="AI7" s="11">
        <f>'[1]2018'!AI7+'[1]2019'!AI7+'[1]2020'!AI7</f>
        <v>0</v>
      </c>
      <c r="AJ7" s="11">
        <f>'[1]2018'!AJ7+'[1]2019'!AJ7+'[1]2020'!AJ7</f>
        <v>0</v>
      </c>
      <c r="AK7" s="11">
        <f>'[1]2018'!AK7+'[1]2019'!AK7+'[1]2020'!AK7</f>
        <v>0</v>
      </c>
      <c r="AL7" s="11">
        <f>'[1]2018'!AL7+'[1]2019'!AL7+'[1]2020'!AL7</f>
        <v>0</v>
      </c>
      <c r="AM7" s="11">
        <f>'[1]2018'!AM7+'[1]2019'!AM7+'[1]2020'!AM7</f>
        <v>0</v>
      </c>
      <c r="AN7" s="11">
        <f>'[1]2018'!AN7+'[1]2019'!AN7+'[1]2020'!AN7</f>
        <v>0</v>
      </c>
      <c r="AO7" s="11">
        <f>'[1]2018'!AO7+'[1]2019'!AO7+'[1]2020'!AO7</f>
        <v>16</v>
      </c>
      <c r="AP7" s="11">
        <f>'[1]2018'!AP7+'[1]2019'!AP7+'[1]2020'!AP7</f>
        <v>0</v>
      </c>
      <c r="AQ7" s="11">
        <f>'[1]2018'!AQ7+'[1]2019'!AQ7+'[1]2020'!AQ7</f>
        <v>0</v>
      </c>
      <c r="AR7" s="11">
        <f>'[1]2018'!AR7+'[1]2019'!AR7+'[1]2020'!AR7</f>
        <v>4</v>
      </c>
      <c r="AS7" s="11">
        <f>'[1]2018'!AS7+'[1]2019'!AS7+'[1]2020'!AS7</f>
        <v>0</v>
      </c>
      <c r="AT7" s="11">
        <f>'[1]2018'!AT7+'[1]2019'!AT7+'[1]2020'!AT7</f>
        <v>321</v>
      </c>
      <c r="AU7" s="11">
        <f>'[1]2018'!AU7+'[1]2019'!AU7+'[1]2020'!AU7</f>
        <v>0</v>
      </c>
      <c r="AV7" s="11">
        <f>'[1]2018'!AV7+'[1]2019'!AV7+'[1]2020'!AV7</f>
        <v>24</v>
      </c>
      <c r="AW7" s="41">
        <f t="shared" si="3"/>
        <v>365</v>
      </c>
      <c r="AX7" s="14">
        <f t="shared" si="4"/>
        <v>1209.8767736185384</v>
      </c>
      <c r="AY7" s="2">
        <f>'[1]2018'!AX7+'[1]2019'!AX7+'[1]2020'!AX7</f>
        <v>3629.6303208556151</v>
      </c>
    </row>
    <row r="8" spans="1:136" x14ac:dyDescent="0.25">
      <c r="A8" s="10" t="s">
        <v>152</v>
      </c>
      <c r="B8" s="46">
        <f>'[1]2018'!B8+'[1]2019'!B8+'[1]2020'!B8</f>
        <v>2</v>
      </c>
      <c r="C8" s="46">
        <f>'[1]2018'!C8+'[1]2019'!C8+'[1]2020'!C8</f>
        <v>1</v>
      </c>
      <c r="D8" s="46">
        <f>'[1]2018'!D8+'[1]2019'!D8+'[1]2020'!D8</f>
        <v>2</v>
      </c>
      <c r="E8" s="46">
        <f>'[1]2018'!E8+'[1]2019'!E8+'[1]2020'!E8</f>
        <v>1</v>
      </c>
      <c r="F8" s="46">
        <f>'[1]2018'!F8+'[1]2019'!F8+'[1]2020'!F8</f>
        <v>0</v>
      </c>
      <c r="G8" s="46">
        <f>'[1]2018'!G8+'[1]2019'!G8+'[1]2020'!G8</f>
        <v>0</v>
      </c>
      <c r="H8" s="46">
        <f>'[1]2018'!H8+'[1]2019'!H8+'[1]2020'!H8</f>
        <v>0</v>
      </c>
      <c r="I8" s="46">
        <f>'[1]2018'!I8+'[1]2019'!I8+'[1]2020'!I8</f>
        <v>0</v>
      </c>
      <c r="J8" s="46">
        <f>'[1]2018'!J8+'[1]2019'!J8+'[1]2020'!J8</f>
        <v>0</v>
      </c>
      <c r="K8" s="46">
        <f>'[1]2018'!K8+'[1]2019'!K8+'[1]2020'!K8</f>
        <v>0</v>
      </c>
      <c r="L8" s="46">
        <f>'[1]2018'!L8+'[1]2019'!L8+'[1]2020'!L8</f>
        <v>1</v>
      </c>
      <c r="M8" s="46">
        <f>'[1]2018'!M8+'[1]2019'!M8+'[1]2020'!M8</f>
        <v>0</v>
      </c>
      <c r="N8" s="46">
        <f>'[1]2018'!N8+'[1]2019'!N8+'[1]2020'!N8</f>
        <v>0</v>
      </c>
      <c r="O8" s="46">
        <f>'[1]2018'!O8+'[1]2019'!O8+'[1]2020'!O8</f>
        <v>0</v>
      </c>
      <c r="P8" s="46">
        <f>'[1]2018'!P8+'[1]2019'!P8+'[1]2020'!P8</f>
        <v>0</v>
      </c>
      <c r="Q8" s="46">
        <f>'[1]2018'!Q8+'[1]2019'!Q8+'[1]2020'!Q8</f>
        <v>0</v>
      </c>
      <c r="R8" s="46">
        <f>'[1]2018'!R8+'[1]2019'!R8+'[1]2020'!R8</f>
        <v>0</v>
      </c>
      <c r="S8" s="46">
        <f>'[1]2018'!S8+'[1]2019'!S8+'[1]2020'!S8</f>
        <v>0</v>
      </c>
      <c r="T8" s="46">
        <f>'[1]2018'!T8+'[1]2019'!T8+'[1]2020'!T8</f>
        <v>1</v>
      </c>
      <c r="U8" s="46">
        <f>'[1]2018'!U8+'[1]2019'!U8+'[1]2020'!U8</f>
        <v>0</v>
      </c>
      <c r="V8" s="46">
        <f>'[1]2018'!V8+'[1]2019'!V8+'[1]2020'!V8</f>
        <v>0</v>
      </c>
      <c r="W8" s="46">
        <f>'[1]2018'!W8+'[1]2019'!W8+'[1]2020'!W8</f>
        <v>0</v>
      </c>
      <c r="X8" s="46">
        <f>'[1]2018'!X8+'[1]2019'!X8+'[1]2020'!X8</f>
        <v>0</v>
      </c>
      <c r="Y8" s="41">
        <f t="shared" si="1"/>
        <v>2</v>
      </c>
      <c r="Z8" s="11">
        <f>'[1]2018'!Z8+'[1]2019'!Z8+'[1]2020'!Z8</f>
        <v>2</v>
      </c>
      <c r="AA8" s="11">
        <f>'[1]2018'!AA8+'[1]2019'!AA8+'[1]2020'!AA8</f>
        <v>1</v>
      </c>
      <c r="AB8" s="11">
        <f>'[1]2018'!AB8+'[1]2019'!AB8+'[1]2020'!AB8</f>
        <v>2</v>
      </c>
      <c r="AC8" s="11">
        <f>'[1]2018'!AC8+'[1]2019'!AC8+'[1]2020'!AC8</f>
        <v>1</v>
      </c>
      <c r="AD8" s="11">
        <f>'[1]2018'!AD8+'[1]2019'!AD8+'[1]2020'!AD8</f>
        <v>0</v>
      </c>
      <c r="AE8" s="11">
        <f>'[1]2018'!AE8+'[1]2019'!AE8+'[1]2020'!AE8</f>
        <v>0</v>
      </c>
      <c r="AF8" s="11">
        <f>'[1]2018'!AF8+'[1]2019'!AF8+'[1]2020'!AF8</f>
        <v>0</v>
      </c>
      <c r="AG8" s="11">
        <f>'[1]2018'!AG8+'[1]2019'!AG8+'[1]2020'!AG8</f>
        <v>0</v>
      </c>
      <c r="AH8" s="11">
        <f>'[1]2018'!AH8+'[1]2019'!AH8+'[1]2020'!AH8</f>
        <v>0</v>
      </c>
      <c r="AI8" s="11">
        <f>'[1]2018'!AI8+'[1]2019'!AI8+'[1]2020'!AI8</f>
        <v>0</v>
      </c>
      <c r="AJ8" s="11">
        <f>'[1]2018'!AJ8+'[1]2019'!AJ8+'[1]2020'!AJ8</f>
        <v>1</v>
      </c>
      <c r="AK8" s="11">
        <f>'[1]2018'!AK8+'[1]2019'!AK8+'[1]2020'!AK8</f>
        <v>0</v>
      </c>
      <c r="AL8" s="11">
        <f>'[1]2018'!AL8+'[1]2019'!AL8+'[1]2020'!AL8</f>
        <v>0</v>
      </c>
      <c r="AM8" s="11">
        <f>'[1]2018'!AM8+'[1]2019'!AM8+'[1]2020'!AM8</f>
        <v>0</v>
      </c>
      <c r="AN8" s="11">
        <f>'[1]2018'!AN8+'[1]2019'!AN8+'[1]2020'!AN8</f>
        <v>0</v>
      </c>
      <c r="AO8" s="11">
        <f>'[1]2018'!AO8+'[1]2019'!AO8+'[1]2020'!AO8</f>
        <v>0</v>
      </c>
      <c r="AP8" s="11">
        <f>'[1]2018'!AP8+'[1]2019'!AP8+'[1]2020'!AP8</f>
        <v>0</v>
      </c>
      <c r="AQ8" s="11">
        <f>'[1]2018'!AQ8+'[1]2019'!AQ8+'[1]2020'!AQ8</f>
        <v>0</v>
      </c>
      <c r="AR8" s="11">
        <f>'[1]2018'!AR8+'[1]2019'!AR8+'[1]2020'!AR8</f>
        <v>1</v>
      </c>
      <c r="AS8" s="11">
        <f>'[1]2018'!AS8+'[1]2019'!AS8+'[1]2020'!AS8</f>
        <v>0</v>
      </c>
      <c r="AT8" s="11">
        <f>'[1]2018'!AT8+'[1]2019'!AT8+'[1]2020'!AT8</f>
        <v>0</v>
      </c>
      <c r="AU8" s="11">
        <f>'[1]2018'!AU8+'[1]2019'!AU8+'[1]2020'!AU8</f>
        <v>0</v>
      </c>
      <c r="AV8" s="11">
        <f>'[1]2018'!AV8+'[1]2019'!AV8+'[1]2020'!AV8</f>
        <v>0</v>
      </c>
      <c r="AW8" s="41">
        <f t="shared" si="3"/>
        <v>2</v>
      </c>
      <c r="AX8" s="14">
        <f t="shared" si="4"/>
        <v>392</v>
      </c>
      <c r="AY8" s="2">
        <f>'[1]2018'!AX8+'[1]2019'!AX8+'[1]2020'!AX8</f>
        <v>1176</v>
      </c>
    </row>
    <row r="9" spans="1:136" x14ac:dyDescent="0.25">
      <c r="A9" s="10" t="s">
        <v>153</v>
      </c>
      <c r="B9" s="46">
        <f>'[1]2018'!B9+'[1]2019'!B9+'[1]2020'!B9</f>
        <v>17</v>
      </c>
      <c r="C9" s="46">
        <f>'[1]2018'!C9+'[1]2019'!C9+'[1]2020'!C9</f>
        <v>14</v>
      </c>
      <c r="D9" s="46">
        <f>'[1]2018'!D9+'[1]2019'!D9+'[1]2020'!D9</f>
        <v>36</v>
      </c>
      <c r="E9" s="46">
        <f>'[1]2018'!E9+'[1]2019'!E9+'[1]2020'!E9</f>
        <v>24</v>
      </c>
      <c r="F9" s="46">
        <f>'[1]2018'!F9+'[1]2019'!F9+'[1]2020'!F9</f>
        <v>0</v>
      </c>
      <c r="G9" s="46">
        <f>'[1]2018'!G9+'[1]2019'!G9+'[1]2020'!G9</f>
        <v>0</v>
      </c>
      <c r="H9" s="46">
        <f>'[1]2018'!H9+'[1]2019'!H9+'[1]2020'!H9</f>
        <v>0</v>
      </c>
      <c r="I9" s="46">
        <f>'[1]2018'!I9+'[1]2019'!I9+'[1]2020'!I9</f>
        <v>0</v>
      </c>
      <c r="J9" s="46">
        <f>'[1]2018'!J9+'[1]2019'!J9+'[1]2020'!J9</f>
        <v>11</v>
      </c>
      <c r="K9" s="46">
        <f>'[1]2018'!K9+'[1]2019'!K9+'[1]2020'!K9</f>
        <v>0</v>
      </c>
      <c r="L9" s="46">
        <f>'[1]2018'!L9+'[1]2019'!L9+'[1]2020'!L9</f>
        <v>0</v>
      </c>
      <c r="M9" s="46">
        <f>'[1]2018'!M9+'[1]2019'!M9+'[1]2020'!M9</f>
        <v>0</v>
      </c>
      <c r="N9" s="46">
        <f>'[1]2018'!N9+'[1]2019'!N9+'[1]2020'!N9</f>
        <v>0</v>
      </c>
      <c r="O9" s="46">
        <f>'[1]2018'!O9+'[1]2019'!O9+'[1]2020'!O9</f>
        <v>0</v>
      </c>
      <c r="P9" s="46">
        <f>'[1]2018'!P9+'[1]2019'!P9+'[1]2020'!P9</f>
        <v>0</v>
      </c>
      <c r="Q9" s="46">
        <f>'[1]2018'!Q9+'[1]2019'!Q9+'[1]2020'!Q9</f>
        <v>0</v>
      </c>
      <c r="R9" s="46">
        <f>'[1]2018'!R9+'[1]2019'!R9+'[1]2020'!R9</f>
        <v>1</v>
      </c>
      <c r="S9" s="46">
        <f>'[1]2018'!S9+'[1]2019'!S9+'[1]2020'!S9</f>
        <v>0</v>
      </c>
      <c r="T9" s="46">
        <f>'[1]2018'!T9+'[1]2019'!T9+'[1]2020'!T9</f>
        <v>9</v>
      </c>
      <c r="U9" s="46">
        <f>'[1]2018'!U9+'[1]2019'!U9+'[1]2020'!U9</f>
        <v>0</v>
      </c>
      <c r="V9" s="46">
        <f>'[1]2018'!V9+'[1]2019'!V9+'[1]2020'!V9</f>
        <v>14</v>
      </c>
      <c r="W9" s="46">
        <f>'[1]2018'!W9+'[1]2019'!W9+'[1]2020'!W9</f>
        <v>0</v>
      </c>
      <c r="X9" s="46">
        <f>'[1]2018'!X9+'[1]2019'!X9+'[1]2020'!X9</f>
        <v>1</v>
      </c>
      <c r="Y9" s="41">
        <f t="shared" si="1"/>
        <v>36</v>
      </c>
      <c r="Z9" s="11">
        <f>'[1]2018'!Z9+'[1]2019'!Z9+'[1]2020'!Z9</f>
        <v>14</v>
      </c>
      <c r="AA9" s="11">
        <f>'[1]2018'!AA9+'[1]2019'!AA9+'[1]2020'!AA9</f>
        <v>13</v>
      </c>
      <c r="AB9" s="11">
        <f>'[1]2018'!AB9+'[1]2019'!AB9+'[1]2020'!AB9</f>
        <v>28</v>
      </c>
      <c r="AC9" s="11">
        <f>'[1]2018'!AC9+'[1]2019'!AC9+'[1]2020'!AC9</f>
        <v>17</v>
      </c>
      <c r="AD9" s="11">
        <f>'[1]2018'!AD9+'[1]2019'!AD9+'[1]2020'!AD9</f>
        <v>0</v>
      </c>
      <c r="AE9" s="11">
        <f>'[1]2018'!AE9+'[1]2019'!AE9+'[1]2020'!AE9</f>
        <v>0</v>
      </c>
      <c r="AF9" s="11">
        <f>'[1]2018'!AF9+'[1]2019'!AF9+'[1]2020'!AF9</f>
        <v>0</v>
      </c>
      <c r="AG9" s="11">
        <f>'[1]2018'!AG9+'[1]2019'!AG9+'[1]2020'!AG9</f>
        <v>0</v>
      </c>
      <c r="AH9" s="11">
        <f>'[1]2018'!AH9+'[1]2019'!AH9+'[1]2020'!AH9</f>
        <v>11</v>
      </c>
      <c r="AI9" s="11">
        <f>'[1]2018'!AI9+'[1]2019'!AI9+'[1]2020'!AI9</f>
        <v>0</v>
      </c>
      <c r="AJ9" s="11">
        <f>'[1]2018'!AJ9+'[1]2019'!AJ9+'[1]2020'!AJ9</f>
        <v>0</v>
      </c>
      <c r="AK9" s="11">
        <f>'[1]2018'!AK9+'[1]2019'!AK9+'[1]2020'!AK9</f>
        <v>0</v>
      </c>
      <c r="AL9" s="11">
        <f>'[1]2018'!AL9+'[1]2019'!AL9+'[1]2020'!AL9</f>
        <v>0</v>
      </c>
      <c r="AM9" s="11">
        <f>'[1]2018'!AM9+'[1]2019'!AM9+'[1]2020'!AM9</f>
        <v>0</v>
      </c>
      <c r="AN9" s="11">
        <f>'[1]2018'!AN9+'[1]2019'!AN9+'[1]2020'!AN9</f>
        <v>0</v>
      </c>
      <c r="AO9" s="11">
        <f>'[1]2018'!AO9+'[1]2019'!AO9+'[1]2020'!AO9</f>
        <v>0</v>
      </c>
      <c r="AP9" s="11">
        <f>'[1]2018'!AP9+'[1]2019'!AP9+'[1]2020'!AP9</f>
        <v>1</v>
      </c>
      <c r="AQ9" s="11">
        <f>'[1]2018'!AQ9+'[1]2019'!AQ9+'[1]2020'!AQ9</f>
        <v>0</v>
      </c>
      <c r="AR9" s="11">
        <f>'[1]2018'!AR9+'[1]2019'!AR9+'[1]2020'!AR9</f>
        <v>9</v>
      </c>
      <c r="AS9" s="11">
        <f>'[1]2018'!AS9+'[1]2019'!AS9+'[1]2020'!AS9</f>
        <v>0</v>
      </c>
      <c r="AT9" s="11">
        <f>'[1]2018'!AT9+'[1]2019'!AT9+'[1]2020'!AT9</f>
        <v>7</v>
      </c>
      <c r="AU9" s="11">
        <f>'[1]2018'!AU9+'[1]2019'!AU9+'[1]2020'!AU9</f>
        <v>0</v>
      </c>
      <c r="AV9" s="11">
        <f>'[1]2018'!AV9+'[1]2019'!AV9+'[1]2020'!AV9</f>
        <v>0</v>
      </c>
      <c r="AW9" s="41">
        <f t="shared" si="3"/>
        <v>28</v>
      </c>
      <c r="AX9" s="14">
        <f t="shared" si="4"/>
        <v>679.91166666666663</v>
      </c>
      <c r="AY9" s="2">
        <f>'[1]2018'!AX9+'[1]2019'!AX9+'[1]2020'!AX9</f>
        <v>2039.7349999999999</v>
      </c>
    </row>
    <row r="10" spans="1:136" x14ac:dyDescent="0.25">
      <c r="A10" s="10" t="s">
        <v>154</v>
      </c>
      <c r="B10" s="46">
        <f>'[1]2018'!B10+'[1]2019'!B10+'[1]2020'!B10</f>
        <v>85</v>
      </c>
      <c r="C10" s="46">
        <f>'[1]2018'!C10+'[1]2019'!C10+'[1]2020'!C10</f>
        <v>34</v>
      </c>
      <c r="D10" s="46">
        <f>'[1]2018'!D10+'[1]2019'!D10+'[1]2020'!D10</f>
        <v>184</v>
      </c>
      <c r="E10" s="46">
        <f>'[1]2018'!E10+'[1]2019'!E10+'[1]2020'!E10</f>
        <v>73</v>
      </c>
      <c r="F10" s="46">
        <f>'[1]2018'!F10+'[1]2019'!F10+'[1]2020'!F10</f>
        <v>0</v>
      </c>
      <c r="G10" s="46">
        <f>'[1]2018'!G10+'[1]2019'!G10+'[1]2020'!G10</f>
        <v>0</v>
      </c>
      <c r="H10" s="46">
        <f>'[1]2018'!H10+'[1]2019'!H10+'[1]2020'!H10</f>
        <v>16</v>
      </c>
      <c r="I10" s="46">
        <f>'[1]2018'!I10+'[1]2019'!I10+'[1]2020'!I10</f>
        <v>0</v>
      </c>
      <c r="J10" s="46">
        <f>'[1]2018'!J10+'[1]2019'!J10+'[1]2020'!J10</f>
        <v>37</v>
      </c>
      <c r="K10" s="46">
        <f>'[1]2018'!K10+'[1]2019'!K10+'[1]2020'!K10</f>
        <v>8</v>
      </c>
      <c r="L10" s="46">
        <f>'[1]2018'!L10+'[1]2019'!L10+'[1]2020'!L10</f>
        <v>3</v>
      </c>
      <c r="M10" s="46">
        <f>'[1]2018'!M10+'[1]2019'!M10+'[1]2020'!M10</f>
        <v>1</v>
      </c>
      <c r="N10" s="46">
        <f>'[1]2018'!N10+'[1]2019'!N10+'[1]2020'!N10</f>
        <v>0</v>
      </c>
      <c r="O10" s="46">
        <f>'[1]2018'!O10+'[1]2019'!O10+'[1]2020'!O10</f>
        <v>10</v>
      </c>
      <c r="P10" s="46">
        <f>'[1]2018'!P10+'[1]2019'!P10+'[1]2020'!P10</f>
        <v>0</v>
      </c>
      <c r="Q10" s="46">
        <f>'[1]2018'!Q10+'[1]2019'!Q10+'[1]2020'!Q10</f>
        <v>0</v>
      </c>
      <c r="R10" s="46">
        <f>'[1]2018'!R10+'[1]2019'!R10+'[1]2020'!R10</f>
        <v>40</v>
      </c>
      <c r="S10" s="46">
        <f>'[1]2018'!S10+'[1]2019'!S10+'[1]2020'!S10</f>
        <v>2</v>
      </c>
      <c r="T10" s="46">
        <f>'[1]2018'!T10+'[1]2019'!T10+'[1]2020'!T10</f>
        <v>7</v>
      </c>
      <c r="U10" s="46">
        <f>'[1]2018'!U10+'[1]2019'!U10+'[1]2020'!U10</f>
        <v>2</v>
      </c>
      <c r="V10" s="46">
        <f>'[1]2018'!V10+'[1]2019'!V10+'[1]2020'!V10</f>
        <v>41</v>
      </c>
      <c r="W10" s="46">
        <f>'[1]2018'!W10+'[1]2019'!W10+'[1]2020'!W10</f>
        <v>11</v>
      </c>
      <c r="X10" s="46">
        <f>'[1]2018'!X10+'[1]2019'!X10+'[1]2020'!X10</f>
        <v>6</v>
      </c>
      <c r="Y10" s="41">
        <f t="shared" si="1"/>
        <v>184</v>
      </c>
      <c r="Z10" s="11">
        <f>'[1]2018'!Z10+'[1]2019'!Z10+'[1]2020'!Z10</f>
        <v>52</v>
      </c>
      <c r="AA10" s="11">
        <f>'[1]2018'!AA10+'[1]2019'!AA10+'[1]2020'!AA10</f>
        <v>24</v>
      </c>
      <c r="AB10" s="11">
        <f>'[1]2018'!AB10+'[1]2019'!AB10+'[1]2020'!AB10</f>
        <v>101</v>
      </c>
      <c r="AC10" s="11">
        <f>'[1]2018'!AC10+'[1]2019'!AC10+'[1]2020'!AC10</f>
        <v>33</v>
      </c>
      <c r="AD10" s="11">
        <f>'[1]2018'!AD10+'[1]2019'!AD10+'[1]2020'!AD10</f>
        <v>0</v>
      </c>
      <c r="AE10" s="11">
        <f>'[1]2018'!AE10+'[1]2019'!AE10+'[1]2020'!AE10</f>
        <v>0</v>
      </c>
      <c r="AF10" s="11">
        <f>'[1]2018'!AF10+'[1]2019'!AF10+'[1]2020'!AF10</f>
        <v>12</v>
      </c>
      <c r="AG10" s="11">
        <f>'[1]2018'!AG10+'[1]2019'!AG10+'[1]2020'!AG10</f>
        <v>0</v>
      </c>
      <c r="AH10" s="11">
        <f>'[1]2018'!AH10+'[1]2019'!AH10+'[1]2020'!AH10</f>
        <v>37</v>
      </c>
      <c r="AI10" s="11">
        <f>'[1]2018'!AI10+'[1]2019'!AI10+'[1]2020'!AI10</f>
        <v>0</v>
      </c>
      <c r="AJ10" s="11">
        <f>'[1]2018'!AJ10+'[1]2019'!AJ10+'[1]2020'!AJ10</f>
        <v>2</v>
      </c>
      <c r="AK10" s="11">
        <f>'[1]2018'!AK10+'[1]2019'!AK10+'[1]2020'!AK10</f>
        <v>0</v>
      </c>
      <c r="AL10" s="11">
        <f>'[1]2018'!AL10+'[1]2019'!AL10+'[1]2020'!AL10</f>
        <v>0</v>
      </c>
      <c r="AM10" s="11">
        <f>'[1]2018'!AM10+'[1]2019'!AM10+'[1]2020'!AM10</f>
        <v>8</v>
      </c>
      <c r="AN10" s="11">
        <f>'[1]2018'!AN10+'[1]2019'!AN10+'[1]2020'!AN10</f>
        <v>0</v>
      </c>
      <c r="AO10" s="11">
        <f>'[1]2018'!AO10+'[1]2019'!AO10+'[1]2020'!AO10</f>
        <v>0</v>
      </c>
      <c r="AP10" s="11">
        <f>'[1]2018'!AP10+'[1]2019'!AP10+'[1]2020'!AP10</f>
        <v>10</v>
      </c>
      <c r="AQ10" s="11">
        <f>'[1]2018'!AQ10+'[1]2019'!AQ10+'[1]2020'!AQ10</f>
        <v>0</v>
      </c>
      <c r="AR10" s="11">
        <f>'[1]2018'!AR10+'[1]2019'!AR10+'[1]2020'!AR10</f>
        <v>5</v>
      </c>
      <c r="AS10" s="11">
        <f>'[1]2018'!AS10+'[1]2019'!AS10+'[1]2020'!AS10</f>
        <v>1</v>
      </c>
      <c r="AT10" s="11">
        <f>'[1]2018'!AT10+'[1]2019'!AT10+'[1]2020'!AT10</f>
        <v>9</v>
      </c>
      <c r="AU10" s="11">
        <f>'[1]2018'!AU10+'[1]2019'!AU10+'[1]2020'!AU10</f>
        <v>11</v>
      </c>
      <c r="AV10" s="11">
        <f>'[1]2018'!AV10+'[1]2019'!AV10+'[1]2020'!AV10</f>
        <v>6</v>
      </c>
      <c r="AW10" s="41">
        <f t="shared" si="3"/>
        <v>101</v>
      </c>
      <c r="AX10" s="14">
        <f t="shared" si="4"/>
        <v>773.11620046620044</v>
      </c>
      <c r="AY10" s="2">
        <f>'[1]2018'!AX10+'[1]2019'!AX10+'[1]2020'!AX10</f>
        <v>2319.3486013986012</v>
      </c>
    </row>
    <row r="11" spans="1:136" s="13" customFormat="1" x14ac:dyDescent="0.25">
      <c r="A11" s="10" t="s">
        <v>155</v>
      </c>
      <c r="B11" s="46">
        <f>'[1]2018'!B11+'[1]2019'!B11+'[1]2020'!B11</f>
        <v>10</v>
      </c>
      <c r="C11" s="46">
        <f>'[1]2018'!C11+'[1]2019'!C11+'[1]2020'!C11</f>
        <v>3</v>
      </c>
      <c r="D11" s="46">
        <f>'[1]2018'!D11+'[1]2019'!D11+'[1]2020'!D11</f>
        <v>55</v>
      </c>
      <c r="E11" s="46">
        <f>'[1]2018'!E11+'[1]2019'!E11+'[1]2020'!E11</f>
        <v>27</v>
      </c>
      <c r="F11" s="46">
        <f>'[1]2018'!F11+'[1]2019'!F11+'[1]2020'!F11</f>
        <v>0</v>
      </c>
      <c r="G11" s="46">
        <f>'[1]2018'!G11+'[1]2019'!G11+'[1]2020'!G11</f>
        <v>0</v>
      </c>
      <c r="H11" s="46">
        <f>'[1]2018'!H11+'[1]2019'!H11+'[1]2020'!H11</f>
        <v>24</v>
      </c>
      <c r="I11" s="46">
        <f>'[1]2018'!I11+'[1]2019'!I11+'[1]2020'!I11</f>
        <v>0</v>
      </c>
      <c r="J11" s="46">
        <f>'[1]2018'!J11+'[1]2019'!J11+'[1]2020'!J11</f>
        <v>0</v>
      </c>
      <c r="K11" s="46">
        <f>'[1]2018'!K11+'[1]2019'!K11+'[1]2020'!K11</f>
        <v>1</v>
      </c>
      <c r="L11" s="46">
        <f>'[1]2018'!L11+'[1]2019'!L11+'[1]2020'!L11</f>
        <v>0</v>
      </c>
      <c r="M11" s="46">
        <f>'[1]2018'!M11+'[1]2019'!M11+'[1]2020'!M11</f>
        <v>0</v>
      </c>
      <c r="N11" s="46">
        <f>'[1]2018'!N11+'[1]2019'!N11+'[1]2020'!N11</f>
        <v>0</v>
      </c>
      <c r="O11" s="46">
        <f>'[1]2018'!O11+'[1]2019'!O11+'[1]2020'!O11</f>
        <v>0</v>
      </c>
      <c r="P11" s="46">
        <f>'[1]2018'!P11+'[1]2019'!P11+'[1]2020'!P11</f>
        <v>0</v>
      </c>
      <c r="Q11" s="46">
        <f>'[1]2018'!Q11+'[1]2019'!Q11+'[1]2020'!Q11</f>
        <v>0</v>
      </c>
      <c r="R11" s="46">
        <f>'[1]2018'!R11+'[1]2019'!R11+'[1]2020'!R11</f>
        <v>1</v>
      </c>
      <c r="S11" s="46">
        <f>'[1]2018'!S11+'[1]2019'!S11+'[1]2020'!S11</f>
        <v>2</v>
      </c>
      <c r="T11" s="46">
        <f>'[1]2018'!T11+'[1]2019'!T11+'[1]2020'!T11</f>
        <v>0</v>
      </c>
      <c r="U11" s="46">
        <f>'[1]2018'!U11+'[1]2019'!U11+'[1]2020'!U11</f>
        <v>0</v>
      </c>
      <c r="V11" s="46">
        <f>'[1]2018'!V11+'[1]2019'!V11+'[1]2020'!V11</f>
        <v>27</v>
      </c>
      <c r="W11" s="46">
        <f>'[1]2018'!W11+'[1]2019'!W11+'[1]2020'!W11</f>
        <v>0</v>
      </c>
      <c r="X11" s="46">
        <f>'[1]2018'!X11+'[1]2019'!X11+'[1]2020'!X11</f>
        <v>0</v>
      </c>
      <c r="Y11" s="41">
        <f t="shared" si="1"/>
        <v>55</v>
      </c>
      <c r="Z11" s="11">
        <f>'[1]2018'!Z11+'[1]2019'!Z11+'[1]2020'!Z11</f>
        <v>9</v>
      </c>
      <c r="AA11" s="11">
        <f>'[1]2018'!AA11+'[1]2019'!AA11+'[1]2020'!AA11</f>
        <v>3</v>
      </c>
      <c r="AB11" s="11">
        <f>'[1]2018'!AB11+'[1]2019'!AB11+'[1]2020'!AB11</f>
        <v>33</v>
      </c>
      <c r="AC11" s="11">
        <f>'[1]2018'!AC11+'[1]2019'!AC11+'[1]2020'!AC11</f>
        <v>27</v>
      </c>
      <c r="AD11" s="11">
        <f>'[1]2018'!AD11+'[1]2019'!AD11+'[1]2020'!AD11</f>
        <v>0</v>
      </c>
      <c r="AE11" s="11">
        <f>'[1]2018'!AE11+'[1]2019'!AE11+'[1]2020'!AE11</f>
        <v>0</v>
      </c>
      <c r="AF11" s="11">
        <f>'[1]2018'!AF11+'[1]2019'!AF11+'[1]2020'!AF11</f>
        <v>4</v>
      </c>
      <c r="AG11" s="11">
        <f>'[1]2018'!AG11+'[1]2019'!AG11+'[1]2020'!AG11</f>
        <v>0</v>
      </c>
      <c r="AH11" s="11">
        <f>'[1]2018'!AH11+'[1]2019'!AH11+'[1]2020'!AH11</f>
        <v>0</v>
      </c>
      <c r="AI11" s="11">
        <f>'[1]2018'!AI11+'[1]2019'!AI11+'[1]2020'!AI11</f>
        <v>0</v>
      </c>
      <c r="AJ11" s="11">
        <f>'[1]2018'!AJ11+'[1]2019'!AJ11+'[1]2020'!AJ11</f>
        <v>0</v>
      </c>
      <c r="AK11" s="11">
        <f>'[1]2018'!AK11+'[1]2019'!AK11+'[1]2020'!AK11</f>
        <v>0</v>
      </c>
      <c r="AL11" s="11">
        <f>'[1]2018'!AL11+'[1]2019'!AL11+'[1]2020'!AL11</f>
        <v>0</v>
      </c>
      <c r="AM11" s="11">
        <f>'[1]2018'!AM11+'[1]2019'!AM11+'[1]2020'!AM11</f>
        <v>0</v>
      </c>
      <c r="AN11" s="11">
        <f>'[1]2018'!AN11+'[1]2019'!AN11+'[1]2020'!AN11</f>
        <v>0</v>
      </c>
      <c r="AO11" s="11">
        <f>'[1]2018'!AO11+'[1]2019'!AO11+'[1]2020'!AO11</f>
        <v>0</v>
      </c>
      <c r="AP11" s="11">
        <f>'[1]2018'!AP11+'[1]2019'!AP11+'[1]2020'!AP11</f>
        <v>1</v>
      </c>
      <c r="AQ11" s="11">
        <f>'[1]2018'!AQ11+'[1]2019'!AQ11+'[1]2020'!AQ11</f>
        <v>1</v>
      </c>
      <c r="AR11" s="11">
        <f>'[1]2018'!AR11+'[1]2019'!AR11+'[1]2020'!AR11</f>
        <v>0</v>
      </c>
      <c r="AS11" s="11">
        <f>'[1]2018'!AS11+'[1]2019'!AS11+'[1]2020'!AS11</f>
        <v>0</v>
      </c>
      <c r="AT11" s="11">
        <f>'[1]2018'!AT11+'[1]2019'!AT11+'[1]2020'!AT11</f>
        <v>27</v>
      </c>
      <c r="AU11" s="11">
        <f>'[1]2018'!AU11+'[1]2019'!AU11+'[1]2020'!AU11</f>
        <v>0</v>
      </c>
      <c r="AV11" s="11">
        <f>'[1]2018'!AV11+'[1]2019'!AV11+'[1]2020'!AV11</f>
        <v>0</v>
      </c>
      <c r="AW11" s="41">
        <f t="shared" si="3"/>
        <v>33</v>
      </c>
      <c r="AX11" s="14">
        <f t="shared" si="4"/>
        <v>1439.7777777777776</v>
      </c>
      <c r="AY11" s="2">
        <f>'[1]2018'!AX11+'[1]2019'!AX11+'[1]2020'!AX11</f>
        <v>4319.333333333333</v>
      </c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s="47" customFormat="1" x14ac:dyDescent="0.25">
      <c r="A12" s="10" t="s">
        <v>156</v>
      </c>
      <c r="B12" s="46">
        <f>'[1]2018'!B12+'[1]2019'!B12+'[1]2020'!B12</f>
        <v>11</v>
      </c>
      <c r="C12" s="46">
        <f>'[1]2018'!C12+'[1]2019'!C12+'[1]2020'!C12</f>
        <v>10</v>
      </c>
      <c r="D12" s="46">
        <f>'[1]2018'!D12+'[1]2019'!D12+'[1]2020'!D12</f>
        <v>21</v>
      </c>
      <c r="E12" s="46">
        <f>'[1]2018'!E12+'[1]2019'!E12+'[1]2020'!E12</f>
        <v>20</v>
      </c>
      <c r="F12" s="46">
        <f>'[1]2018'!F12+'[1]2019'!F12+'[1]2020'!F12</f>
        <v>0</v>
      </c>
      <c r="G12" s="46">
        <f>'[1]2018'!G12+'[1]2019'!G12+'[1]2020'!G12</f>
        <v>0</v>
      </c>
      <c r="H12" s="46">
        <f>'[1]2018'!H12+'[1]2019'!H12+'[1]2020'!H12</f>
        <v>0</v>
      </c>
      <c r="I12" s="46">
        <f>'[1]2018'!I12+'[1]2019'!I12+'[1]2020'!I12</f>
        <v>0</v>
      </c>
      <c r="J12" s="46">
        <f>'[1]2018'!J12+'[1]2019'!J12+'[1]2020'!J12</f>
        <v>0</v>
      </c>
      <c r="K12" s="46">
        <f>'[1]2018'!K12+'[1]2019'!K12+'[1]2020'!K12</f>
        <v>0</v>
      </c>
      <c r="L12" s="46">
        <f>'[1]2018'!L12+'[1]2019'!L12+'[1]2020'!L12</f>
        <v>1</v>
      </c>
      <c r="M12" s="46">
        <f>'[1]2018'!M12+'[1]2019'!M12+'[1]2020'!M12</f>
        <v>0</v>
      </c>
      <c r="N12" s="46">
        <f>'[1]2018'!N12+'[1]2019'!N12+'[1]2020'!N12</f>
        <v>0</v>
      </c>
      <c r="O12" s="46">
        <f>'[1]2018'!O12+'[1]2019'!O12+'[1]2020'!O12</f>
        <v>0</v>
      </c>
      <c r="P12" s="46">
        <f>'[1]2018'!P12+'[1]2019'!P12+'[1]2020'!P12</f>
        <v>0</v>
      </c>
      <c r="Q12" s="46">
        <f>'[1]2018'!Q12+'[1]2019'!Q12+'[1]2020'!Q12</f>
        <v>0</v>
      </c>
      <c r="R12" s="46">
        <f>'[1]2018'!R12+'[1]2019'!R12+'[1]2020'!R12</f>
        <v>5</v>
      </c>
      <c r="S12" s="46">
        <f>'[1]2018'!S12+'[1]2019'!S12+'[1]2020'!S12</f>
        <v>0</v>
      </c>
      <c r="T12" s="46">
        <f>'[1]2018'!T12+'[1]2019'!T12+'[1]2020'!T12</f>
        <v>13</v>
      </c>
      <c r="U12" s="46">
        <f>'[1]2018'!U12+'[1]2019'!U12+'[1]2020'!U12</f>
        <v>0</v>
      </c>
      <c r="V12" s="46">
        <f>'[1]2018'!V12+'[1]2019'!V12+'[1]2020'!V12</f>
        <v>1</v>
      </c>
      <c r="W12" s="46">
        <f>'[1]2018'!W12+'[1]2019'!W12+'[1]2020'!W12</f>
        <v>1</v>
      </c>
      <c r="X12" s="46">
        <f>'[1]2018'!X12+'[1]2019'!X12+'[1]2020'!X12</f>
        <v>0</v>
      </c>
      <c r="Y12" s="41">
        <f t="shared" si="1"/>
        <v>21</v>
      </c>
      <c r="Z12" s="11">
        <f>'[1]2018'!Z12+'[1]2019'!Z12+'[1]2020'!Z12</f>
        <v>7</v>
      </c>
      <c r="AA12" s="11">
        <f>'[1]2018'!AA12+'[1]2019'!AA12+'[1]2020'!AA12</f>
        <v>6</v>
      </c>
      <c r="AB12" s="11">
        <f>'[1]2018'!AB12+'[1]2019'!AB12+'[1]2020'!AB12</f>
        <v>15</v>
      </c>
      <c r="AC12" s="11">
        <f>'[1]2018'!AC12+'[1]2019'!AC12+'[1]2020'!AC12</f>
        <v>14</v>
      </c>
      <c r="AD12" s="11">
        <f>'[1]2018'!AD12+'[1]2019'!AD12+'[1]2020'!AD12</f>
        <v>0</v>
      </c>
      <c r="AE12" s="11">
        <f>'[1]2018'!AE12+'[1]2019'!AE12+'[1]2020'!AE12</f>
        <v>0</v>
      </c>
      <c r="AF12" s="11">
        <f>'[1]2018'!AF12+'[1]2019'!AF12+'[1]2020'!AF12</f>
        <v>0</v>
      </c>
      <c r="AG12" s="11">
        <f>'[1]2018'!AG12+'[1]2019'!AG12+'[1]2020'!AG12</f>
        <v>0</v>
      </c>
      <c r="AH12" s="11">
        <f>'[1]2018'!AH12+'[1]2019'!AH12+'[1]2020'!AH12</f>
        <v>0</v>
      </c>
      <c r="AI12" s="11">
        <f>'[1]2018'!AI12+'[1]2019'!AI12+'[1]2020'!AI12</f>
        <v>0</v>
      </c>
      <c r="AJ12" s="11">
        <f>'[1]2018'!AJ12+'[1]2019'!AJ12+'[1]2020'!AJ12</f>
        <v>1</v>
      </c>
      <c r="AK12" s="11">
        <f>'[1]2018'!AK12+'[1]2019'!AK12+'[1]2020'!AK12</f>
        <v>0</v>
      </c>
      <c r="AL12" s="11">
        <f>'[1]2018'!AL12+'[1]2019'!AL12+'[1]2020'!AL12</f>
        <v>0</v>
      </c>
      <c r="AM12" s="11">
        <f>'[1]2018'!AM12+'[1]2019'!AM12+'[1]2020'!AM12</f>
        <v>0</v>
      </c>
      <c r="AN12" s="11">
        <f>'[1]2018'!AN12+'[1]2019'!AN12+'[1]2020'!AN12</f>
        <v>0</v>
      </c>
      <c r="AO12" s="11">
        <f>'[1]2018'!AO12+'[1]2019'!AO12+'[1]2020'!AO12</f>
        <v>0</v>
      </c>
      <c r="AP12" s="11">
        <f>'[1]2018'!AP12+'[1]2019'!AP12+'[1]2020'!AP12</f>
        <v>0</v>
      </c>
      <c r="AQ12" s="11">
        <f>'[1]2018'!AQ12+'[1]2019'!AQ12+'[1]2020'!AQ12</f>
        <v>0</v>
      </c>
      <c r="AR12" s="11">
        <f>'[1]2018'!AR12+'[1]2019'!AR12+'[1]2020'!AR12</f>
        <v>12</v>
      </c>
      <c r="AS12" s="11">
        <f>'[1]2018'!AS12+'[1]2019'!AS12+'[1]2020'!AS12</f>
        <v>0</v>
      </c>
      <c r="AT12" s="11">
        <f>'[1]2018'!AT12+'[1]2019'!AT12+'[1]2020'!AT12</f>
        <v>1</v>
      </c>
      <c r="AU12" s="11">
        <f>'[1]2018'!AU12+'[1]2019'!AU12+'[1]2020'!AU12</f>
        <v>1</v>
      </c>
      <c r="AV12" s="11">
        <f>'[1]2018'!AV12+'[1]2019'!AV12+'[1]2020'!AV12</f>
        <v>0</v>
      </c>
      <c r="AW12" s="41">
        <f t="shared" si="3"/>
        <v>15</v>
      </c>
      <c r="AX12" s="14">
        <f t="shared" si="4"/>
        <v>1204.1555555555553</v>
      </c>
      <c r="AY12" s="2">
        <f>'[1]2018'!AX12+'[1]2019'!AX12+'[1]2020'!AX12</f>
        <v>3612.4666666666662</v>
      </c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x14ac:dyDescent="0.25">
      <c r="A13" s="10" t="s">
        <v>157</v>
      </c>
      <c r="B13" s="46">
        <f>'[1]2018'!B14+'[1]2019'!B14+'[1]2020'!B14</f>
        <v>10</v>
      </c>
      <c r="C13" s="46">
        <f>'[1]2018'!C14+'[1]2019'!C14+'[1]2020'!C14</f>
        <v>4</v>
      </c>
      <c r="D13" s="46">
        <f>'[1]2018'!D14+'[1]2019'!D14+'[1]2020'!D14</f>
        <v>65</v>
      </c>
      <c r="E13" s="46">
        <f>'[1]2018'!E14+'[1]2019'!E14+'[1]2020'!E14</f>
        <v>56</v>
      </c>
      <c r="F13" s="46">
        <f>'[1]2018'!F14+'[1]2019'!F14+'[1]2020'!F14</f>
        <v>0</v>
      </c>
      <c r="G13" s="46">
        <f>'[1]2018'!G14+'[1]2019'!G14+'[1]2020'!G14</f>
        <v>0</v>
      </c>
      <c r="H13" s="46">
        <f>'[1]2018'!H14+'[1]2019'!H14+'[1]2020'!H14</f>
        <v>5</v>
      </c>
      <c r="I13" s="46">
        <f>'[1]2018'!I14+'[1]2019'!I14+'[1]2020'!I14</f>
        <v>0</v>
      </c>
      <c r="J13" s="46">
        <f>'[1]2018'!J14+'[1]2019'!J14+'[1]2020'!J14</f>
        <v>2</v>
      </c>
      <c r="K13" s="46">
        <f>'[1]2018'!K14+'[1]2019'!K14+'[1]2020'!K14</f>
        <v>0</v>
      </c>
      <c r="L13" s="46">
        <f>'[1]2018'!L14+'[1]2019'!L14+'[1]2020'!L14</f>
        <v>2</v>
      </c>
      <c r="M13" s="46">
        <f>'[1]2018'!M14+'[1]2019'!M14+'[1]2020'!M14</f>
        <v>1</v>
      </c>
      <c r="N13" s="46">
        <f>'[1]2018'!N14+'[1]2019'!N14+'[1]2020'!N14</f>
        <v>0</v>
      </c>
      <c r="O13" s="46">
        <f>'[1]2018'!O14+'[1]2019'!O14+'[1]2020'!O14</f>
        <v>0</v>
      </c>
      <c r="P13" s="46">
        <f>'[1]2018'!P14+'[1]2019'!P14+'[1]2020'!P14</f>
        <v>0</v>
      </c>
      <c r="Q13" s="46">
        <f>'[1]2018'!Q14+'[1]2019'!Q14+'[1]2020'!Q14</f>
        <v>0</v>
      </c>
      <c r="R13" s="46">
        <f>'[1]2018'!R14+'[1]2019'!R14+'[1]2020'!R14</f>
        <v>2</v>
      </c>
      <c r="S13" s="46">
        <f>'[1]2018'!S14+'[1]2019'!S14+'[1]2020'!S14</f>
        <v>0</v>
      </c>
      <c r="T13" s="46">
        <f>'[1]2018'!T14+'[1]2019'!T14+'[1]2020'!T14</f>
        <v>1</v>
      </c>
      <c r="U13" s="46">
        <f>'[1]2018'!U14+'[1]2019'!U14+'[1]2020'!U14</f>
        <v>0</v>
      </c>
      <c r="V13" s="46">
        <f>'[1]2018'!V14+'[1]2019'!V14+'[1]2020'!V14</f>
        <v>52</v>
      </c>
      <c r="W13" s="46">
        <f>'[1]2018'!W14+'[1]2019'!W14+'[1]2020'!W14</f>
        <v>0</v>
      </c>
      <c r="X13" s="46">
        <f>'[1]2018'!X14+'[1]2019'!X14+'[1]2020'!X14</f>
        <v>0</v>
      </c>
      <c r="Y13" s="41">
        <f t="shared" si="1"/>
        <v>65</v>
      </c>
      <c r="Z13" s="11">
        <f>'[1]2018'!Z14+'[1]2019'!Z14+'[1]2020'!Z14</f>
        <v>3</v>
      </c>
      <c r="AA13" s="11">
        <f>'[1]2018'!AA14+'[1]2019'!AA14+'[1]2020'!AA14</f>
        <v>2</v>
      </c>
      <c r="AB13" s="11">
        <f>'[1]2018'!AB14+'[1]2019'!AB14+'[1]2020'!AB14</f>
        <v>58</v>
      </c>
      <c r="AC13" s="11">
        <f>'[1]2018'!AC14+'[1]2019'!AC14+'[1]2020'!AC14</f>
        <v>53</v>
      </c>
      <c r="AD13" s="11">
        <f>'[1]2018'!AD14+'[1]2019'!AD14+'[1]2020'!AD14</f>
        <v>0</v>
      </c>
      <c r="AE13" s="11">
        <f>'[1]2018'!AE14+'[1]2019'!AE14+'[1]2020'!AE14</f>
        <v>0</v>
      </c>
      <c r="AF13" s="11">
        <f>'[1]2018'!AF14+'[1]2019'!AF14+'[1]2020'!AF14</f>
        <v>4</v>
      </c>
      <c r="AG13" s="11">
        <f>'[1]2018'!AG14+'[1]2019'!AG14+'[1]2020'!AG14</f>
        <v>0</v>
      </c>
      <c r="AH13" s="11">
        <f>'[1]2018'!AH14+'[1]2019'!AH14+'[1]2020'!AH14</f>
        <v>0</v>
      </c>
      <c r="AI13" s="11">
        <f>'[1]2018'!AI14+'[1]2019'!AI14+'[1]2020'!AI14</f>
        <v>0</v>
      </c>
      <c r="AJ13" s="11">
        <f>'[1]2018'!AJ14+'[1]2019'!AJ14+'[1]2020'!AJ14</f>
        <v>1</v>
      </c>
      <c r="AK13" s="11">
        <f>'[1]2018'!AK14+'[1]2019'!AK14+'[1]2020'!AK14</f>
        <v>0</v>
      </c>
      <c r="AL13" s="11">
        <f>'[1]2018'!AL14+'[1]2019'!AL14+'[1]2020'!AL14</f>
        <v>0</v>
      </c>
      <c r="AM13" s="11">
        <f>'[1]2018'!AM14+'[1]2019'!AM14+'[1]2020'!AM14</f>
        <v>0</v>
      </c>
      <c r="AN13" s="11">
        <f>'[1]2018'!AN14+'[1]2019'!AN14+'[1]2020'!AN14</f>
        <v>0</v>
      </c>
      <c r="AO13" s="11">
        <f>'[1]2018'!AO14+'[1]2019'!AO14+'[1]2020'!AO14</f>
        <v>0</v>
      </c>
      <c r="AP13" s="11">
        <f>'[1]2018'!AP14+'[1]2019'!AP14+'[1]2020'!AP14</f>
        <v>0</v>
      </c>
      <c r="AQ13" s="11">
        <f>'[1]2018'!AQ14+'[1]2019'!AQ14+'[1]2020'!AQ14</f>
        <v>0</v>
      </c>
      <c r="AR13" s="11">
        <f>'[1]2018'!AR14+'[1]2019'!AR14+'[1]2020'!AR14</f>
        <v>1</v>
      </c>
      <c r="AS13" s="11">
        <f>'[1]2018'!AS14+'[1]2019'!AS14+'[1]2020'!AS14</f>
        <v>0</v>
      </c>
      <c r="AT13" s="11">
        <f>'[1]2018'!AT14+'[1]2019'!AT14+'[1]2020'!AT14</f>
        <v>52</v>
      </c>
      <c r="AU13" s="11">
        <f>'[1]2018'!AU14+'[1]2019'!AU14+'[1]2020'!AU14</f>
        <v>0</v>
      </c>
      <c r="AV13" s="11">
        <f>'[1]2018'!AV14+'[1]2019'!AV14+'[1]2020'!AV14</f>
        <v>0</v>
      </c>
      <c r="AW13" s="41">
        <f t="shared" si="3"/>
        <v>58</v>
      </c>
      <c r="AX13" s="14">
        <f t="shared" si="4"/>
        <v>805.55666666666673</v>
      </c>
      <c r="AY13" s="2">
        <f>'[1]2018'!AX14+'[1]2019'!AX14+'[1]2020'!AX14</f>
        <v>2416.67</v>
      </c>
    </row>
    <row r="14" spans="1:136" x14ac:dyDescent="0.25">
      <c r="A14" s="10" t="s">
        <v>158</v>
      </c>
      <c r="B14" s="46">
        <f>'[1]2018'!B15+'[1]2019'!B15+'[1]2020'!B15</f>
        <v>5</v>
      </c>
      <c r="C14" s="46">
        <f>'[1]2018'!C15+'[1]2019'!C15+'[1]2020'!C15+'2021'!B7</f>
        <v>151</v>
      </c>
      <c r="D14" s="46">
        <f>'[1]2018'!D15+'[1]2019'!D15+'[1]2020'!D15</f>
        <v>39</v>
      </c>
      <c r="E14" s="46">
        <f>'[1]2018'!E15+'[1]2019'!E15+'[1]2020'!E15</f>
        <v>39</v>
      </c>
      <c r="F14" s="46">
        <f>'[1]2018'!F15+'[1]2019'!F15+'[1]2020'!F15</f>
        <v>0</v>
      </c>
      <c r="G14" s="46">
        <f>'[1]2018'!G15+'[1]2019'!G15+'[1]2020'!G15</f>
        <v>0</v>
      </c>
      <c r="H14" s="46">
        <f>'[1]2018'!H15+'[1]2019'!H15+'[1]2020'!H15</f>
        <v>0</v>
      </c>
      <c r="I14" s="46">
        <f>'[1]2018'!I15+'[1]2019'!I15+'[1]2020'!I15</f>
        <v>0</v>
      </c>
      <c r="J14" s="46">
        <f>'[1]2018'!J15+'[1]2019'!J15+'[1]2020'!J15</f>
        <v>0</v>
      </c>
      <c r="K14" s="46">
        <f>'[1]2018'!K15+'[1]2019'!K15+'[1]2020'!K15</f>
        <v>0</v>
      </c>
      <c r="L14" s="46">
        <f>'[1]2018'!L15+'[1]2019'!L15+'[1]2020'!L15</f>
        <v>0</v>
      </c>
      <c r="M14" s="46">
        <f>'[1]2018'!M15+'[1]2019'!M15+'[1]2020'!M15</f>
        <v>0</v>
      </c>
      <c r="N14" s="46">
        <f>'[1]2018'!N15+'[1]2019'!N15+'[1]2020'!N15</f>
        <v>0</v>
      </c>
      <c r="O14" s="46">
        <f>'[1]2018'!O15+'[1]2019'!O15+'[1]2020'!O15</f>
        <v>0</v>
      </c>
      <c r="P14" s="46">
        <f>'[1]2018'!P15+'[1]2019'!P15+'[1]2020'!P15</f>
        <v>0</v>
      </c>
      <c r="Q14" s="46">
        <f>'[1]2018'!Q15+'[1]2019'!Q15+'[1]2020'!Q15</f>
        <v>0</v>
      </c>
      <c r="R14" s="46">
        <f>'[1]2018'!R15+'[1]2019'!R15+'[1]2020'!R15</f>
        <v>0</v>
      </c>
      <c r="S14" s="46">
        <f>'[1]2018'!S15+'[1]2019'!S15+'[1]2020'!S15</f>
        <v>0</v>
      </c>
      <c r="T14" s="46">
        <f>'[1]2018'!T15+'[1]2019'!T15+'[1]2020'!T15</f>
        <v>37</v>
      </c>
      <c r="U14" s="46">
        <f>'[1]2018'!U15+'[1]2019'!U15+'[1]2020'!U15</f>
        <v>0</v>
      </c>
      <c r="V14" s="46">
        <f>'[1]2018'!V15+'[1]2019'!V15+'[1]2020'!V15</f>
        <v>2</v>
      </c>
      <c r="W14" s="46">
        <f>'[1]2018'!W15+'[1]2019'!W15+'[1]2020'!W15</f>
        <v>0</v>
      </c>
      <c r="X14" s="46">
        <f>'[1]2018'!X15+'[1]2019'!X15+'[1]2020'!X15</f>
        <v>0</v>
      </c>
      <c r="Y14" s="41">
        <f t="shared" si="1"/>
        <v>39</v>
      </c>
      <c r="Z14" s="11">
        <f>'[1]2018'!Z15+'[1]2019'!Z15+'[1]2020'!Z15</f>
        <v>10</v>
      </c>
      <c r="AA14" s="11">
        <f>'[1]2018'!AA15+'[1]2019'!AA15+'[1]2020'!AA15</f>
        <v>10</v>
      </c>
      <c r="AB14" s="11">
        <f>'[1]2018'!AB15+'[1]2019'!AB15+'[1]2020'!AB15</f>
        <v>12</v>
      </c>
      <c r="AC14" s="11">
        <f>'[1]2018'!AC15+'[1]2019'!AC15+'[1]2020'!AC15</f>
        <v>12</v>
      </c>
      <c r="AD14" s="11">
        <f>'[1]2018'!AD15+'[1]2019'!AD15+'[1]2020'!AD15</f>
        <v>0</v>
      </c>
      <c r="AE14" s="11">
        <f>'[1]2018'!AE15+'[1]2019'!AE15+'[1]2020'!AE15</f>
        <v>0</v>
      </c>
      <c r="AF14" s="11">
        <f>'[1]2018'!AF15+'[1]2019'!AF15+'[1]2020'!AF15</f>
        <v>0</v>
      </c>
      <c r="AG14" s="11">
        <f>'[1]2018'!AG15+'[1]2019'!AG15+'[1]2020'!AG15</f>
        <v>0</v>
      </c>
      <c r="AH14" s="11">
        <f>'[1]2018'!AH15+'[1]2019'!AH15+'[1]2020'!AH15</f>
        <v>0</v>
      </c>
      <c r="AI14" s="11">
        <f>'[1]2018'!AI15+'[1]2019'!AI15+'[1]2020'!AI15</f>
        <v>0</v>
      </c>
      <c r="AJ14" s="11">
        <f>'[1]2018'!AJ15+'[1]2019'!AJ15+'[1]2020'!AJ15</f>
        <v>0</v>
      </c>
      <c r="AK14" s="11">
        <f>'[1]2018'!AK15+'[1]2019'!AK15+'[1]2020'!AK15</f>
        <v>0</v>
      </c>
      <c r="AL14" s="11">
        <f>'[1]2018'!AL15+'[1]2019'!AL15+'[1]2020'!AL15</f>
        <v>0</v>
      </c>
      <c r="AM14" s="11">
        <f>'[1]2018'!AM15+'[1]2019'!AM15+'[1]2020'!AM15</f>
        <v>0</v>
      </c>
      <c r="AN14" s="11">
        <f>'[1]2018'!AN15+'[1]2019'!AN15+'[1]2020'!AN15</f>
        <v>0</v>
      </c>
      <c r="AO14" s="11">
        <f>'[1]2018'!AO15+'[1]2019'!AO15+'[1]2020'!AO15</f>
        <v>0</v>
      </c>
      <c r="AP14" s="11">
        <f>'[1]2018'!AP15+'[1]2019'!AP15+'[1]2020'!AP15</f>
        <v>0</v>
      </c>
      <c r="AQ14" s="11">
        <f>'[1]2018'!AQ15+'[1]2019'!AQ15+'[1]2020'!AQ15</f>
        <v>0</v>
      </c>
      <c r="AR14" s="11">
        <f>'[1]2018'!AR15+'[1]2019'!AR15+'[1]2020'!AR15</f>
        <v>10</v>
      </c>
      <c r="AS14" s="11">
        <f>'[1]2018'!AS15+'[1]2019'!AS15+'[1]2020'!AS15</f>
        <v>0</v>
      </c>
      <c r="AT14" s="11">
        <f>'[1]2018'!AT15+'[1]2019'!AT15+'[1]2020'!AT15</f>
        <v>2</v>
      </c>
      <c r="AU14" s="11">
        <f>'[1]2018'!AU15+'[1]2019'!AU15+'[1]2020'!AU15</f>
        <v>0</v>
      </c>
      <c r="AV14" s="11">
        <f>'[1]2018'!AV15+'[1]2019'!AV15+'[1]2020'!AV15</f>
        <v>0</v>
      </c>
      <c r="AW14" s="41">
        <f t="shared" si="3"/>
        <v>12</v>
      </c>
      <c r="AX14" s="14">
        <f t="shared" si="4"/>
        <v>340</v>
      </c>
      <c r="AY14" s="2">
        <f>'[1]2018'!AX15+'[1]2019'!AX15+'[1]2020'!AX15</f>
        <v>1020</v>
      </c>
    </row>
    <row r="15" spans="1:136" x14ac:dyDescent="0.25">
      <c r="A15" s="10" t="s">
        <v>77</v>
      </c>
      <c r="B15" s="46">
        <f>'[1]2018'!B16+'[1]2019'!B16+'[1]2020'!B16</f>
        <v>7</v>
      </c>
      <c r="C15" s="46">
        <f>'[1]2018'!C16+'[1]2019'!C16+'[1]2020'!C16</f>
        <v>0</v>
      </c>
      <c r="D15" s="46">
        <f>'[1]2018'!D16+'[1]2019'!D16+'[1]2020'!D16</f>
        <v>25</v>
      </c>
      <c r="E15" s="46">
        <f>'[1]2018'!E16+'[1]2019'!E16+'[1]2020'!E16</f>
        <v>0</v>
      </c>
      <c r="F15" s="46">
        <f>'[1]2018'!F16+'[1]2019'!F16+'[1]2020'!F16</f>
        <v>0</v>
      </c>
      <c r="G15" s="46">
        <f>'[1]2018'!G16+'[1]2019'!G16+'[1]2020'!G16</f>
        <v>0</v>
      </c>
      <c r="H15" s="46">
        <f>'[1]2018'!H16+'[1]2019'!H16+'[1]2020'!H16</f>
        <v>25</v>
      </c>
      <c r="I15" s="46">
        <f>'[1]2018'!I16+'[1]2019'!I16+'[1]2020'!I16</f>
        <v>0</v>
      </c>
      <c r="J15" s="46">
        <f>'[1]2018'!J16+'[1]2019'!J16+'[1]2020'!J16</f>
        <v>0</v>
      </c>
      <c r="K15" s="46">
        <f>'[1]2018'!K16+'[1]2019'!K16+'[1]2020'!K16</f>
        <v>0</v>
      </c>
      <c r="L15" s="46">
        <f>'[1]2018'!L16+'[1]2019'!L16+'[1]2020'!L16</f>
        <v>0</v>
      </c>
      <c r="M15" s="46">
        <f>'[1]2018'!M16+'[1]2019'!M16+'[1]2020'!M16</f>
        <v>0</v>
      </c>
      <c r="N15" s="46">
        <f>'[1]2018'!N16+'[1]2019'!N16+'[1]2020'!N16</f>
        <v>0</v>
      </c>
      <c r="O15" s="46">
        <f>'[1]2018'!O16+'[1]2019'!O16+'[1]2020'!O16</f>
        <v>0</v>
      </c>
      <c r="P15" s="46">
        <f>'[1]2018'!P16+'[1]2019'!P16+'[1]2020'!P16</f>
        <v>0</v>
      </c>
      <c r="Q15" s="46">
        <f>'[1]2018'!Q16+'[1]2019'!Q16+'[1]2020'!Q16</f>
        <v>0</v>
      </c>
      <c r="R15" s="46">
        <f>'[1]2018'!R16+'[1]2019'!R16+'[1]2020'!R16</f>
        <v>0</v>
      </c>
      <c r="S15" s="46">
        <f>'[1]2018'!S16+'[1]2019'!S16+'[1]2020'!S16</f>
        <v>0</v>
      </c>
      <c r="T15" s="46">
        <f>'[1]2018'!T16+'[1]2019'!T16+'[1]2020'!T16</f>
        <v>0</v>
      </c>
      <c r="U15" s="46">
        <f>'[1]2018'!U16+'[1]2019'!U16+'[1]2020'!U16</f>
        <v>0</v>
      </c>
      <c r="V15" s="46">
        <f>'[1]2018'!V16+'[1]2019'!V16+'[1]2020'!V16</f>
        <v>0</v>
      </c>
      <c r="W15" s="46">
        <f>'[1]2018'!W16+'[1]2019'!W16+'[1]2020'!W16</f>
        <v>0</v>
      </c>
      <c r="X15" s="46">
        <f>'[1]2018'!X16+'[1]2019'!X16+'[1]2020'!X16</f>
        <v>0</v>
      </c>
      <c r="Y15" s="41">
        <f t="shared" si="1"/>
        <v>25</v>
      </c>
      <c r="Z15" s="11">
        <f>'[1]2018'!Z16+'[1]2019'!Z16+'[1]2020'!Z16</f>
        <v>4</v>
      </c>
      <c r="AA15" s="11">
        <f>'[1]2018'!AA16+'[1]2019'!AA16+'[1]2020'!AA16</f>
        <v>0</v>
      </c>
      <c r="AB15" s="11">
        <f>'[1]2018'!AB16+'[1]2019'!AB16+'[1]2020'!AB16</f>
        <v>22</v>
      </c>
      <c r="AC15" s="11">
        <f>'[1]2018'!AC16+'[1]2019'!AC16+'[1]2020'!AC16</f>
        <v>0</v>
      </c>
      <c r="AD15" s="11">
        <f>'[1]2018'!AD16+'[1]2019'!AD16+'[1]2020'!AD16</f>
        <v>0</v>
      </c>
      <c r="AE15" s="11">
        <f>'[1]2018'!AE16+'[1]2019'!AE16+'[1]2020'!AE16</f>
        <v>0</v>
      </c>
      <c r="AF15" s="11">
        <f>'[1]2018'!AF16+'[1]2019'!AF16+'[1]2020'!AF16</f>
        <v>22</v>
      </c>
      <c r="AG15" s="11">
        <f>'[1]2018'!AG16+'[1]2019'!AG16+'[1]2020'!AG16</f>
        <v>0</v>
      </c>
      <c r="AH15" s="11">
        <f>'[1]2018'!AH16+'[1]2019'!AH16+'[1]2020'!AH16</f>
        <v>0</v>
      </c>
      <c r="AI15" s="11">
        <f>'[1]2018'!AI16+'[1]2019'!AI16+'[1]2020'!AI16</f>
        <v>0</v>
      </c>
      <c r="AJ15" s="11">
        <f>'[1]2018'!AJ16+'[1]2019'!AJ16+'[1]2020'!AJ16</f>
        <v>0</v>
      </c>
      <c r="AK15" s="11">
        <f>'[1]2018'!AK16+'[1]2019'!AK16+'[1]2020'!AK16</f>
        <v>0</v>
      </c>
      <c r="AL15" s="11">
        <f>'[1]2018'!AL16+'[1]2019'!AL16+'[1]2020'!AL16</f>
        <v>0</v>
      </c>
      <c r="AM15" s="11">
        <f>'[1]2018'!AM16+'[1]2019'!AM16+'[1]2020'!AM16</f>
        <v>0</v>
      </c>
      <c r="AN15" s="11">
        <f>'[1]2018'!AN16+'[1]2019'!AN16+'[1]2020'!AN16</f>
        <v>0</v>
      </c>
      <c r="AO15" s="11">
        <f>'[1]2018'!AO16+'[1]2019'!AO16+'[1]2020'!AO16</f>
        <v>0</v>
      </c>
      <c r="AP15" s="11">
        <f>'[1]2018'!AP16+'[1]2019'!AP16+'[1]2020'!AP16</f>
        <v>0</v>
      </c>
      <c r="AQ15" s="11">
        <f>'[1]2018'!AQ16+'[1]2019'!AQ16+'[1]2020'!AQ16</f>
        <v>0</v>
      </c>
      <c r="AR15" s="11">
        <f>'[1]2018'!AR16+'[1]2019'!AR16+'[1]2020'!AR16</f>
        <v>0</v>
      </c>
      <c r="AS15" s="11">
        <f>'[1]2018'!AS16+'[1]2019'!AS16+'[1]2020'!AS16</f>
        <v>0</v>
      </c>
      <c r="AT15" s="11">
        <f>'[1]2018'!AT16+'[1]2019'!AT16+'[1]2020'!AT16</f>
        <v>0</v>
      </c>
      <c r="AU15" s="11">
        <f>'[1]2018'!AU16+'[1]2019'!AU16+'[1]2020'!AU16</f>
        <v>0</v>
      </c>
      <c r="AV15" s="11">
        <f>'[1]2018'!AV16+'[1]2019'!AV16+'[1]2020'!AV16</f>
        <v>0</v>
      </c>
      <c r="AW15" s="41">
        <f t="shared" si="3"/>
        <v>22</v>
      </c>
      <c r="AX15" s="14">
        <f t="shared" si="4"/>
        <v>346.66666666666669</v>
      </c>
      <c r="AY15" s="2">
        <f>'[1]2018'!AX16+'[1]2019'!AX16+'[1]2020'!AX16</f>
        <v>1040</v>
      </c>
    </row>
    <row r="16" spans="1:136" s="45" customFormat="1" x14ac:dyDescent="0.25">
      <c r="A16" s="10" t="s">
        <v>78</v>
      </c>
      <c r="B16" s="46">
        <f>'[1]2018'!B18+'[1]2019'!B18+'[1]2020'!B18</f>
        <v>92</v>
      </c>
      <c r="C16" s="46">
        <f>'[1]2018'!C18+'[1]2019'!C18+'[1]2020'!C18</f>
        <v>71</v>
      </c>
      <c r="D16" s="46">
        <f>'[1]2018'!D18+'[1]2019'!D18+'[1]2020'!D18</f>
        <v>175</v>
      </c>
      <c r="E16" s="46">
        <f>'[1]2018'!E18+'[1]2019'!E18+'[1]2020'!E18</f>
        <v>121</v>
      </c>
      <c r="F16" s="46">
        <f>'[1]2018'!F18+'[1]2019'!F18+'[1]2020'!F18</f>
        <v>0</v>
      </c>
      <c r="G16" s="46">
        <f>'[1]2018'!G18+'[1]2019'!G18+'[1]2020'!G18</f>
        <v>0</v>
      </c>
      <c r="H16" s="46">
        <f>'[1]2018'!H18+'[1]2019'!H18+'[1]2020'!H18</f>
        <v>4</v>
      </c>
      <c r="I16" s="46">
        <f>'[1]2018'!I18+'[1]2019'!I18+'[1]2020'!I18</f>
        <v>0</v>
      </c>
      <c r="J16" s="46">
        <f>'[1]2018'!J18+'[1]2019'!J18+'[1]2020'!J18</f>
        <v>0</v>
      </c>
      <c r="K16" s="46">
        <f>'[1]2018'!K18+'[1]2019'!K18+'[1]2020'!K18</f>
        <v>0</v>
      </c>
      <c r="L16" s="46">
        <f>'[1]2018'!L18+'[1]2019'!L18+'[1]2020'!L18</f>
        <v>0</v>
      </c>
      <c r="M16" s="46">
        <f>'[1]2018'!M18+'[1]2019'!M18+'[1]2020'!M18</f>
        <v>0</v>
      </c>
      <c r="N16" s="46">
        <f>'[1]2018'!N18+'[1]2019'!N18+'[1]2020'!N18</f>
        <v>0</v>
      </c>
      <c r="O16" s="46">
        <f>'[1]2018'!O18+'[1]2019'!O18+'[1]2020'!O18</f>
        <v>0</v>
      </c>
      <c r="P16" s="46">
        <f>'[1]2018'!P18+'[1]2019'!P18+'[1]2020'!P18</f>
        <v>0</v>
      </c>
      <c r="Q16" s="46">
        <f>'[1]2018'!Q18+'[1]2019'!Q18+'[1]2020'!Q18</f>
        <v>0</v>
      </c>
      <c r="R16" s="46">
        <f>'[1]2018'!R18+'[1]2019'!R18+'[1]2020'!R18</f>
        <v>2</v>
      </c>
      <c r="S16" s="46">
        <f>'[1]2018'!S18+'[1]2019'!S18+'[1]2020'!S18</f>
        <v>0</v>
      </c>
      <c r="T16" s="46">
        <f>'[1]2018'!T18+'[1]2019'!T18+'[1]2020'!T18</f>
        <v>121</v>
      </c>
      <c r="U16" s="46">
        <f>'[1]2018'!U18+'[1]2019'!U18+'[1]2020'!U18</f>
        <v>0</v>
      </c>
      <c r="V16" s="46">
        <f>'[1]2018'!V18+'[1]2019'!V18+'[1]2020'!V18</f>
        <v>47</v>
      </c>
      <c r="W16" s="46">
        <f>'[1]2018'!W18+'[1]2019'!W18+'[1]2020'!W18</f>
        <v>0</v>
      </c>
      <c r="X16" s="46">
        <f>'[1]2018'!X18+'[1]2019'!X18+'[1]2020'!X18</f>
        <v>1</v>
      </c>
      <c r="Y16" s="41">
        <f t="shared" si="1"/>
        <v>175</v>
      </c>
      <c r="Z16" s="11">
        <f>'[1]2018'!Z18+'[1]2019'!Z18+'[1]2020'!Z18</f>
        <v>80</v>
      </c>
      <c r="AA16" s="11">
        <f>'[1]2018'!AA18+'[1]2019'!AA18+'[1]2020'!AA18</f>
        <v>43</v>
      </c>
      <c r="AB16" s="11">
        <f>'[1]2018'!AB18+'[1]2019'!AB18+'[1]2020'!AB18</f>
        <v>132</v>
      </c>
      <c r="AC16" s="11">
        <f>'[1]2018'!AC18+'[1]2019'!AC18+'[1]2020'!AC18</f>
        <v>80</v>
      </c>
      <c r="AD16" s="11">
        <f>'[1]2018'!AD18+'[1]2019'!AD18+'[1]2020'!AD18</f>
        <v>0</v>
      </c>
      <c r="AE16" s="11">
        <f>'[1]2018'!AE18+'[1]2019'!AE18+'[1]2020'!AE18</f>
        <v>0</v>
      </c>
      <c r="AF16" s="11">
        <f>'[1]2018'!AF18+'[1]2019'!AF18+'[1]2020'!AF18</f>
        <v>1</v>
      </c>
      <c r="AG16" s="11">
        <f>'[1]2018'!AG18+'[1]2019'!AG18+'[1]2020'!AG18</f>
        <v>0</v>
      </c>
      <c r="AH16" s="11">
        <f>'[1]2018'!AH18+'[1]2019'!AH18+'[1]2020'!AH18</f>
        <v>0</v>
      </c>
      <c r="AI16" s="11">
        <f>'[1]2018'!AI18+'[1]2019'!AI18+'[1]2020'!AI18</f>
        <v>0</v>
      </c>
      <c r="AJ16" s="11">
        <f>'[1]2018'!AJ18+'[1]2019'!AJ18+'[1]2020'!AJ18</f>
        <v>0</v>
      </c>
      <c r="AK16" s="11">
        <f>'[1]2018'!AK18+'[1]2019'!AK18+'[1]2020'!AK18</f>
        <v>0</v>
      </c>
      <c r="AL16" s="11">
        <f>'[1]2018'!AL18+'[1]2019'!AL18+'[1]2020'!AL18</f>
        <v>0</v>
      </c>
      <c r="AM16" s="11">
        <f>'[1]2018'!AM18+'[1]2019'!AM18+'[1]2020'!AM18</f>
        <v>0</v>
      </c>
      <c r="AN16" s="11">
        <f>'[1]2018'!AN18+'[1]2019'!AN18+'[1]2020'!AN18</f>
        <v>0</v>
      </c>
      <c r="AO16" s="11">
        <f>'[1]2018'!AO18+'[1]2019'!AO18+'[1]2020'!AO18</f>
        <v>0</v>
      </c>
      <c r="AP16" s="11">
        <f>'[1]2018'!AP18+'[1]2019'!AP18+'[1]2020'!AP18</f>
        <v>5</v>
      </c>
      <c r="AQ16" s="11">
        <f>'[1]2018'!AQ18+'[1]2019'!AQ18+'[1]2020'!AQ18</f>
        <v>0</v>
      </c>
      <c r="AR16" s="11">
        <f>'[1]2018'!AR18+'[1]2019'!AR18+'[1]2020'!AR18</f>
        <v>84</v>
      </c>
      <c r="AS16" s="11">
        <f>'[1]2018'!AS18+'[1]2019'!AS18+'[1]2020'!AS18</f>
        <v>0</v>
      </c>
      <c r="AT16" s="11">
        <f>'[1]2018'!AT18+'[1]2019'!AT18+'[1]2020'!AT18</f>
        <v>42</v>
      </c>
      <c r="AU16" s="11">
        <f>'[1]2018'!AU18+'[1]2019'!AU18+'[1]2020'!AU18</f>
        <v>0</v>
      </c>
      <c r="AV16" s="11">
        <f>'[1]2018'!AV18+'[1]2019'!AV18+'[1]2020'!AV18</f>
        <v>0</v>
      </c>
      <c r="AW16" s="41">
        <f t="shared" si="3"/>
        <v>132</v>
      </c>
      <c r="AX16" s="14">
        <f t="shared" si="4"/>
        <v>1491.4339772727271</v>
      </c>
      <c r="AY16" s="2">
        <f>'[1]2018'!AX18+'[1]2019'!AX18+'[1]2020'!AX18</f>
        <v>4474.3019318181814</v>
      </c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x14ac:dyDescent="0.25">
      <c r="A17" s="10" t="s">
        <v>79</v>
      </c>
      <c r="B17" s="46">
        <f>'[1]2018'!B19+'[1]2019'!B19+'[1]2020'!B19</f>
        <v>2</v>
      </c>
      <c r="C17" s="46">
        <f>'[1]2018'!C19+'[1]2019'!C19+'[1]2020'!C19</f>
        <v>2</v>
      </c>
      <c r="D17" s="46">
        <f>'[1]2018'!D19+'[1]2019'!D19+'[1]2020'!D19</f>
        <v>2</v>
      </c>
      <c r="E17" s="46">
        <f>'[1]2018'!E19+'[1]2019'!E19+'[1]2020'!E19</f>
        <v>2</v>
      </c>
      <c r="F17" s="46">
        <f>'[1]2018'!F19+'[1]2019'!F19+'[1]2020'!F19</f>
        <v>0</v>
      </c>
      <c r="G17" s="46">
        <f>'[1]2018'!G19+'[1]2019'!G19+'[1]2020'!G19</f>
        <v>0</v>
      </c>
      <c r="H17" s="46">
        <f>'[1]2018'!H19+'[1]2019'!H19+'[1]2020'!H19</f>
        <v>0</v>
      </c>
      <c r="I17" s="46">
        <f>'[1]2018'!I19+'[1]2019'!I19+'[1]2020'!I19</f>
        <v>0</v>
      </c>
      <c r="J17" s="46">
        <f>'[1]2018'!J19+'[1]2019'!J19+'[1]2020'!J19</f>
        <v>0</v>
      </c>
      <c r="K17" s="46">
        <f>'[1]2018'!K19+'[1]2019'!K19+'[1]2020'!K19</f>
        <v>0</v>
      </c>
      <c r="L17" s="46">
        <f>'[1]2018'!L19+'[1]2019'!L19+'[1]2020'!L19</f>
        <v>0</v>
      </c>
      <c r="M17" s="46">
        <f>'[1]2018'!M19+'[1]2019'!M19+'[1]2020'!M19</f>
        <v>0</v>
      </c>
      <c r="N17" s="46">
        <f>'[1]2018'!N19+'[1]2019'!N19+'[1]2020'!N19</f>
        <v>0</v>
      </c>
      <c r="O17" s="46">
        <f>'[1]2018'!O19+'[1]2019'!O19+'[1]2020'!O19</f>
        <v>0</v>
      </c>
      <c r="P17" s="46">
        <f>'[1]2018'!P19+'[1]2019'!P19+'[1]2020'!P19</f>
        <v>0</v>
      </c>
      <c r="Q17" s="46">
        <f>'[1]2018'!Q19+'[1]2019'!Q19+'[1]2020'!Q19</f>
        <v>0</v>
      </c>
      <c r="R17" s="46">
        <f>'[1]2018'!R19+'[1]2019'!R19+'[1]2020'!R19</f>
        <v>0</v>
      </c>
      <c r="S17" s="46">
        <f>'[1]2018'!S19+'[1]2019'!S19+'[1]2020'!S19</f>
        <v>0</v>
      </c>
      <c r="T17" s="46">
        <f>'[1]2018'!T19+'[1]2019'!T19+'[1]2020'!T19</f>
        <v>1</v>
      </c>
      <c r="U17" s="46">
        <f>'[1]2018'!U19+'[1]2019'!U19+'[1]2020'!U19</f>
        <v>0</v>
      </c>
      <c r="V17" s="46">
        <f>'[1]2018'!V19+'[1]2019'!V19+'[1]2020'!V19</f>
        <v>1</v>
      </c>
      <c r="W17" s="46">
        <f>'[1]2018'!W19+'[1]2019'!W19+'[1]2020'!W19</f>
        <v>0</v>
      </c>
      <c r="X17" s="46">
        <f>'[1]2018'!X19+'[1]2019'!X19+'[1]2020'!X19</f>
        <v>0</v>
      </c>
      <c r="Y17" s="41">
        <f t="shared" si="1"/>
        <v>2</v>
      </c>
      <c r="Z17" s="11">
        <f>'[1]2018'!Z19+'[1]2019'!Z19+'[1]2020'!Z19</f>
        <v>1</v>
      </c>
      <c r="AA17" s="11">
        <f>'[1]2018'!AA19+'[1]2019'!AA19+'[1]2020'!AA19</f>
        <v>1</v>
      </c>
      <c r="AB17" s="11">
        <f>'[1]2018'!AB19+'[1]2019'!AB19+'[1]2020'!AB19</f>
        <v>1</v>
      </c>
      <c r="AC17" s="11">
        <f>'[1]2018'!AC19+'[1]2019'!AC19+'[1]2020'!AC19</f>
        <v>1</v>
      </c>
      <c r="AD17" s="11">
        <f>'[1]2018'!AD19+'[1]2019'!AD19+'[1]2020'!AD19</f>
        <v>0</v>
      </c>
      <c r="AE17" s="11">
        <f>'[1]2018'!AE19+'[1]2019'!AE19+'[1]2020'!AE19</f>
        <v>0</v>
      </c>
      <c r="AF17" s="11">
        <f>'[1]2018'!AF19+'[1]2019'!AF19+'[1]2020'!AF19</f>
        <v>0</v>
      </c>
      <c r="AG17" s="11">
        <f>'[1]2018'!AG19+'[1]2019'!AG19+'[1]2020'!AG19</f>
        <v>0</v>
      </c>
      <c r="AH17" s="11">
        <f>'[1]2018'!AH19+'[1]2019'!AH19+'[1]2020'!AH19</f>
        <v>0</v>
      </c>
      <c r="AI17" s="11">
        <f>'[1]2018'!AI19+'[1]2019'!AI19+'[1]2020'!AI19</f>
        <v>0</v>
      </c>
      <c r="AJ17" s="11">
        <f>'[1]2018'!AJ19+'[1]2019'!AJ19+'[1]2020'!AJ19</f>
        <v>0</v>
      </c>
      <c r="AK17" s="11">
        <f>'[1]2018'!AK19+'[1]2019'!AK19+'[1]2020'!AK19</f>
        <v>0</v>
      </c>
      <c r="AL17" s="11">
        <f>'[1]2018'!AL19+'[1]2019'!AL19+'[1]2020'!AL19</f>
        <v>0</v>
      </c>
      <c r="AM17" s="11">
        <f>'[1]2018'!AM19+'[1]2019'!AM19+'[1]2020'!AM19</f>
        <v>0</v>
      </c>
      <c r="AN17" s="11">
        <f>'[1]2018'!AN19+'[1]2019'!AN19+'[1]2020'!AN19</f>
        <v>0</v>
      </c>
      <c r="AO17" s="11">
        <f>'[1]2018'!AO19+'[1]2019'!AO19+'[1]2020'!AO19</f>
        <v>0</v>
      </c>
      <c r="AP17" s="11">
        <f>'[1]2018'!AP19+'[1]2019'!AP19+'[1]2020'!AP19</f>
        <v>0</v>
      </c>
      <c r="AQ17" s="11">
        <f>'[1]2018'!AQ19+'[1]2019'!AQ19+'[1]2020'!AQ19</f>
        <v>0</v>
      </c>
      <c r="AR17" s="11">
        <f>'[1]2018'!AR19+'[1]2019'!AR19+'[1]2020'!AR19</f>
        <v>0</v>
      </c>
      <c r="AS17" s="11">
        <f>'[1]2018'!AS19+'[1]2019'!AS19+'[1]2020'!AS19</f>
        <v>0</v>
      </c>
      <c r="AT17" s="11">
        <f>'[1]2018'!AT19+'[1]2019'!AT19+'[1]2020'!AT19</f>
        <v>1</v>
      </c>
      <c r="AU17" s="11">
        <f>'[1]2018'!AU19+'[1]2019'!AU19+'[1]2020'!AU19</f>
        <v>0</v>
      </c>
      <c r="AV17" s="11">
        <f>'[1]2018'!AV19+'[1]2019'!AV19+'[1]2020'!AV19</f>
        <v>0</v>
      </c>
      <c r="AW17" s="41">
        <f t="shared" si="3"/>
        <v>1</v>
      </c>
      <c r="AX17" s="14">
        <f t="shared" si="4"/>
        <v>69.333333333333329</v>
      </c>
      <c r="AY17" s="2">
        <f>'[1]2018'!AX19+'[1]2019'!AX19+'[1]2020'!AX19</f>
        <v>208</v>
      </c>
    </row>
    <row r="18" spans="1:136" x14ac:dyDescent="0.25">
      <c r="A18" s="10" t="s">
        <v>80</v>
      </c>
      <c r="B18" s="46">
        <f>'[1]2018'!B20+'[1]2019'!B20+'[1]2020'!B20</f>
        <v>4</v>
      </c>
      <c r="C18" s="46">
        <f>'[1]2018'!C20+'[1]2019'!C20+'[1]2020'!C20</f>
        <v>2</v>
      </c>
      <c r="D18" s="46">
        <f>'[1]2018'!D20+'[1]2019'!D20+'[1]2020'!D20</f>
        <v>5</v>
      </c>
      <c r="E18" s="46">
        <f>'[1]2018'!E20+'[1]2019'!E20+'[1]2020'!E20</f>
        <v>2</v>
      </c>
      <c r="F18" s="46">
        <f>'[1]2018'!F20+'[1]2019'!F20+'[1]2020'!F20</f>
        <v>0</v>
      </c>
      <c r="G18" s="46">
        <f>'[1]2018'!G20+'[1]2019'!G20+'[1]2020'!G20</f>
        <v>0</v>
      </c>
      <c r="H18" s="46">
        <f>'[1]2018'!H20+'[1]2019'!H20+'[1]2020'!H20</f>
        <v>2</v>
      </c>
      <c r="I18" s="46">
        <f>'[1]2018'!I20+'[1]2019'!I20+'[1]2020'!I20</f>
        <v>0</v>
      </c>
      <c r="J18" s="46">
        <f>'[1]2018'!J20+'[1]2019'!J20+'[1]2020'!J20</f>
        <v>0</v>
      </c>
      <c r="K18" s="46">
        <f>'[1]2018'!K20+'[1]2019'!K20+'[1]2020'!K20</f>
        <v>0</v>
      </c>
      <c r="L18" s="46">
        <f>'[1]2018'!L20+'[1]2019'!L20+'[1]2020'!L20</f>
        <v>0</v>
      </c>
      <c r="M18" s="46">
        <f>'[1]2018'!M20+'[1]2019'!M20+'[1]2020'!M20</f>
        <v>0</v>
      </c>
      <c r="N18" s="46">
        <f>'[1]2018'!N20+'[1]2019'!N20+'[1]2020'!N20</f>
        <v>0</v>
      </c>
      <c r="O18" s="46">
        <f>'[1]2018'!O20+'[1]2019'!O20+'[1]2020'!O20</f>
        <v>0</v>
      </c>
      <c r="P18" s="46">
        <f>'[1]2018'!P20+'[1]2019'!P20+'[1]2020'!P20</f>
        <v>0</v>
      </c>
      <c r="Q18" s="46">
        <f>'[1]2018'!Q20+'[1]2019'!Q20+'[1]2020'!Q20</f>
        <v>0</v>
      </c>
      <c r="R18" s="46">
        <f>'[1]2018'!R20+'[1]2019'!R20+'[1]2020'!R20</f>
        <v>0</v>
      </c>
      <c r="S18" s="46">
        <f>'[1]2018'!S20+'[1]2019'!S20+'[1]2020'!S20</f>
        <v>0</v>
      </c>
      <c r="T18" s="46">
        <f>'[1]2018'!T20+'[1]2019'!T20+'[1]2020'!T20</f>
        <v>0</v>
      </c>
      <c r="U18" s="46">
        <f>'[1]2018'!U20+'[1]2019'!U20+'[1]2020'!U20</f>
        <v>1</v>
      </c>
      <c r="V18" s="46">
        <f>'[1]2018'!V20+'[1]2019'!V20+'[1]2020'!V20</f>
        <v>1</v>
      </c>
      <c r="W18" s="46">
        <f>'[1]2018'!W20+'[1]2019'!W20+'[1]2020'!W20</f>
        <v>1</v>
      </c>
      <c r="X18" s="46">
        <f>'[1]2018'!X20+'[1]2019'!X20+'[1]2020'!X20</f>
        <v>0</v>
      </c>
      <c r="Y18" s="41">
        <f t="shared" si="1"/>
        <v>5</v>
      </c>
      <c r="Z18" s="11">
        <f>'[1]2018'!Z20+'[1]2019'!Z20+'[1]2020'!Z20</f>
        <v>3</v>
      </c>
      <c r="AA18" s="11">
        <f>'[1]2018'!AA20+'[1]2019'!AA20+'[1]2020'!AA20</f>
        <v>2</v>
      </c>
      <c r="AB18" s="11">
        <f>'[1]2018'!AB20+'[1]2019'!AB20+'[1]2020'!AB20</f>
        <v>3</v>
      </c>
      <c r="AC18" s="11">
        <f>'[1]2018'!AC20+'[1]2019'!AC20+'[1]2020'!AC20</f>
        <v>2</v>
      </c>
      <c r="AD18" s="11">
        <f>'[1]2018'!AD20+'[1]2019'!AD20+'[1]2020'!AD20</f>
        <v>0</v>
      </c>
      <c r="AE18" s="11">
        <f>'[1]2018'!AE20+'[1]2019'!AE20+'[1]2020'!AE20</f>
        <v>0</v>
      </c>
      <c r="AF18" s="11">
        <f>'[1]2018'!AF20+'[1]2019'!AF20+'[1]2020'!AF20</f>
        <v>0</v>
      </c>
      <c r="AG18" s="11">
        <f>'[1]2018'!AG20+'[1]2019'!AG20+'[1]2020'!AG20</f>
        <v>0</v>
      </c>
      <c r="AH18" s="11">
        <f>'[1]2018'!AH20+'[1]2019'!AH20+'[1]2020'!AH20</f>
        <v>0</v>
      </c>
      <c r="AI18" s="11">
        <f>'[1]2018'!AI20+'[1]2019'!AI20+'[1]2020'!AI20</f>
        <v>0</v>
      </c>
      <c r="AJ18" s="11">
        <f>'[1]2018'!AJ20+'[1]2019'!AJ20+'[1]2020'!AJ20</f>
        <v>0</v>
      </c>
      <c r="AK18" s="11">
        <f>'[1]2018'!AK20+'[1]2019'!AK20+'[1]2020'!AK20</f>
        <v>0</v>
      </c>
      <c r="AL18" s="11">
        <f>'[1]2018'!AL20+'[1]2019'!AL20+'[1]2020'!AL20</f>
        <v>0</v>
      </c>
      <c r="AM18" s="11">
        <f>'[1]2018'!AM20+'[1]2019'!AM20+'[1]2020'!AM20</f>
        <v>0</v>
      </c>
      <c r="AN18" s="11">
        <f>'[1]2018'!AN20+'[1]2019'!AN20+'[1]2020'!AN20</f>
        <v>0</v>
      </c>
      <c r="AO18" s="11">
        <f>'[1]2018'!AO20+'[1]2019'!AO20+'[1]2020'!AO20</f>
        <v>0</v>
      </c>
      <c r="AP18" s="11">
        <f>'[1]2018'!AP20+'[1]2019'!AP20+'[1]2020'!AP20</f>
        <v>0</v>
      </c>
      <c r="AQ18" s="11">
        <f>'[1]2018'!AQ20+'[1]2019'!AQ20+'[1]2020'!AQ20</f>
        <v>0</v>
      </c>
      <c r="AR18" s="11">
        <f>'[1]2018'!AR20+'[1]2019'!AR20+'[1]2020'!AR20</f>
        <v>0</v>
      </c>
      <c r="AS18" s="11">
        <f>'[1]2018'!AS20+'[1]2019'!AS20+'[1]2020'!AS20</f>
        <v>1</v>
      </c>
      <c r="AT18" s="11">
        <f>'[1]2018'!AT20+'[1]2019'!AT20+'[1]2020'!AT20</f>
        <v>1</v>
      </c>
      <c r="AU18" s="11">
        <f>'[1]2018'!AU20+'[1]2019'!AU20+'[1]2020'!AU20</f>
        <v>1</v>
      </c>
      <c r="AV18" s="11">
        <f>'[1]2018'!AV20+'[1]2019'!AV20+'[1]2020'!AV20</f>
        <v>0</v>
      </c>
      <c r="AW18" s="41">
        <f t="shared" si="3"/>
        <v>3</v>
      </c>
      <c r="AX18" s="14">
        <f t="shared" si="4"/>
        <v>567.33333333333337</v>
      </c>
      <c r="AY18" s="2">
        <f>'[1]2018'!AX20+'[1]2019'!AX20+'[1]2020'!AX20</f>
        <v>1702</v>
      </c>
    </row>
    <row r="19" spans="1:136" x14ac:dyDescent="0.25">
      <c r="A19" s="10" t="s">
        <v>81</v>
      </c>
      <c r="B19" s="46">
        <f>'[1]2018'!B21+'[1]2019'!B21+'[1]2020'!B21</f>
        <v>1</v>
      </c>
      <c r="C19" s="46">
        <f>'[1]2018'!C21+'[1]2019'!C21+'[1]2020'!C21</f>
        <v>0</v>
      </c>
      <c r="D19" s="46">
        <f>'[1]2018'!D21+'[1]2019'!D21+'[1]2020'!D21</f>
        <v>1</v>
      </c>
      <c r="E19" s="46">
        <f>'[1]2018'!E21+'[1]2019'!E21+'[1]2020'!E21</f>
        <v>0</v>
      </c>
      <c r="F19" s="46">
        <f>'[1]2018'!F21+'[1]2019'!F21+'[1]2020'!F21</f>
        <v>0</v>
      </c>
      <c r="G19" s="46">
        <f>'[1]2018'!G21+'[1]2019'!G21+'[1]2020'!G21</f>
        <v>0</v>
      </c>
      <c r="H19" s="46">
        <f>'[1]2018'!H21+'[1]2019'!H21+'[1]2020'!H21</f>
        <v>0</v>
      </c>
      <c r="I19" s="46">
        <f>'[1]2018'!I21+'[1]2019'!I21+'[1]2020'!I21</f>
        <v>0</v>
      </c>
      <c r="J19" s="46">
        <f>'[1]2018'!J21+'[1]2019'!J21+'[1]2020'!J21</f>
        <v>0</v>
      </c>
      <c r="K19" s="46">
        <f>'[1]2018'!K21+'[1]2019'!K21+'[1]2020'!K21</f>
        <v>0</v>
      </c>
      <c r="L19" s="46">
        <f>'[1]2018'!L21+'[1]2019'!L21+'[1]2020'!L21</f>
        <v>0</v>
      </c>
      <c r="M19" s="46">
        <f>'[1]2018'!M21+'[1]2019'!M21+'[1]2020'!M21</f>
        <v>0</v>
      </c>
      <c r="N19" s="46">
        <f>'[1]2018'!N21+'[1]2019'!N21+'[1]2020'!N21</f>
        <v>0</v>
      </c>
      <c r="O19" s="46">
        <f>'[1]2018'!O21+'[1]2019'!O21+'[1]2020'!O21</f>
        <v>0</v>
      </c>
      <c r="P19" s="46">
        <f>'[1]2018'!P21+'[1]2019'!P21+'[1]2020'!P21</f>
        <v>0</v>
      </c>
      <c r="Q19" s="46">
        <f>'[1]2018'!Q21+'[1]2019'!Q21+'[1]2020'!Q21</f>
        <v>0</v>
      </c>
      <c r="R19" s="46">
        <f>'[1]2018'!R21+'[1]2019'!R21+'[1]2020'!R21</f>
        <v>0</v>
      </c>
      <c r="S19" s="46">
        <f>'[1]2018'!S21+'[1]2019'!S21+'[1]2020'!S21</f>
        <v>0</v>
      </c>
      <c r="T19" s="46">
        <f>'[1]2018'!T21+'[1]2019'!T21+'[1]2020'!T21</f>
        <v>0</v>
      </c>
      <c r="U19" s="46">
        <f>'[1]2018'!U21+'[1]2019'!U21+'[1]2020'!U21</f>
        <v>0</v>
      </c>
      <c r="V19" s="46">
        <f>'[1]2018'!V21+'[1]2019'!V21+'[1]2020'!V21</f>
        <v>0</v>
      </c>
      <c r="W19" s="46">
        <f>'[1]2018'!W21+'[1]2019'!W21+'[1]2020'!W21</f>
        <v>1</v>
      </c>
      <c r="X19" s="46">
        <f>'[1]2018'!X21+'[1]2019'!X21+'[1]2020'!X21</f>
        <v>0</v>
      </c>
      <c r="Y19" s="41">
        <f t="shared" si="1"/>
        <v>1</v>
      </c>
      <c r="Z19" s="11">
        <f>'[1]2018'!Z21+'[1]2019'!Z21+'[1]2020'!Z21</f>
        <v>1</v>
      </c>
      <c r="AA19" s="11">
        <f>'[1]2018'!AA21+'[1]2019'!AA21+'[1]2020'!AA21</f>
        <v>0</v>
      </c>
      <c r="AB19" s="11">
        <f>'[1]2018'!AB21+'[1]2019'!AB21+'[1]2020'!AB21</f>
        <v>1</v>
      </c>
      <c r="AC19" s="11">
        <f>'[1]2018'!AC21+'[1]2019'!AC21+'[1]2020'!AC21</f>
        <v>0</v>
      </c>
      <c r="AD19" s="11">
        <f>'[1]2018'!AD21+'[1]2019'!AD21+'[1]2020'!AD21</f>
        <v>0</v>
      </c>
      <c r="AE19" s="11">
        <f>'[1]2018'!AE21+'[1]2019'!AE21+'[1]2020'!AE21</f>
        <v>0</v>
      </c>
      <c r="AF19" s="11">
        <f>'[1]2018'!AF21+'[1]2019'!AF21+'[1]2020'!AF21</f>
        <v>0</v>
      </c>
      <c r="AG19" s="11">
        <f>'[1]2018'!AG21+'[1]2019'!AG21+'[1]2020'!AG21</f>
        <v>0</v>
      </c>
      <c r="AH19" s="11">
        <f>'[1]2018'!AH21+'[1]2019'!AH21+'[1]2020'!AH21</f>
        <v>0</v>
      </c>
      <c r="AI19" s="11">
        <f>'[1]2018'!AI21+'[1]2019'!AI21+'[1]2020'!AI21</f>
        <v>0</v>
      </c>
      <c r="AJ19" s="11">
        <f>'[1]2018'!AJ21+'[1]2019'!AJ21+'[1]2020'!AJ21</f>
        <v>0</v>
      </c>
      <c r="AK19" s="11">
        <f>'[1]2018'!AK21+'[1]2019'!AK21+'[1]2020'!AK21</f>
        <v>0</v>
      </c>
      <c r="AL19" s="11">
        <f>'[1]2018'!AL21+'[1]2019'!AL21+'[1]2020'!AL21</f>
        <v>0</v>
      </c>
      <c r="AM19" s="11">
        <f>'[1]2018'!AM21+'[1]2019'!AM21+'[1]2020'!AM21</f>
        <v>0</v>
      </c>
      <c r="AN19" s="11">
        <f>'[1]2018'!AN21+'[1]2019'!AN21+'[1]2020'!AN21</f>
        <v>0</v>
      </c>
      <c r="AO19" s="11">
        <f>'[1]2018'!AO21+'[1]2019'!AO21+'[1]2020'!AO21</f>
        <v>0</v>
      </c>
      <c r="AP19" s="11">
        <f>'[1]2018'!AP21+'[1]2019'!AP21+'[1]2020'!AP21</f>
        <v>0</v>
      </c>
      <c r="AQ19" s="11">
        <f>'[1]2018'!AQ21+'[1]2019'!AQ21+'[1]2020'!AQ21</f>
        <v>0</v>
      </c>
      <c r="AR19" s="11">
        <f>'[1]2018'!AR21+'[1]2019'!AR21+'[1]2020'!AR21</f>
        <v>0</v>
      </c>
      <c r="AS19" s="11">
        <f>'[1]2018'!AS21+'[1]2019'!AS21+'[1]2020'!AS21</f>
        <v>0</v>
      </c>
      <c r="AT19" s="11">
        <f>'[1]2018'!AT21+'[1]2019'!AT21+'[1]2020'!AT21</f>
        <v>0</v>
      </c>
      <c r="AU19" s="11">
        <f>'[1]2018'!AU21+'[1]2019'!AU21+'[1]2020'!AU21</f>
        <v>1</v>
      </c>
      <c r="AV19" s="11">
        <f>'[1]2018'!AV21+'[1]2019'!AV21+'[1]2020'!AV21</f>
        <v>0</v>
      </c>
      <c r="AW19" s="41">
        <f t="shared" si="3"/>
        <v>1</v>
      </c>
      <c r="AX19" s="14">
        <f t="shared" si="4"/>
        <v>1333.3333333333333</v>
      </c>
      <c r="AY19" s="2">
        <f>'[1]2018'!AX21+'[1]2019'!AX21+'[1]2020'!AX21</f>
        <v>4000</v>
      </c>
    </row>
    <row r="20" spans="1:136" x14ac:dyDescent="0.25">
      <c r="A20" s="10" t="s">
        <v>82</v>
      </c>
      <c r="B20" s="46">
        <f>'[1]2018'!B23+'[1]2019'!B23+'[1]2020'!B23</f>
        <v>6</v>
      </c>
      <c r="C20" s="46">
        <f>'[1]2018'!C23+'[1]2019'!C23+'[1]2020'!C23</f>
        <v>3</v>
      </c>
      <c r="D20" s="46">
        <f>'[1]2018'!D23+'[1]2019'!D23+'[1]2020'!D23</f>
        <v>7</v>
      </c>
      <c r="E20" s="46">
        <f>'[1]2018'!E23+'[1]2019'!E23+'[1]2020'!E23</f>
        <v>7</v>
      </c>
      <c r="F20" s="46">
        <f>'[1]2018'!F23+'[1]2019'!F23+'[1]2020'!F23</f>
        <v>0</v>
      </c>
      <c r="G20" s="46">
        <f>'[1]2018'!G23+'[1]2019'!G23+'[1]2020'!G23</f>
        <v>0</v>
      </c>
      <c r="H20" s="46">
        <f>'[1]2018'!H23+'[1]2019'!H23+'[1]2020'!H23</f>
        <v>0</v>
      </c>
      <c r="I20" s="46">
        <f>'[1]2018'!I23+'[1]2019'!I23+'[1]2020'!I23</f>
        <v>0</v>
      </c>
      <c r="J20" s="46">
        <f>'[1]2018'!J23+'[1]2019'!J23+'[1]2020'!J23</f>
        <v>0</v>
      </c>
      <c r="K20" s="46">
        <f>'[1]2018'!K23+'[1]2019'!K23+'[1]2020'!K23</f>
        <v>0</v>
      </c>
      <c r="L20" s="46">
        <f>'[1]2018'!L23+'[1]2019'!L23+'[1]2020'!L23</f>
        <v>0</v>
      </c>
      <c r="M20" s="46">
        <f>'[1]2018'!M23+'[1]2019'!M23+'[1]2020'!M23</f>
        <v>0</v>
      </c>
      <c r="N20" s="46">
        <f>'[1]2018'!N23+'[1]2019'!N23+'[1]2020'!N23</f>
        <v>0</v>
      </c>
      <c r="O20" s="46">
        <f>'[1]2018'!O23+'[1]2019'!O23+'[1]2020'!O23</f>
        <v>0</v>
      </c>
      <c r="P20" s="46">
        <f>'[1]2018'!P23+'[1]2019'!P23+'[1]2020'!P23</f>
        <v>0</v>
      </c>
      <c r="Q20" s="46">
        <f>'[1]2018'!Q23+'[1]2019'!Q23+'[1]2020'!Q23</f>
        <v>0</v>
      </c>
      <c r="R20" s="46">
        <f>'[1]2018'!R23+'[1]2019'!R23+'[1]2020'!R23</f>
        <v>0</v>
      </c>
      <c r="S20" s="46">
        <f>'[1]2018'!S23+'[1]2019'!S23+'[1]2020'!S23</f>
        <v>0</v>
      </c>
      <c r="T20" s="46">
        <f>'[1]2018'!T23+'[1]2019'!T23+'[1]2020'!T23</f>
        <v>0</v>
      </c>
      <c r="U20" s="46">
        <f>'[1]2018'!U23+'[1]2019'!U23+'[1]2020'!U23</f>
        <v>7</v>
      </c>
      <c r="V20" s="46">
        <f>'[1]2018'!V23+'[1]2019'!V23+'[1]2020'!V23</f>
        <v>0</v>
      </c>
      <c r="W20" s="46">
        <f>'[1]2018'!W23+'[1]2019'!W23+'[1]2020'!W23</f>
        <v>0</v>
      </c>
      <c r="X20" s="46">
        <f>'[1]2018'!X23+'[1]2019'!X23+'[1]2020'!X23</f>
        <v>0</v>
      </c>
      <c r="Y20" s="41">
        <f t="shared" si="1"/>
        <v>7</v>
      </c>
      <c r="Z20" s="11">
        <f>'[1]2018'!Z23+'[1]2019'!Z23+'[1]2020'!Z23</f>
        <v>3</v>
      </c>
      <c r="AA20" s="11">
        <f>'[1]2018'!AA23+'[1]2019'!AA23+'[1]2020'!AA23</f>
        <v>3</v>
      </c>
      <c r="AB20" s="11">
        <f>'[1]2018'!AB23+'[1]2019'!AB23+'[1]2020'!AB23</f>
        <v>7</v>
      </c>
      <c r="AC20" s="11">
        <f>'[1]2018'!AC23+'[1]2019'!AC23+'[1]2020'!AC23</f>
        <v>7</v>
      </c>
      <c r="AD20" s="11">
        <f>'[1]2018'!AD23+'[1]2019'!AD23+'[1]2020'!AD23</f>
        <v>0</v>
      </c>
      <c r="AE20" s="11">
        <f>'[1]2018'!AE23+'[1]2019'!AE23+'[1]2020'!AE23</f>
        <v>0</v>
      </c>
      <c r="AF20" s="11">
        <f>'[1]2018'!AF23+'[1]2019'!AF23+'[1]2020'!AF23</f>
        <v>0</v>
      </c>
      <c r="AG20" s="11">
        <f>'[1]2018'!AG23+'[1]2019'!AG23+'[1]2020'!AG23</f>
        <v>0</v>
      </c>
      <c r="AH20" s="11">
        <f>'[1]2018'!AH23+'[1]2019'!AH23+'[1]2020'!AH23</f>
        <v>0</v>
      </c>
      <c r="AI20" s="11">
        <f>'[1]2018'!AI23+'[1]2019'!AI23+'[1]2020'!AI23</f>
        <v>0</v>
      </c>
      <c r="AJ20" s="11">
        <f>'[1]2018'!AJ23+'[1]2019'!AJ23+'[1]2020'!AJ23</f>
        <v>0</v>
      </c>
      <c r="AK20" s="11">
        <f>'[1]2018'!AK23+'[1]2019'!AK23+'[1]2020'!AK23</f>
        <v>0</v>
      </c>
      <c r="AL20" s="11">
        <f>'[1]2018'!AL23+'[1]2019'!AL23+'[1]2020'!AL23</f>
        <v>0</v>
      </c>
      <c r="AM20" s="11">
        <f>'[1]2018'!AM23+'[1]2019'!AM23+'[1]2020'!AM23</f>
        <v>0</v>
      </c>
      <c r="AN20" s="11">
        <f>'[1]2018'!AN23+'[1]2019'!AN23+'[1]2020'!AN23</f>
        <v>0</v>
      </c>
      <c r="AO20" s="11">
        <f>'[1]2018'!AO23+'[1]2019'!AO23+'[1]2020'!AO23</f>
        <v>0</v>
      </c>
      <c r="AP20" s="11">
        <f>'[1]2018'!AP23+'[1]2019'!AP23+'[1]2020'!AP23</f>
        <v>0</v>
      </c>
      <c r="AQ20" s="11">
        <f>'[1]2018'!AQ23+'[1]2019'!AQ23+'[1]2020'!AQ23</f>
        <v>0</v>
      </c>
      <c r="AR20" s="11">
        <f>'[1]2018'!AR23+'[1]2019'!AR23+'[1]2020'!AR23</f>
        <v>0</v>
      </c>
      <c r="AS20" s="11">
        <f>'[1]2018'!AS23+'[1]2019'!AS23+'[1]2020'!AS23</f>
        <v>7</v>
      </c>
      <c r="AT20" s="11">
        <f>'[1]2018'!AT23+'[1]2019'!AT23+'[1]2020'!AT23</f>
        <v>0</v>
      </c>
      <c r="AU20" s="11">
        <f>'[1]2018'!AU23+'[1]2019'!AU23+'[1]2020'!AU23</f>
        <v>0</v>
      </c>
      <c r="AV20" s="11">
        <f>'[1]2018'!AV23+'[1]2019'!AV23+'[1]2020'!AV23</f>
        <v>0</v>
      </c>
      <c r="AW20" s="41">
        <f t="shared" si="3"/>
        <v>7</v>
      </c>
      <c r="AX20" s="14">
        <f t="shared" si="4"/>
        <v>261.33333333333331</v>
      </c>
      <c r="AY20" s="2">
        <f>'[1]2018'!AX23+'[1]2019'!AX23+'[1]2020'!AX23</f>
        <v>784</v>
      </c>
    </row>
    <row r="21" spans="1:136" x14ac:dyDescent="0.25">
      <c r="A21" s="10" t="s">
        <v>83</v>
      </c>
      <c r="B21" s="46">
        <f>'[1]2018'!B24+'[1]2019'!B24+'[1]2020'!B24</f>
        <v>0</v>
      </c>
      <c r="C21" s="46">
        <f>'[1]2018'!C24+'[1]2019'!C24+'[1]2020'!C24</f>
        <v>0</v>
      </c>
      <c r="D21" s="46">
        <f>'[1]2018'!D24+'[1]2019'!D24+'[1]2020'!D24</f>
        <v>0</v>
      </c>
      <c r="E21" s="46">
        <f>'[1]2018'!E24+'[1]2019'!E24+'[1]2020'!E24</f>
        <v>0</v>
      </c>
      <c r="F21" s="46">
        <f>'[1]2018'!F24+'[1]2019'!F24+'[1]2020'!F24</f>
        <v>0</v>
      </c>
      <c r="G21" s="46">
        <f>'[1]2018'!G24+'[1]2019'!G24+'[1]2020'!G24</f>
        <v>0</v>
      </c>
      <c r="H21" s="46">
        <f>'[1]2018'!H24+'[1]2019'!H24+'[1]2020'!H24</f>
        <v>0</v>
      </c>
      <c r="I21" s="46">
        <f>'[1]2018'!I24+'[1]2019'!I24+'[1]2020'!I24</f>
        <v>0</v>
      </c>
      <c r="J21" s="46">
        <f>'[1]2018'!J24+'[1]2019'!J24+'[1]2020'!J24</f>
        <v>0</v>
      </c>
      <c r="K21" s="46">
        <f>'[1]2018'!K24+'[1]2019'!K24+'[1]2020'!K24</f>
        <v>0</v>
      </c>
      <c r="L21" s="46">
        <f>'[1]2018'!L24+'[1]2019'!L24+'[1]2020'!L24</f>
        <v>0</v>
      </c>
      <c r="M21" s="46">
        <f>'[1]2018'!M24+'[1]2019'!M24+'[1]2020'!M24</f>
        <v>0</v>
      </c>
      <c r="N21" s="46">
        <f>'[1]2018'!N24+'[1]2019'!N24+'[1]2020'!N24</f>
        <v>0</v>
      </c>
      <c r="O21" s="46">
        <f>'[1]2018'!O24+'[1]2019'!O24+'[1]2020'!O24</f>
        <v>0</v>
      </c>
      <c r="P21" s="46">
        <f>'[1]2018'!P24+'[1]2019'!P24+'[1]2020'!P24</f>
        <v>0</v>
      </c>
      <c r="Q21" s="46">
        <f>'[1]2018'!Q24+'[1]2019'!Q24+'[1]2020'!Q24</f>
        <v>0</v>
      </c>
      <c r="R21" s="46">
        <f>'[1]2018'!R24+'[1]2019'!R24+'[1]2020'!R24</f>
        <v>0</v>
      </c>
      <c r="S21" s="46">
        <f>'[1]2018'!S24+'[1]2019'!S24+'[1]2020'!S24</f>
        <v>0</v>
      </c>
      <c r="T21" s="46">
        <f>'[1]2018'!T24+'[1]2019'!T24+'[1]2020'!T24</f>
        <v>0</v>
      </c>
      <c r="U21" s="46">
        <f>'[1]2018'!U24+'[1]2019'!U24+'[1]2020'!U24</f>
        <v>0</v>
      </c>
      <c r="V21" s="46">
        <f>'[1]2018'!V24+'[1]2019'!V24+'[1]2020'!V24</f>
        <v>0</v>
      </c>
      <c r="W21" s="46">
        <f>'[1]2018'!W24+'[1]2019'!W24+'[1]2020'!W24</f>
        <v>0</v>
      </c>
      <c r="X21" s="46">
        <f>'[1]2018'!X24+'[1]2019'!X24+'[1]2020'!X24</f>
        <v>0</v>
      </c>
      <c r="Y21" s="41">
        <f t="shared" si="1"/>
        <v>0</v>
      </c>
      <c r="Z21" s="11">
        <f>'[1]2018'!Z24+'[1]2019'!Z24+'[1]2020'!Z24</f>
        <v>0</v>
      </c>
      <c r="AA21" s="11">
        <f>'[1]2018'!AA24+'[1]2019'!AA24+'[1]2020'!AA24</f>
        <v>0</v>
      </c>
      <c r="AB21" s="11">
        <f>'[1]2018'!AB24+'[1]2019'!AB24+'[1]2020'!AB24</f>
        <v>0</v>
      </c>
      <c r="AC21" s="11">
        <f>'[1]2018'!AC24+'[1]2019'!AC24+'[1]2020'!AC24</f>
        <v>0</v>
      </c>
      <c r="AD21" s="11">
        <f>'[1]2018'!AD24+'[1]2019'!AD24+'[1]2020'!AD24</f>
        <v>0</v>
      </c>
      <c r="AE21" s="11">
        <f>'[1]2018'!AE24+'[1]2019'!AE24+'[1]2020'!AE24</f>
        <v>0</v>
      </c>
      <c r="AF21" s="11">
        <f>'[1]2018'!AF24+'[1]2019'!AF24+'[1]2020'!AF24</f>
        <v>0</v>
      </c>
      <c r="AG21" s="11">
        <f>'[1]2018'!AG24+'[1]2019'!AG24+'[1]2020'!AG24</f>
        <v>0</v>
      </c>
      <c r="AH21" s="11">
        <f>'[1]2018'!AH24+'[1]2019'!AH24+'[1]2020'!AH24</f>
        <v>0</v>
      </c>
      <c r="AI21" s="11">
        <f>'[1]2018'!AI24+'[1]2019'!AI24+'[1]2020'!AI24</f>
        <v>0</v>
      </c>
      <c r="AJ21" s="11">
        <f>'[1]2018'!AJ24+'[1]2019'!AJ24+'[1]2020'!AJ24</f>
        <v>0</v>
      </c>
      <c r="AK21" s="11">
        <f>'[1]2018'!AK24+'[1]2019'!AK24+'[1]2020'!AK24</f>
        <v>0</v>
      </c>
      <c r="AL21" s="11">
        <f>'[1]2018'!AL24+'[1]2019'!AL24+'[1]2020'!AL24</f>
        <v>0</v>
      </c>
      <c r="AM21" s="11">
        <f>'[1]2018'!AM24+'[1]2019'!AM24+'[1]2020'!AM24</f>
        <v>0</v>
      </c>
      <c r="AN21" s="11">
        <f>'[1]2018'!AN24+'[1]2019'!AN24+'[1]2020'!AN24</f>
        <v>0</v>
      </c>
      <c r="AO21" s="11">
        <f>'[1]2018'!AO24+'[1]2019'!AO24+'[1]2020'!AO24</f>
        <v>0</v>
      </c>
      <c r="AP21" s="11">
        <f>'[1]2018'!AP24+'[1]2019'!AP24+'[1]2020'!AP24</f>
        <v>0</v>
      </c>
      <c r="AQ21" s="11">
        <f>'[1]2018'!AQ24+'[1]2019'!AQ24+'[1]2020'!AQ24</f>
        <v>0</v>
      </c>
      <c r="AR21" s="11">
        <f>'[1]2018'!AR24+'[1]2019'!AR24+'[1]2020'!AR24</f>
        <v>0</v>
      </c>
      <c r="AS21" s="11">
        <f>'[1]2018'!AS24+'[1]2019'!AS24+'[1]2020'!AS24</f>
        <v>0</v>
      </c>
      <c r="AT21" s="11">
        <f>'[1]2018'!AT24+'[1]2019'!AT24+'[1]2020'!AT24</f>
        <v>0</v>
      </c>
      <c r="AU21" s="11">
        <f>'[1]2018'!AU24+'[1]2019'!AU24+'[1]2020'!AU24</f>
        <v>0</v>
      </c>
      <c r="AV21" s="11">
        <f>'[1]2018'!AV24+'[1]2019'!AV24+'[1]2020'!AV24</f>
        <v>0</v>
      </c>
      <c r="AW21" s="41">
        <f t="shared" si="3"/>
        <v>0</v>
      </c>
      <c r="AX21" s="14">
        <f t="shared" si="4"/>
        <v>0</v>
      </c>
      <c r="AY21" s="2">
        <f>'[1]2018'!AX24+'[1]2019'!AX24+'[1]2020'!AX24</f>
        <v>0</v>
      </c>
    </row>
    <row r="22" spans="1:136" s="13" customFormat="1" x14ac:dyDescent="0.25">
      <c r="A22" s="10" t="s">
        <v>84</v>
      </c>
      <c r="B22" s="46">
        <f>'[1]2018'!B25+'[1]2019'!B25+'[1]2020'!B25</f>
        <v>0</v>
      </c>
      <c r="C22" s="46">
        <f>'[1]2018'!C25+'[1]2019'!C25+'[1]2020'!C25</f>
        <v>0</v>
      </c>
      <c r="D22" s="46">
        <f>'[1]2018'!D25+'[1]2019'!D25+'[1]2020'!D25</f>
        <v>0</v>
      </c>
      <c r="E22" s="46">
        <f>'[1]2018'!E25+'[1]2019'!E25+'[1]2020'!E25</f>
        <v>0</v>
      </c>
      <c r="F22" s="46">
        <f>'[1]2018'!F25+'[1]2019'!F25+'[1]2020'!F25</f>
        <v>0</v>
      </c>
      <c r="G22" s="46">
        <f>'[1]2018'!G25+'[1]2019'!G25+'[1]2020'!G25</f>
        <v>0</v>
      </c>
      <c r="H22" s="46">
        <f>'[1]2018'!H25+'[1]2019'!H25+'[1]2020'!H25</f>
        <v>0</v>
      </c>
      <c r="I22" s="46">
        <f>'[1]2018'!I25+'[1]2019'!I25+'[1]2020'!I25</f>
        <v>0</v>
      </c>
      <c r="J22" s="46">
        <f>'[1]2018'!J25+'[1]2019'!J25+'[1]2020'!J25</f>
        <v>0</v>
      </c>
      <c r="K22" s="46">
        <f>'[1]2018'!K25+'[1]2019'!K25+'[1]2020'!K25</f>
        <v>0</v>
      </c>
      <c r="L22" s="46">
        <f>'[1]2018'!L25+'[1]2019'!L25+'[1]2020'!L25</f>
        <v>0</v>
      </c>
      <c r="M22" s="46">
        <f>'[1]2018'!M25+'[1]2019'!M25+'[1]2020'!M25</f>
        <v>0</v>
      </c>
      <c r="N22" s="46">
        <f>'[1]2018'!N25+'[1]2019'!N25+'[1]2020'!N25</f>
        <v>0</v>
      </c>
      <c r="O22" s="46">
        <f>'[1]2018'!O25+'[1]2019'!O25+'[1]2020'!O25</f>
        <v>0</v>
      </c>
      <c r="P22" s="46">
        <f>'[1]2018'!P25+'[1]2019'!P25+'[1]2020'!P25</f>
        <v>0</v>
      </c>
      <c r="Q22" s="46">
        <f>'[1]2018'!Q25+'[1]2019'!Q25+'[1]2020'!Q25</f>
        <v>0</v>
      </c>
      <c r="R22" s="46">
        <f>'[1]2018'!R25+'[1]2019'!R25+'[1]2020'!R25</f>
        <v>0</v>
      </c>
      <c r="S22" s="46">
        <f>'[1]2018'!S25+'[1]2019'!S25+'[1]2020'!S25</f>
        <v>0</v>
      </c>
      <c r="T22" s="46">
        <f>'[1]2018'!T25+'[1]2019'!T25+'[1]2020'!T25</f>
        <v>0</v>
      </c>
      <c r="U22" s="46">
        <f>'[1]2018'!U25+'[1]2019'!U25+'[1]2020'!U25</f>
        <v>0</v>
      </c>
      <c r="V22" s="46">
        <f>'[1]2018'!V25+'[1]2019'!V25+'[1]2020'!V25</f>
        <v>0</v>
      </c>
      <c r="W22" s="46">
        <f>'[1]2018'!W25+'[1]2019'!W25+'[1]2020'!W25</f>
        <v>0</v>
      </c>
      <c r="X22" s="46">
        <f>'[1]2018'!X25+'[1]2019'!X25+'[1]2020'!X25</f>
        <v>0</v>
      </c>
      <c r="Y22" s="41">
        <f t="shared" si="1"/>
        <v>0</v>
      </c>
      <c r="Z22" s="11">
        <f>'[1]2018'!Z25+'[1]2019'!Z25+'[1]2020'!Z25</f>
        <v>0</v>
      </c>
      <c r="AA22" s="11">
        <f>'[1]2018'!AA25+'[1]2019'!AA25+'[1]2020'!AA25</f>
        <v>0</v>
      </c>
      <c r="AB22" s="11">
        <f>'[1]2018'!AB25+'[1]2019'!AB25+'[1]2020'!AB25</f>
        <v>0</v>
      </c>
      <c r="AC22" s="11">
        <f>'[1]2018'!AC25+'[1]2019'!AC25+'[1]2020'!AC25</f>
        <v>0</v>
      </c>
      <c r="AD22" s="11">
        <f>'[1]2018'!AD25+'[1]2019'!AD25+'[1]2020'!AD25</f>
        <v>0</v>
      </c>
      <c r="AE22" s="11">
        <f>'[1]2018'!AE25+'[1]2019'!AE25+'[1]2020'!AE25</f>
        <v>0</v>
      </c>
      <c r="AF22" s="11">
        <f>'[1]2018'!AF25+'[1]2019'!AF25+'[1]2020'!AF25</f>
        <v>0</v>
      </c>
      <c r="AG22" s="11">
        <f>'[1]2018'!AG25+'[1]2019'!AG25+'[1]2020'!AG25</f>
        <v>0</v>
      </c>
      <c r="AH22" s="11">
        <f>'[1]2018'!AH25+'[1]2019'!AH25+'[1]2020'!AH25</f>
        <v>0</v>
      </c>
      <c r="AI22" s="11">
        <f>'[1]2018'!AI25+'[1]2019'!AI25+'[1]2020'!AI25</f>
        <v>0</v>
      </c>
      <c r="AJ22" s="11">
        <f>'[1]2018'!AJ25+'[1]2019'!AJ25+'[1]2020'!AJ25</f>
        <v>0</v>
      </c>
      <c r="AK22" s="11">
        <f>'[1]2018'!AK25+'[1]2019'!AK25+'[1]2020'!AK25</f>
        <v>0</v>
      </c>
      <c r="AL22" s="11">
        <f>'[1]2018'!AL25+'[1]2019'!AL25+'[1]2020'!AL25</f>
        <v>0</v>
      </c>
      <c r="AM22" s="11">
        <f>'[1]2018'!AM25+'[1]2019'!AM25+'[1]2020'!AM25</f>
        <v>0</v>
      </c>
      <c r="AN22" s="11">
        <f>'[1]2018'!AN25+'[1]2019'!AN25+'[1]2020'!AN25</f>
        <v>0</v>
      </c>
      <c r="AO22" s="11">
        <f>'[1]2018'!AO25+'[1]2019'!AO25+'[1]2020'!AO25</f>
        <v>0</v>
      </c>
      <c r="AP22" s="11">
        <f>'[1]2018'!AP25+'[1]2019'!AP25+'[1]2020'!AP25</f>
        <v>0</v>
      </c>
      <c r="AQ22" s="11">
        <f>'[1]2018'!AQ25+'[1]2019'!AQ25+'[1]2020'!AQ25</f>
        <v>0</v>
      </c>
      <c r="AR22" s="11">
        <f>'[1]2018'!AR25+'[1]2019'!AR25+'[1]2020'!AR25</f>
        <v>0</v>
      </c>
      <c r="AS22" s="11">
        <f>'[1]2018'!AS25+'[1]2019'!AS25+'[1]2020'!AS25</f>
        <v>0</v>
      </c>
      <c r="AT22" s="11">
        <f>'[1]2018'!AT25+'[1]2019'!AT25+'[1]2020'!AT25</f>
        <v>0</v>
      </c>
      <c r="AU22" s="11">
        <f>'[1]2018'!AU25+'[1]2019'!AU25+'[1]2020'!AU25</f>
        <v>0</v>
      </c>
      <c r="AV22" s="11">
        <f>'[1]2018'!AV25+'[1]2019'!AV25+'[1]2020'!AV25</f>
        <v>0</v>
      </c>
      <c r="AW22" s="41">
        <f t="shared" si="3"/>
        <v>0</v>
      </c>
      <c r="AX22" s="14">
        <f t="shared" si="4"/>
        <v>0</v>
      </c>
      <c r="AY22" s="2">
        <f>'[1]2018'!AX25+'[1]2019'!AX25+'[1]2020'!AX25</f>
        <v>0</v>
      </c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x14ac:dyDescent="0.25">
      <c r="A23" s="10" t="s">
        <v>85</v>
      </c>
      <c r="B23" s="46">
        <f>'[1]2018'!B26+'[1]2019'!B26+'[1]2020'!B26</f>
        <v>0</v>
      </c>
      <c r="C23" s="46">
        <f>'[1]2018'!C26+'[1]2019'!C26+'[1]2020'!C26</f>
        <v>0</v>
      </c>
      <c r="D23" s="46">
        <f>'[1]2018'!D26+'[1]2019'!D26+'[1]2020'!D26</f>
        <v>0</v>
      </c>
      <c r="E23" s="46">
        <f>'[1]2018'!E26+'[1]2019'!E26+'[1]2020'!E26</f>
        <v>0</v>
      </c>
      <c r="F23" s="46">
        <f>'[1]2018'!F26+'[1]2019'!F26+'[1]2020'!F26</f>
        <v>0</v>
      </c>
      <c r="G23" s="46">
        <f>'[1]2018'!G26+'[1]2019'!G26+'[1]2020'!G26</f>
        <v>0</v>
      </c>
      <c r="H23" s="46">
        <f>'[1]2018'!H26+'[1]2019'!H26+'[1]2020'!H26</f>
        <v>0</v>
      </c>
      <c r="I23" s="46">
        <f>'[1]2018'!I26+'[1]2019'!I26+'[1]2020'!I26</f>
        <v>0</v>
      </c>
      <c r="J23" s="46">
        <f>'[1]2018'!J26+'[1]2019'!J26+'[1]2020'!J26</f>
        <v>0</v>
      </c>
      <c r="K23" s="46">
        <f>'[1]2018'!K26+'[1]2019'!K26+'[1]2020'!K26</f>
        <v>0</v>
      </c>
      <c r="L23" s="46">
        <f>'[1]2018'!L26+'[1]2019'!L26+'[1]2020'!L26</f>
        <v>0</v>
      </c>
      <c r="M23" s="46">
        <f>'[1]2018'!M26+'[1]2019'!M26+'[1]2020'!M26</f>
        <v>0</v>
      </c>
      <c r="N23" s="46">
        <f>'[1]2018'!N26+'[1]2019'!N26+'[1]2020'!N26</f>
        <v>0</v>
      </c>
      <c r="O23" s="46">
        <f>'[1]2018'!O26+'[1]2019'!O26+'[1]2020'!O26</f>
        <v>0</v>
      </c>
      <c r="P23" s="46">
        <f>'[1]2018'!P26+'[1]2019'!P26+'[1]2020'!P26</f>
        <v>0</v>
      </c>
      <c r="Q23" s="46">
        <f>'[1]2018'!Q26+'[1]2019'!Q26+'[1]2020'!Q26</f>
        <v>0</v>
      </c>
      <c r="R23" s="46">
        <f>'[1]2018'!R26+'[1]2019'!R26+'[1]2020'!R26</f>
        <v>0</v>
      </c>
      <c r="S23" s="46">
        <f>'[1]2018'!S26+'[1]2019'!S26+'[1]2020'!S26</f>
        <v>0</v>
      </c>
      <c r="T23" s="46">
        <f>'[1]2018'!T26+'[1]2019'!T26+'[1]2020'!T26</f>
        <v>0</v>
      </c>
      <c r="U23" s="46">
        <f>'[1]2018'!U26+'[1]2019'!U26+'[1]2020'!U26</f>
        <v>0</v>
      </c>
      <c r="V23" s="46">
        <f>'[1]2018'!V26+'[1]2019'!V26+'[1]2020'!V26</f>
        <v>0</v>
      </c>
      <c r="W23" s="46">
        <f>'[1]2018'!W26+'[1]2019'!W26+'[1]2020'!W26</f>
        <v>0</v>
      </c>
      <c r="X23" s="46">
        <f>'[1]2018'!X26+'[1]2019'!X26+'[1]2020'!X26</f>
        <v>0</v>
      </c>
      <c r="Y23" s="41">
        <f t="shared" si="1"/>
        <v>0</v>
      </c>
      <c r="Z23" s="11">
        <f>'[1]2018'!Z26+'[1]2019'!Z26+'[1]2020'!Z26</f>
        <v>0</v>
      </c>
      <c r="AA23" s="11">
        <f>'[1]2018'!AA26+'[1]2019'!AA26+'[1]2020'!AA26</f>
        <v>0</v>
      </c>
      <c r="AB23" s="11">
        <f>'[1]2018'!AB26+'[1]2019'!AB26+'[1]2020'!AB26</f>
        <v>0</v>
      </c>
      <c r="AC23" s="11">
        <f>'[1]2018'!AC26+'[1]2019'!AC26+'[1]2020'!AC26</f>
        <v>0</v>
      </c>
      <c r="AD23" s="11">
        <f>'[1]2018'!AD26+'[1]2019'!AD26+'[1]2020'!AD26</f>
        <v>0</v>
      </c>
      <c r="AE23" s="11">
        <f>'[1]2018'!AE26+'[1]2019'!AE26+'[1]2020'!AE26</f>
        <v>0</v>
      </c>
      <c r="AF23" s="11">
        <f>'[1]2018'!AF26+'[1]2019'!AF26+'[1]2020'!AF26</f>
        <v>0</v>
      </c>
      <c r="AG23" s="11">
        <f>'[1]2018'!AG26+'[1]2019'!AG26+'[1]2020'!AG26</f>
        <v>0</v>
      </c>
      <c r="AH23" s="11">
        <f>'[1]2018'!AH26+'[1]2019'!AH26+'[1]2020'!AH26</f>
        <v>0</v>
      </c>
      <c r="AI23" s="11">
        <f>'[1]2018'!AI26+'[1]2019'!AI26+'[1]2020'!AI26</f>
        <v>0</v>
      </c>
      <c r="AJ23" s="11">
        <f>'[1]2018'!AJ26+'[1]2019'!AJ26+'[1]2020'!AJ26</f>
        <v>0</v>
      </c>
      <c r="AK23" s="11">
        <f>'[1]2018'!AK26+'[1]2019'!AK26+'[1]2020'!AK26</f>
        <v>0</v>
      </c>
      <c r="AL23" s="11">
        <f>'[1]2018'!AL26+'[1]2019'!AL26+'[1]2020'!AL26</f>
        <v>0</v>
      </c>
      <c r="AM23" s="11">
        <f>'[1]2018'!AM26+'[1]2019'!AM26+'[1]2020'!AM26</f>
        <v>0</v>
      </c>
      <c r="AN23" s="11">
        <f>'[1]2018'!AN26+'[1]2019'!AN26+'[1]2020'!AN26</f>
        <v>0</v>
      </c>
      <c r="AO23" s="11">
        <f>'[1]2018'!AO26+'[1]2019'!AO26+'[1]2020'!AO26</f>
        <v>0</v>
      </c>
      <c r="AP23" s="11">
        <f>'[1]2018'!AP26+'[1]2019'!AP26+'[1]2020'!AP26</f>
        <v>0</v>
      </c>
      <c r="AQ23" s="11">
        <f>'[1]2018'!AQ26+'[1]2019'!AQ26+'[1]2020'!AQ26</f>
        <v>0</v>
      </c>
      <c r="AR23" s="11">
        <f>'[1]2018'!AR26+'[1]2019'!AR26+'[1]2020'!AR26</f>
        <v>0</v>
      </c>
      <c r="AS23" s="11">
        <f>'[1]2018'!AS26+'[1]2019'!AS26+'[1]2020'!AS26</f>
        <v>0</v>
      </c>
      <c r="AT23" s="11">
        <f>'[1]2018'!AT26+'[1]2019'!AT26+'[1]2020'!AT26</f>
        <v>0</v>
      </c>
      <c r="AU23" s="11">
        <f>'[1]2018'!AU26+'[1]2019'!AU26+'[1]2020'!AU26</f>
        <v>0</v>
      </c>
      <c r="AV23" s="11">
        <f>'[1]2018'!AV26+'[1]2019'!AV26+'[1]2020'!AV26</f>
        <v>0</v>
      </c>
      <c r="AW23" s="41">
        <f t="shared" si="3"/>
        <v>0</v>
      </c>
      <c r="AX23" s="14">
        <f t="shared" si="4"/>
        <v>0</v>
      </c>
      <c r="AY23" s="2">
        <f>'[1]2018'!AX26+'[1]2019'!AX26+'[1]2020'!AX26</f>
        <v>0</v>
      </c>
    </row>
    <row r="24" spans="1:136" s="13" customFormat="1" x14ac:dyDescent="0.25">
      <c r="A24" s="10" t="s">
        <v>86</v>
      </c>
      <c r="B24" s="46">
        <f>'[1]2018'!B27+'[1]2019'!B27+'[1]2020'!B27</f>
        <v>21</v>
      </c>
      <c r="C24" s="46">
        <f>'[1]2018'!C27+'[1]2019'!C27+'[1]2020'!C27</f>
        <v>8</v>
      </c>
      <c r="D24" s="46">
        <f>'[1]2018'!D27+'[1]2019'!D27+'[1]2020'!D27</f>
        <v>205</v>
      </c>
      <c r="E24" s="46">
        <f>'[1]2018'!E27+'[1]2019'!E27+'[1]2020'!E27</f>
        <v>72</v>
      </c>
      <c r="F24" s="46">
        <f>'[1]2018'!F27+'[1]2019'!F27+'[1]2020'!F27</f>
        <v>0</v>
      </c>
      <c r="G24" s="46">
        <f>'[1]2018'!G27+'[1]2019'!G27+'[1]2020'!G27</f>
        <v>0</v>
      </c>
      <c r="H24" s="46">
        <f>'[1]2018'!H27+'[1]2019'!H27+'[1]2020'!H27</f>
        <v>8</v>
      </c>
      <c r="I24" s="46">
        <f>'[1]2018'!I27+'[1]2019'!I27+'[1]2020'!I27</f>
        <v>0</v>
      </c>
      <c r="J24" s="46">
        <f>'[1]2018'!J27+'[1]2019'!J27+'[1]2020'!J27</f>
        <v>97</v>
      </c>
      <c r="K24" s="46">
        <f>'[1]2018'!K27+'[1]2019'!K27+'[1]2020'!K27</f>
        <v>1</v>
      </c>
      <c r="L24" s="46">
        <f>'[1]2018'!L27+'[1]2019'!L27+'[1]2020'!L27</f>
        <v>1</v>
      </c>
      <c r="M24" s="46">
        <f>'[1]2018'!M27+'[1]2019'!M27+'[1]2020'!M27</f>
        <v>0</v>
      </c>
      <c r="N24" s="46">
        <f>'[1]2018'!N27+'[1]2019'!N27+'[1]2020'!N27</f>
        <v>0</v>
      </c>
      <c r="O24" s="46">
        <f>'[1]2018'!O27+'[1]2019'!O27+'[1]2020'!O27</f>
        <v>0</v>
      </c>
      <c r="P24" s="46">
        <f>'[1]2018'!P27+'[1]2019'!P27+'[1]2020'!P27</f>
        <v>0</v>
      </c>
      <c r="Q24" s="46">
        <f>'[1]2018'!Q27+'[1]2019'!Q27+'[1]2020'!Q27</f>
        <v>0</v>
      </c>
      <c r="R24" s="46">
        <f>'[1]2018'!R27+'[1]2019'!R27+'[1]2020'!R27</f>
        <v>9</v>
      </c>
      <c r="S24" s="46">
        <f>'[1]2018'!S27+'[1]2019'!S27+'[1]2020'!S27</f>
        <v>0</v>
      </c>
      <c r="T24" s="46">
        <f>'[1]2018'!T27+'[1]2019'!T27+'[1]2020'!T27</f>
        <v>4</v>
      </c>
      <c r="U24" s="46">
        <f>'[1]2018'!U27+'[1]2019'!U27+'[1]2020'!U27</f>
        <v>0</v>
      </c>
      <c r="V24" s="46">
        <f>'[1]2018'!V27+'[1]2019'!V27+'[1]2020'!V27</f>
        <v>84</v>
      </c>
      <c r="W24" s="46">
        <f>'[1]2018'!W27+'[1]2019'!W27+'[1]2020'!W27</f>
        <v>0</v>
      </c>
      <c r="X24" s="46">
        <f>'[1]2018'!X27+'[1]2019'!X27+'[1]2020'!X27</f>
        <v>1</v>
      </c>
      <c r="Y24" s="41">
        <f t="shared" si="1"/>
        <v>205</v>
      </c>
      <c r="Z24" s="11">
        <f>'[1]2018'!Z27+'[1]2019'!Z27+'[1]2020'!Z27</f>
        <v>18</v>
      </c>
      <c r="AA24" s="11">
        <f>'[1]2018'!AA27+'[1]2019'!AA27+'[1]2020'!AA27</f>
        <v>6</v>
      </c>
      <c r="AB24" s="11">
        <f>'[1]2018'!AB27+'[1]2019'!AB27+'[1]2020'!AB27</f>
        <v>96</v>
      </c>
      <c r="AC24" s="11">
        <f>'[1]2018'!AC27+'[1]2019'!AC27+'[1]2020'!AC27</f>
        <v>69</v>
      </c>
      <c r="AD24" s="11">
        <f>'[1]2018'!AD27+'[1]2019'!AD27+'[1]2020'!AD27</f>
        <v>0</v>
      </c>
      <c r="AE24" s="11">
        <f>'[1]2018'!AE27+'[1]2019'!AE27+'[1]2020'!AE27</f>
        <v>0</v>
      </c>
      <c r="AF24" s="11">
        <f>'[1]2018'!AF27+'[1]2019'!AF27+'[1]2020'!AF27</f>
        <v>6</v>
      </c>
      <c r="AG24" s="11">
        <f>'[1]2018'!AG27+'[1]2019'!AG27+'[1]2020'!AG27</f>
        <v>0</v>
      </c>
      <c r="AH24" s="11">
        <f>'[1]2018'!AH27+'[1]2019'!AH27+'[1]2020'!AH27</f>
        <v>47</v>
      </c>
      <c r="AI24" s="11">
        <f>'[1]2018'!AI27+'[1]2019'!AI27+'[1]2020'!AI27</f>
        <v>1</v>
      </c>
      <c r="AJ24" s="11">
        <f>'[1]2018'!AJ27+'[1]2019'!AJ27+'[1]2020'!AJ27</f>
        <v>1</v>
      </c>
      <c r="AK24" s="11">
        <f>'[1]2018'!AK27+'[1]2019'!AK27+'[1]2020'!AK27</f>
        <v>0</v>
      </c>
      <c r="AL24" s="11">
        <f>'[1]2018'!AL27+'[1]2019'!AL27+'[1]2020'!AL27</f>
        <v>0</v>
      </c>
      <c r="AM24" s="11">
        <f>'[1]2018'!AM27+'[1]2019'!AM27+'[1]2020'!AM27</f>
        <v>0</v>
      </c>
      <c r="AN24" s="11">
        <f>'[1]2018'!AN27+'[1]2019'!AN27+'[1]2020'!AN27</f>
        <v>0</v>
      </c>
      <c r="AO24" s="11">
        <f>'[1]2018'!AO27+'[1]2019'!AO27+'[1]2020'!AO27</f>
        <v>0</v>
      </c>
      <c r="AP24" s="11">
        <f>'[1]2018'!AP27+'[1]2019'!AP27+'[1]2020'!AP27</f>
        <v>2</v>
      </c>
      <c r="AQ24" s="11">
        <f>'[1]2018'!AQ27+'[1]2019'!AQ27+'[1]2020'!AQ27</f>
        <v>0</v>
      </c>
      <c r="AR24" s="11">
        <f>'[1]2018'!AR27+'[1]2019'!AR27+'[1]2020'!AR27</f>
        <v>3</v>
      </c>
      <c r="AS24" s="11">
        <f>'[1]2018'!AS27+'[1]2019'!AS27+'[1]2020'!AS27</f>
        <v>0</v>
      </c>
      <c r="AT24" s="11">
        <f>'[1]2018'!AT27+'[1]2019'!AT27+'[1]2020'!AT27</f>
        <v>36</v>
      </c>
      <c r="AU24" s="11">
        <f>'[1]2018'!AU27+'[1]2019'!AU27+'[1]2020'!AU27</f>
        <v>0</v>
      </c>
      <c r="AV24" s="11">
        <f>'[1]2018'!AV27+'[1]2019'!AV27+'[1]2020'!AV27</f>
        <v>0</v>
      </c>
      <c r="AW24" s="41">
        <f t="shared" si="3"/>
        <v>96</v>
      </c>
      <c r="AX24" s="14">
        <f t="shared" si="4"/>
        <v>840.78166666666675</v>
      </c>
      <c r="AY24" s="2">
        <f>'[1]2018'!AX27+'[1]2019'!AX27+'[1]2020'!AX27</f>
        <v>2522.3450000000003</v>
      </c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x14ac:dyDescent="0.25">
      <c r="A25" s="10" t="s">
        <v>87</v>
      </c>
      <c r="B25" s="46">
        <f>'[1]2018'!B28+'[1]2019'!B28+'[1]2020'!B28</f>
        <v>18</v>
      </c>
      <c r="C25" s="46">
        <f>'[1]2018'!C28+'[1]2019'!C28+'[1]2020'!C28</f>
        <v>1</v>
      </c>
      <c r="D25" s="46">
        <f>'[1]2018'!D28+'[1]2019'!D28+'[1]2020'!D28</f>
        <v>54</v>
      </c>
      <c r="E25" s="46">
        <f>'[1]2018'!E28+'[1]2019'!E28+'[1]2020'!E28</f>
        <v>16</v>
      </c>
      <c r="F25" s="46">
        <f>'[1]2018'!F28+'[1]2019'!F28+'[1]2020'!F28</f>
        <v>0</v>
      </c>
      <c r="G25" s="46">
        <f>'[1]2018'!G28+'[1]2019'!G28+'[1]2020'!G28</f>
        <v>0</v>
      </c>
      <c r="H25" s="46">
        <f>'[1]2018'!H28+'[1]2019'!H28+'[1]2020'!H28</f>
        <v>35</v>
      </c>
      <c r="I25" s="46">
        <f>'[1]2018'!I28+'[1]2019'!I28+'[1]2020'!I28</f>
        <v>0</v>
      </c>
      <c r="J25" s="46">
        <f>'[1]2018'!J28+'[1]2019'!J28+'[1]2020'!J28</f>
        <v>0</v>
      </c>
      <c r="K25" s="46">
        <f>'[1]2018'!K28+'[1]2019'!K28+'[1]2020'!K28</f>
        <v>0</v>
      </c>
      <c r="L25" s="46">
        <f>'[1]2018'!L28+'[1]2019'!L28+'[1]2020'!L28</f>
        <v>1</v>
      </c>
      <c r="M25" s="46">
        <f>'[1]2018'!M28+'[1]2019'!M28+'[1]2020'!M28</f>
        <v>0</v>
      </c>
      <c r="N25" s="46">
        <f>'[1]2018'!N28+'[1]2019'!N28+'[1]2020'!N28</f>
        <v>0</v>
      </c>
      <c r="O25" s="46">
        <f>'[1]2018'!O28+'[1]2019'!O28+'[1]2020'!O28</f>
        <v>0</v>
      </c>
      <c r="P25" s="46">
        <f>'[1]2018'!P28+'[1]2019'!P28+'[1]2020'!P28</f>
        <v>0</v>
      </c>
      <c r="Q25" s="46">
        <f>'[1]2018'!Q28+'[1]2019'!Q28+'[1]2020'!Q28</f>
        <v>0</v>
      </c>
      <c r="R25" s="46">
        <f>'[1]2018'!R28+'[1]2019'!R28+'[1]2020'!R28</f>
        <v>2</v>
      </c>
      <c r="S25" s="46">
        <f>'[1]2018'!S28+'[1]2019'!S28+'[1]2020'!S28</f>
        <v>0</v>
      </c>
      <c r="T25" s="46">
        <f>'[1]2018'!T28+'[1]2019'!T28+'[1]2020'!T28</f>
        <v>0</v>
      </c>
      <c r="U25" s="46">
        <f>'[1]2018'!U28+'[1]2019'!U28+'[1]2020'!U28</f>
        <v>0</v>
      </c>
      <c r="V25" s="46">
        <f>'[1]2018'!V28+'[1]2019'!V28+'[1]2020'!V28</f>
        <v>16</v>
      </c>
      <c r="W25" s="46">
        <f>'[1]2018'!W28+'[1]2019'!W28+'[1]2020'!W28</f>
        <v>0</v>
      </c>
      <c r="X25" s="46">
        <f>'[1]2018'!X28+'[1]2019'!X28+'[1]2020'!X28</f>
        <v>0</v>
      </c>
      <c r="Y25" s="41">
        <f t="shared" si="1"/>
        <v>54</v>
      </c>
      <c r="Z25" s="11">
        <f>'[1]2018'!Z28+'[1]2019'!Z28+'[1]2020'!Z28</f>
        <v>11</v>
      </c>
      <c r="AA25" s="11">
        <f>'[1]2018'!AA28+'[1]2019'!AA28+'[1]2020'!AA28</f>
        <v>1</v>
      </c>
      <c r="AB25" s="11">
        <f>'[1]2018'!AB28+'[1]2019'!AB28+'[1]2020'!AB28</f>
        <v>37</v>
      </c>
      <c r="AC25" s="11">
        <f>'[1]2018'!AC28+'[1]2019'!AC28+'[1]2020'!AC28</f>
        <v>16</v>
      </c>
      <c r="AD25" s="11">
        <f>'[1]2018'!AD28+'[1]2019'!AD28+'[1]2020'!AD28</f>
        <v>0</v>
      </c>
      <c r="AE25" s="11">
        <f>'[1]2018'!AE28+'[1]2019'!AE28+'[1]2020'!AE28</f>
        <v>0</v>
      </c>
      <c r="AF25" s="11">
        <f>'[1]2018'!AF28+'[1]2019'!AF28+'[1]2020'!AF28</f>
        <v>19</v>
      </c>
      <c r="AG25" s="11">
        <f>'[1]2018'!AG28+'[1]2019'!AG28+'[1]2020'!AG28</f>
        <v>0</v>
      </c>
      <c r="AH25" s="11">
        <f>'[1]2018'!AH28+'[1]2019'!AH28+'[1]2020'!AH28</f>
        <v>0</v>
      </c>
      <c r="AI25" s="11">
        <f>'[1]2018'!AI28+'[1]2019'!AI28+'[1]2020'!AI28</f>
        <v>0</v>
      </c>
      <c r="AJ25" s="11">
        <f>'[1]2018'!AJ28+'[1]2019'!AJ28+'[1]2020'!AJ28</f>
        <v>1</v>
      </c>
      <c r="AK25" s="11">
        <f>'[1]2018'!AK28+'[1]2019'!AK28+'[1]2020'!AK28</f>
        <v>0</v>
      </c>
      <c r="AL25" s="11">
        <f>'[1]2018'!AL28+'[1]2019'!AL28+'[1]2020'!AL28</f>
        <v>0</v>
      </c>
      <c r="AM25" s="11">
        <f>'[1]2018'!AM28+'[1]2019'!AM28+'[1]2020'!AM28</f>
        <v>0</v>
      </c>
      <c r="AN25" s="11">
        <f>'[1]2018'!AN28+'[1]2019'!AN28+'[1]2020'!AN28</f>
        <v>0</v>
      </c>
      <c r="AO25" s="11">
        <f>'[1]2018'!AO28+'[1]2019'!AO28+'[1]2020'!AO28</f>
        <v>0</v>
      </c>
      <c r="AP25" s="11">
        <f>'[1]2018'!AP28+'[1]2019'!AP28+'[1]2020'!AP28</f>
        <v>1</v>
      </c>
      <c r="AQ25" s="11">
        <f>'[1]2018'!AQ28+'[1]2019'!AQ28+'[1]2020'!AQ28</f>
        <v>0</v>
      </c>
      <c r="AR25" s="11">
        <f>'[1]2018'!AR28+'[1]2019'!AR28+'[1]2020'!AR28</f>
        <v>0</v>
      </c>
      <c r="AS25" s="11">
        <f>'[1]2018'!AS28+'[1]2019'!AS28+'[1]2020'!AS28</f>
        <v>0</v>
      </c>
      <c r="AT25" s="11">
        <f>'[1]2018'!AT28+'[1]2019'!AT28+'[1]2020'!AT28</f>
        <v>16</v>
      </c>
      <c r="AU25" s="11">
        <f>'[1]2018'!AU28+'[1]2019'!AU28+'[1]2020'!AU28</f>
        <v>0</v>
      </c>
      <c r="AV25" s="11">
        <f>'[1]2018'!AV28+'[1]2019'!AV28+'[1]2020'!AV28</f>
        <v>0</v>
      </c>
      <c r="AW25" s="41">
        <f t="shared" si="3"/>
        <v>37</v>
      </c>
      <c r="AX25" s="14">
        <f t="shared" si="4"/>
        <v>1496.7</v>
      </c>
      <c r="AY25" s="2">
        <f>'[1]2018'!AX28+'[1]2019'!AX28+'[1]2020'!AX28</f>
        <v>4490.1000000000004</v>
      </c>
    </row>
    <row r="26" spans="1:136" x14ac:dyDescent="0.25">
      <c r="A26" s="40" t="s">
        <v>30</v>
      </c>
      <c r="B26" s="48">
        <f t="shared" ref="B26:X26" si="5">SUM(B27:B43)</f>
        <v>1495</v>
      </c>
      <c r="C26" s="48">
        <f t="shared" si="5"/>
        <v>364</v>
      </c>
      <c r="D26" s="48">
        <f t="shared" si="5"/>
        <v>5525</v>
      </c>
      <c r="E26" s="48">
        <f t="shared" si="5"/>
        <v>2876</v>
      </c>
      <c r="F26" s="48">
        <f t="shared" si="5"/>
        <v>0</v>
      </c>
      <c r="G26" s="48">
        <f t="shared" si="5"/>
        <v>0</v>
      </c>
      <c r="H26" s="48">
        <f t="shared" si="5"/>
        <v>46</v>
      </c>
      <c r="I26" s="48">
        <f t="shared" si="5"/>
        <v>0</v>
      </c>
      <c r="J26" s="48">
        <f t="shared" si="5"/>
        <v>0</v>
      </c>
      <c r="K26" s="48">
        <f t="shared" si="5"/>
        <v>13</v>
      </c>
      <c r="L26" s="48">
        <f t="shared" si="5"/>
        <v>13</v>
      </c>
      <c r="M26" s="48">
        <f t="shared" si="5"/>
        <v>0</v>
      </c>
      <c r="N26" s="48">
        <f t="shared" si="5"/>
        <v>10</v>
      </c>
      <c r="O26" s="48">
        <f t="shared" si="5"/>
        <v>0</v>
      </c>
      <c r="P26" s="48">
        <f t="shared" si="5"/>
        <v>0</v>
      </c>
      <c r="Q26" s="48">
        <f t="shared" si="5"/>
        <v>0</v>
      </c>
      <c r="R26" s="48">
        <f t="shared" si="5"/>
        <v>6</v>
      </c>
      <c r="S26" s="48">
        <f t="shared" si="5"/>
        <v>0</v>
      </c>
      <c r="T26" s="48">
        <f t="shared" si="5"/>
        <v>10</v>
      </c>
      <c r="U26" s="48">
        <f t="shared" si="5"/>
        <v>9</v>
      </c>
      <c r="V26" s="48">
        <f t="shared" si="5"/>
        <v>5244</v>
      </c>
      <c r="W26" s="48">
        <f t="shared" si="5"/>
        <v>53</v>
      </c>
      <c r="X26" s="48">
        <f t="shared" si="5"/>
        <v>121</v>
      </c>
      <c r="Y26" s="41">
        <f t="shared" si="1"/>
        <v>5525</v>
      </c>
      <c r="Z26" s="41">
        <f t="shared" ref="Z26:AV26" si="6">SUM(Z27:Z43)</f>
        <v>1182</v>
      </c>
      <c r="AA26" s="41">
        <f t="shared" si="6"/>
        <v>298</v>
      </c>
      <c r="AB26" s="41">
        <f t="shared" si="6"/>
        <v>4409</v>
      </c>
      <c r="AC26" s="41">
        <f t="shared" si="6"/>
        <v>2331</v>
      </c>
      <c r="AD26" s="41">
        <f t="shared" si="6"/>
        <v>0</v>
      </c>
      <c r="AE26" s="41">
        <f t="shared" si="6"/>
        <v>0</v>
      </c>
      <c r="AF26" s="41">
        <f t="shared" si="6"/>
        <v>20</v>
      </c>
      <c r="AG26" s="41">
        <f t="shared" si="6"/>
        <v>0</v>
      </c>
      <c r="AH26" s="41">
        <f t="shared" si="6"/>
        <v>0</v>
      </c>
      <c r="AI26" s="41">
        <f t="shared" si="6"/>
        <v>13</v>
      </c>
      <c r="AJ26" s="41">
        <f t="shared" si="6"/>
        <v>13</v>
      </c>
      <c r="AK26" s="41">
        <f t="shared" si="6"/>
        <v>0</v>
      </c>
      <c r="AL26" s="41">
        <f t="shared" si="6"/>
        <v>8</v>
      </c>
      <c r="AM26" s="41">
        <f t="shared" si="6"/>
        <v>0</v>
      </c>
      <c r="AN26" s="41">
        <f t="shared" si="6"/>
        <v>0</v>
      </c>
      <c r="AO26" s="41">
        <f t="shared" si="6"/>
        <v>0</v>
      </c>
      <c r="AP26" s="41">
        <f t="shared" si="6"/>
        <v>0</v>
      </c>
      <c r="AQ26" s="41">
        <f t="shared" si="6"/>
        <v>0</v>
      </c>
      <c r="AR26" s="41">
        <f t="shared" si="6"/>
        <v>1</v>
      </c>
      <c r="AS26" s="41">
        <f t="shared" si="6"/>
        <v>20</v>
      </c>
      <c r="AT26" s="41">
        <f t="shared" si="6"/>
        <v>4243</v>
      </c>
      <c r="AU26" s="41">
        <f t="shared" si="6"/>
        <v>26</v>
      </c>
      <c r="AV26" s="41">
        <f t="shared" si="6"/>
        <v>65</v>
      </c>
      <c r="AW26" s="41">
        <f t="shared" si="3"/>
        <v>4409</v>
      </c>
      <c r="AX26" s="42">
        <f t="shared" si="4"/>
        <v>3098.1199629696134</v>
      </c>
      <c r="AY26" s="43">
        <f>'[1]2018'!AX29+'[1]2019'!AX29+'[1]2020'!AX29</f>
        <v>9294.3598889088407</v>
      </c>
      <c r="AZ26" s="42">
        <f>AB26*100/D26</f>
        <v>79.800904977375566</v>
      </c>
      <c r="BA26" s="44"/>
      <c r="BB26" s="44"/>
      <c r="BC26" s="44"/>
      <c r="BD26" s="44"/>
      <c r="BE26" s="44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</row>
    <row r="27" spans="1:136" x14ac:dyDescent="0.25">
      <c r="A27" s="10" t="s">
        <v>150</v>
      </c>
      <c r="B27" s="46">
        <f>'[1]2018'!B30+'[1]2019'!B30+'[1]2020'!B30</f>
        <v>115</v>
      </c>
      <c r="C27" s="46">
        <f>'[1]2018'!C30+'[1]2019'!C30+'[1]2020'!C30</f>
        <v>38</v>
      </c>
      <c r="D27" s="46">
        <f>'[1]2018'!D30+'[1]2019'!D30+'[1]2020'!D30</f>
        <v>1750</v>
      </c>
      <c r="E27" s="46">
        <f>'[1]2018'!E30+'[1]2019'!E30+'[1]2020'!E30</f>
        <v>1021</v>
      </c>
      <c r="F27" s="46">
        <f>'[1]2018'!F30+'[1]2019'!F30+'[1]2020'!F30</f>
        <v>0</v>
      </c>
      <c r="G27" s="46">
        <f>'[1]2018'!G30+'[1]2019'!G30+'[1]2020'!G30</f>
        <v>0</v>
      </c>
      <c r="H27" s="46">
        <f>'[1]2018'!H30+'[1]2019'!H30+'[1]2020'!H30</f>
        <v>0</v>
      </c>
      <c r="I27" s="46">
        <f>'[1]2018'!I30+'[1]2019'!I30+'[1]2020'!I30</f>
        <v>0</v>
      </c>
      <c r="J27" s="46">
        <f>'[1]2018'!J30+'[1]2019'!J30+'[1]2020'!J30</f>
        <v>0</v>
      </c>
      <c r="K27" s="46">
        <f>'[1]2018'!K30+'[1]2019'!K30+'[1]2020'!K30</f>
        <v>0</v>
      </c>
      <c r="L27" s="46">
        <f>'[1]2018'!L30+'[1]2019'!L30+'[1]2020'!L30</f>
        <v>0</v>
      </c>
      <c r="M27" s="46">
        <f>'[1]2018'!M30+'[1]2019'!M30+'[1]2020'!M30</f>
        <v>0</v>
      </c>
      <c r="N27" s="46">
        <f>'[1]2018'!N30+'[1]2019'!N30+'[1]2020'!N30</f>
        <v>0</v>
      </c>
      <c r="O27" s="46">
        <f>'[1]2018'!O30+'[1]2019'!O30+'[1]2020'!O30</f>
        <v>0</v>
      </c>
      <c r="P27" s="46">
        <f>'[1]2018'!P30+'[1]2019'!P30+'[1]2020'!P30</f>
        <v>0</v>
      </c>
      <c r="Q27" s="46">
        <f>'[1]2018'!Q30+'[1]2019'!Q30+'[1]2020'!Q30</f>
        <v>0</v>
      </c>
      <c r="R27" s="46">
        <f>'[1]2018'!R30+'[1]2019'!R30+'[1]2020'!R30</f>
        <v>0</v>
      </c>
      <c r="S27" s="46">
        <f>'[1]2018'!S30+'[1]2019'!S30+'[1]2020'!S30</f>
        <v>0</v>
      </c>
      <c r="T27" s="46">
        <f>'[1]2018'!T30+'[1]2019'!T30+'[1]2020'!T30</f>
        <v>0</v>
      </c>
      <c r="U27" s="46">
        <f>'[1]2018'!U30+'[1]2019'!U30+'[1]2020'!U30</f>
        <v>0</v>
      </c>
      <c r="V27" s="46">
        <f>'[1]2018'!V30+'[1]2019'!V30+'[1]2020'!V30</f>
        <v>1747</v>
      </c>
      <c r="W27" s="46">
        <f>'[1]2018'!W30+'[1]2019'!W30+'[1]2020'!W30</f>
        <v>0</v>
      </c>
      <c r="X27" s="46">
        <f>'[1]2018'!X30+'[1]2019'!X30+'[1]2020'!X30</f>
        <v>3</v>
      </c>
      <c r="Y27" s="41">
        <f t="shared" si="1"/>
        <v>1750</v>
      </c>
      <c r="Z27" s="11">
        <f>'[1]2018'!Z30+'[1]2019'!Z30+'[1]2020'!Z30</f>
        <v>100</v>
      </c>
      <c r="AA27" s="11">
        <f>'[1]2018'!AA30+'[1]2019'!AA30+'[1]2020'!AA30</f>
        <v>61</v>
      </c>
      <c r="AB27" s="11">
        <f>'[1]2018'!AB30+'[1]2019'!AB30+'[1]2020'!AB30</f>
        <v>1385</v>
      </c>
      <c r="AC27" s="11">
        <f>'[1]2018'!AC30+'[1]2019'!AC30+'[1]2020'!AC30</f>
        <v>855</v>
      </c>
      <c r="AD27" s="11">
        <f>'[1]2018'!AD30+'[1]2019'!AD30+'[1]2020'!AD30</f>
        <v>0</v>
      </c>
      <c r="AE27" s="11">
        <f>'[1]2018'!AE30+'[1]2019'!AE30+'[1]2020'!AE30</f>
        <v>0</v>
      </c>
      <c r="AF27" s="11">
        <f>'[1]2018'!AF30+'[1]2019'!AF30+'[1]2020'!AF30</f>
        <v>0</v>
      </c>
      <c r="AG27" s="11">
        <f>'[1]2018'!AG30+'[1]2019'!AG30+'[1]2020'!AG30</f>
        <v>0</v>
      </c>
      <c r="AH27" s="11">
        <f>'[1]2018'!AH30+'[1]2019'!AH30+'[1]2020'!AH30</f>
        <v>0</v>
      </c>
      <c r="AI27" s="11">
        <f>'[1]2018'!AI30+'[1]2019'!AI30+'[1]2020'!AI30</f>
        <v>0</v>
      </c>
      <c r="AJ27" s="11">
        <f>'[1]2018'!AJ30+'[1]2019'!AJ30+'[1]2020'!AJ30</f>
        <v>0</v>
      </c>
      <c r="AK27" s="11">
        <f>'[1]2018'!AK30+'[1]2019'!AK30+'[1]2020'!AK30</f>
        <v>0</v>
      </c>
      <c r="AL27" s="11">
        <f>'[1]2018'!AL30+'[1]2019'!AL30+'[1]2020'!AL30</f>
        <v>0</v>
      </c>
      <c r="AM27" s="11">
        <f>'[1]2018'!AM30+'[1]2019'!AM30+'[1]2020'!AM30</f>
        <v>0</v>
      </c>
      <c r="AN27" s="11">
        <f>'[1]2018'!AN30+'[1]2019'!AN30+'[1]2020'!AN30</f>
        <v>0</v>
      </c>
      <c r="AO27" s="11">
        <f>'[1]2018'!AO30+'[1]2019'!AO30+'[1]2020'!AO30</f>
        <v>0</v>
      </c>
      <c r="AP27" s="11">
        <f>'[1]2018'!AP30+'[1]2019'!AP30+'[1]2020'!AP30</f>
        <v>0</v>
      </c>
      <c r="AQ27" s="11">
        <f>'[1]2018'!AQ30+'[1]2019'!AQ30+'[1]2020'!AQ30</f>
        <v>0</v>
      </c>
      <c r="AR27" s="11">
        <f>'[1]2018'!AR30+'[1]2019'!AR30+'[1]2020'!AR30</f>
        <v>0</v>
      </c>
      <c r="AS27" s="11">
        <f>'[1]2018'!AS30+'[1]2019'!AS30+'[1]2020'!AS30</f>
        <v>0</v>
      </c>
      <c r="AT27" s="11">
        <f>'[1]2018'!AT30+'[1]2019'!AT30+'[1]2020'!AT30</f>
        <v>1385</v>
      </c>
      <c r="AU27" s="11">
        <f>'[1]2018'!AU30+'[1]2019'!AU30+'[1]2020'!AU30</f>
        <v>0</v>
      </c>
      <c r="AV27" s="11">
        <f>'[1]2018'!AV30+'[1]2019'!AV30+'[1]2020'!AV30</f>
        <v>0</v>
      </c>
      <c r="AW27" s="41">
        <f t="shared" si="3"/>
        <v>1385</v>
      </c>
      <c r="AX27" s="14">
        <f t="shared" si="4"/>
        <v>699.69799999999998</v>
      </c>
      <c r="AY27" s="2">
        <f>'[1]2018'!AX30+'[1]2019'!AX30+'[1]2020'!AX30</f>
        <v>2099.0940000000001</v>
      </c>
    </row>
    <row r="28" spans="1:136" x14ac:dyDescent="0.25">
      <c r="A28" s="10" t="s">
        <v>149</v>
      </c>
      <c r="B28" s="46">
        <f>'[1]2018'!B31+'[1]2019'!B31+'[1]2020'!B31</f>
        <v>15</v>
      </c>
      <c r="C28" s="46">
        <f>'[1]2018'!C31+'[1]2019'!C31+'[1]2020'!C31</f>
        <v>13</v>
      </c>
      <c r="D28" s="46">
        <f>'[1]2018'!D31+'[1]2019'!D31+'[1]2020'!D31</f>
        <v>409</v>
      </c>
      <c r="E28" s="46">
        <f>'[1]2018'!E31+'[1]2019'!E31+'[1]2020'!E31</f>
        <v>353</v>
      </c>
      <c r="F28" s="46">
        <f>'[1]2018'!F31+'[1]2019'!F31+'[1]2020'!F31</f>
        <v>0</v>
      </c>
      <c r="G28" s="46">
        <f>'[1]2018'!G31+'[1]2019'!G31+'[1]2020'!G31</f>
        <v>0</v>
      </c>
      <c r="H28" s="46">
        <f>'[1]2018'!H31+'[1]2019'!H31+'[1]2020'!H31</f>
        <v>0</v>
      </c>
      <c r="I28" s="46">
        <f>'[1]2018'!I31+'[1]2019'!I31+'[1]2020'!I31</f>
        <v>0</v>
      </c>
      <c r="J28" s="46">
        <f>'[1]2018'!J31+'[1]2019'!J31+'[1]2020'!J31</f>
        <v>0</v>
      </c>
      <c r="K28" s="46">
        <f>'[1]2018'!K31+'[1]2019'!K31+'[1]2020'!K31</f>
        <v>0</v>
      </c>
      <c r="L28" s="46">
        <f>'[1]2018'!L31+'[1]2019'!L31+'[1]2020'!L31</f>
        <v>0</v>
      </c>
      <c r="M28" s="46">
        <f>'[1]2018'!M31+'[1]2019'!M31+'[1]2020'!M31</f>
        <v>0</v>
      </c>
      <c r="N28" s="46">
        <f>'[1]2018'!N31+'[1]2019'!N31+'[1]2020'!N31</f>
        <v>0</v>
      </c>
      <c r="O28" s="46">
        <f>'[1]2018'!O31+'[1]2019'!O31+'[1]2020'!O31</f>
        <v>0</v>
      </c>
      <c r="P28" s="46">
        <f>'[1]2018'!P31+'[1]2019'!P31+'[1]2020'!P31</f>
        <v>0</v>
      </c>
      <c r="Q28" s="46">
        <f>'[1]2018'!Q31+'[1]2019'!Q31+'[1]2020'!Q31</f>
        <v>0</v>
      </c>
      <c r="R28" s="46">
        <f>'[1]2018'!R31+'[1]2019'!R31+'[1]2020'!R31</f>
        <v>0</v>
      </c>
      <c r="S28" s="46">
        <f>'[1]2018'!S31+'[1]2019'!S31+'[1]2020'!S31</f>
        <v>0</v>
      </c>
      <c r="T28" s="46">
        <f>'[1]2018'!T31+'[1]2019'!T31+'[1]2020'!T31</f>
        <v>0</v>
      </c>
      <c r="U28" s="46">
        <f>'[1]2018'!U31+'[1]2019'!U31+'[1]2020'!U31</f>
        <v>0</v>
      </c>
      <c r="V28" s="46">
        <f>'[1]2018'!V31+'[1]2019'!V31+'[1]2020'!V31</f>
        <v>409</v>
      </c>
      <c r="W28" s="46">
        <f>'[1]2018'!W31+'[1]2019'!W31+'[1]2020'!W31</f>
        <v>0</v>
      </c>
      <c r="X28" s="46">
        <f>'[1]2018'!X31+'[1]2019'!X31+'[1]2020'!X31</f>
        <v>0</v>
      </c>
      <c r="Y28" s="41">
        <f t="shared" si="1"/>
        <v>409</v>
      </c>
      <c r="Z28" s="11">
        <f>'[1]2018'!Z31+'[1]2019'!Z31+'[1]2020'!Z31</f>
        <v>15</v>
      </c>
      <c r="AA28" s="11">
        <f>'[1]2018'!AA31+'[1]2019'!AA31+'[1]2020'!AA31</f>
        <v>12</v>
      </c>
      <c r="AB28" s="11">
        <f>'[1]2018'!AB31+'[1]2019'!AB31+'[1]2020'!AB31</f>
        <v>363</v>
      </c>
      <c r="AC28" s="11">
        <f>'[1]2018'!AC31+'[1]2019'!AC31+'[1]2020'!AC31</f>
        <v>308</v>
      </c>
      <c r="AD28" s="11">
        <f>'[1]2018'!AD31+'[1]2019'!AD31+'[1]2020'!AD31</f>
        <v>0</v>
      </c>
      <c r="AE28" s="11">
        <f>'[1]2018'!AE31+'[1]2019'!AE31+'[1]2020'!AE31</f>
        <v>0</v>
      </c>
      <c r="AF28" s="11">
        <f>'[1]2018'!AF31+'[1]2019'!AF31+'[1]2020'!AF31</f>
        <v>0</v>
      </c>
      <c r="AG28" s="11">
        <f>'[1]2018'!AG31+'[1]2019'!AG31+'[1]2020'!AG31</f>
        <v>0</v>
      </c>
      <c r="AH28" s="11">
        <f>'[1]2018'!AH31+'[1]2019'!AH31+'[1]2020'!AH31</f>
        <v>0</v>
      </c>
      <c r="AI28" s="11">
        <f>'[1]2018'!AI31+'[1]2019'!AI31+'[1]2020'!AI31</f>
        <v>0</v>
      </c>
      <c r="AJ28" s="11">
        <f>'[1]2018'!AJ31+'[1]2019'!AJ31+'[1]2020'!AJ31</f>
        <v>0</v>
      </c>
      <c r="AK28" s="11">
        <f>'[1]2018'!AK31+'[1]2019'!AK31+'[1]2020'!AK31</f>
        <v>0</v>
      </c>
      <c r="AL28" s="11">
        <f>'[1]2018'!AL31+'[1]2019'!AL31+'[1]2020'!AL31</f>
        <v>0</v>
      </c>
      <c r="AM28" s="11">
        <f>'[1]2018'!AM31+'[1]2019'!AM31+'[1]2020'!AM31</f>
        <v>0</v>
      </c>
      <c r="AN28" s="11">
        <f>'[1]2018'!AN31+'[1]2019'!AN31+'[1]2020'!AN31</f>
        <v>0</v>
      </c>
      <c r="AO28" s="11">
        <f>'[1]2018'!AO31+'[1]2019'!AO31+'[1]2020'!AO31</f>
        <v>0</v>
      </c>
      <c r="AP28" s="11">
        <f>'[1]2018'!AP31+'[1]2019'!AP31+'[1]2020'!AP31</f>
        <v>0</v>
      </c>
      <c r="AQ28" s="11">
        <f>'[1]2018'!AQ31+'[1]2019'!AQ31+'[1]2020'!AQ31</f>
        <v>0</v>
      </c>
      <c r="AR28" s="11">
        <f>'[1]2018'!AR31+'[1]2019'!AR31+'[1]2020'!AR31</f>
        <v>0</v>
      </c>
      <c r="AS28" s="11">
        <f>'[1]2018'!AS31+'[1]2019'!AS31+'[1]2020'!AS31</f>
        <v>0</v>
      </c>
      <c r="AT28" s="11">
        <f>'[1]2018'!AT31+'[1]2019'!AT31+'[1]2020'!AT31</f>
        <v>363</v>
      </c>
      <c r="AU28" s="11">
        <f>'[1]2018'!AU31+'[1]2019'!AU31+'[1]2020'!AU31</f>
        <v>0</v>
      </c>
      <c r="AV28" s="11">
        <f>'[1]2018'!AV31+'[1]2019'!AV31+'[1]2020'!AV31</f>
        <v>0</v>
      </c>
      <c r="AW28" s="41">
        <f t="shared" si="3"/>
        <v>363</v>
      </c>
      <c r="AX28" s="14">
        <f t="shared" si="4"/>
        <v>701.72166666666669</v>
      </c>
      <c r="AY28" s="2">
        <f>'[1]2018'!AX31+'[1]2019'!AX31+'[1]2020'!AX31</f>
        <v>2105.165</v>
      </c>
    </row>
    <row r="29" spans="1:136" x14ac:dyDescent="0.25">
      <c r="A29" s="10" t="s">
        <v>148</v>
      </c>
      <c r="B29" s="46">
        <f>'[1]2018'!B32+'[1]2019'!B32+'[1]2020'!B32</f>
        <v>3</v>
      </c>
      <c r="C29" s="46">
        <f>'[1]2018'!C32+'[1]2019'!C32+'[1]2020'!C32</f>
        <v>3</v>
      </c>
      <c r="D29" s="46">
        <f>'[1]2018'!D32+'[1]2019'!D32+'[1]2020'!D32</f>
        <v>38</v>
      </c>
      <c r="E29" s="46">
        <f>'[1]2018'!E32+'[1]2019'!E32+'[1]2020'!E32</f>
        <v>38</v>
      </c>
      <c r="F29" s="46">
        <f>'[1]2018'!F32+'[1]2019'!F32+'[1]2020'!F32</f>
        <v>0</v>
      </c>
      <c r="G29" s="46">
        <f>'[1]2018'!G32+'[1]2019'!G32+'[1]2020'!G32</f>
        <v>0</v>
      </c>
      <c r="H29" s="46">
        <f>'[1]2018'!H32+'[1]2019'!H32+'[1]2020'!H32</f>
        <v>0</v>
      </c>
      <c r="I29" s="46">
        <f>'[1]2018'!I32+'[1]2019'!I32+'[1]2020'!I32</f>
        <v>0</v>
      </c>
      <c r="J29" s="46">
        <f>'[1]2018'!J32+'[1]2019'!J32+'[1]2020'!J32</f>
        <v>0</v>
      </c>
      <c r="K29" s="46">
        <f>'[1]2018'!K32+'[1]2019'!K32+'[1]2020'!K32</f>
        <v>0</v>
      </c>
      <c r="L29" s="46">
        <f>'[1]2018'!L32+'[1]2019'!L32+'[1]2020'!L32</f>
        <v>0</v>
      </c>
      <c r="M29" s="46">
        <f>'[1]2018'!M32+'[1]2019'!M32+'[1]2020'!M32</f>
        <v>0</v>
      </c>
      <c r="N29" s="46">
        <f>'[1]2018'!N32+'[1]2019'!N32+'[1]2020'!N32</f>
        <v>0</v>
      </c>
      <c r="O29" s="46">
        <f>'[1]2018'!O32+'[1]2019'!O32+'[1]2020'!O32</f>
        <v>0</v>
      </c>
      <c r="P29" s="46">
        <f>'[1]2018'!P32+'[1]2019'!P32+'[1]2020'!P32</f>
        <v>0</v>
      </c>
      <c r="Q29" s="46">
        <f>'[1]2018'!Q32+'[1]2019'!Q32+'[1]2020'!Q32</f>
        <v>0</v>
      </c>
      <c r="R29" s="46">
        <f>'[1]2018'!R32+'[1]2019'!R32+'[1]2020'!R32</f>
        <v>0</v>
      </c>
      <c r="S29" s="46">
        <f>'[1]2018'!S32+'[1]2019'!S32+'[1]2020'!S32</f>
        <v>0</v>
      </c>
      <c r="T29" s="46">
        <f>'[1]2018'!T32+'[1]2019'!T32+'[1]2020'!T32</f>
        <v>0</v>
      </c>
      <c r="U29" s="46">
        <f>'[1]2018'!U32+'[1]2019'!U32+'[1]2020'!U32</f>
        <v>0</v>
      </c>
      <c r="V29" s="46">
        <f>'[1]2018'!V32+'[1]2019'!V32+'[1]2020'!V32</f>
        <v>38</v>
      </c>
      <c r="W29" s="46">
        <f>'[1]2018'!W32+'[1]2019'!W32+'[1]2020'!W32</f>
        <v>0</v>
      </c>
      <c r="X29" s="46">
        <f>'[1]2018'!X32+'[1]2019'!X32+'[1]2020'!X32</f>
        <v>0</v>
      </c>
      <c r="Y29" s="41">
        <f t="shared" si="1"/>
        <v>38</v>
      </c>
      <c r="Z29" s="11">
        <f>'[1]2018'!Z32+'[1]2019'!Z32+'[1]2020'!Z32</f>
        <v>3</v>
      </c>
      <c r="AA29" s="11">
        <f>'[1]2018'!AA32+'[1]2019'!AA32+'[1]2020'!AA32</f>
        <v>3</v>
      </c>
      <c r="AB29" s="11">
        <f>'[1]2018'!AB32+'[1]2019'!AB32+'[1]2020'!AB32</f>
        <v>38</v>
      </c>
      <c r="AC29" s="11">
        <f>'[1]2018'!AC32+'[1]2019'!AC32+'[1]2020'!AC32</f>
        <v>38</v>
      </c>
      <c r="AD29" s="11">
        <f>'[1]2018'!AD32+'[1]2019'!AD32+'[1]2020'!AD32</f>
        <v>0</v>
      </c>
      <c r="AE29" s="11">
        <f>'[1]2018'!AE32+'[1]2019'!AE32+'[1]2020'!AE32</f>
        <v>0</v>
      </c>
      <c r="AF29" s="11">
        <f>'[1]2018'!AF32+'[1]2019'!AF32+'[1]2020'!AF32</f>
        <v>0</v>
      </c>
      <c r="AG29" s="11">
        <f>'[1]2018'!AG32+'[1]2019'!AG32+'[1]2020'!AG32</f>
        <v>0</v>
      </c>
      <c r="AH29" s="11">
        <f>'[1]2018'!AH32+'[1]2019'!AH32+'[1]2020'!AH32</f>
        <v>0</v>
      </c>
      <c r="AI29" s="11">
        <f>'[1]2018'!AI32+'[1]2019'!AI32+'[1]2020'!AI32</f>
        <v>0</v>
      </c>
      <c r="AJ29" s="11">
        <f>'[1]2018'!AJ32+'[1]2019'!AJ32+'[1]2020'!AJ32</f>
        <v>0</v>
      </c>
      <c r="AK29" s="11">
        <f>'[1]2018'!AK32+'[1]2019'!AK32+'[1]2020'!AK32</f>
        <v>0</v>
      </c>
      <c r="AL29" s="11">
        <f>'[1]2018'!AL32+'[1]2019'!AL32+'[1]2020'!AL32</f>
        <v>0</v>
      </c>
      <c r="AM29" s="11">
        <f>'[1]2018'!AM32+'[1]2019'!AM32+'[1]2020'!AM32</f>
        <v>0</v>
      </c>
      <c r="AN29" s="11">
        <f>'[1]2018'!AN32+'[1]2019'!AN32+'[1]2020'!AN32</f>
        <v>0</v>
      </c>
      <c r="AO29" s="11">
        <f>'[1]2018'!AO32+'[1]2019'!AO32+'[1]2020'!AO32</f>
        <v>0</v>
      </c>
      <c r="AP29" s="11">
        <f>'[1]2018'!AP32+'[1]2019'!AP32+'[1]2020'!AP32</f>
        <v>0</v>
      </c>
      <c r="AQ29" s="11">
        <f>'[1]2018'!AQ32+'[1]2019'!AQ32+'[1]2020'!AQ32</f>
        <v>0</v>
      </c>
      <c r="AR29" s="11">
        <f>'[1]2018'!AR32+'[1]2019'!AR32+'[1]2020'!AR32</f>
        <v>0</v>
      </c>
      <c r="AS29" s="11">
        <f>'[1]2018'!AS32+'[1]2019'!AS32+'[1]2020'!AS32</f>
        <v>0</v>
      </c>
      <c r="AT29" s="11">
        <f>'[1]2018'!AT32+'[1]2019'!AT32+'[1]2020'!AT32</f>
        <v>38</v>
      </c>
      <c r="AU29" s="11">
        <f>'[1]2018'!AU32+'[1]2019'!AU32+'[1]2020'!AU32</f>
        <v>0</v>
      </c>
      <c r="AV29" s="11">
        <f>'[1]2018'!AV32+'[1]2019'!AV32+'[1]2020'!AV32</f>
        <v>0</v>
      </c>
      <c r="AW29" s="41">
        <f t="shared" si="3"/>
        <v>38</v>
      </c>
      <c r="AX29" s="14">
        <f t="shared" si="4"/>
        <v>1525.6000000000001</v>
      </c>
      <c r="AY29" s="2">
        <f>'[1]2018'!AX32+'[1]2019'!AX32+'[1]2020'!AX32</f>
        <v>4576.8</v>
      </c>
    </row>
    <row r="30" spans="1:136" s="13" customFormat="1" x14ac:dyDescent="0.25">
      <c r="A30" s="10" t="s">
        <v>147</v>
      </c>
      <c r="B30" s="46">
        <f>'[1]2018'!B33+'[1]2019'!B33+'[1]2020'!B33</f>
        <v>942</v>
      </c>
      <c r="C30" s="46">
        <f>'[1]2018'!C33+'[1]2019'!C33+'[1]2020'!C33</f>
        <v>161</v>
      </c>
      <c r="D30" s="46">
        <f>'[1]2018'!D33+'[1]2019'!D33+'[1]2020'!D33</f>
        <v>1503</v>
      </c>
      <c r="E30" s="46">
        <f>'[1]2018'!E33+'[1]2019'!E33+'[1]2020'!E33</f>
        <v>425</v>
      </c>
      <c r="F30" s="46">
        <f>'[1]2018'!F33+'[1]2019'!F33+'[1]2020'!F33</f>
        <v>0</v>
      </c>
      <c r="G30" s="46">
        <f>'[1]2018'!G33+'[1]2019'!G33+'[1]2020'!G33</f>
        <v>0</v>
      </c>
      <c r="H30" s="46">
        <f>'[1]2018'!H33+'[1]2019'!H33+'[1]2020'!H33</f>
        <v>5</v>
      </c>
      <c r="I30" s="46">
        <f>'[1]2018'!I33+'[1]2019'!I33+'[1]2020'!I33</f>
        <v>0</v>
      </c>
      <c r="J30" s="46">
        <f>'[1]2018'!J33+'[1]2019'!J33+'[1]2020'!J33</f>
        <v>0</v>
      </c>
      <c r="K30" s="46">
        <f>'[1]2018'!K33+'[1]2019'!K33+'[1]2020'!K33</f>
        <v>7</v>
      </c>
      <c r="L30" s="46">
        <f>'[1]2018'!L33+'[1]2019'!L33+'[1]2020'!L33</f>
        <v>9</v>
      </c>
      <c r="M30" s="46">
        <f>'[1]2018'!M33+'[1]2019'!M33+'[1]2020'!M33</f>
        <v>0</v>
      </c>
      <c r="N30" s="46">
        <f>'[1]2018'!N33+'[1]2019'!N33+'[1]2020'!N33</f>
        <v>10</v>
      </c>
      <c r="O30" s="46">
        <f>'[1]2018'!O33+'[1]2019'!O33+'[1]2020'!O33</f>
        <v>0</v>
      </c>
      <c r="P30" s="46">
        <f>'[1]2018'!P33+'[1]2019'!P33+'[1]2020'!P33</f>
        <v>0</v>
      </c>
      <c r="Q30" s="46">
        <f>'[1]2018'!Q33+'[1]2019'!Q33+'[1]2020'!Q33</f>
        <v>0</v>
      </c>
      <c r="R30" s="46">
        <f>'[1]2018'!R33+'[1]2019'!R33+'[1]2020'!R33</f>
        <v>1</v>
      </c>
      <c r="S30" s="46">
        <f>'[1]2018'!S33+'[1]2019'!S33+'[1]2020'!S33</f>
        <v>0</v>
      </c>
      <c r="T30" s="46">
        <f>'[1]2018'!T33+'[1]2019'!T33+'[1]2020'!T33</f>
        <v>9</v>
      </c>
      <c r="U30" s="46">
        <f>'[1]2018'!U33+'[1]2019'!U33+'[1]2020'!U33</f>
        <v>9</v>
      </c>
      <c r="V30" s="46">
        <f>'[1]2018'!V33+'[1]2019'!V33+'[1]2020'!V33</f>
        <v>1333</v>
      </c>
      <c r="W30" s="46">
        <f>'[1]2018'!W33+'[1]2019'!W33+'[1]2020'!W33</f>
        <v>32</v>
      </c>
      <c r="X30" s="46">
        <f>'[1]2018'!X33+'[1]2019'!X33+'[1]2020'!X33</f>
        <v>88</v>
      </c>
      <c r="Y30" s="41">
        <f t="shared" si="1"/>
        <v>1503</v>
      </c>
      <c r="Z30" s="11">
        <f>'[1]2018'!Z33+'[1]2019'!Z33+'[1]2020'!Z33</f>
        <v>721</v>
      </c>
      <c r="AA30" s="11">
        <f>'[1]2018'!AA33+'[1]2019'!AA33+'[1]2020'!AA33</f>
        <v>129</v>
      </c>
      <c r="AB30" s="11">
        <f>'[1]2018'!AB33+'[1]2019'!AB33+'[1]2020'!AB33</f>
        <v>1370</v>
      </c>
      <c r="AC30" s="11">
        <f>'[1]2018'!AC33+'[1]2019'!AC33+'[1]2020'!AC33</f>
        <v>335</v>
      </c>
      <c r="AD30" s="11">
        <f>'[1]2018'!AD33+'[1]2019'!AD33+'[1]2020'!AD33</f>
        <v>0</v>
      </c>
      <c r="AE30" s="11">
        <f>'[1]2018'!AE33+'[1]2019'!AE33+'[1]2020'!AE33</f>
        <v>0</v>
      </c>
      <c r="AF30" s="11">
        <f>'[1]2018'!AF33+'[1]2019'!AF33+'[1]2020'!AF33</f>
        <v>5</v>
      </c>
      <c r="AG30" s="11">
        <f>'[1]2018'!AG33+'[1]2019'!AG33+'[1]2020'!AG33</f>
        <v>0</v>
      </c>
      <c r="AH30" s="11">
        <f>'[1]2018'!AH33+'[1]2019'!AH33+'[1]2020'!AH33</f>
        <v>0</v>
      </c>
      <c r="AI30" s="11">
        <f>'[1]2018'!AI33+'[1]2019'!AI33+'[1]2020'!AI33</f>
        <v>7</v>
      </c>
      <c r="AJ30" s="11">
        <f>'[1]2018'!AJ33+'[1]2019'!AJ33+'[1]2020'!AJ33</f>
        <v>9</v>
      </c>
      <c r="AK30" s="11">
        <f>'[1]2018'!AK33+'[1]2019'!AK33+'[1]2020'!AK33</f>
        <v>0</v>
      </c>
      <c r="AL30" s="11">
        <f>'[1]2018'!AL33+'[1]2019'!AL33+'[1]2020'!AL33</f>
        <v>8</v>
      </c>
      <c r="AM30" s="11">
        <f>'[1]2018'!AM33+'[1]2019'!AM33+'[1]2020'!AM33</f>
        <v>0</v>
      </c>
      <c r="AN30" s="11">
        <f>'[1]2018'!AN33+'[1]2019'!AN33+'[1]2020'!AN33</f>
        <v>0</v>
      </c>
      <c r="AO30" s="11">
        <f>'[1]2018'!AO33+'[1]2019'!AO33+'[1]2020'!AO33</f>
        <v>0</v>
      </c>
      <c r="AP30" s="11">
        <f>'[1]2018'!AP33+'[1]2019'!AP33+'[1]2020'!AP33</f>
        <v>0</v>
      </c>
      <c r="AQ30" s="11">
        <f>'[1]2018'!AQ33+'[1]2019'!AQ33+'[1]2020'!AQ33</f>
        <v>0</v>
      </c>
      <c r="AR30" s="11">
        <f>'[1]2018'!AR33+'[1]2019'!AR33+'[1]2020'!AR33</f>
        <v>0</v>
      </c>
      <c r="AS30" s="11">
        <f>'[1]2018'!AS33+'[1]2019'!AS33+'[1]2020'!AS33</f>
        <v>20</v>
      </c>
      <c r="AT30" s="11">
        <f>'[1]2018'!AT33+'[1]2019'!AT33+'[1]2020'!AT33</f>
        <v>1260</v>
      </c>
      <c r="AU30" s="11">
        <f>'[1]2018'!AU33+'[1]2019'!AU33+'[1]2020'!AU33</f>
        <v>17</v>
      </c>
      <c r="AV30" s="11">
        <f>'[1]2018'!AV33+'[1]2019'!AV33+'[1]2020'!AV33</f>
        <v>44</v>
      </c>
      <c r="AW30" s="41">
        <f t="shared" si="3"/>
        <v>1370</v>
      </c>
      <c r="AX30" s="14">
        <f t="shared" si="4"/>
        <v>2973.0506634727058</v>
      </c>
      <c r="AY30" s="2">
        <f>'[1]2018'!AX33+'[1]2019'!AX33+'[1]2020'!AX33</f>
        <v>8919.1519904181168</v>
      </c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</row>
    <row r="31" spans="1:136" x14ac:dyDescent="0.25">
      <c r="A31" s="10" t="s">
        <v>146</v>
      </c>
      <c r="B31" s="46">
        <f>'[1]2018'!B34+'[1]2019'!B34+'[1]2020'!B34</f>
        <v>1</v>
      </c>
      <c r="C31" s="46">
        <f>'[1]2018'!C34+'[1]2019'!C34+'[1]2020'!C34</f>
        <v>0</v>
      </c>
      <c r="D31" s="46">
        <f>'[1]2018'!D34+'[1]2019'!D34+'[1]2020'!D34</f>
        <v>1</v>
      </c>
      <c r="E31" s="46">
        <f>'[1]2018'!E34+'[1]2019'!E34+'[1]2020'!E34</f>
        <v>0</v>
      </c>
      <c r="F31" s="46">
        <f>'[1]2018'!F34+'[1]2019'!F34+'[1]2020'!F34</f>
        <v>0</v>
      </c>
      <c r="G31" s="46">
        <f>'[1]2018'!G34+'[1]2019'!G34+'[1]2020'!G34</f>
        <v>0</v>
      </c>
      <c r="H31" s="46">
        <f>'[1]2018'!H34+'[1]2019'!H34+'[1]2020'!H34</f>
        <v>0</v>
      </c>
      <c r="I31" s="46">
        <f>'[1]2018'!I34+'[1]2019'!I34+'[1]2020'!I34</f>
        <v>0</v>
      </c>
      <c r="J31" s="46">
        <f>'[1]2018'!J34+'[1]2019'!J34+'[1]2020'!J34</f>
        <v>0</v>
      </c>
      <c r="K31" s="46">
        <f>'[1]2018'!K34+'[1]2019'!K34+'[1]2020'!K34</f>
        <v>0</v>
      </c>
      <c r="L31" s="46">
        <f>'[1]2018'!L34+'[1]2019'!L34+'[1]2020'!L34</f>
        <v>0</v>
      </c>
      <c r="M31" s="46">
        <f>'[1]2018'!M34+'[1]2019'!M34+'[1]2020'!M34</f>
        <v>0</v>
      </c>
      <c r="N31" s="46">
        <f>'[1]2018'!N34+'[1]2019'!N34+'[1]2020'!N34</f>
        <v>0</v>
      </c>
      <c r="O31" s="46">
        <f>'[1]2018'!O34+'[1]2019'!O34+'[1]2020'!O34</f>
        <v>0</v>
      </c>
      <c r="P31" s="46">
        <f>'[1]2018'!P34+'[1]2019'!P34+'[1]2020'!P34</f>
        <v>0</v>
      </c>
      <c r="Q31" s="46">
        <f>'[1]2018'!Q34+'[1]2019'!Q34+'[1]2020'!Q34</f>
        <v>0</v>
      </c>
      <c r="R31" s="46">
        <f>'[1]2018'!R34+'[1]2019'!R34+'[1]2020'!R34</f>
        <v>0</v>
      </c>
      <c r="S31" s="46">
        <f>'[1]2018'!S34+'[1]2019'!S34+'[1]2020'!S34</f>
        <v>0</v>
      </c>
      <c r="T31" s="46">
        <f>'[1]2018'!T34+'[1]2019'!T34+'[1]2020'!T34</f>
        <v>0</v>
      </c>
      <c r="U31" s="46">
        <f>'[1]2018'!U34+'[1]2019'!U34+'[1]2020'!U34</f>
        <v>0</v>
      </c>
      <c r="V31" s="46">
        <f>'[1]2018'!V34+'[1]2019'!V34+'[1]2020'!V34</f>
        <v>1</v>
      </c>
      <c r="W31" s="46">
        <f>'[1]2018'!W34+'[1]2019'!W34+'[1]2020'!W34</f>
        <v>0</v>
      </c>
      <c r="X31" s="46">
        <f>'[1]2018'!X34+'[1]2019'!X34+'[1]2020'!X34</f>
        <v>0</v>
      </c>
      <c r="Y31" s="41">
        <f t="shared" si="1"/>
        <v>1</v>
      </c>
      <c r="Z31" s="11">
        <f>'[1]2018'!Z34+'[1]2019'!Z34+'[1]2020'!Z34</f>
        <v>0</v>
      </c>
      <c r="AA31" s="11">
        <f>'[1]2018'!AA34+'[1]2019'!AA34+'[1]2020'!AA34</f>
        <v>0</v>
      </c>
      <c r="AB31" s="11">
        <f>'[1]2018'!AB34+'[1]2019'!AB34+'[1]2020'!AB34</f>
        <v>0</v>
      </c>
      <c r="AC31" s="11">
        <f>'[1]2018'!AC34+'[1]2019'!AC34+'[1]2020'!AC34</f>
        <v>0</v>
      </c>
      <c r="AD31" s="11">
        <f>'[1]2018'!AD34+'[1]2019'!AD34+'[1]2020'!AD34</f>
        <v>0</v>
      </c>
      <c r="AE31" s="11">
        <f>'[1]2018'!AE34+'[1]2019'!AE34+'[1]2020'!AE34</f>
        <v>0</v>
      </c>
      <c r="AF31" s="11">
        <f>'[1]2018'!AF34+'[1]2019'!AF34+'[1]2020'!AF34</f>
        <v>0</v>
      </c>
      <c r="AG31" s="11">
        <f>'[1]2018'!AG34+'[1]2019'!AG34+'[1]2020'!AG34</f>
        <v>0</v>
      </c>
      <c r="AH31" s="11">
        <f>'[1]2018'!AH34+'[1]2019'!AH34+'[1]2020'!AH34</f>
        <v>0</v>
      </c>
      <c r="AI31" s="11">
        <f>'[1]2018'!AI34+'[1]2019'!AI34+'[1]2020'!AI34</f>
        <v>0</v>
      </c>
      <c r="AJ31" s="11">
        <f>'[1]2018'!AJ34+'[1]2019'!AJ34+'[1]2020'!AJ34</f>
        <v>0</v>
      </c>
      <c r="AK31" s="11">
        <f>'[1]2018'!AK34+'[1]2019'!AK34+'[1]2020'!AK34</f>
        <v>0</v>
      </c>
      <c r="AL31" s="11">
        <f>'[1]2018'!AL34+'[1]2019'!AL34+'[1]2020'!AL34</f>
        <v>0</v>
      </c>
      <c r="AM31" s="11">
        <f>'[1]2018'!AM34+'[1]2019'!AM34+'[1]2020'!AM34</f>
        <v>0</v>
      </c>
      <c r="AN31" s="11">
        <f>'[1]2018'!AN34+'[1]2019'!AN34+'[1]2020'!AN34</f>
        <v>0</v>
      </c>
      <c r="AO31" s="11">
        <f>'[1]2018'!AO34+'[1]2019'!AO34+'[1]2020'!AO34</f>
        <v>0</v>
      </c>
      <c r="AP31" s="11">
        <f>'[1]2018'!AP34+'[1]2019'!AP34+'[1]2020'!AP34</f>
        <v>0</v>
      </c>
      <c r="AQ31" s="11">
        <f>'[1]2018'!AQ34+'[1]2019'!AQ34+'[1]2020'!AQ34</f>
        <v>0</v>
      </c>
      <c r="AR31" s="11">
        <f>'[1]2018'!AR34+'[1]2019'!AR34+'[1]2020'!AR34</f>
        <v>0</v>
      </c>
      <c r="AS31" s="11">
        <f>'[1]2018'!AS34+'[1]2019'!AS34+'[1]2020'!AS34</f>
        <v>0</v>
      </c>
      <c r="AT31" s="11">
        <f>'[1]2018'!AT34+'[1]2019'!AT34+'[1]2020'!AT34</f>
        <v>0</v>
      </c>
      <c r="AU31" s="11">
        <f>'[1]2018'!AU34+'[1]2019'!AU34+'[1]2020'!AU34</f>
        <v>0</v>
      </c>
      <c r="AV31" s="11">
        <f>'[1]2018'!AV34+'[1]2019'!AV34+'[1]2020'!AV34</f>
        <v>0</v>
      </c>
      <c r="AW31" s="41">
        <f t="shared" si="3"/>
        <v>0</v>
      </c>
      <c r="AX31" s="14">
        <f t="shared" si="4"/>
        <v>0</v>
      </c>
      <c r="AY31" s="2">
        <f>'[1]2018'!AX34+'[1]2019'!AX34+'[1]2020'!AX34</f>
        <v>0</v>
      </c>
    </row>
    <row r="32" spans="1:136" x14ac:dyDescent="0.25">
      <c r="A32" s="10" t="s">
        <v>58</v>
      </c>
      <c r="B32" s="46">
        <f>'[1]2018'!B35+'[1]2019'!B35+'[1]2020'!B35</f>
        <v>7</v>
      </c>
      <c r="C32" s="46">
        <f>'[1]2018'!C35+'[1]2019'!C35+'[1]2020'!C35</f>
        <v>4</v>
      </c>
      <c r="D32" s="46">
        <f>'[1]2018'!D35+'[1]2019'!D35+'[1]2020'!D35</f>
        <v>136</v>
      </c>
      <c r="E32" s="46">
        <f>'[1]2018'!E35+'[1]2019'!E35+'[1]2020'!E35</f>
        <v>61</v>
      </c>
      <c r="F32" s="46">
        <f>'[1]2018'!F35+'[1]2019'!F35+'[1]2020'!F35</f>
        <v>0</v>
      </c>
      <c r="G32" s="46">
        <f>'[1]2018'!G35+'[1]2019'!G35+'[1]2020'!G35</f>
        <v>0</v>
      </c>
      <c r="H32" s="46">
        <f>'[1]2018'!H35+'[1]2019'!H35+'[1]2020'!H35</f>
        <v>0</v>
      </c>
      <c r="I32" s="46">
        <f>'[1]2018'!I35+'[1]2019'!I35+'[1]2020'!I35</f>
        <v>0</v>
      </c>
      <c r="J32" s="46">
        <f>'[1]2018'!J35+'[1]2019'!J35+'[1]2020'!J35</f>
        <v>0</v>
      </c>
      <c r="K32" s="46">
        <f>'[1]2018'!K35+'[1]2019'!K35+'[1]2020'!K35</f>
        <v>0</v>
      </c>
      <c r="L32" s="46">
        <f>'[1]2018'!L35+'[1]2019'!L35+'[1]2020'!L35</f>
        <v>0</v>
      </c>
      <c r="M32" s="46">
        <f>'[1]2018'!M35+'[1]2019'!M35+'[1]2020'!M35</f>
        <v>0</v>
      </c>
      <c r="N32" s="46">
        <f>'[1]2018'!N35+'[1]2019'!N35+'[1]2020'!N35</f>
        <v>0</v>
      </c>
      <c r="O32" s="46">
        <f>'[1]2018'!O35+'[1]2019'!O35+'[1]2020'!O35</f>
        <v>0</v>
      </c>
      <c r="P32" s="46">
        <f>'[1]2018'!P35+'[1]2019'!P35+'[1]2020'!P35</f>
        <v>0</v>
      </c>
      <c r="Q32" s="46">
        <f>'[1]2018'!Q35+'[1]2019'!Q35+'[1]2020'!Q35</f>
        <v>0</v>
      </c>
      <c r="R32" s="46">
        <f>'[1]2018'!R35+'[1]2019'!R35+'[1]2020'!R35</f>
        <v>0</v>
      </c>
      <c r="S32" s="46">
        <f>'[1]2018'!S35+'[1]2019'!S35+'[1]2020'!S35</f>
        <v>0</v>
      </c>
      <c r="T32" s="46">
        <f>'[1]2018'!T35+'[1]2019'!T35+'[1]2020'!T35</f>
        <v>0</v>
      </c>
      <c r="U32" s="46">
        <f>'[1]2018'!U35+'[1]2019'!U35+'[1]2020'!U35</f>
        <v>0</v>
      </c>
      <c r="V32" s="46">
        <f>'[1]2018'!V35+'[1]2019'!V35+'[1]2020'!V35</f>
        <v>136</v>
      </c>
      <c r="W32" s="46">
        <f>'[1]2018'!W35+'[1]2019'!W35+'[1]2020'!W35</f>
        <v>0</v>
      </c>
      <c r="X32" s="46">
        <f>'[1]2018'!X35+'[1]2019'!X35+'[1]2020'!X35</f>
        <v>0</v>
      </c>
      <c r="Y32" s="41">
        <f t="shared" si="1"/>
        <v>136</v>
      </c>
      <c r="Z32" s="11">
        <f>'[1]2018'!Z35+'[1]2019'!Z35+'[1]2020'!Z35</f>
        <v>7</v>
      </c>
      <c r="AA32" s="11">
        <f>'[1]2018'!AA35+'[1]2019'!AA35+'[1]2020'!AA35</f>
        <v>4</v>
      </c>
      <c r="AB32" s="11">
        <f>'[1]2018'!AB35+'[1]2019'!AB35+'[1]2020'!AB35</f>
        <v>136</v>
      </c>
      <c r="AC32" s="11">
        <f>'[1]2018'!AC35+'[1]2019'!AC35+'[1]2020'!AC35</f>
        <v>61</v>
      </c>
      <c r="AD32" s="11">
        <f>'[1]2018'!AD35+'[1]2019'!AD35+'[1]2020'!AD35</f>
        <v>0</v>
      </c>
      <c r="AE32" s="11">
        <f>'[1]2018'!AE35+'[1]2019'!AE35+'[1]2020'!AE35</f>
        <v>0</v>
      </c>
      <c r="AF32" s="11">
        <f>'[1]2018'!AF35+'[1]2019'!AF35+'[1]2020'!AF35</f>
        <v>0</v>
      </c>
      <c r="AG32" s="11">
        <f>'[1]2018'!AG35+'[1]2019'!AG35+'[1]2020'!AG35</f>
        <v>0</v>
      </c>
      <c r="AH32" s="11">
        <f>'[1]2018'!AH35+'[1]2019'!AH35+'[1]2020'!AH35</f>
        <v>0</v>
      </c>
      <c r="AI32" s="11">
        <f>'[1]2018'!AI35+'[1]2019'!AI35+'[1]2020'!AI35</f>
        <v>0</v>
      </c>
      <c r="AJ32" s="11">
        <f>'[1]2018'!AJ35+'[1]2019'!AJ35+'[1]2020'!AJ35</f>
        <v>0</v>
      </c>
      <c r="AK32" s="11">
        <f>'[1]2018'!AK35+'[1]2019'!AK35+'[1]2020'!AK35</f>
        <v>0</v>
      </c>
      <c r="AL32" s="11">
        <f>'[1]2018'!AL35+'[1]2019'!AL35+'[1]2020'!AL35</f>
        <v>0</v>
      </c>
      <c r="AM32" s="11">
        <f>'[1]2018'!AM35+'[1]2019'!AM35+'[1]2020'!AM35</f>
        <v>0</v>
      </c>
      <c r="AN32" s="11">
        <f>'[1]2018'!AN35+'[1]2019'!AN35+'[1]2020'!AN35</f>
        <v>0</v>
      </c>
      <c r="AO32" s="11">
        <f>'[1]2018'!AO35+'[1]2019'!AO35+'[1]2020'!AO35</f>
        <v>0</v>
      </c>
      <c r="AP32" s="11">
        <f>'[1]2018'!AP35+'[1]2019'!AP35+'[1]2020'!AP35</f>
        <v>0</v>
      </c>
      <c r="AQ32" s="11">
        <f>'[1]2018'!AQ35+'[1]2019'!AQ35+'[1]2020'!AQ35</f>
        <v>0</v>
      </c>
      <c r="AR32" s="11">
        <f>'[1]2018'!AR35+'[1]2019'!AR35+'[1]2020'!AR35</f>
        <v>0</v>
      </c>
      <c r="AS32" s="11">
        <f>'[1]2018'!AS35+'[1]2019'!AS35+'[1]2020'!AS35</f>
        <v>0</v>
      </c>
      <c r="AT32" s="11">
        <f>'[1]2018'!AT35+'[1]2019'!AT35+'[1]2020'!AT35</f>
        <v>136</v>
      </c>
      <c r="AU32" s="11">
        <f>'[1]2018'!AU35+'[1]2019'!AU35+'[1]2020'!AU35</f>
        <v>0</v>
      </c>
      <c r="AV32" s="11">
        <f>'[1]2018'!AV35+'[1]2019'!AV35+'[1]2020'!AV35</f>
        <v>0</v>
      </c>
      <c r="AW32" s="41">
        <f t="shared" si="3"/>
        <v>136</v>
      </c>
      <c r="AX32" s="14">
        <f t="shared" si="4"/>
        <v>12516.666666666666</v>
      </c>
      <c r="AY32" s="2">
        <f>'[1]2018'!AX35+'[1]2019'!AX35+'[1]2020'!AX35</f>
        <v>37550</v>
      </c>
    </row>
    <row r="33" spans="1:136" x14ac:dyDescent="0.25">
      <c r="A33" s="10" t="s">
        <v>88</v>
      </c>
      <c r="B33" s="46">
        <f>'[1]2018'!B37+'[1]2019'!B37+'[1]2020'!B37</f>
        <v>11</v>
      </c>
      <c r="C33" s="46">
        <f>'[1]2018'!C37+'[1]2019'!C37+'[1]2020'!C37</f>
        <v>4</v>
      </c>
      <c r="D33" s="46">
        <f>'[1]2018'!D37+'[1]2019'!D37+'[1]2020'!D37</f>
        <v>64</v>
      </c>
      <c r="E33" s="46">
        <f>'[1]2018'!E37+'[1]2019'!E37+'[1]2020'!E37</f>
        <v>20</v>
      </c>
      <c r="F33" s="46">
        <f>'[1]2018'!F37+'[1]2019'!F37+'[1]2020'!F37</f>
        <v>0</v>
      </c>
      <c r="G33" s="46">
        <f>'[1]2018'!G37+'[1]2019'!G37+'[1]2020'!G37</f>
        <v>0</v>
      </c>
      <c r="H33" s="46">
        <f>'[1]2018'!H37+'[1]2019'!H37+'[1]2020'!H37</f>
        <v>0</v>
      </c>
      <c r="I33" s="46">
        <f>'[1]2018'!I37+'[1]2019'!I37+'[1]2020'!I37</f>
        <v>0</v>
      </c>
      <c r="J33" s="46">
        <f>'[1]2018'!J37+'[1]2019'!J37+'[1]2020'!J37</f>
        <v>0</v>
      </c>
      <c r="K33" s="46">
        <f>'[1]2018'!K37+'[1]2019'!K37+'[1]2020'!K37</f>
        <v>0</v>
      </c>
      <c r="L33" s="46">
        <f>'[1]2018'!L37+'[1]2019'!L37+'[1]2020'!L37</f>
        <v>0</v>
      </c>
      <c r="M33" s="46">
        <f>'[1]2018'!M37+'[1]2019'!M37+'[1]2020'!M37</f>
        <v>0</v>
      </c>
      <c r="N33" s="46">
        <f>'[1]2018'!N37+'[1]2019'!N37+'[1]2020'!N37</f>
        <v>0</v>
      </c>
      <c r="O33" s="46">
        <f>'[1]2018'!O37+'[1]2019'!O37+'[1]2020'!O37</f>
        <v>0</v>
      </c>
      <c r="P33" s="46">
        <f>'[1]2018'!P37+'[1]2019'!P37+'[1]2020'!P37</f>
        <v>0</v>
      </c>
      <c r="Q33" s="46">
        <f>'[1]2018'!Q37+'[1]2019'!Q37+'[1]2020'!Q37</f>
        <v>0</v>
      </c>
      <c r="R33" s="46">
        <f>'[1]2018'!R37+'[1]2019'!R37+'[1]2020'!R37</f>
        <v>0</v>
      </c>
      <c r="S33" s="46">
        <f>'[1]2018'!S37+'[1]2019'!S37+'[1]2020'!S37</f>
        <v>0</v>
      </c>
      <c r="T33" s="46">
        <f>'[1]2018'!T37+'[1]2019'!T37+'[1]2020'!T37</f>
        <v>0</v>
      </c>
      <c r="U33" s="46">
        <f>'[1]2018'!U37+'[1]2019'!U37+'[1]2020'!U37</f>
        <v>0</v>
      </c>
      <c r="V33" s="46">
        <f>'[1]2018'!V37+'[1]2019'!V37+'[1]2020'!V37</f>
        <v>40</v>
      </c>
      <c r="W33" s="46">
        <f>'[1]2018'!W37+'[1]2019'!W37+'[1]2020'!W37</f>
        <v>6</v>
      </c>
      <c r="X33" s="46">
        <f>'[1]2018'!X37+'[1]2019'!X37+'[1]2020'!X37</f>
        <v>18</v>
      </c>
      <c r="Y33" s="41">
        <f t="shared" si="1"/>
        <v>64</v>
      </c>
      <c r="Z33" s="11">
        <f>'[1]2018'!Z37+'[1]2019'!Z37+'[1]2020'!Z37</f>
        <v>7</v>
      </c>
      <c r="AA33" s="11">
        <f>'[1]2018'!AA37+'[1]2019'!AA37+'[1]2020'!AA37</f>
        <v>3</v>
      </c>
      <c r="AB33" s="11">
        <f>'[1]2018'!AB37+'[1]2019'!AB37+'[1]2020'!AB37</f>
        <v>40</v>
      </c>
      <c r="AC33" s="11">
        <f>'[1]2018'!AC37+'[1]2019'!AC37+'[1]2020'!AC37</f>
        <v>18</v>
      </c>
      <c r="AD33" s="11">
        <f>'[1]2018'!AD37+'[1]2019'!AD37+'[1]2020'!AD37</f>
        <v>0</v>
      </c>
      <c r="AE33" s="11">
        <f>'[1]2018'!AE37+'[1]2019'!AE37+'[1]2020'!AE37</f>
        <v>0</v>
      </c>
      <c r="AF33" s="11">
        <f>'[1]2018'!AF37+'[1]2019'!AF37+'[1]2020'!AF37</f>
        <v>0</v>
      </c>
      <c r="AG33" s="11">
        <f>'[1]2018'!AG37+'[1]2019'!AG37+'[1]2020'!AG37</f>
        <v>0</v>
      </c>
      <c r="AH33" s="11">
        <f>'[1]2018'!AH37+'[1]2019'!AH37+'[1]2020'!AH37</f>
        <v>0</v>
      </c>
      <c r="AI33" s="11">
        <f>'[1]2018'!AI37+'[1]2019'!AI37+'[1]2020'!AI37</f>
        <v>0</v>
      </c>
      <c r="AJ33" s="11">
        <f>'[1]2018'!AJ37+'[1]2019'!AJ37+'[1]2020'!AJ37</f>
        <v>0</v>
      </c>
      <c r="AK33" s="11">
        <f>'[1]2018'!AK37+'[1]2019'!AK37+'[1]2020'!AK37</f>
        <v>0</v>
      </c>
      <c r="AL33" s="11">
        <f>'[1]2018'!AL37+'[1]2019'!AL37+'[1]2020'!AL37</f>
        <v>0</v>
      </c>
      <c r="AM33" s="11">
        <f>'[1]2018'!AM37+'[1]2019'!AM37+'[1]2020'!AM37</f>
        <v>0</v>
      </c>
      <c r="AN33" s="11">
        <f>'[1]2018'!AN37+'[1]2019'!AN37+'[1]2020'!AN37</f>
        <v>0</v>
      </c>
      <c r="AO33" s="11">
        <f>'[1]2018'!AO37+'[1]2019'!AO37+'[1]2020'!AO37</f>
        <v>0</v>
      </c>
      <c r="AP33" s="11">
        <f>'[1]2018'!AP37+'[1]2019'!AP37+'[1]2020'!AP37</f>
        <v>0</v>
      </c>
      <c r="AQ33" s="11">
        <f>'[1]2018'!AQ37+'[1]2019'!AQ37+'[1]2020'!AQ37</f>
        <v>0</v>
      </c>
      <c r="AR33" s="11">
        <f>'[1]2018'!AR37+'[1]2019'!AR37+'[1]2020'!AR37</f>
        <v>0</v>
      </c>
      <c r="AS33" s="11">
        <f>'[1]2018'!AS37+'[1]2019'!AS37+'[1]2020'!AS37</f>
        <v>0</v>
      </c>
      <c r="AT33" s="11">
        <f>'[1]2018'!AT37+'[1]2019'!AT37+'[1]2020'!AT37</f>
        <v>24</v>
      </c>
      <c r="AU33" s="11">
        <f>'[1]2018'!AU37+'[1]2019'!AU37+'[1]2020'!AU37</f>
        <v>0</v>
      </c>
      <c r="AV33" s="11">
        <f>'[1]2018'!AV37+'[1]2019'!AV37+'[1]2020'!AV37</f>
        <v>16</v>
      </c>
      <c r="AW33" s="41">
        <f t="shared" si="3"/>
        <v>40</v>
      </c>
      <c r="AX33" s="14">
        <f t="shared" si="4"/>
        <v>922.03222222222223</v>
      </c>
      <c r="AY33" s="2">
        <f>'[1]2018'!AX37+'[1]2019'!AX37+'[1]2020'!AX37</f>
        <v>2766.0966666666668</v>
      </c>
    </row>
    <row r="34" spans="1:136" x14ac:dyDescent="0.25">
      <c r="A34" s="10" t="s">
        <v>89</v>
      </c>
      <c r="B34" s="46">
        <f>'[1]2018'!B38+'[1]2019'!B38+'[1]2020'!B38</f>
        <v>10</v>
      </c>
      <c r="C34" s="46">
        <f>'[1]2018'!C38+'[1]2019'!C38+'[1]2020'!C38</f>
        <v>1</v>
      </c>
      <c r="D34" s="46">
        <f>'[1]2018'!D38+'[1]2019'!D38+'[1]2020'!D38</f>
        <v>65</v>
      </c>
      <c r="E34" s="46">
        <f>'[1]2018'!E38+'[1]2019'!E38+'[1]2020'!E38</f>
        <v>1</v>
      </c>
      <c r="F34" s="46">
        <f>'[1]2018'!F38+'[1]2019'!F38+'[1]2020'!F38</f>
        <v>0</v>
      </c>
      <c r="G34" s="46">
        <f>'[1]2018'!G38+'[1]2019'!G38+'[1]2020'!G38</f>
        <v>0</v>
      </c>
      <c r="H34" s="46">
        <f>'[1]2018'!H38+'[1]2019'!H38+'[1]2020'!H38</f>
        <v>0</v>
      </c>
      <c r="I34" s="46">
        <f>'[1]2018'!I38+'[1]2019'!I38+'[1]2020'!I38</f>
        <v>0</v>
      </c>
      <c r="J34" s="46">
        <f>'[1]2018'!J38+'[1]2019'!J38+'[1]2020'!J38</f>
        <v>0</v>
      </c>
      <c r="K34" s="46">
        <f>'[1]2018'!K38+'[1]2019'!K38+'[1]2020'!K38</f>
        <v>6</v>
      </c>
      <c r="L34" s="46">
        <f>'[1]2018'!L38+'[1]2019'!L38+'[1]2020'!L38</f>
        <v>2</v>
      </c>
      <c r="M34" s="46">
        <f>'[1]2018'!M38+'[1]2019'!M38+'[1]2020'!M38</f>
        <v>0</v>
      </c>
      <c r="N34" s="46">
        <f>'[1]2018'!N38+'[1]2019'!N38+'[1]2020'!N38</f>
        <v>0</v>
      </c>
      <c r="O34" s="46">
        <f>'[1]2018'!O38+'[1]2019'!O38+'[1]2020'!O38</f>
        <v>0</v>
      </c>
      <c r="P34" s="46">
        <f>'[1]2018'!P38+'[1]2019'!P38+'[1]2020'!P38</f>
        <v>0</v>
      </c>
      <c r="Q34" s="46">
        <f>'[1]2018'!Q38+'[1]2019'!Q38+'[1]2020'!Q38</f>
        <v>0</v>
      </c>
      <c r="R34" s="46">
        <f>'[1]2018'!R38+'[1]2019'!R38+'[1]2020'!R38</f>
        <v>0</v>
      </c>
      <c r="S34" s="46">
        <f>'[1]2018'!S38+'[1]2019'!S38+'[1]2020'!S38</f>
        <v>0</v>
      </c>
      <c r="T34" s="46">
        <f>'[1]2018'!T38+'[1]2019'!T38+'[1]2020'!T38</f>
        <v>0</v>
      </c>
      <c r="U34" s="46">
        <f>'[1]2018'!U38+'[1]2019'!U38+'[1]2020'!U38</f>
        <v>0</v>
      </c>
      <c r="V34" s="46">
        <f>'[1]2018'!V38+'[1]2019'!V38+'[1]2020'!V38</f>
        <v>54</v>
      </c>
      <c r="W34" s="46">
        <f>'[1]2018'!W38+'[1]2019'!W38+'[1]2020'!W38</f>
        <v>0</v>
      </c>
      <c r="X34" s="46">
        <f>'[1]2018'!X38+'[1]2019'!X38+'[1]2020'!X38</f>
        <v>3</v>
      </c>
      <c r="Y34" s="41">
        <f t="shared" si="1"/>
        <v>65</v>
      </c>
      <c r="Z34" s="11">
        <f>'[1]2018'!Z38+'[1]2019'!Z38+'[1]2020'!Z38</f>
        <v>6</v>
      </c>
      <c r="AA34" s="11">
        <f>'[1]2018'!AA38+'[1]2019'!AA38+'[1]2020'!AA38</f>
        <v>0</v>
      </c>
      <c r="AB34" s="11">
        <f>'[1]2018'!AB38+'[1]2019'!AB38+'[1]2020'!AB38</f>
        <v>44</v>
      </c>
      <c r="AC34" s="11">
        <f>'[1]2018'!AC38+'[1]2019'!AC38+'[1]2020'!AC38</f>
        <v>0</v>
      </c>
      <c r="AD34" s="11">
        <f>'[1]2018'!AD38+'[1]2019'!AD38+'[1]2020'!AD38</f>
        <v>0</v>
      </c>
      <c r="AE34" s="11">
        <f>'[1]2018'!AE38+'[1]2019'!AE38+'[1]2020'!AE38</f>
        <v>0</v>
      </c>
      <c r="AF34" s="11">
        <f>'[1]2018'!AF38+'[1]2019'!AF38+'[1]2020'!AF38</f>
        <v>0</v>
      </c>
      <c r="AG34" s="11">
        <f>'[1]2018'!AG38+'[1]2019'!AG38+'[1]2020'!AG38</f>
        <v>0</v>
      </c>
      <c r="AH34" s="11">
        <f>'[1]2018'!AH38+'[1]2019'!AH38+'[1]2020'!AH38</f>
        <v>0</v>
      </c>
      <c r="AI34" s="11">
        <f>'[1]2018'!AI38+'[1]2019'!AI38+'[1]2020'!AI38</f>
        <v>6</v>
      </c>
      <c r="AJ34" s="11">
        <f>'[1]2018'!AJ38+'[1]2019'!AJ38+'[1]2020'!AJ38</f>
        <v>2</v>
      </c>
      <c r="AK34" s="11">
        <f>'[1]2018'!AK38+'[1]2019'!AK38+'[1]2020'!AK38</f>
        <v>0</v>
      </c>
      <c r="AL34" s="11">
        <f>'[1]2018'!AL38+'[1]2019'!AL38+'[1]2020'!AL38</f>
        <v>0</v>
      </c>
      <c r="AM34" s="11">
        <f>'[1]2018'!AM38+'[1]2019'!AM38+'[1]2020'!AM38</f>
        <v>0</v>
      </c>
      <c r="AN34" s="11">
        <f>'[1]2018'!AN38+'[1]2019'!AN38+'[1]2020'!AN38</f>
        <v>0</v>
      </c>
      <c r="AO34" s="11">
        <f>'[1]2018'!AO38+'[1]2019'!AO38+'[1]2020'!AO38</f>
        <v>0</v>
      </c>
      <c r="AP34" s="11">
        <f>'[1]2018'!AP38+'[1]2019'!AP38+'[1]2020'!AP38</f>
        <v>0</v>
      </c>
      <c r="AQ34" s="11">
        <f>'[1]2018'!AQ38+'[1]2019'!AQ38+'[1]2020'!AQ38</f>
        <v>0</v>
      </c>
      <c r="AR34" s="11">
        <f>'[1]2018'!AR38+'[1]2019'!AR38+'[1]2020'!AR38</f>
        <v>0</v>
      </c>
      <c r="AS34" s="11">
        <f>'[1]2018'!AS38+'[1]2019'!AS38+'[1]2020'!AS38</f>
        <v>0</v>
      </c>
      <c r="AT34" s="11">
        <f>'[1]2018'!AT38+'[1]2019'!AT38+'[1]2020'!AT38</f>
        <v>36</v>
      </c>
      <c r="AU34" s="11">
        <f>'[1]2018'!AU38+'[1]2019'!AU38+'[1]2020'!AU38</f>
        <v>0</v>
      </c>
      <c r="AV34" s="11">
        <f>'[1]2018'!AV38+'[1]2019'!AV38+'[1]2020'!AV38</f>
        <v>0</v>
      </c>
      <c r="AW34" s="41">
        <f t="shared" si="3"/>
        <v>44</v>
      </c>
      <c r="AX34" s="14">
        <f t="shared" si="4"/>
        <v>1358.711111111111</v>
      </c>
      <c r="AY34" s="2">
        <f>'[1]2018'!AX38+'[1]2019'!AX38+'[1]2020'!AX38</f>
        <v>4076.1333333333332</v>
      </c>
    </row>
    <row r="35" spans="1:136" x14ac:dyDescent="0.25">
      <c r="A35" s="10" t="s">
        <v>90</v>
      </c>
      <c r="B35" s="46">
        <f>'[1]2018'!B40+'[1]2019'!B40+'[1]2020'!B40</f>
        <v>223</v>
      </c>
      <c r="C35" s="46">
        <f>'[1]2018'!C40+'[1]2019'!C40+'[1]2020'!C40</f>
        <v>96</v>
      </c>
      <c r="D35" s="46">
        <f>'[1]2018'!D40+'[1]2019'!D40+'[1]2020'!D40</f>
        <v>760</v>
      </c>
      <c r="E35" s="46">
        <f>'[1]2018'!E40+'[1]2019'!E40+'[1]2020'!E40</f>
        <v>542</v>
      </c>
      <c r="F35" s="46">
        <f>'[1]2018'!F40+'[1]2019'!F40+'[1]2020'!F40</f>
        <v>0</v>
      </c>
      <c r="G35" s="46">
        <f>'[1]2018'!G40+'[1]2019'!G40+'[1]2020'!G40</f>
        <v>0</v>
      </c>
      <c r="H35" s="46">
        <f>'[1]2018'!H40+'[1]2019'!H40+'[1]2020'!H40</f>
        <v>0</v>
      </c>
      <c r="I35" s="46">
        <f>'[1]2018'!I40+'[1]2019'!I40+'[1]2020'!I40</f>
        <v>0</v>
      </c>
      <c r="J35" s="46">
        <f>'[1]2018'!J40+'[1]2019'!J40+'[1]2020'!J40</f>
        <v>0</v>
      </c>
      <c r="K35" s="46">
        <f>'[1]2018'!K40+'[1]2019'!K40+'[1]2020'!K40</f>
        <v>0</v>
      </c>
      <c r="L35" s="46">
        <f>'[1]2018'!L40+'[1]2019'!L40+'[1]2020'!L40</f>
        <v>1</v>
      </c>
      <c r="M35" s="46">
        <f>'[1]2018'!M40+'[1]2019'!M40+'[1]2020'!M40</f>
        <v>0</v>
      </c>
      <c r="N35" s="46">
        <f>'[1]2018'!N40+'[1]2019'!N40+'[1]2020'!N40</f>
        <v>0</v>
      </c>
      <c r="O35" s="46">
        <f>'[1]2018'!O40+'[1]2019'!O40+'[1]2020'!O40</f>
        <v>0</v>
      </c>
      <c r="P35" s="46">
        <f>'[1]2018'!P40+'[1]2019'!P40+'[1]2020'!P40</f>
        <v>0</v>
      </c>
      <c r="Q35" s="46">
        <f>'[1]2018'!Q40+'[1]2019'!Q40+'[1]2020'!Q40</f>
        <v>0</v>
      </c>
      <c r="R35" s="46">
        <f>'[1]2018'!R40+'[1]2019'!R40+'[1]2020'!R40</f>
        <v>2</v>
      </c>
      <c r="S35" s="46">
        <f>'[1]2018'!S40+'[1]2019'!S40+'[1]2020'!S40</f>
        <v>0</v>
      </c>
      <c r="T35" s="46">
        <f>'[1]2018'!T40+'[1]2019'!T40+'[1]2020'!T40</f>
        <v>0</v>
      </c>
      <c r="U35" s="46">
        <f>'[1]2018'!U40+'[1]2019'!U40+'[1]2020'!U40</f>
        <v>0</v>
      </c>
      <c r="V35" s="46">
        <f>'[1]2018'!V40+'[1]2019'!V40+'[1]2020'!V40</f>
        <v>756</v>
      </c>
      <c r="W35" s="46">
        <f>'[1]2018'!W40+'[1]2019'!W40+'[1]2020'!W40</f>
        <v>0</v>
      </c>
      <c r="X35" s="46">
        <f>'[1]2018'!X40+'[1]2019'!X40+'[1]2020'!X40</f>
        <v>1</v>
      </c>
      <c r="Y35" s="41">
        <f t="shared" si="1"/>
        <v>760</v>
      </c>
      <c r="Z35" s="11">
        <f>'[1]2018'!Z40+'[1]2019'!Z40+'[1]2020'!Z40</f>
        <v>203</v>
      </c>
      <c r="AA35" s="11">
        <f>'[1]2018'!AA40+'[1]2019'!AA40+'[1]2020'!AA40</f>
        <v>67</v>
      </c>
      <c r="AB35" s="11">
        <f>'[1]2018'!AB40+'[1]2019'!AB40+'[1]2020'!AB40</f>
        <v>677</v>
      </c>
      <c r="AC35" s="11">
        <f>'[1]2018'!AC40+'[1]2019'!AC40+'[1]2020'!AC40</f>
        <v>531</v>
      </c>
      <c r="AD35" s="11">
        <f>'[1]2018'!AD40+'[1]2019'!AD40+'[1]2020'!AD40</f>
        <v>0</v>
      </c>
      <c r="AE35" s="11">
        <f>'[1]2018'!AE40+'[1]2019'!AE40+'[1]2020'!AE40</f>
        <v>0</v>
      </c>
      <c r="AF35" s="11">
        <f>'[1]2018'!AF40+'[1]2019'!AF40+'[1]2020'!AF40</f>
        <v>0</v>
      </c>
      <c r="AG35" s="11">
        <f>'[1]2018'!AG40+'[1]2019'!AG40+'[1]2020'!AG40</f>
        <v>0</v>
      </c>
      <c r="AH35" s="11">
        <f>'[1]2018'!AH40+'[1]2019'!AH40+'[1]2020'!AH40</f>
        <v>0</v>
      </c>
      <c r="AI35" s="11">
        <f>'[1]2018'!AI40+'[1]2019'!AI40+'[1]2020'!AI40</f>
        <v>0</v>
      </c>
      <c r="AJ35" s="11">
        <f>'[1]2018'!AJ40+'[1]2019'!AJ40+'[1]2020'!AJ40</f>
        <v>1</v>
      </c>
      <c r="AK35" s="11">
        <f>'[1]2018'!AK40+'[1]2019'!AK40+'[1]2020'!AK40</f>
        <v>0</v>
      </c>
      <c r="AL35" s="11">
        <f>'[1]2018'!AL40+'[1]2019'!AL40+'[1]2020'!AL40</f>
        <v>0</v>
      </c>
      <c r="AM35" s="11">
        <f>'[1]2018'!AM40+'[1]2019'!AM40+'[1]2020'!AM40</f>
        <v>0</v>
      </c>
      <c r="AN35" s="11">
        <f>'[1]2018'!AN40+'[1]2019'!AN40+'[1]2020'!AN40</f>
        <v>0</v>
      </c>
      <c r="AO35" s="11">
        <f>'[1]2018'!AO40+'[1]2019'!AO40+'[1]2020'!AO40</f>
        <v>0</v>
      </c>
      <c r="AP35" s="11">
        <f>'[1]2018'!AP40+'[1]2019'!AP40+'[1]2020'!AP40</f>
        <v>0</v>
      </c>
      <c r="AQ35" s="11">
        <f>'[1]2018'!AQ40+'[1]2019'!AQ40+'[1]2020'!AQ40</f>
        <v>0</v>
      </c>
      <c r="AR35" s="11">
        <f>'[1]2018'!AR40+'[1]2019'!AR40+'[1]2020'!AR40</f>
        <v>0</v>
      </c>
      <c r="AS35" s="11">
        <f>'[1]2018'!AS40+'[1]2019'!AS40+'[1]2020'!AS40</f>
        <v>0</v>
      </c>
      <c r="AT35" s="11">
        <f>'[1]2018'!AT40+'[1]2019'!AT40+'[1]2020'!AT40</f>
        <v>676</v>
      </c>
      <c r="AU35" s="11">
        <f>'[1]2018'!AU40+'[1]2019'!AU40+'[1]2020'!AU40</f>
        <v>0</v>
      </c>
      <c r="AV35" s="11">
        <f>'[1]2018'!AV40+'[1]2019'!AV40+'[1]2020'!AV40</f>
        <v>0</v>
      </c>
      <c r="AW35" s="41">
        <f t="shared" si="3"/>
        <v>677</v>
      </c>
      <c r="AX35" s="14">
        <f t="shared" si="4"/>
        <v>3039.1521777777775</v>
      </c>
      <c r="AY35" s="2">
        <f>'[1]2018'!AX40+'[1]2019'!AX40+'[1]2020'!AX40</f>
        <v>9117.4565333333321</v>
      </c>
    </row>
    <row r="36" spans="1:136" x14ac:dyDescent="0.25">
      <c r="A36" s="10" t="s">
        <v>91</v>
      </c>
      <c r="B36" s="46">
        <f>'[1]2018'!B41+'[1]2019'!B41+'[1]2020'!B41</f>
        <v>72</v>
      </c>
      <c r="C36" s="46">
        <f>'[1]2018'!C41+'[1]2019'!C41+'[1]2020'!C41</f>
        <v>0</v>
      </c>
      <c r="D36" s="46">
        <f>'[1]2018'!D41+'[1]2019'!D41+'[1]2020'!D41</f>
        <v>141</v>
      </c>
      <c r="E36" s="46">
        <f>'[1]2018'!E41+'[1]2019'!E41+'[1]2020'!E41</f>
        <v>0</v>
      </c>
      <c r="F36" s="46">
        <f>'[1]2018'!F41+'[1]2019'!F41+'[1]2020'!F41</f>
        <v>0</v>
      </c>
      <c r="G36" s="46">
        <f>'[1]2018'!G41+'[1]2019'!G41+'[1]2020'!G41</f>
        <v>0</v>
      </c>
      <c r="H36" s="46">
        <f>'[1]2018'!H41+'[1]2019'!H41+'[1]2020'!H41</f>
        <v>18</v>
      </c>
      <c r="I36" s="46">
        <f>'[1]2018'!I41+'[1]2019'!I41+'[1]2020'!I41</f>
        <v>0</v>
      </c>
      <c r="J36" s="46">
        <f>'[1]2018'!J41+'[1]2019'!J41+'[1]2020'!J41</f>
        <v>0</v>
      </c>
      <c r="K36" s="46">
        <f>'[1]2018'!K41+'[1]2019'!K41+'[1]2020'!K41</f>
        <v>0</v>
      </c>
      <c r="L36" s="46">
        <f>'[1]2018'!L41+'[1]2019'!L41+'[1]2020'!L41</f>
        <v>0</v>
      </c>
      <c r="M36" s="46">
        <f>'[1]2018'!M41+'[1]2019'!M41+'[1]2020'!M41</f>
        <v>0</v>
      </c>
      <c r="N36" s="46">
        <f>'[1]2018'!N41+'[1]2019'!N41+'[1]2020'!N41</f>
        <v>0</v>
      </c>
      <c r="O36" s="46">
        <f>'[1]2018'!O41+'[1]2019'!O41+'[1]2020'!O41</f>
        <v>0</v>
      </c>
      <c r="P36" s="46">
        <f>'[1]2018'!P41+'[1]2019'!P41+'[1]2020'!P41</f>
        <v>0</v>
      </c>
      <c r="Q36" s="46">
        <f>'[1]2018'!Q41+'[1]2019'!Q41+'[1]2020'!Q41</f>
        <v>0</v>
      </c>
      <c r="R36" s="46">
        <f>'[1]2018'!R41+'[1]2019'!R41+'[1]2020'!R41</f>
        <v>0</v>
      </c>
      <c r="S36" s="46">
        <f>'[1]2018'!S41+'[1]2019'!S41+'[1]2020'!S41</f>
        <v>0</v>
      </c>
      <c r="T36" s="46">
        <f>'[1]2018'!T41+'[1]2019'!T41+'[1]2020'!T41</f>
        <v>0</v>
      </c>
      <c r="U36" s="46">
        <f>'[1]2018'!U41+'[1]2019'!U41+'[1]2020'!U41</f>
        <v>0</v>
      </c>
      <c r="V36" s="46">
        <f>'[1]2018'!V41+'[1]2019'!V41+'[1]2020'!V41</f>
        <v>119</v>
      </c>
      <c r="W36" s="46">
        <f>'[1]2018'!W41+'[1]2019'!W41+'[1]2020'!W41</f>
        <v>4</v>
      </c>
      <c r="X36" s="46">
        <f>'[1]2018'!X41+'[1]2019'!X41+'[1]2020'!X41</f>
        <v>0</v>
      </c>
      <c r="Y36" s="41">
        <f t="shared" si="1"/>
        <v>141</v>
      </c>
      <c r="Z36" s="11">
        <f>'[1]2018'!Z41+'[1]2019'!Z41+'[1]2020'!Z41</f>
        <v>74</v>
      </c>
      <c r="AA36" s="11">
        <f>'[1]2018'!AA41+'[1]2019'!AA41+'[1]2020'!AA41</f>
        <v>0</v>
      </c>
      <c r="AB36" s="11">
        <f>'[1]2018'!AB41+'[1]2019'!AB41+'[1]2020'!AB41</f>
        <v>96</v>
      </c>
      <c r="AC36" s="11">
        <f>'[1]2018'!AC41+'[1]2019'!AC41+'[1]2020'!AC41</f>
        <v>0</v>
      </c>
      <c r="AD36" s="11">
        <f>'[1]2018'!AD41+'[1]2019'!AD41+'[1]2020'!AD41</f>
        <v>0</v>
      </c>
      <c r="AE36" s="11">
        <f>'[1]2018'!AE41+'[1]2019'!AE41+'[1]2020'!AE41</f>
        <v>0</v>
      </c>
      <c r="AF36" s="11">
        <f>'[1]2018'!AF41+'[1]2019'!AF41+'[1]2020'!AF41</f>
        <v>15</v>
      </c>
      <c r="AG36" s="11">
        <f>'[1]2018'!AG41+'[1]2019'!AG41+'[1]2020'!AG41</f>
        <v>0</v>
      </c>
      <c r="AH36" s="11">
        <f>'[1]2018'!AH41+'[1]2019'!AH41+'[1]2020'!AH41</f>
        <v>0</v>
      </c>
      <c r="AI36" s="11">
        <f>'[1]2018'!AI41+'[1]2019'!AI41+'[1]2020'!AI41</f>
        <v>0</v>
      </c>
      <c r="AJ36" s="11">
        <f>'[1]2018'!AJ41+'[1]2019'!AJ41+'[1]2020'!AJ41</f>
        <v>0</v>
      </c>
      <c r="AK36" s="11">
        <f>'[1]2018'!AK41+'[1]2019'!AK41+'[1]2020'!AK41</f>
        <v>0</v>
      </c>
      <c r="AL36" s="11">
        <f>'[1]2018'!AL41+'[1]2019'!AL41+'[1]2020'!AL41</f>
        <v>0</v>
      </c>
      <c r="AM36" s="11">
        <f>'[1]2018'!AM41+'[1]2019'!AM41+'[1]2020'!AM41</f>
        <v>0</v>
      </c>
      <c r="AN36" s="11">
        <f>'[1]2018'!AN41+'[1]2019'!AN41+'[1]2020'!AN41</f>
        <v>0</v>
      </c>
      <c r="AO36" s="11">
        <f>'[1]2018'!AO41+'[1]2019'!AO41+'[1]2020'!AO41</f>
        <v>0</v>
      </c>
      <c r="AP36" s="11">
        <f>'[1]2018'!AP41+'[1]2019'!AP41+'[1]2020'!AP41</f>
        <v>0</v>
      </c>
      <c r="AQ36" s="11">
        <f>'[1]2018'!AQ41+'[1]2019'!AQ41+'[1]2020'!AQ41</f>
        <v>0</v>
      </c>
      <c r="AR36" s="11">
        <f>'[1]2018'!AR41+'[1]2019'!AR41+'[1]2020'!AR41</f>
        <v>0</v>
      </c>
      <c r="AS36" s="11">
        <f>'[1]2018'!AS41+'[1]2019'!AS41+'[1]2020'!AS41</f>
        <v>0</v>
      </c>
      <c r="AT36" s="11">
        <f>'[1]2018'!AT41+'[1]2019'!AT41+'[1]2020'!AT41</f>
        <v>77</v>
      </c>
      <c r="AU36" s="11">
        <f>'[1]2018'!AU41+'[1]2019'!AU41+'[1]2020'!AU41</f>
        <v>4</v>
      </c>
      <c r="AV36" s="11">
        <f>'[1]2018'!AV41+'[1]2019'!AV41+'[1]2020'!AV41</f>
        <v>0</v>
      </c>
      <c r="AW36" s="41">
        <f t="shared" si="3"/>
        <v>96</v>
      </c>
      <c r="AX36" s="14">
        <f t="shared" si="4"/>
        <v>6213.041666666667</v>
      </c>
      <c r="AY36" s="2">
        <f>'[1]2018'!AX41+'[1]2019'!AX41+'[1]2020'!AX41</f>
        <v>18639.125</v>
      </c>
    </row>
    <row r="37" spans="1:136" s="45" customFormat="1" x14ac:dyDescent="0.25">
      <c r="A37" s="10" t="s">
        <v>145</v>
      </c>
      <c r="B37" s="46">
        <f>'[1]2018'!B42+'[1]2019'!B42+'[1]2020'!B42</f>
        <v>5</v>
      </c>
      <c r="C37" s="46">
        <f>'[1]2018'!C42+'[1]2019'!C42+'[1]2020'!C42</f>
        <v>2</v>
      </c>
      <c r="D37" s="46">
        <f>'[1]2018'!D42+'[1]2019'!D42+'[1]2020'!D42</f>
        <v>76</v>
      </c>
      <c r="E37" s="46">
        <f>'[1]2018'!E42+'[1]2019'!E42+'[1]2020'!E42</f>
        <v>19</v>
      </c>
      <c r="F37" s="46">
        <f>'[1]2018'!F42+'[1]2019'!F42+'[1]2020'!F42</f>
        <v>0</v>
      </c>
      <c r="G37" s="46">
        <f>'[1]2018'!G42+'[1]2019'!G42+'[1]2020'!G42</f>
        <v>0</v>
      </c>
      <c r="H37" s="46">
        <f>'[1]2018'!H42+'[1]2019'!H42+'[1]2020'!H42</f>
        <v>23</v>
      </c>
      <c r="I37" s="46">
        <f>'[1]2018'!I42+'[1]2019'!I42+'[1]2020'!I42</f>
        <v>0</v>
      </c>
      <c r="J37" s="46">
        <f>'[1]2018'!J42+'[1]2019'!J42+'[1]2020'!J42</f>
        <v>0</v>
      </c>
      <c r="K37" s="46">
        <f>'[1]2018'!K42+'[1]2019'!K42+'[1]2020'!K42</f>
        <v>0</v>
      </c>
      <c r="L37" s="46">
        <f>'[1]2018'!L42+'[1]2019'!L42+'[1]2020'!L42</f>
        <v>0</v>
      </c>
      <c r="M37" s="46">
        <f>'[1]2018'!M42+'[1]2019'!M42+'[1]2020'!M42</f>
        <v>0</v>
      </c>
      <c r="N37" s="46">
        <f>'[1]2018'!N42+'[1]2019'!N42+'[1]2020'!N42</f>
        <v>0</v>
      </c>
      <c r="O37" s="46">
        <f>'[1]2018'!O42+'[1]2019'!O42+'[1]2020'!O42</f>
        <v>0</v>
      </c>
      <c r="P37" s="46">
        <f>'[1]2018'!P42+'[1]2019'!P42+'[1]2020'!P42</f>
        <v>0</v>
      </c>
      <c r="Q37" s="46">
        <f>'[1]2018'!Q42+'[1]2019'!Q42+'[1]2020'!Q42</f>
        <v>0</v>
      </c>
      <c r="R37" s="46">
        <f>'[1]2018'!R42+'[1]2019'!R42+'[1]2020'!R42</f>
        <v>0</v>
      </c>
      <c r="S37" s="46">
        <f>'[1]2018'!S42+'[1]2019'!S42+'[1]2020'!S42</f>
        <v>0</v>
      </c>
      <c r="T37" s="46">
        <f>'[1]2018'!T42+'[1]2019'!T42+'[1]2020'!T42</f>
        <v>0</v>
      </c>
      <c r="U37" s="46">
        <f>'[1]2018'!U42+'[1]2019'!U42+'[1]2020'!U42</f>
        <v>0</v>
      </c>
      <c r="V37" s="46">
        <f>'[1]2018'!V42+'[1]2019'!V42+'[1]2020'!V42</f>
        <v>53</v>
      </c>
      <c r="W37" s="46">
        <f>'[1]2018'!W42+'[1]2019'!W42+'[1]2020'!W42</f>
        <v>0</v>
      </c>
      <c r="X37" s="46">
        <f>'[1]2018'!X42+'[1]2019'!X42+'[1]2020'!X42</f>
        <v>0</v>
      </c>
      <c r="Y37" s="41">
        <f t="shared" si="1"/>
        <v>76</v>
      </c>
      <c r="Z37" s="11">
        <f>'[1]2018'!Z42+'[1]2019'!Z42+'[1]2020'!Z42</f>
        <v>3</v>
      </c>
      <c r="AA37" s="11">
        <f>'[1]2018'!AA42+'[1]2019'!AA42+'[1]2020'!AA42</f>
        <v>2</v>
      </c>
      <c r="AB37" s="11">
        <f>'[1]2018'!AB42+'[1]2019'!AB42+'[1]2020'!AB42</f>
        <v>53</v>
      </c>
      <c r="AC37" s="11">
        <f>'[1]2018'!AC42+'[1]2019'!AC42+'[1]2020'!AC42</f>
        <v>19</v>
      </c>
      <c r="AD37" s="11">
        <f>'[1]2018'!AD42+'[1]2019'!AD42+'[1]2020'!AD42</f>
        <v>0</v>
      </c>
      <c r="AE37" s="11">
        <f>'[1]2018'!AE42+'[1]2019'!AE42+'[1]2020'!AE42</f>
        <v>0</v>
      </c>
      <c r="AF37" s="11">
        <f>'[1]2018'!AF42+'[1]2019'!AF42+'[1]2020'!AF42</f>
        <v>0</v>
      </c>
      <c r="AG37" s="11">
        <f>'[1]2018'!AG42+'[1]2019'!AG42+'[1]2020'!AG42</f>
        <v>0</v>
      </c>
      <c r="AH37" s="11">
        <f>'[1]2018'!AH42+'[1]2019'!AH42+'[1]2020'!AH42</f>
        <v>0</v>
      </c>
      <c r="AI37" s="11">
        <f>'[1]2018'!AI42+'[1]2019'!AI42+'[1]2020'!AI42</f>
        <v>0</v>
      </c>
      <c r="AJ37" s="11">
        <f>'[1]2018'!AJ42+'[1]2019'!AJ42+'[1]2020'!AJ42</f>
        <v>0</v>
      </c>
      <c r="AK37" s="11">
        <f>'[1]2018'!AK42+'[1]2019'!AK42+'[1]2020'!AK42</f>
        <v>0</v>
      </c>
      <c r="AL37" s="11">
        <f>'[1]2018'!AL42+'[1]2019'!AL42+'[1]2020'!AL42</f>
        <v>0</v>
      </c>
      <c r="AM37" s="11">
        <f>'[1]2018'!AM42+'[1]2019'!AM42+'[1]2020'!AM42</f>
        <v>0</v>
      </c>
      <c r="AN37" s="11">
        <f>'[1]2018'!AN42+'[1]2019'!AN42+'[1]2020'!AN42</f>
        <v>0</v>
      </c>
      <c r="AO37" s="11">
        <f>'[1]2018'!AO42+'[1]2019'!AO42+'[1]2020'!AO42</f>
        <v>0</v>
      </c>
      <c r="AP37" s="11">
        <f>'[1]2018'!AP42+'[1]2019'!AP42+'[1]2020'!AP42</f>
        <v>0</v>
      </c>
      <c r="AQ37" s="11">
        <f>'[1]2018'!AQ42+'[1]2019'!AQ42+'[1]2020'!AQ42</f>
        <v>0</v>
      </c>
      <c r="AR37" s="11">
        <f>'[1]2018'!AR42+'[1]2019'!AR42+'[1]2020'!AR42</f>
        <v>0</v>
      </c>
      <c r="AS37" s="11">
        <f>'[1]2018'!AS42+'[1]2019'!AS42+'[1]2020'!AS42</f>
        <v>0</v>
      </c>
      <c r="AT37" s="11">
        <f>'[1]2018'!AT42+'[1]2019'!AT42+'[1]2020'!AT42</f>
        <v>53</v>
      </c>
      <c r="AU37" s="11">
        <f>'[1]2018'!AU42+'[1]2019'!AU42+'[1]2020'!AU42</f>
        <v>0</v>
      </c>
      <c r="AV37" s="11">
        <f>'[1]2018'!AV42+'[1]2019'!AV42+'[1]2020'!AV42</f>
        <v>0</v>
      </c>
      <c r="AW37" s="41">
        <f t="shared" si="3"/>
        <v>53</v>
      </c>
      <c r="AX37" s="14">
        <f t="shared" si="4"/>
        <v>27.516666666666666</v>
      </c>
      <c r="AY37" s="2">
        <f>'[1]2018'!AX42+'[1]2019'!AX42+'[1]2020'!AX42</f>
        <v>82.55</v>
      </c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</row>
    <row r="38" spans="1:136" x14ac:dyDescent="0.25">
      <c r="A38" s="10" t="s">
        <v>144</v>
      </c>
      <c r="B38" s="46">
        <f>'[1]2018'!B43+'[1]2019'!B43+'[1]2020'!B43</f>
        <v>5</v>
      </c>
      <c r="C38" s="46">
        <f>'[1]2018'!C43+'[1]2019'!C43+'[1]2020'!C43</f>
        <v>0</v>
      </c>
      <c r="D38" s="46">
        <f>'[1]2018'!D43+'[1]2019'!D43+'[1]2020'!D43</f>
        <v>5</v>
      </c>
      <c r="E38" s="46">
        <f>'[1]2018'!E43+'[1]2019'!E43+'[1]2020'!E43</f>
        <v>0</v>
      </c>
      <c r="F38" s="46">
        <f>'[1]2018'!F43+'[1]2019'!F43+'[1]2020'!F43</f>
        <v>0</v>
      </c>
      <c r="G38" s="46">
        <f>'[1]2018'!G43+'[1]2019'!G43+'[1]2020'!G43</f>
        <v>0</v>
      </c>
      <c r="H38" s="46">
        <f>'[1]2018'!H43+'[1]2019'!H43+'[1]2020'!H43</f>
        <v>0</v>
      </c>
      <c r="I38" s="46">
        <f>'[1]2018'!I43+'[1]2019'!I43+'[1]2020'!I43</f>
        <v>0</v>
      </c>
      <c r="J38" s="46">
        <f>'[1]2018'!J43+'[1]2019'!J43+'[1]2020'!J43</f>
        <v>0</v>
      </c>
      <c r="K38" s="46">
        <f>'[1]2018'!K43+'[1]2019'!K43+'[1]2020'!K43</f>
        <v>0</v>
      </c>
      <c r="L38" s="46">
        <f>'[1]2018'!L43+'[1]2019'!L43+'[1]2020'!L43</f>
        <v>0</v>
      </c>
      <c r="M38" s="46">
        <f>'[1]2018'!M43+'[1]2019'!M43+'[1]2020'!M43</f>
        <v>0</v>
      </c>
      <c r="N38" s="46">
        <f>'[1]2018'!N43+'[1]2019'!N43+'[1]2020'!N43</f>
        <v>0</v>
      </c>
      <c r="O38" s="46">
        <f>'[1]2018'!O43+'[1]2019'!O43+'[1]2020'!O43</f>
        <v>0</v>
      </c>
      <c r="P38" s="46">
        <f>'[1]2018'!P43+'[1]2019'!P43+'[1]2020'!P43</f>
        <v>0</v>
      </c>
      <c r="Q38" s="46">
        <f>'[1]2018'!Q43+'[1]2019'!Q43+'[1]2020'!Q43</f>
        <v>0</v>
      </c>
      <c r="R38" s="46">
        <f>'[1]2018'!R43+'[1]2019'!R43+'[1]2020'!R43</f>
        <v>0</v>
      </c>
      <c r="S38" s="46">
        <f>'[1]2018'!S43+'[1]2019'!S43+'[1]2020'!S43</f>
        <v>0</v>
      </c>
      <c r="T38" s="46">
        <f>'[1]2018'!T43+'[1]2019'!T43+'[1]2020'!T43</f>
        <v>0</v>
      </c>
      <c r="U38" s="46">
        <f>'[1]2018'!U43+'[1]2019'!U43+'[1]2020'!U43</f>
        <v>0</v>
      </c>
      <c r="V38" s="46">
        <f>'[1]2018'!V43+'[1]2019'!V43+'[1]2020'!V43</f>
        <v>5</v>
      </c>
      <c r="W38" s="46">
        <f>'[1]2018'!W43+'[1]2019'!W43+'[1]2020'!W43</f>
        <v>0</v>
      </c>
      <c r="X38" s="46">
        <f>'[1]2018'!X43+'[1]2019'!X43+'[1]2020'!X43</f>
        <v>0</v>
      </c>
      <c r="Y38" s="41">
        <f t="shared" si="1"/>
        <v>5</v>
      </c>
      <c r="Z38" s="11">
        <f>'[1]2018'!Z43+'[1]2019'!Z43+'[1]2020'!Z43</f>
        <v>1</v>
      </c>
      <c r="AA38" s="11">
        <f>'[1]2018'!AA43+'[1]2019'!AA43+'[1]2020'!AA43</f>
        <v>0</v>
      </c>
      <c r="AB38" s="11">
        <f>'[1]2018'!AB43+'[1]2019'!AB43+'[1]2020'!AB43</f>
        <v>1</v>
      </c>
      <c r="AC38" s="11">
        <f>'[1]2018'!AC43+'[1]2019'!AC43+'[1]2020'!AC43</f>
        <v>0</v>
      </c>
      <c r="AD38" s="11">
        <f>'[1]2018'!AD43+'[1]2019'!AD43+'[1]2020'!AD43</f>
        <v>0</v>
      </c>
      <c r="AE38" s="11">
        <f>'[1]2018'!AE43+'[1]2019'!AE43+'[1]2020'!AE43</f>
        <v>0</v>
      </c>
      <c r="AF38" s="11">
        <f>'[1]2018'!AF43+'[1]2019'!AF43+'[1]2020'!AF43</f>
        <v>0</v>
      </c>
      <c r="AG38" s="11">
        <f>'[1]2018'!AG43+'[1]2019'!AG43+'[1]2020'!AG43</f>
        <v>0</v>
      </c>
      <c r="AH38" s="11">
        <f>'[1]2018'!AH43+'[1]2019'!AH43+'[1]2020'!AH43</f>
        <v>0</v>
      </c>
      <c r="AI38" s="11">
        <f>'[1]2018'!AI43+'[1]2019'!AI43+'[1]2020'!AI43</f>
        <v>0</v>
      </c>
      <c r="AJ38" s="11">
        <f>'[1]2018'!AJ43+'[1]2019'!AJ43+'[1]2020'!AJ43</f>
        <v>0</v>
      </c>
      <c r="AK38" s="11">
        <f>'[1]2018'!AK43+'[1]2019'!AK43+'[1]2020'!AK43</f>
        <v>0</v>
      </c>
      <c r="AL38" s="11">
        <f>'[1]2018'!AL43+'[1]2019'!AL43+'[1]2020'!AL43</f>
        <v>0</v>
      </c>
      <c r="AM38" s="11">
        <f>'[1]2018'!AM43+'[1]2019'!AM43+'[1]2020'!AM43</f>
        <v>0</v>
      </c>
      <c r="AN38" s="11">
        <f>'[1]2018'!AN43+'[1]2019'!AN43+'[1]2020'!AN43</f>
        <v>0</v>
      </c>
      <c r="AO38" s="11">
        <f>'[1]2018'!AO43+'[1]2019'!AO43+'[1]2020'!AO43</f>
        <v>0</v>
      </c>
      <c r="AP38" s="11">
        <f>'[1]2018'!AP43+'[1]2019'!AP43+'[1]2020'!AP43</f>
        <v>0</v>
      </c>
      <c r="AQ38" s="11">
        <f>'[1]2018'!AQ43+'[1]2019'!AQ43+'[1]2020'!AQ43</f>
        <v>0</v>
      </c>
      <c r="AR38" s="11">
        <f>'[1]2018'!AR43+'[1]2019'!AR43+'[1]2020'!AR43</f>
        <v>0</v>
      </c>
      <c r="AS38" s="11">
        <f>'[1]2018'!AS43+'[1]2019'!AS43+'[1]2020'!AS43</f>
        <v>0</v>
      </c>
      <c r="AT38" s="11">
        <f>'[1]2018'!AT43+'[1]2019'!AT43+'[1]2020'!AT43</f>
        <v>1</v>
      </c>
      <c r="AU38" s="11">
        <f>'[1]2018'!AU43+'[1]2019'!AU43+'[1]2020'!AU43</f>
        <v>0</v>
      </c>
      <c r="AV38" s="11">
        <f>'[1]2018'!AV43+'[1]2019'!AV43+'[1]2020'!AV43</f>
        <v>0</v>
      </c>
      <c r="AW38" s="41">
        <f t="shared" si="3"/>
        <v>1</v>
      </c>
      <c r="AX38" s="14">
        <f t="shared" si="4"/>
        <v>960</v>
      </c>
      <c r="AY38" s="2">
        <f>'[1]2018'!AX43+'[1]2019'!AX43+'[1]2020'!AX43</f>
        <v>2880</v>
      </c>
    </row>
    <row r="39" spans="1:136" x14ac:dyDescent="0.25">
      <c r="A39" s="10" t="s">
        <v>143</v>
      </c>
      <c r="B39" s="46">
        <f>'[1]2018'!B44+'[1]2019'!B44+'[1]2020'!B44</f>
        <v>9</v>
      </c>
      <c r="C39" s="46">
        <f>'[1]2018'!C44+'[1]2019'!C44+'[1]2020'!C44</f>
        <v>3</v>
      </c>
      <c r="D39" s="46">
        <f>'[1]2018'!D44+'[1]2019'!D44+'[1]2020'!D44</f>
        <v>10</v>
      </c>
      <c r="E39" s="46">
        <f>'[1]2018'!E44+'[1]2019'!E44+'[1]2020'!E44</f>
        <v>4</v>
      </c>
      <c r="F39" s="46">
        <f>'[1]2018'!F44+'[1]2019'!F44+'[1]2020'!F44</f>
        <v>0</v>
      </c>
      <c r="G39" s="46">
        <f>'[1]2018'!G44+'[1]2019'!G44+'[1]2020'!G44</f>
        <v>0</v>
      </c>
      <c r="H39" s="46">
        <f>'[1]2018'!H44+'[1]2019'!H44+'[1]2020'!H44</f>
        <v>0</v>
      </c>
      <c r="I39" s="46">
        <f>'[1]2018'!I44+'[1]2019'!I44+'[1]2020'!I44</f>
        <v>0</v>
      </c>
      <c r="J39" s="46">
        <f>'[1]2018'!J44+'[1]2019'!J44+'[1]2020'!J44</f>
        <v>0</v>
      </c>
      <c r="K39" s="46">
        <f>'[1]2018'!K44+'[1]2019'!K44+'[1]2020'!K44</f>
        <v>0</v>
      </c>
      <c r="L39" s="46">
        <f>'[1]2018'!L44+'[1]2019'!L44+'[1]2020'!L44</f>
        <v>0</v>
      </c>
      <c r="M39" s="46">
        <f>'[1]2018'!M44+'[1]2019'!M44+'[1]2020'!M44</f>
        <v>0</v>
      </c>
      <c r="N39" s="46">
        <f>'[1]2018'!N44+'[1]2019'!N44+'[1]2020'!N44</f>
        <v>0</v>
      </c>
      <c r="O39" s="46">
        <f>'[1]2018'!O44+'[1]2019'!O44+'[1]2020'!O44</f>
        <v>0</v>
      </c>
      <c r="P39" s="46">
        <f>'[1]2018'!P44+'[1]2019'!P44+'[1]2020'!P44</f>
        <v>0</v>
      </c>
      <c r="Q39" s="46">
        <f>'[1]2018'!Q44+'[1]2019'!Q44+'[1]2020'!Q44</f>
        <v>0</v>
      </c>
      <c r="R39" s="46">
        <f>'[1]2018'!R44+'[1]2019'!R44+'[1]2020'!R44</f>
        <v>1</v>
      </c>
      <c r="S39" s="46">
        <f>'[1]2018'!S44+'[1]2019'!S44+'[1]2020'!S44</f>
        <v>0</v>
      </c>
      <c r="T39" s="46">
        <f>'[1]2018'!T44+'[1]2019'!T44+'[1]2020'!T44</f>
        <v>1</v>
      </c>
      <c r="U39" s="46">
        <f>'[1]2018'!U44+'[1]2019'!U44+'[1]2020'!U44</f>
        <v>0</v>
      </c>
      <c r="V39" s="46">
        <f>'[1]2018'!V44+'[1]2019'!V44+'[1]2020'!V44</f>
        <v>3</v>
      </c>
      <c r="W39" s="46">
        <f>'[1]2018'!W44+'[1]2019'!W44+'[1]2020'!W44</f>
        <v>0</v>
      </c>
      <c r="X39" s="46">
        <f>'[1]2018'!X44+'[1]2019'!X44+'[1]2020'!X44</f>
        <v>5</v>
      </c>
      <c r="Y39" s="41">
        <f t="shared" si="1"/>
        <v>10</v>
      </c>
      <c r="Z39" s="11">
        <f>'[1]2018'!Z44+'[1]2019'!Z44+'[1]2020'!Z44</f>
        <v>11</v>
      </c>
      <c r="AA39" s="11">
        <f>'[1]2018'!AA44+'[1]2019'!AA44+'[1]2020'!AA44</f>
        <v>3</v>
      </c>
      <c r="AB39" s="11">
        <f>'[1]2018'!AB44+'[1]2019'!AB44+'[1]2020'!AB44</f>
        <v>7</v>
      </c>
      <c r="AC39" s="11">
        <f>'[1]2018'!AC44+'[1]2019'!AC44+'[1]2020'!AC44</f>
        <v>4</v>
      </c>
      <c r="AD39" s="11">
        <f>'[1]2018'!AD44+'[1]2019'!AD44+'[1]2020'!AD44</f>
        <v>0</v>
      </c>
      <c r="AE39" s="11">
        <f>'[1]2018'!AE44+'[1]2019'!AE44+'[1]2020'!AE44</f>
        <v>0</v>
      </c>
      <c r="AF39" s="11">
        <f>'[1]2018'!AF44+'[1]2019'!AF44+'[1]2020'!AF44</f>
        <v>0</v>
      </c>
      <c r="AG39" s="11">
        <f>'[1]2018'!AG44+'[1]2019'!AG44+'[1]2020'!AG44</f>
        <v>0</v>
      </c>
      <c r="AH39" s="11">
        <f>'[1]2018'!AH44+'[1]2019'!AH44+'[1]2020'!AH44</f>
        <v>0</v>
      </c>
      <c r="AI39" s="11">
        <f>'[1]2018'!AI44+'[1]2019'!AI44+'[1]2020'!AI44</f>
        <v>0</v>
      </c>
      <c r="AJ39" s="11">
        <f>'[1]2018'!AJ44+'[1]2019'!AJ44+'[1]2020'!AJ44</f>
        <v>0</v>
      </c>
      <c r="AK39" s="11">
        <f>'[1]2018'!AK44+'[1]2019'!AK44+'[1]2020'!AK44</f>
        <v>0</v>
      </c>
      <c r="AL39" s="11">
        <f>'[1]2018'!AL44+'[1]2019'!AL44+'[1]2020'!AL44</f>
        <v>0</v>
      </c>
      <c r="AM39" s="11">
        <f>'[1]2018'!AM44+'[1]2019'!AM44+'[1]2020'!AM44</f>
        <v>0</v>
      </c>
      <c r="AN39" s="11">
        <f>'[1]2018'!AN44+'[1]2019'!AN44+'[1]2020'!AN44</f>
        <v>0</v>
      </c>
      <c r="AO39" s="11">
        <f>'[1]2018'!AO44+'[1]2019'!AO44+'[1]2020'!AO44</f>
        <v>0</v>
      </c>
      <c r="AP39" s="11">
        <f>'[1]2018'!AP44+'[1]2019'!AP44+'[1]2020'!AP44</f>
        <v>0</v>
      </c>
      <c r="AQ39" s="11">
        <f>'[1]2018'!AQ44+'[1]2019'!AQ44+'[1]2020'!AQ44</f>
        <v>0</v>
      </c>
      <c r="AR39" s="11">
        <f>'[1]2018'!AR44+'[1]2019'!AR44+'[1]2020'!AR44</f>
        <v>1</v>
      </c>
      <c r="AS39" s="11">
        <f>'[1]2018'!AS44+'[1]2019'!AS44+'[1]2020'!AS44</f>
        <v>0</v>
      </c>
      <c r="AT39" s="11">
        <f>'[1]2018'!AT44+'[1]2019'!AT44+'[1]2020'!AT44</f>
        <v>2</v>
      </c>
      <c r="AU39" s="11">
        <f>'[1]2018'!AU44+'[1]2019'!AU44+'[1]2020'!AU44</f>
        <v>0</v>
      </c>
      <c r="AV39" s="11">
        <f>'[1]2018'!AV44+'[1]2019'!AV44+'[1]2020'!AV44</f>
        <v>4</v>
      </c>
      <c r="AW39" s="41">
        <f t="shared" si="3"/>
        <v>7</v>
      </c>
      <c r="AX39" s="14">
        <f t="shared" si="4"/>
        <v>3043.3333333333335</v>
      </c>
      <c r="AY39" s="2">
        <f>'[1]2018'!AX44+'[1]2019'!AX44+'[1]2020'!AX44</f>
        <v>9130</v>
      </c>
    </row>
    <row r="40" spans="1:136" x14ac:dyDescent="0.25">
      <c r="A40" s="10" t="s">
        <v>92</v>
      </c>
      <c r="B40" s="46">
        <f>'[1]2018'!B45+'[1]2019'!B45+'[1]2020'!B45</f>
        <v>1</v>
      </c>
      <c r="C40" s="46">
        <f>'[1]2018'!C45+'[1]2019'!C45+'[1]2020'!C45</f>
        <v>0</v>
      </c>
      <c r="D40" s="46">
        <f>'[1]2018'!D45+'[1]2019'!D45+'[1]2020'!D45</f>
        <v>1</v>
      </c>
      <c r="E40" s="46">
        <f>'[1]2018'!E45+'[1]2019'!E45+'[1]2020'!E45</f>
        <v>0</v>
      </c>
      <c r="F40" s="46">
        <f>'[1]2018'!F45+'[1]2019'!F45+'[1]2020'!F45</f>
        <v>0</v>
      </c>
      <c r="G40" s="46">
        <f>'[1]2018'!G45+'[1]2019'!G45+'[1]2020'!G45</f>
        <v>0</v>
      </c>
      <c r="H40" s="46">
        <f>'[1]2018'!H45+'[1]2019'!H45+'[1]2020'!H45</f>
        <v>0</v>
      </c>
      <c r="I40" s="46">
        <f>'[1]2018'!I45+'[1]2019'!I45+'[1]2020'!I45</f>
        <v>0</v>
      </c>
      <c r="J40" s="46">
        <f>'[1]2018'!J45+'[1]2019'!J45+'[1]2020'!J45</f>
        <v>0</v>
      </c>
      <c r="K40" s="46">
        <f>'[1]2018'!K45+'[1]2019'!K45+'[1]2020'!K45</f>
        <v>0</v>
      </c>
      <c r="L40" s="46">
        <f>'[1]2018'!L45+'[1]2019'!L45+'[1]2020'!L45</f>
        <v>0</v>
      </c>
      <c r="M40" s="46">
        <f>'[1]2018'!M45+'[1]2019'!M45+'[1]2020'!M45</f>
        <v>0</v>
      </c>
      <c r="N40" s="46">
        <f>'[1]2018'!N45+'[1]2019'!N45+'[1]2020'!N45</f>
        <v>0</v>
      </c>
      <c r="O40" s="46">
        <f>'[1]2018'!O45+'[1]2019'!O45+'[1]2020'!O45</f>
        <v>0</v>
      </c>
      <c r="P40" s="46">
        <f>'[1]2018'!P45+'[1]2019'!P45+'[1]2020'!P45</f>
        <v>0</v>
      </c>
      <c r="Q40" s="46">
        <f>'[1]2018'!Q45+'[1]2019'!Q45+'[1]2020'!Q45</f>
        <v>0</v>
      </c>
      <c r="R40" s="46">
        <f>'[1]2018'!R45+'[1]2019'!R45+'[1]2020'!R45</f>
        <v>0</v>
      </c>
      <c r="S40" s="46">
        <f>'[1]2018'!S45+'[1]2019'!S45+'[1]2020'!S45</f>
        <v>0</v>
      </c>
      <c r="T40" s="46">
        <f>'[1]2018'!T45+'[1]2019'!T45+'[1]2020'!T45</f>
        <v>0</v>
      </c>
      <c r="U40" s="46">
        <f>'[1]2018'!U45+'[1]2019'!U45+'[1]2020'!U45</f>
        <v>0</v>
      </c>
      <c r="V40" s="46">
        <f>'[1]2018'!V45+'[1]2019'!V45+'[1]2020'!V45</f>
        <v>0</v>
      </c>
      <c r="W40" s="46">
        <f>'[1]2018'!W45+'[1]2019'!W45+'[1]2020'!W45</f>
        <v>0</v>
      </c>
      <c r="X40" s="46">
        <f>'[1]2018'!X45+'[1]2019'!X45+'[1]2020'!X45</f>
        <v>1</v>
      </c>
      <c r="Y40" s="41">
        <f t="shared" si="1"/>
        <v>1</v>
      </c>
      <c r="Z40" s="11">
        <f>'[1]2018'!Z45+'[1]2019'!Z45+'[1]2020'!Z45</f>
        <v>1</v>
      </c>
      <c r="AA40" s="11">
        <f>'[1]2018'!AA45+'[1]2019'!AA45+'[1]2020'!AA45</f>
        <v>0</v>
      </c>
      <c r="AB40" s="11">
        <f>'[1]2018'!AB45+'[1]2019'!AB45+'[1]2020'!AB45</f>
        <v>1</v>
      </c>
      <c r="AC40" s="11">
        <f>'[1]2018'!AC45+'[1]2019'!AC45+'[1]2020'!AC45</f>
        <v>0</v>
      </c>
      <c r="AD40" s="11">
        <f>'[1]2018'!AD45+'[1]2019'!AD45+'[1]2020'!AD45</f>
        <v>0</v>
      </c>
      <c r="AE40" s="11">
        <f>'[1]2018'!AE45+'[1]2019'!AE45+'[1]2020'!AE45</f>
        <v>0</v>
      </c>
      <c r="AF40" s="11">
        <f>'[1]2018'!AF45+'[1]2019'!AF45+'[1]2020'!AF45</f>
        <v>0</v>
      </c>
      <c r="AG40" s="11">
        <f>'[1]2018'!AG45+'[1]2019'!AG45+'[1]2020'!AG45</f>
        <v>0</v>
      </c>
      <c r="AH40" s="11">
        <f>'[1]2018'!AH45+'[1]2019'!AH45+'[1]2020'!AH45</f>
        <v>0</v>
      </c>
      <c r="AI40" s="11">
        <f>'[1]2018'!AI45+'[1]2019'!AI45+'[1]2020'!AI45</f>
        <v>0</v>
      </c>
      <c r="AJ40" s="11">
        <f>'[1]2018'!AJ45+'[1]2019'!AJ45+'[1]2020'!AJ45</f>
        <v>0</v>
      </c>
      <c r="AK40" s="11">
        <f>'[1]2018'!AK45+'[1]2019'!AK45+'[1]2020'!AK45</f>
        <v>0</v>
      </c>
      <c r="AL40" s="11">
        <f>'[1]2018'!AL45+'[1]2019'!AL45+'[1]2020'!AL45</f>
        <v>0</v>
      </c>
      <c r="AM40" s="11">
        <f>'[1]2018'!AM45+'[1]2019'!AM45+'[1]2020'!AM45</f>
        <v>0</v>
      </c>
      <c r="AN40" s="11">
        <f>'[1]2018'!AN45+'[1]2019'!AN45+'[1]2020'!AN45</f>
        <v>0</v>
      </c>
      <c r="AO40" s="11">
        <f>'[1]2018'!AO45+'[1]2019'!AO45+'[1]2020'!AO45</f>
        <v>0</v>
      </c>
      <c r="AP40" s="11">
        <f>'[1]2018'!AP45+'[1]2019'!AP45+'[1]2020'!AP45</f>
        <v>0</v>
      </c>
      <c r="AQ40" s="11">
        <f>'[1]2018'!AQ45+'[1]2019'!AQ45+'[1]2020'!AQ45</f>
        <v>0</v>
      </c>
      <c r="AR40" s="11">
        <f>'[1]2018'!AR45+'[1]2019'!AR45+'[1]2020'!AR45</f>
        <v>0</v>
      </c>
      <c r="AS40" s="11">
        <f>'[1]2018'!AS45+'[1]2019'!AS45+'[1]2020'!AS45</f>
        <v>0</v>
      </c>
      <c r="AT40" s="11">
        <f>'[1]2018'!AT45+'[1]2019'!AT45+'[1]2020'!AT45</f>
        <v>0</v>
      </c>
      <c r="AU40" s="11">
        <f>'[1]2018'!AU45+'[1]2019'!AU45+'[1]2020'!AU45</f>
        <v>0</v>
      </c>
      <c r="AV40" s="11">
        <f>'[1]2018'!AV45+'[1]2019'!AV45+'[1]2020'!AV45</f>
        <v>1</v>
      </c>
      <c r="AW40" s="41">
        <f t="shared" si="3"/>
        <v>1</v>
      </c>
      <c r="AX40" s="14">
        <f t="shared" si="4"/>
        <v>3666.6666666666665</v>
      </c>
      <c r="AY40" s="2">
        <f>'[1]2018'!AX45+'[1]2019'!AX45+'[1]2020'!AX45</f>
        <v>11000</v>
      </c>
    </row>
    <row r="41" spans="1:136" x14ac:dyDescent="0.25">
      <c r="A41" s="10" t="s">
        <v>93</v>
      </c>
      <c r="B41" s="46">
        <f>'[1]2018'!B46+'[1]2019'!B46+'[1]2020'!B46</f>
        <v>28</v>
      </c>
      <c r="C41" s="46">
        <f>'[1]2018'!C46+'[1]2019'!C46+'[1]2020'!C46</f>
        <v>39</v>
      </c>
      <c r="D41" s="46">
        <f>'[1]2018'!D46+'[1]2019'!D46+'[1]2020'!D46</f>
        <v>525</v>
      </c>
      <c r="E41" s="46">
        <f>'[1]2018'!E46+'[1]2019'!E46+'[1]2020'!E46</f>
        <v>392</v>
      </c>
      <c r="F41" s="46">
        <f>'[1]2018'!F46+'[1]2019'!F46+'[1]2020'!F46</f>
        <v>0</v>
      </c>
      <c r="G41" s="46">
        <f>'[1]2018'!G46+'[1]2019'!G46+'[1]2020'!G46</f>
        <v>0</v>
      </c>
      <c r="H41" s="46">
        <f>'[1]2018'!H46+'[1]2019'!H46+'[1]2020'!H46</f>
        <v>0</v>
      </c>
      <c r="I41" s="46">
        <f>'[1]2018'!I46+'[1]2019'!I46+'[1]2020'!I46</f>
        <v>0</v>
      </c>
      <c r="J41" s="46">
        <f>'[1]2018'!J46+'[1]2019'!J46+'[1]2020'!J46</f>
        <v>0</v>
      </c>
      <c r="K41" s="46">
        <f>'[1]2018'!K46+'[1]2019'!K46+'[1]2020'!K46</f>
        <v>0</v>
      </c>
      <c r="L41" s="46">
        <f>'[1]2018'!L46+'[1]2019'!L46+'[1]2020'!L46</f>
        <v>1</v>
      </c>
      <c r="M41" s="46">
        <f>'[1]2018'!M46+'[1]2019'!M46+'[1]2020'!M46</f>
        <v>0</v>
      </c>
      <c r="N41" s="46">
        <f>'[1]2018'!N46+'[1]2019'!N46+'[1]2020'!N46</f>
        <v>0</v>
      </c>
      <c r="O41" s="46">
        <f>'[1]2018'!O46+'[1]2019'!O46+'[1]2020'!O46</f>
        <v>0</v>
      </c>
      <c r="P41" s="46">
        <f>'[1]2018'!P46+'[1]2019'!P46+'[1]2020'!P46</f>
        <v>0</v>
      </c>
      <c r="Q41" s="46">
        <f>'[1]2018'!Q46+'[1]2019'!Q46+'[1]2020'!Q46</f>
        <v>0</v>
      </c>
      <c r="R41" s="46">
        <f>'[1]2018'!R46+'[1]2019'!R46+'[1]2020'!R46</f>
        <v>1</v>
      </c>
      <c r="S41" s="46">
        <f>'[1]2018'!S46+'[1]2019'!S46+'[1]2020'!S46</f>
        <v>0</v>
      </c>
      <c r="T41" s="46">
        <f>'[1]2018'!T46+'[1]2019'!T46+'[1]2020'!T46</f>
        <v>0</v>
      </c>
      <c r="U41" s="46">
        <f>'[1]2018'!U46+'[1]2019'!U46+'[1]2020'!U46</f>
        <v>0</v>
      </c>
      <c r="V41" s="46">
        <f>'[1]2018'!V46+'[1]2019'!V46+'[1]2020'!V46</f>
        <v>521</v>
      </c>
      <c r="W41" s="46">
        <f>'[1]2018'!W46+'[1]2019'!W46+'[1]2020'!W46</f>
        <v>1</v>
      </c>
      <c r="X41" s="46">
        <f>'[1]2018'!X46+'[1]2019'!X46+'[1]2020'!X46</f>
        <v>1</v>
      </c>
      <c r="Y41" s="41">
        <f t="shared" si="1"/>
        <v>525</v>
      </c>
      <c r="Z41" s="11">
        <f>'[1]2018'!Z46+'[1]2019'!Z46+'[1]2020'!Z46</f>
        <v>13</v>
      </c>
      <c r="AA41" s="11">
        <f>'[1]2018'!AA46+'[1]2019'!AA46+'[1]2020'!AA46</f>
        <v>14</v>
      </c>
      <c r="AB41" s="11">
        <f>'[1]2018'!AB46+'[1]2019'!AB46+'[1]2020'!AB46</f>
        <v>179</v>
      </c>
      <c r="AC41" s="11">
        <f>'[1]2018'!AC46+'[1]2019'!AC46+'[1]2020'!AC46</f>
        <v>162</v>
      </c>
      <c r="AD41" s="11">
        <f>'[1]2018'!AD46+'[1]2019'!AD46+'[1]2020'!AD46</f>
        <v>0</v>
      </c>
      <c r="AE41" s="11">
        <f>'[1]2018'!AE46+'[1]2019'!AE46+'[1]2020'!AE46</f>
        <v>0</v>
      </c>
      <c r="AF41" s="11">
        <f>'[1]2018'!AF46+'[1]2019'!AF46+'[1]2020'!AF46</f>
        <v>0</v>
      </c>
      <c r="AG41" s="11">
        <f>'[1]2018'!AG46+'[1]2019'!AG46+'[1]2020'!AG46</f>
        <v>0</v>
      </c>
      <c r="AH41" s="11">
        <f>'[1]2018'!AH46+'[1]2019'!AH46+'[1]2020'!AH46</f>
        <v>0</v>
      </c>
      <c r="AI41" s="11">
        <f>'[1]2018'!AI46+'[1]2019'!AI46+'[1]2020'!AI46</f>
        <v>0</v>
      </c>
      <c r="AJ41" s="11">
        <f>'[1]2018'!AJ46+'[1]2019'!AJ46+'[1]2020'!AJ46</f>
        <v>1</v>
      </c>
      <c r="AK41" s="11">
        <f>'[1]2018'!AK46+'[1]2019'!AK46+'[1]2020'!AK46</f>
        <v>0</v>
      </c>
      <c r="AL41" s="11">
        <f>'[1]2018'!AL46+'[1]2019'!AL46+'[1]2020'!AL46</f>
        <v>0</v>
      </c>
      <c r="AM41" s="11">
        <f>'[1]2018'!AM46+'[1]2019'!AM46+'[1]2020'!AM46</f>
        <v>0</v>
      </c>
      <c r="AN41" s="11">
        <f>'[1]2018'!AN46+'[1]2019'!AN46+'[1]2020'!AN46</f>
        <v>0</v>
      </c>
      <c r="AO41" s="11">
        <f>'[1]2018'!AO46+'[1]2019'!AO46+'[1]2020'!AO46</f>
        <v>0</v>
      </c>
      <c r="AP41" s="11">
        <f>'[1]2018'!AP46+'[1]2019'!AP46+'[1]2020'!AP46</f>
        <v>0</v>
      </c>
      <c r="AQ41" s="11">
        <f>'[1]2018'!AQ46+'[1]2019'!AQ46+'[1]2020'!AQ46</f>
        <v>0</v>
      </c>
      <c r="AR41" s="11">
        <f>'[1]2018'!AR46+'[1]2019'!AR46+'[1]2020'!AR46</f>
        <v>0</v>
      </c>
      <c r="AS41" s="11">
        <f>'[1]2018'!AS46+'[1]2019'!AS46+'[1]2020'!AS46</f>
        <v>0</v>
      </c>
      <c r="AT41" s="11">
        <f>'[1]2018'!AT46+'[1]2019'!AT46+'[1]2020'!AT46</f>
        <v>178</v>
      </c>
      <c r="AU41" s="11">
        <f>'[1]2018'!AU46+'[1]2019'!AU46+'[1]2020'!AU46</f>
        <v>0</v>
      </c>
      <c r="AV41" s="11">
        <f>'[1]2018'!AV46+'[1]2019'!AV46+'[1]2020'!AV46</f>
        <v>0</v>
      </c>
      <c r="AW41" s="41">
        <f t="shared" si="3"/>
        <v>179</v>
      </c>
      <c r="AX41" s="14">
        <f t="shared" si="4"/>
        <v>2046.9933333333331</v>
      </c>
      <c r="AY41" s="2">
        <f>'[1]2018'!AX46+'[1]2019'!AX46+'[1]2020'!AX46</f>
        <v>6140.98</v>
      </c>
    </row>
    <row r="42" spans="1:136" x14ac:dyDescent="0.25">
      <c r="A42" s="10" t="s">
        <v>94</v>
      </c>
      <c r="B42" s="46">
        <f>'[1]2018'!B47+'[1]2019'!B47+'[1]2020'!B47</f>
        <v>40</v>
      </c>
      <c r="C42" s="46">
        <f>'[1]2018'!C47+'[1]2019'!C47+'[1]2020'!C47</f>
        <v>0</v>
      </c>
      <c r="D42" s="46">
        <f>'[1]2018'!D47+'[1]2019'!D47+'[1]2020'!D47</f>
        <v>31</v>
      </c>
      <c r="E42" s="46">
        <f>'[1]2018'!E47+'[1]2019'!E47+'[1]2020'!E47</f>
        <v>0</v>
      </c>
      <c r="F42" s="46">
        <f>'[1]2018'!F47+'[1]2019'!F47+'[1]2020'!F47</f>
        <v>0</v>
      </c>
      <c r="G42" s="46">
        <f>'[1]2018'!G47+'[1]2019'!G47+'[1]2020'!G47</f>
        <v>0</v>
      </c>
      <c r="H42" s="46">
        <f>'[1]2018'!H47+'[1]2019'!H47+'[1]2020'!H47</f>
        <v>0</v>
      </c>
      <c r="I42" s="46">
        <f>'[1]2018'!I47+'[1]2019'!I47+'[1]2020'!I47</f>
        <v>0</v>
      </c>
      <c r="J42" s="46">
        <f>'[1]2018'!J47+'[1]2019'!J47+'[1]2020'!J47</f>
        <v>0</v>
      </c>
      <c r="K42" s="46">
        <f>'[1]2018'!K47+'[1]2019'!K47+'[1]2020'!K47</f>
        <v>0</v>
      </c>
      <c r="L42" s="46">
        <f>'[1]2018'!L47+'[1]2019'!L47+'[1]2020'!L47</f>
        <v>0</v>
      </c>
      <c r="M42" s="46">
        <f>'[1]2018'!M47+'[1]2019'!M47+'[1]2020'!M47</f>
        <v>0</v>
      </c>
      <c r="N42" s="46">
        <f>'[1]2018'!N47+'[1]2019'!N47+'[1]2020'!N47</f>
        <v>0</v>
      </c>
      <c r="O42" s="46">
        <f>'[1]2018'!O47+'[1]2019'!O47+'[1]2020'!O47</f>
        <v>0</v>
      </c>
      <c r="P42" s="46">
        <f>'[1]2018'!P47+'[1]2019'!P47+'[1]2020'!P47</f>
        <v>0</v>
      </c>
      <c r="Q42" s="46">
        <f>'[1]2018'!Q47+'[1]2019'!Q47+'[1]2020'!Q47</f>
        <v>0</v>
      </c>
      <c r="R42" s="46">
        <f>'[1]2018'!R47+'[1]2019'!R47+'[1]2020'!R47</f>
        <v>1</v>
      </c>
      <c r="S42" s="46">
        <f>'[1]2018'!S47+'[1]2019'!S47+'[1]2020'!S47</f>
        <v>0</v>
      </c>
      <c r="T42" s="46">
        <f>'[1]2018'!T47+'[1]2019'!T47+'[1]2020'!T47</f>
        <v>0</v>
      </c>
      <c r="U42" s="46">
        <f>'[1]2018'!U47+'[1]2019'!U47+'[1]2020'!U47</f>
        <v>0</v>
      </c>
      <c r="V42" s="46">
        <f>'[1]2018'!V47+'[1]2019'!V47+'[1]2020'!V47</f>
        <v>29</v>
      </c>
      <c r="W42" s="46">
        <f>'[1]2018'!W47+'[1]2019'!W47+'[1]2020'!W47</f>
        <v>0</v>
      </c>
      <c r="X42" s="46">
        <f>'[1]2018'!X47+'[1]2019'!X47+'[1]2020'!X47</f>
        <v>1</v>
      </c>
      <c r="Y42" s="41">
        <f t="shared" si="1"/>
        <v>31</v>
      </c>
      <c r="Z42" s="11">
        <f>'[1]2018'!Z47+'[1]2019'!Z47+'[1]2020'!Z47</f>
        <v>14</v>
      </c>
      <c r="AA42" s="11">
        <f>'[1]2018'!AA47+'[1]2019'!AA47+'[1]2020'!AA47</f>
        <v>0</v>
      </c>
      <c r="AB42" s="11">
        <f>'[1]2018'!AB47+'[1]2019'!AB47+'[1]2020'!AB47</f>
        <v>14</v>
      </c>
      <c r="AC42" s="11">
        <f>'[1]2018'!AC47+'[1]2019'!AC47+'[1]2020'!AC47</f>
        <v>0</v>
      </c>
      <c r="AD42" s="11">
        <f>'[1]2018'!AD47+'[1]2019'!AD47+'[1]2020'!AD47</f>
        <v>0</v>
      </c>
      <c r="AE42" s="11">
        <f>'[1]2018'!AE47+'[1]2019'!AE47+'[1]2020'!AE47</f>
        <v>0</v>
      </c>
      <c r="AF42" s="11">
        <f>'[1]2018'!AF47+'[1]2019'!AF47+'[1]2020'!AF47</f>
        <v>0</v>
      </c>
      <c r="AG42" s="11">
        <f>'[1]2018'!AG47+'[1]2019'!AG47+'[1]2020'!AG47</f>
        <v>0</v>
      </c>
      <c r="AH42" s="11">
        <f>'[1]2018'!AH47+'[1]2019'!AH47+'[1]2020'!AH47</f>
        <v>0</v>
      </c>
      <c r="AI42" s="11">
        <f>'[1]2018'!AI47+'[1]2019'!AI47+'[1]2020'!AI47</f>
        <v>0</v>
      </c>
      <c r="AJ42" s="11">
        <f>'[1]2018'!AJ47+'[1]2019'!AJ47+'[1]2020'!AJ47</f>
        <v>0</v>
      </c>
      <c r="AK42" s="11">
        <f>'[1]2018'!AK47+'[1]2019'!AK47+'[1]2020'!AK47</f>
        <v>0</v>
      </c>
      <c r="AL42" s="11">
        <f>'[1]2018'!AL47+'[1]2019'!AL47+'[1]2020'!AL47</f>
        <v>0</v>
      </c>
      <c r="AM42" s="11">
        <f>'[1]2018'!AM47+'[1]2019'!AM47+'[1]2020'!AM47</f>
        <v>0</v>
      </c>
      <c r="AN42" s="11">
        <f>'[1]2018'!AN47+'[1]2019'!AN47+'[1]2020'!AN47</f>
        <v>0</v>
      </c>
      <c r="AO42" s="11">
        <f>'[1]2018'!AO47+'[1]2019'!AO47+'[1]2020'!AO47</f>
        <v>0</v>
      </c>
      <c r="AP42" s="11">
        <f>'[1]2018'!AP47+'[1]2019'!AP47+'[1]2020'!AP47</f>
        <v>0</v>
      </c>
      <c r="AQ42" s="11">
        <f>'[1]2018'!AQ47+'[1]2019'!AQ47+'[1]2020'!AQ47</f>
        <v>0</v>
      </c>
      <c r="AR42" s="11">
        <f>'[1]2018'!AR47+'[1]2019'!AR47+'[1]2020'!AR47</f>
        <v>0</v>
      </c>
      <c r="AS42" s="11">
        <f>'[1]2018'!AS47+'[1]2019'!AS47+'[1]2020'!AS47</f>
        <v>0</v>
      </c>
      <c r="AT42" s="11">
        <f>'[1]2018'!AT47+'[1]2019'!AT47+'[1]2020'!AT47</f>
        <v>14</v>
      </c>
      <c r="AU42" s="11">
        <f>'[1]2018'!AU47+'[1]2019'!AU47+'[1]2020'!AU47</f>
        <v>0</v>
      </c>
      <c r="AV42" s="11">
        <f>'[1]2018'!AV47+'[1]2019'!AV47+'[1]2020'!AV47</f>
        <v>0</v>
      </c>
      <c r="AW42" s="41">
        <f t="shared" si="3"/>
        <v>14</v>
      </c>
      <c r="AX42" s="14">
        <f t="shared" si="4"/>
        <v>2791.6666666666665</v>
      </c>
      <c r="AY42" s="2">
        <f>'[1]2018'!AX47+'[1]2019'!AX47+'[1]2020'!AX47</f>
        <v>8375</v>
      </c>
    </row>
    <row r="43" spans="1:136" s="45" customFormat="1" x14ac:dyDescent="0.25">
      <c r="A43" s="10" t="s">
        <v>95</v>
      </c>
      <c r="B43" s="46">
        <f>'[1]2018'!B48+'[1]2019'!B48+'[1]2020'!B48</f>
        <v>8</v>
      </c>
      <c r="C43" s="46">
        <f>'[1]2018'!C48+'[1]2019'!C48+'[1]2020'!C48</f>
        <v>0</v>
      </c>
      <c r="D43" s="46">
        <f>'[1]2018'!D48+'[1]2019'!D48+'[1]2020'!D48</f>
        <v>10</v>
      </c>
      <c r="E43" s="46">
        <f>'[1]2018'!E48+'[1]2019'!E48+'[1]2020'!E48</f>
        <v>0</v>
      </c>
      <c r="F43" s="46">
        <f>'[1]2018'!F48+'[1]2019'!F48+'[1]2020'!F48</f>
        <v>0</v>
      </c>
      <c r="G43" s="46">
        <f>'[1]2018'!G48+'[1]2019'!G48+'[1]2020'!G48</f>
        <v>0</v>
      </c>
      <c r="H43" s="46">
        <f>'[1]2018'!H48+'[1]2019'!H48+'[1]2020'!H48</f>
        <v>0</v>
      </c>
      <c r="I43" s="46">
        <f>'[1]2018'!I48+'[1]2019'!I48+'[1]2020'!I48</f>
        <v>0</v>
      </c>
      <c r="J43" s="46">
        <f>'[1]2018'!J48+'[1]2019'!J48+'[1]2020'!J48</f>
        <v>0</v>
      </c>
      <c r="K43" s="46">
        <f>'[1]2018'!K48+'[1]2019'!K48+'[1]2020'!K48</f>
        <v>0</v>
      </c>
      <c r="L43" s="46">
        <f>'[1]2018'!L48+'[1]2019'!L48+'[1]2020'!L48</f>
        <v>0</v>
      </c>
      <c r="M43" s="46">
        <f>'[1]2018'!M48+'[1]2019'!M48+'[1]2020'!M48</f>
        <v>0</v>
      </c>
      <c r="N43" s="46">
        <f>'[1]2018'!N48+'[1]2019'!N48+'[1]2020'!N48</f>
        <v>0</v>
      </c>
      <c r="O43" s="46">
        <f>'[1]2018'!O48+'[1]2019'!O48+'[1]2020'!O48</f>
        <v>0</v>
      </c>
      <c r="P43" s="46">
        <f>'[1]2018'!P48+'[1]2019'!P48+'[1]2020'!P48</f>
        <v>0</v>
      </c>
      <c r="Q43" s="46">
        <f>'[1]2018'!Q48+'[1]2019'!Q48+'[1]2020'!Q48</f>
        <v>0</v>
      </c>
      <c r="R43" s="46">
        <f>'[1]2018'!R48+'[1]2019'!R48+'[1]2020'!R48</f>
        <v>0</v>
      </c>
      <c r="S43" s="46">
        <f>'[1]2018'!S48+'[1]2019'!S48+'[1]2020'!S48</f>
        <v>0</v>
      </c>
      <c r="T43" s="46">
        <f>'[1]2018'!T48+'[1]2019'!T48+'[1]2020'!T48</f>
        <v>0</v>
      </c>
      <c r="U43" s="46">
        <f>'[1]2018'!U48+'[1]2019'!U48+'[1]2020'!U48</f>
        <v>0</v>
      </c>
      <c r="V43" s="46">
        <f>'[1]2018'!V48+'[1]2019'!V48+'[1]2020'!V48</f>
        <v>0</v>
      </c>
      <c r="W43" s="46">
        <f>'[1]2018'!W48+'[1]2019'!W48+'[1]2020'!W48</f>
        <v>10</v>
      </c>
      <c r="X43" s="46">
        <f>'[1]2018'!X48+'[1]2019'!X48+'[1]2020'!X48</f>
        <v>0</v>
      </c>
      <c r="Y43" s="41">
        <f t="shared" si="1"/>
        <v>10</v>
      </c>
      <c r="Z43" s="11">
        <f>'[1]2018'!Z48+'[1]2019'!Z48+'[1]2020'!Z48</f>
        <v>3</v>
      </c>
      <c r="AA43" s="11">
        <f>'[1]2018'!AA48+'[1]2019'!AA48+'[1]2020'!AA48</f>
        <v>0</v>
      </c>
      <c r="AB43" s="11">
        <f>'[1]2018'!AB48+'[1]2019'!AB48+'[1]2020'!AB48</f>
        <v>5</v>
      </c>
      <c r="AC43" s="11">
        <f>'[1]2018'!AC48+'[1]2019'!AC48+'[1]2020'!AC48</f>
        <v>0</v>
      </c>
      <c r="AD43" s="11">
        <f>'[1]2018'!AD48+'[1]2019'!AD48+'[1]2020'!AD48</f>
        <v>0</v>
      </c>
      <c r="AE43" s="11">
        <f>'[1]2018'!AE48+'[1]2019'!AE48+'[1]2020'!AE48</f>
        <v>0</v>
      </c>
      <c r="AF43" s="11">
        <f>'[1]2018'!AF48+'[1]2019'!AF48+'[1]2020'!AF48</f>
        <v>0</v>
      </c>
      <c r="AG43" s="11">
        <f>'[1]2018'!AG48+'[1]2019'!AG48+'[1]2020'!AG48</f>
        <v>0</v>
      </c>
      <c r="AH43" s="11">
        <f>'[1]2018'!AH48+'[1]2019'!AH48+'[1]2020'!AH48</f>
        <v>0</v>
      </c>
      <c r="AI43" s="11">
        <f>'[1]2018'!AI48+'[1]2019'!AI48+'[1]2020'!AI48</f>
        <v>0</v>
      </c>
      <c r="AJ43" s="11">
        <f>'[1]2018'!AJ48+'[1]2019'!AJ48+'[1]2020'!AJ48</f>
        <v>0</v>
      </c>
      <c r="AK43" s="11">
        <f>'[1]2018'!AK48+'[1]2019'!AK48+'[1]2020'!AK48</f>
        <v>0</v>
      </c>
      <c r="AL43" s="11">
        <f>'[1]2018'!AL48+'[1]2019'!AL48+'[1]2020'!AL48</f>
        <v>0</v>
      </c>
      <c r="AM43" s="11">
        <f>'[1]2018'!AM48+'[1]2019'!AM48+'[1]2020'!AM48</f>
        <v>0</v>
      </c>
      <c r="AN43" s="11">
        <f>'[1]2018'!AN48+'[1]2019'!AN48+'[1]2020'!AN48</f>
        <v>0</v>
      </c>
      <c r="AO43" s="11">
        <f>'[1]2018'!AO48+'[1]2019'!AO48+'[1]2020'!AO48</f>
        <v>0</v>
      </c>
      <c r="AP43" s="11">
        <f>'[1]2018'!AP48+'[1]2019'!AP48+'[1]2020'!AP48</f>
        <v>0</v>
      </c>
      <c r="AQ43" s="11">
        <f>'[1]2018'!AQ48+'[1]2019'!AQ48+'[1]2020'!AQ48</f>
        <v>0</v>
      </c>
      <c r="AR43" s="11">
        <f>'[1]2018'!AR48+'[1]2019'!AR48+'[1]2020'!AR48</f>
        <v>0</v>
      </c>
      <c r="AS43" s="11">
        <f>'[1]2018'!AS48+'[1]2019'!AS48+'[1]2020'!AS48</f>
        <v>0</v>
      </c>
      <c r="AT43" s="11">
        <f>'[1]2018'!AT48+'[1]2019'!AT48+'[1]2020'!AT48</f>
        <v>0</v>
      </c>
      <c r="AU43" s="11">
        <f>'[1]2018'!AU48+'[1]2019'!AU48+'[1]2020'!AU48</f>
        <v>5</v>
      </c>
      <c r="AV43" s="11">
        <f>'[1]2018'!AV48+'[1]2019'!AV48+'[1]2020'!AV48</f>
        <v>0</v>
      </c>
      <c r="AW43" s="41">
        <f t="shared" si="3"/>
        <v>5</v>
      </c>
      <c r="AX43" s="14">
        <f t="shared" si="4"/>
        <v>541.66666666666663</v>
      </c>
      <c r="AY43" s="2">
        <f>'[1]2018'!AX48+'[1]2019'!AX48+'[1]2020'!AX48</f>
        <v>1625</v>
      </c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</row>
    <row r="44" spans="1:136" x14ac:dyDescent="0.25">
      <c r="A44" s="40" t="s">
        <v>31</v>
      </c>
      <c r="B44" s="48">
        <f t="shared" ref="B44:X44" si="7">SUM(B45:B62)</f>
        <v>313</v>
      </c>
      <c r="C44" s="48">
        <f t="shared" si="7"/>
        <v>16</v>
      </c>
      <c r="D44" s="48">
        <f t="shared" si="7"/>
        <v>1647</v>
      </c>
      <c r="E44" s="48">
        <f t="shared" si="7"/>
        <v>112</v>
      </c>
      <c r="F44" s="48">
        <f t="shared" si="7"/>
        <v>0</v>
      </c>
      <c r="G44" s="48">
        <f t="shared" si="7"/>
        <v>0</v>
      </c>
      <c r="H44" s="48">
        <f t="shared" si="7"/>
        <v>671</v>
      </c>
      <c r="I44" s="48">
        <f t="shared" si="7"/>
        <v>2</v>
      </c>
      <c r="J44" s="48">
        <f t="shared" si="7"/>
        <v>26</v>
      </c>
      <c r="K44" s="48">
        <f t="shared" si="7"/>
        <v>20</v>
      </c>
      <c r="L44" s="48">
        <f t="shared" si="7"/>
        <v>409</v>
      </c>
      <c r="M44" s="48">
        <f t="shared" si="7"/>
        <v>34</v>
      </c>
      <c r="N44" s="48">
        <f t="shared" si="7"/>
        <v>94</v>
      </c>
      <c r="O44" s="48">
        <f t="shared" si="7"/>
        <v>50</v>
      </c>
      <c r="P44" s="48">
        <f t="shared" si="7"/>
        <v>63</v>
      </c>
      <c r="Q44" s="48">
        <f t="shared" si="7"/>
        <v>0</v>
      </c>
      <c r="R44" s="48">
        <f t="shared" si="7"/>
        <v>41</v>
      </c>
      <c r="S44" s="48">
        <f t="shared" si="7"/>
        <v>15</v>
      </c>
      <c r="T44" s="48">
        <f t="shared" si="7"/>
        <v>0</v>
      </c>
      <c r="U44" s="48">
        <f t="shared" si="7"/>
        <v>35</v>
      </c>
      <c r="V44" s="48">
        <f t="shared" si="7"/>
        <v>99</v>
      </c>
      <c r="W44" s="48">
        <f t="shared" si="7"/>
        <v>0</v>
      </c>
      <c r="X44" s="48">
        <f t="shared" si="7"/>
        <v>88</v>
      </c>
      <c r="Y44" s="41">
        <f t="shared" si="1"/>
        <v>1647</v>
      </c>
      <c r="Z44" s="41">
        <f t="shared" ref="Z44:AV44" si="8">SUM(Z45:Z62)</f>
        <v>147</v>
      </c>
      <c r="AA44" s="41">
        <f t="shared" si="8"/>
        <v>11</v>
      </c>
      <c r="AB44" s="41">
        <f t="shared" si="8"/>
        <v>815</v>
      </c>
      <c r="AC44" s="41">
        <f t="shared" si="8"/>
        <v>46</v>
      </c>
      <c r="AD44" s="41">
        <f t="shared" si="8"/>
        <v>0</v>
      </c>
      <c r="AE44" s="41">
        <f t="shared" si="8"/>
        <v>0</v>
      </c>
      <c r="AF44" s="41">
        <f t="shared" si="8"/>
        <v>322</v>
      </c>
      <c r="AG44" s="41">
        <f t="shared" si="8"/>
        <v>2</v>
      </c>
      <c r="AH44" s="41">
        <f t="shared" si="8"/>
        <v>25</v>
      </c>
      <c r="AI44" s="41">
        <f t="shared" si="8"/>
        <v>6</v>
      </c>
      <c r="AJ44" s="41">
        <f t="shared" si="8"/>
        <v>220</v>
      </c>
      <c r="AK44" s="41">
        <f t="shared" si="8"/>
        <v>4</v>
      </c>
      <c r="AL44" s="41">
        <f t="shared" si="8"/>
        <v>57</v>
      </c>
      <c r="AM44" s="41">
        <f t="shared" si="8"/>
        <v>24</v>
      </c>
      <c r="AN44" s="41">
        <f t="shared" si="8"/>
        <v>35</v>
      </c>
      <c r="AO44" s="41">
        <f t="shared" si="8"/>
        <v>0</v>
      </c>
      <c r="AP44" s="41">
        <f t="shared" si="8"/>
        <v>3</v>
      </c>
      <c r="AQ44" s="41">
        <f t="shared" si="8"/>
        <v>6</v>
      </c>
      <c r="AR44" s="41">
        <f t="shared" si="8"/>
        <v>0</v>
      </c>
      <c r="AS44" s="41">
        <f t="shared" si="8"/>
        <v>31</v>
      </c>
      <c r="AT44" s="41">
        <f t="shared" si="8"/>
        <v>44</v>
      </c>
      <c r="AU44" s="41">
        <f t="shared" si="8"/>
        <v>0</v>
      </c>
      <c r="AV44" s="41">
        <f t="shared" si="8"/>
        <v>36</v>
      </c>
      <c r="AW44" s="41">
        <f t="shared" si="3"/>
        <v>815</v>
      </c>
      <c r="AX44" s="42">
        <f t="shared" si="4"/>
        <v>1829.8929644059644</v>
      </c>
      <c r="AY44" s="43">
        <f>'[1]2018'!AX49+'[1]2019'!AX49+'[1]2020'!AX49</f>
        <v>5489.6788932178933</v>
      </c>
      <c r="AZ44" s="42">
        <f>AB44*100/D44</f>
        <v>49.483910139647847</v>
      </c>
      <c r="BA44" s="44"/>
      <c r="BB44" s="44"/>
      <c r="BC44" s="44"/>
      <c r="BD44" s="44"/>
      <c r="BE44" s="44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</row>
    <row r="45" spans="1:136" x14ac:dyDescent="0.25">
      <c r="A45" s="10" t="s">
        <v>142</v>
      </c>
      <c r="B45" s="46">
        <f>'[1]2018'!B50+'[1]2019'!B50+'[1]2020'!B50</f>
        <v>7</v>
      </c>
      <c r="C45" s="46">
        <f>'[1]2018'!C50+'[1]2019'!C50+'[1]2020'!C50</f>
        <v>0</v>
      </c>
      <c r="D45" s="46">
        <f>'[1]2018'!D50+'[1]2019'!D50+'[1]2020'!D50</f>
        <v>64</v>
      </c>
      <c r="E45" s="46">
        <f>'[1]2018'!E50+'[1]2019'!E50+'[1]2020'!E50</f>
        <v>0</v>
      </c>
      <c r="F45" s="46">
        <f>'[1]2018'!F50+'[1]2019'!F50+'[1]2020'!F50</f>
        <v>0</v>
      </c>
      <c r="G45" s="46">
        <f>'[1]2018'!G50+'[1]2019'!G50+'[1]2020'!G50</f>
        <v>0</v>
      </c>
      <c r="H45" s="46">
        <f>'[1]2018'!H50+'[1]2019'!H50+'[1]2020'!H50</f>
        <v>8</v>
      </c>
      <c r="I45" s="46">
        <f>'[1]2018'!I50+'[1]2019'!I50+'[1]2020'!I50</f>
        <v>2</v>
      </c>
      <c r="J45" s="46">
        <f>'[1]2018'!J50+'[1]2019'!J50+'[1]2020'!J50</f>
        <v>0</v>
      </c>
      <c r="K45" s="46">
        <f>'[1]2018'!K50+'[1]2019'!K50+'[1]2020'!K50</f>
        <v>0</v>
      </c>
      <c r="L45" s="46">
        <f>'[1]2018'!L50+'[1]2019'!L50+'[1]2020'!L50</f>
        <v>0</v>
      </c>
      <c r="M45" s="46">
        <f>'[1]2018'!M50+'[1]2019'!M50+'[1]2020'!M50</f>
        <v>0</v>
      </c>
      <c r="N45" s="46">
        <f>'[1]2018'!N50+'[1]2019'!N50+'[1]2020'!N50</f>
        <v>0</v>
      </c>
      <c r="O45" s="46">
        <f>'[1]2018'!O50+'[1]2019'!O50+'[1]2020'!O50</f>
        <v>0</v>
      </c>
      <c r="P45" s="46">
        <f>'[1]2018'!P50+'[1]2019'!P50+'[1]2020'!P50</f>
        <v>0</v>
      </c>
      <c r="Q45" s="46">
        <f>'[1]2018'!Q50+'[1]2019'!Q50+'[1]2020'!Q50</f>
        <v>0</v>
      </c>
      <c r="R45" s="46">
        <f>'[1]2018'!R50+'[1]2019'!R50+'[1]2020'!R50</f>
        <v>0</v>
      </c>
      <c r="S45" s="46">
        <f>'[1]2018'!S50+'[1]2019'!S50+'[1]2020'!S50</f>
        <v>0</v>
      </c>
      <c r="T45" s="46">
        <f>'[1]2018'!T50+'[1]2019'!T50+'[1]2020'!T50</f>
        <v>0</v>
      </c>
      <c r="U45" s="46">
        <f>'[1]2018'!U50+'[1]2019'!U50+'[1]2020'!U50</f>
        <v>20</v>
      </c>
      <c r="V45" s="46">
        <f>'[1]2018'!V50+'[1]2019'!V50+'[1]2020'!V50</f>
        <v>34</v>
      </c>
      <c r="W45" s="46">
        <f>'[1]2018'!W50+'[1]2019'!W50+'[1]2020'!W50</f>
        <v>0</v>
      </c>
      <c r="X45" s="46">
        <f>'[1]2018'!X50+'[1]2019'!X50+'[1]2020'!X50</f>
        <v>0</v>
      </c>
      <c r="Y45" s="41">
        <f t="shared" si="1"/>
        <v>64</v>
      </c>
      <c r="Z45" s="11">
        <f>'[1]2018'!Z50+'[1]2019'!Z50+'[1]2020'!Z50</f>
        <v>4</v>
      </c>
      <c r="AA45" s="11">
        <f>'[1]2018'!AA50+'[1]2019'!AA50+'[1]2020'!AA50</f>
        <v>0</v>
      </c>
      <c r="AB45" s="11">
        <f>'[1]2018'!AB50+'[1]2019'!AB50+'[1]2020'!AB50</f>
        <v>60</v>
      </c>
      <c r="AC45" s="11">
        <f>'[1]2018'!AC50+'[1]2019'!AC50+'[1]2020'!AC50</f>
        <v>0</v>
      </c>
      <c r="AD45" s="11">
        <f>'[1]2018'!AD50+'[1]2019'!AD50+'[1]2020'!AD50</f>
        <v>0</v>
      </c>
      <c r="AE45" s="11">
        <f>'[1]2018'!AE50+'[1]2019'!AE50+'[1]2020'!AE50</f>
        <v>0</v>
      </c>
      <c r="AF45" s="11">
        <f>'[1]2018'!AF50+'[1]2019'!AF50+'[1]2020'!AF50</f>
        <v>4</v>
      </c>
      <c r="AG45" s="11">
        <f>'[1]2018'!AG50+'[1]2019'!AG50+'[1]2020'!AG50</f>
        <v>2</v>
      </c>
      <c r="AH45" s="11">
        <f>'[1]2018'!AH50+'[1]2019'!AH50+'[1]2020'!AH50</f>
        <v>0</v>
      </c>
      <c r="AI45" s="11">
        <f>'[1]2018'!AI50+'[1]2019'!AI50+'[1]2020'!AI50</f>
        <v>0</v>
      </c>
      <c r="AJ45" s="11">
        <f>'[1]2018'!AJ50+'[1]2019'!AJ50+'[1]2020'!AJ50</f>
        <v>0</v>
      </c>
      <c r="AK45" s="11">
        <f>'[1]2018'!AK50+'[1]2019'!AK50+'[1]2020'!AK50</f>
        <v>0</v>
      </c>
      <c r="AL45" s="11">
        <f>'[1]2018'!AL50+'[1]2019'!AL50+'[1]2020'!AL50</f>
        <v>0</v>
      </c>
      <c r="AM45" s="11">
        <f>'[1]2018'!AM50+'[1]2019'!AM50+'[1]2020'!AM50</f>
        <v>0</v>
      </c>
      <c r="AN45" s="11">
        <f>'[1]2018'!AN50+'[1]2019'!AN50+'[1]2020'!AN50</f>
        <v>0</v>
      </c>
      <c r="AO45" s="11">
        <f>'[1]2018'!AO50+'[1]2019'!AO50+'[1]2020'!AO50</f>
        <v>0</v>
      </c>
      <c r="AP45" s="11">
        <f>'[1]2018'!AP50+'[1]2019'!AP50+'[1]2020'!AP50</f>
        <v>0</v>
      </c>
      <c r="AQ45" s="11">
        <f>'[1]2018'!AQ50+'[1]2019'!AQ50+'[1]2020'!AQ50</f>
        <v>0</v>
      </c>
      <c r="AR45" s="11">
        <f>'[1]2018'!AR50+'[1]2019'!AR50+'[1]2020'!AR50</f>
        <v>0</v>
      </c>
      <c r="AS45" s="11">
        <f>'[1]2018'!AS50+'[1]2019'!AS50+'[1]2020'!AS50</f>
        <v>20</v>
      </c>
      <c r="AT45" s="11">
        <f>'[1]2018'!AT50+'[1]2019'!AT50+'[1]2020'!AT50</f>
        <v>34</v>
      </c>
      <c r="AU45" s="11">
        <f>'[1]2018'!AU50+'[1]2019'!AU50+'[1]2020'!AU50</f>
        <v>0</v>
      </c>
      <c r="AV45" s="11">
        <f>'[1]2018'!AV50+'[1]2019'!AV50+'[1]2020'!AV50</f>
        <v>0</v>
      </c>
      <c r="AW45" s="41">
        <f t="shared" si="3"/>
        <v>60</v>
      </c>
      <c r="AX45" s="14">
        <f t="shared" si="4"/>
        <v>1102.6666666666667</v>
      </c>
      <c r="AY45" s="2">
        <f>'[1]2018'!AX50+'[1]2019'!AX50+'[1]2020'!AX50</f>
        <v>3308</v>
      </c>
    </row>
    <row r="46" spans="1:136" x14ac:dyDescent="0.25">
      <c r="A46" s="10" t="s">
        <v>141</v>
      </c>
      <c r="B46" s="46">
        <f>'[1]2018'!B51+'[1]2019'!B51+'[1]2020'!B51</f>
        <v>50</v>
      </c>
      <c r="C46" s="46">
        <f>'[1]2018'!C51+'[1]2019'!C51+'[1]2020'!C51</f>
        <v>2</v>
      </c>
      <c r="D46" s="46">
        <f>'[1]2018'!D51+'[1]2019'!D51+'[1]2020'!D51</f>
        <v>114</v>
      </c>
      <c r="E46" s="46">
        <f>'[1]2018'!E51+'[1]2019'!E51+'[1]2020'!E51</f>
        <v>2</v>
      </c>
      <c r="F46" s="46">
        <f>'[1]2018'!F51+'[1]2019'!F51+'[1]2020'!F51</f>
        <v>0</v>
      </c>
      <c r="G46" s="46">
        <f>'[1]2018'!G51+'[1]2019'!G51+'[1]2020'!G51</f>
        <v>0</v>
      </c>
      <c r="H46" s="46">
        <f>'[1]2018'!H51+'[1]2019'!H51+'[1]2020'!H51</f>
        <v>86</v>
      </c>
      <c r="I46" s="46">
        <f>'[1]2018'!I51+'[1]2019'!I51+'[1]2020'!I51</f>
        <v>0</v>
      </c>
      <c r="J46" s="46">
        <f>'[1]2018'!J51+'[1]2019'!J51+'[1]2020'!J51</f>
        <v>12</v>
      </c>
      <c r="K46" s="46">
        <f>'[1]2018'!K51+'[1]2019'!K51+'[1]2020'!K51</f>
        <v>0</v>
      </c>
      <c r="L46" s="46">
        <f>'[1]2018'!L51+'[1]2019'!L51+'[1]2020'!L51</f>
        <v>3</v>
      </c>
      <c r="M46" s="46">
        <f>'[1]2018'!M51+'[1]2019'!M51+'[1]2020'!M51</f>
        <v>0</v>
      </c>
      <c r="N46" s="46">
        <f>'[1]2018'!N51+'[1]2019'!N51+'[1]2020'!N51</f>
        <v>0</v>
      </c>
      <c r="O46" s="46">
        <f>'[1]2018'!O51+'[1]2019'!O51+'[1]2020'!O51</f>
        <v>7</v>
      </c>
      <c r="P46" s="46">
        <f>'[1]2018'!P51+'[1]2019'!P51+'[1]2020'!P51</f>
        <v>1</v>
      </c>
      <c r="Q46" s="46">
        <f>'[1]2018'!Q51+'[1]2019'!Q51+'[1]2020'!Q51</f>
        <v>0</v>
      </c>
      <c r="R46" s="46">
        <f>'[1]2018'!R51+'[1]2019'!R51+'[1]2020'!R51</f>
        <v>0</v>
      </c>
      <c r="S46" s="46">
        <f>'[1]2018'!S51+'[1]2019'!S51+'[1]2020'!S51</f>
        <v>1</v>
      </c>
      <c r="T46" s="46">
        <f>'[1]2018'!T51+'[1]2019'!T51+'[1]2020'!T51</f>
        <v>0</v>
      </c>
      <c r="U46" s="46">
        <f>'[1]2018'!U51+'[1]2019'!U51+'[1]2020'!U51</f>
        <v>3</v>
      </c>
      <c r="V46" s="46">
        <f>'[1]2018'!V51+'[1]2019'!V51+'[1]2020'!V51</f>
        <v>0</v>
      </c>
      <c r="W46" s="46">
        <f>'[1]2018'!W51+'[1]2019'!W51+'[1]2020'!W51</f>
        <v>0</v>
      </c>
      <c r="X46" s="46">
        <f>'[1]2018'!X51+'[1]2019'!X51+'[1]2020'!X51</f>
        <v>1</v>
      </c>
      <c r="Y46" s="41">
        <f t="shared" si="1"/>
        <v>114</v>
      </c>
      <c r="Z46" s="11">
        <f>'[1]2018'!Z51+'[1]2019'!Z51+'[1]2020'!Z51</f>
        <v>30</v>
      </c>
      <c r="AA46" s="11">
        <f>'[1]2018'!AA51+'[1]2019'!AA51+'[1]2020'!AA51</f>
        <v>1</v>
      </c>
      <c r="AB46" s="11">
        <f>'[1]2018'!AB51+'[1]2019'!AB51+'[1]2020'!AB51</f>
        <v>54</v>
      </c>
      <c r="AC46" s="11">
        <f>'[1]2018'!AC51+'[1]2019'!AC51+'[1]2020'!AC51</f>
        <v>1</v>
      </c>
      <c r="AD46" s="11">
        <f>'[1]2018'!AD51+'[1]2019'!AD51+'[1]2020'!AD51</f>
        <v>0</v>
      </c>
      <c r="AE46" s="11">
        <f>'[1]2018'!AE51+'[1]2019'!AE51+'[1]2020'!AE51</f>
        <v>0</v>
      </c>
      <c r="AF46" s="11">
        <f>'[1]2018'!AF51+'[1]2019'!AF51+'[1]2020'!AF51</f>
        <v>39</v>
      </c>
      <c r="AG46" s="11">
        <f>'[1]2018'!AG51+'[1]2019'!AG51+'[1]2020'!AG51</f>
        <v>0</v>
      </c>
      <c r="AH46" s="11">
        <f>'[1]2018'!AH51+'[1]2019'!AH51+'[1]2020'!AH51</f>
        <v>11</v>
      </c>
      <c r="AI46" s="11">
        <f>'[1]2018'!AI51+'[1]2019'!AI51+'[1]2020'!AI51</f>
        <v>0</v>
      </c>
      <c r="AJ46" s="11">
        <f>'[1]2018'!AJ51+'[1]2019'!AJ51+'[1]2020'!AJ51</f>
        <v>2</v>
      </c>
      <c r="AK46" s="11">
        <f>'[1]2018'!AK51+'[1]2019'!AK51+'[1]2020'!AK51</f>
        <v>0</v>
      </c>
      <c r="AL46" s="11">
        <f>'[1]2018'!AL51+'[1]2019'!AL51+'[1]2020'!AL51</f>
        <v>0</v>
      </c>
      <c r="AM46" s="11">
        <f>'[1]2018'!AM51+'[1]2019'!AM51+'[1]2020'!AM51</f>
        <v>0</v>
      </c>
      <c r="AN46" s="11">
        <f>'[1]2018'!AN51+'[1]2019'!AN51+'[1]2020'!AN51</f>
        <v>1</v>
      </c>
      <c r="AO46" s="11">
        <f>'[1]2018'!AO51+'[1]2019'!AO51+'[1]2020'!AO51</f>
        <v>0</v>
      </c>
      <c r="AP46" s="11">
        <f>'[1]2018'!AP51+'[1]2019'!AP51+'[1]2020'!AP51</f>
        <v>0</v>
      </c>
      <c r="AQ46" s="11">
        <f>'[1]2018'!AQ51+'[1]2019'!AQ51+'[1]2020'!AQ51</f>
        <v>1</v>
      </c>
      <c r="AR46" s="11">
        <f>'[1]2018'!AR51+'[1]2019'!AR51+'[1]2020'!AR51</f>
        <v>0</v>
      </c>
      <c r="AS46" s="11">
        <f>'[1]2018'!AS51+'[1]2019'!AS51+'[1]2020'!AS51</f>
        <v>0</v>
      </c>
      <c r="AT46" s="11">
        <f>'[1]2018'!AT51+'[1]2019'!AT51+'[1]2020'!AT51</f>
        <v>0</v>
      </c>
      <c r="AU46" s="11">
        <f>'[1]2018'!AU51+'[1]2019'!AU51+'[1]2020'!AU51</f>
        <v>0</v>
      </c>
      <c r="AV46" s="11">
        <f>'[1]2018'!AV51+'[1]2019'!AV51+'[1]2020'!AV51</f>
        <v>0</v>
      </c>
      <c r="AW46" s="41">
        <f t="shared" si="3"/>
        <v>54</v>
      </c>
      <c r="AX46" s="14">
        <f t="shared" si="4"/>
        <v>4003.0473015873017</v>
      </c>
      <c r="AY46" s="2">
        <f>'[1]2018'!AX51+'[1]2019'!AX51+'[1]2020'!AX51</f>
        <v>12009.141904761906</v>
      </c>
    </row>
    <row r="47" spans="1:136" x14ac:dyDescent="0.25">
      <c r="A47" s="10" t="s">
        <v>140</v>
      </c>
      <c r="B47" s="46">
        <f>'[1]2018'!B52+'[1]2019'!B52+'[1]2020'!B52</f>
        <v>12</v>
      </c>
      <c r="C47" s="46">
        <f>'[1]2018'!C52+'[1]2019'!C52+'[1]2020'!C52</f>
        <v>0</v>
      </c>
      <c r="D47" s="46">
        <f>'[1]2018'!D52+'[1]2019'!D52+'[1]2020'!D52</f>
        <v>59</v>
      </c>
      <c r="E47" s="46">
        <f>'[1]2018'!E52+'[1]2019'!E52+'[1]2020'!E52</f>
        <v>0</v>
      </c>
      <c r="F47" s="46">
        <f>'[1]2018'!F52+'[1]2019'!F52+'[1]2020'!F52</f>
        <v>0</v>
      </c>
      <c r="G47" s="46">
        <f>'[1]2018'!G52+'[1]2019'!G52+'[1]2020'!G52</f>
        <v>0</v>
      </c>
      <c r="H47" s="46">
        <f>'[1]2018'!H52+'[1]2019'!H52+'[1]2020'!H52</f>
        <v>21</v>
      </c>
      <c r="I47" s="46">
        <f>'[1]2018'!I52+'[1]2019'!I52+'[1]2020'!I52</f>
        <v>0</v>
      </c>
      <c r="J47" s="46">
        <f>'[1]2018'!J52+'[1]2019'!J52+'[1]2020'!J52</f>
        <v>12</v>
      </c>
      <c r="K47" s="46">
        <f>'[1]2018'!K52+'[1]2019'!K52+'[1]2020'!K52</f>
        <v>2</v>
      </c>
      <c r="L47" s="46">
        <f>'[1]2018'!L52+'[1]2019'!L52+'[1]2020'!L52</f>
        <v>0</v>
      </c>
      <c r="M47" s="46">
        <f>'[1]2018'!M52+'[1]2019'!M52+'[1]2020'!M52</f>
        <v>0</v>
      </c>
      <c r="N47" s="46">
        <f>'[1]2018'!N52+'[1]2019'!N52+'[1]2020'!N52</f>
        <v>0</v>
      </c>
      <c r="O47" s="46">
        <f>'[1]2018'!O52+'[1]2019'!O52+'[1]2020'!O52</f>
        <v>0</v>
      </c>
      <c r="P47" s="46">
        <f>'[1]2018'!P52+'[1]2019'!P52+'[1]2020'!P52</f>
        <v>0</v>
      </c>
      <c r="Q47" s="46">
        <f>'[1]2018'!Q52+'[1]2019'!Q52+'[1]2020'!Q52</f>
        <v>0</v>
      </c>
      <c r="R47" s="46">
        <f>'[1]2018'!R52+'[1]2019'!R52+'[1]2020'!R52</f>
        <v>24</v>
      </c>
      <c r="S47" s="46">
        <f>'[1]2018'!S52+'[1]2019'!S52+'[1]2020'!S52</f>
        <v>0</v>
      </c>
      <c r="T47" s="46">
        <f>'[1]2018'!T52+'[1]2019'!T52+'[1]2020'!T52</f>
        <v>0</v>
      </c>
      <c r="U47" s="46">
        <f>'[1]2018'!U52+'[1]2019'!U52+'[1]2020'!U52</f>
        <v>0</v>
      </c>
      <c r="V47" s="46">
        <f>'[1]2018'!V52+'[1]2019'!V52+'[1]2020'!V52</f>
        <v>0</v>
      </c>
      <c r="W47" s="46">
        <f>'[1]2018'!W52+'[1]2019'!W52+'[1]2020'!W52</f>
        <v>0</v>
      </c>
      <c r="X47" s="46">
        <f>'[1]2018'!X52+'[1]2019'!X52+'[1]2020'!X52</f>
        <v>0</v>
      </c>
      <c r="Y47" s="41">
        <f t="shared" si="1"/>
        <v>59</v>
      </c>
      <c r="Z47" s="11">
        <f>'[1]2018'!Z52+'[1]2019'!Z52+'[1]2020'!Z52</f>
        <v>5</v>
      </c>
      <c r="AA47" s="11">
        <f>'[1]2018'!AA52+'[1]2019'!AA52+'[1]2020'!AA52</f>
        <v>0</v>
      </c>
      <c r="AB47" s="11">
        <f>'[1]2018'!AB52+'[1]2019'!AB52+'[1]2020'!AB52</f>
        <v>27</v>
      </c>
      <c r="AC47" s="11">
        <f>'[1]2018'!AC52+'[1]2019'!AC52+'[1]2020'!AC52</f>
        <v>0</v>
      </c>
      <c r="AD47" s="11">
        <f>'[1]2018'!AD52+'[1]2019'!AD52+'[1]2020'!AD52</f>
        <v>0</v>
      </c>
      <c r="AE47" s="11">
        <f>'[1]2018'!AE52+'[1]2019'!AE52+'[1]2020'!AE52</f>
        <v>0</v>
      </c>
      <c r="AF47" s="11">
        <f>'[1]2018'!AF52+'[1]2019'!AF52+'[1]2020'!AF52</f>
        <v>15</v>
      </c>
      <c r="AG47" s="11">
        <f>'[1]2018'!AG52+'[1]2019'!AG52+'[1]2020'!AG52</f>
        <v>0</v>
      </c>
      <c r="AH47" s="11">
        <f>'[1]2018'!AH52+'[1]2019'!AH52+'[1]2020'!AH52</f>
        <v>12</v>
      </c>
      <c r="AI47" s="11">
        <f>'[1]2018'!AI52+'[1]2019'!AI52+'[1]2020'!AI52</f>
        <v>0</v>
      </c>
      <c r="AJ47" s="11">
        <f>'[1]2018'!AJ52+'[1]2019'!AJ52+'[1]2020'!AJ52</f>
        <v>0</v>
      </c>
      <c r="AK47" s="11">
        <f>'[1]2018'!AK52+'[1]2019'!AK52+'[1]2020'!AK52</f>
        <v>0</v>
      </c>
      <c r="AL47" s="11">
        <f>'[1]2018'!AL52+'[1]2019'!AL52+'[1]2020'!AL52</f>
        <v>0</v>
      </c>
      <c r="AM47" s="11">
        <f>'[1]2018'!AM52+'[1]2019'!AM52+'[1]2020'!AM52</f>
        <v>0</v>
      </c>
      <c r="AN47" s="11">
        <f>'[1]2018'!AN52+'[1]2019'!AN52+'[1]2020'!AN52</f>
        <v>0</v>
      </c>
      <c r="AO47" s="11">
        <f>'[1]2018'!AO52+'[1]2019'!AO52+'[1]2020'!AO52</f>
        <v>0</v>
      </c>
      <c r="AP47" s="11">
        <f>'[1]2018'!AP52+'[1]2019'!AP52+'[1]2020'!AP52</f>
        <v>0</v>
      </c>
      <c r="AQ47" s="11">
        <f>'[1]2018'!AQ52+'[1]2019'!AQ52+'[1]2020'!AQ52</f>
        <v>0</v>
      </c>
      <c r="AR47" s="11">
        <f>'[1]2018'!AR52+'[1]2019'!AR52+'[1]2020'!AR52</f>
        <v>0</v>
      </c>
      <c r="AS47" s="11">
        <f>'[1]2018'!AS52+'[1]2019'!AS52+'[1]2020'!AS52</f>
        <v>0</v>
      </c>
      <c r="AT47" s="11">
        <f>'[1]2018'!AT52+'[1]2019'!AT52+'[1]2020'!AT52</f>
        <v>0</v>
      </c>
      <c r="AU47" s="11">
        <f>'[1]2018'!AU52+'[1]2019'!AU52+'[1]2020'!AU52</f>
        <v>0</v>
      </c>
      <c r="AV47" s="11">
        <f>'[1]2018'!AV52+'[1]2019'!AV52+'[1]2020'!AV52</f>
        <v>0</v>
      </c>
      <c r="AW47" s="41">
        <f t="shared" si="3"/>
        <v>27</v>
      </c>
      <c r="AX47" s="14">
        <f t="shared" si="4"/>
        <v>1573.6444444444444</v>
      </c>
      <c r="AY47" s="2">
        <f>'[1]2018'!AX52+'[1]2019'!AX52+'[1]2020'!AX52</f>
        <v>4720.9333333333334</v>
      </c>
    </row>
    <row r="48" spans="1:136" x14ac:dyDescent="0.25">
      <c r="A48" s="10" t="s">
        <v>139</v>
      </c>
      <c r="B48" s="46">
        <f>'[1]2018'!B53+'[1]2019'!B53+'[1]2020'!B53</f>
        <v>190</v>
      </c>
      <c r="C48" s="46">
        <f>'[1]2018'!C53+'[1]2019'!C53+'[1]2020'!C53</f>
        <v>3</v>
      </c>
      <c r="D48" s="46">
        <f>'[1]2018'!D53+'[1]2019'!D53+'[1]2020'!D53</f>
        <v>933</v>
      </c>
      <c r="E48" s="46">
        <f>'[1]2018'!E53+'[1]2019'!E53+'[1]2020'!E53</f>
        <v>12</v>
      </c>
      <c r="F48" s="46">
        <f>'[1]2018'!F53+'[1]2019'!F53+'[1]2020'!F53</f>
        <v>0</v>
      </c>
      <c r="G48" s="46">
        <f>'[1]2018'!G53+'[1]2019'!G53+'[1]2020'!G53</f>
        <v>0</v>
      </c>
      <c r="H48" s="46">
        <f>'[1]2018'!H53+'[1]2019'!H53+'[1]2020'!H53</f>
        <v>261</v>
      </c>
      <c r="I48" s="46">
        <f>'[1]2018'!I53+'[1]2019'!I53+'[1]2020'!I53</f>
        <v>0</v>
      </c>
      <c r="J48" s="46">
        <f>'[1]2018'!J53+'[1]2019'!J53+'[1]2020'!J53</f>
        <v>2</v>
      </c>
      <c r="K48" s="46">
        <f>'[1]2018'!K53+'[1]2019'!K53+'[1]2020'!K53</f>
        <v>18</v>
      </c>
      <c r="L48" s="46">
        <f>'[1]2018'!L53+'[1]2019'!L53+'[1]2020'!L53</f>
        <v>359</v>
      </c>
      <c r="M48" s="46">
        <f>'[1]2018'!M53+'[1]2019'!M53+'[1]2020'!M53</f>
        <v>34</v>
      </c>
      <c r="N48" s="46">
        <f>'[1]2018'!N53+'[1]2019'!N53+'[1]2020'!N53</f>
        <v>94</v>
      </c>
      <c r="O48" s="46">
        <f>'[1]2018'!O53+'[1]2019'!O53+'[1]2020'!O53</f>
        <v>42</v>
      </c>
      <c r="P48" s="46">
        <f>'[1]2018'!P53+'[1]2019'!P53+'[1]2020'!P53</f>
        <v>34</v>
      </c>
      <c r="Q48" s="46">
        <f>'[1]2018'!Q53+'[1]2019'!Q53+'[1]2020'!Q53</f>
        <v>0</v>
      </c>
      <c r="R48" s="46">
        <f>'[1]2018'!R53+'[1]2019'!R53+'[1]2020'!R53</f>
        <v>17</v>
      </c>
      <c r="S48" s="46">
        <f>'[1]2018'!S53+'[1]2019'!S53+'[1]2020'!S53</f>
        <v>11</v>
      </c>
      <c r="T48" s="46">
        <f>'[1]2018'!T53+'[1]2019'!T53+'[1]2020'!T53</f>
        <v>0</v>
      </c>
      <c r="U48" s="46">
        <f>'[1]2018'!U53+'[1]2019'!U53+'[1]2020'!U53</f>
        <v>11</v>
      </c>
      <c r="V48" s="46">
        <f>'[1]2018'!V53+'[1]2019'!V53+'[1]2020'!V53</f>
        <v>0</v>
      </c>
      <c r="W48" s="46">
        <f>'[1]2018'!W53+'[1]2019'!W53+'[1]2020'!W53</f>
        <v>0</v>
      </c>
      <c r="X48" s="46">
        <f>'[1]2018'!X53+'[1]2019'!X53+'[1]2020'!X53</f>
        <v>50</v>
      </c>
      <c r="Y48" s="41">
        <f t="shared" si="1"/>
        <v>933</v>
      </c>
      <c r="Z48" s="11">
        <f>'[1]2018'!Z53+'[1]2019'!Z53+'[1]2020'!Z53</f>
        <v>80</v>
      </c>
      <c r="AA48" s="11">
        <f>'[1]2018'!AA53+'[1]2019'!AA53+'[1]2020'!AA53</f>
        <v>3</v>
      </c>
      <c r="AB48" s="11">
        <f>'[1]2018'!AB53+'[1]2019'!AB53+'[1]2020'!AB53</f>
        <v>491</v>
      </c>
      <c r="AC48" s="11">
        <f>'[1]2018'!AC53+'[1]2019'!AC53+'[1]2020'!AC53</f>
        <v>8</v>
      </c>
      <c r="AD48" s="11">
        <f>'[1]2018'!AD53+'[1]2019'!AD53+'[1]2020'!AD53</f>
        <v>0</v>
      </c>
      <c r="AE48" s="11">
        <f>'[1]2018'!AE53+'[1]2019'!AE53+'[1]2020'!AE53</f>
        <v>0</v>
      </c>
      <c r="AF48" s="11">
        <f>'[1]2018'!AF53+'[1]2019'!AF53+'[1]2020'!AF53</f>
        <v>160</v>
      </c>
      <c r="AG48" s="11">
        <f>'[1]2018'!AG53+'[1]2019'!AG53+'[1]2020'!AG53</f>
        <v>0</v>
      </c>
      <c r="AH48" s="11">
        <f>'[1]2018'!AH53+'[1]2019'!AH53+'[1]2020'!AH53</f>
        <v>2</v>
      </c>
      <c r="AI48" s="11">
        <f>'[1]2018'!AI53+'[1]2019'!AI53+'[1]2020'!AI53</f>
        <v>6</v>
      </c>
      <c r="AJ48" s="11">
        <f>'[1]2018'!AJ53+'[1]2019'!AJ53+'[1]2020'!AJ53</f>
        <v>200</v>
      </c>
      <c r="AK48" s="11">
        <f>'[1]2018'!AK53+'[1]2019'!AK53+'[1]2020'!AK53</f>
        <v>4</v>
      </c>
      <c r="AL48" s="11">
        <f>'[1]2018'!AL53+'[1]2019'!AL53+'[1]2020'!AL53</f>
        <v>57</v>
      </c>
      <c r="AM48" s="11">
        <f>'[1]2018'!AM53+'[1]2019'!AM53+'[1]2020'!AM53</f>
        <v>24</v>
      </c>
      <c r="AN48" s="11">
        <f>'[1]2018'!AN53+'[1]2019'!AN53+'[1]2020'!AN53</f>
        <v>16</v>
      </c>
      <c r="AO48" s="11">
        <f>'[1]2018'!AO53+'[1]2019'!AO53+'[1]2020'!AO53</f>
        <v>0</v>
      </c>
      <c r="AP48" s="11">
        <f>'[1]2018'!AP53+'[1]2019'!AP53+'[1]2020'!AP53</f>
        <v>3</v>
      </c>
      <c r="AQ48" s="11">
        <f>'[1]2018'!AQ53+'[1]2019'!AQ53+'[1]2020'!AQ53</f>
        <v>2</v>
      </c>
      <c r="AR48" s="11">
        <f>'[1]2018'!AR53+'[1]2019'!AR53+'[1]2020'!AR53</f>
        <v>0</v>
      </c>
      <c r="AS48" s="11">
        <f>'[1]2018'!AS53+'[1]2019'!AS53+'[1]2020'!AS53</f>
        <v>11</v>
      </c>
      <c r="AT48" s="11">
        <f>'[1]2018'!AT53+'[1]2019'!AT53+'[1]2020'!AT53</f>
        <v>0</v>
      </c>
      <c r="AU48" s="11">
        <f>'[1]2018'!AU53+'[1]2019'!AU53+'[1]2020'!AU53</f>
        <v>0</v>
      </c>
      <c r="AV48" s="11">
        <f>'[1]2018'!AV53+'[1]2019'!AV53+'[1]2020'!AV53</f>
        <v>6</v>
      </c>
      <c r="AW48" s="41">
        <f t="shared" si="3"/>
        <v>491</v>
      </c>
      <c r="AX48" s="14">
        <f t="shared" si="4"/>
        <v>1602.2956363636365</v>
      </c>
      <c r="AY48" s="2">
        <f>'[1]2018'!AX53+'[1]2019'!AX53+'[1]2020'!AX53</f>
        <v>4806.8869090909093</v>
      </c>
    </row>
    <row r="49" spans="1:57" x14ac:dyDescent="0.25">
      <c r="A49" s="10" t="s">
        <v>138</v>
      </c>
      <c r="B49" s="46">
        <f>'[1]2018'!B54+'[1]2019'!B54+'[1]2020'!B54</f>
        <v>9</v>
      </c>
      <c r="C49" s="46">
        <f>'[1]2018'!C54+'[1]2019'!C54+'[1]2020'!C54</f>
        <v>6</v>
      </c>
      <c r="D49" s="46">
        <f>'[1]2018'!D54+'[1]2019'!D54+'[1]2020'!D54</f>
        <v>78</v>
      </c>
      <c r="E49" s="46">
        <f>'[1]2018'!E54+'[1]2019'!E54+'[1]2020'!E54</f>
        <v>54</v>
      </c>
      <c r="F49" s="46">
        <f>'[1]2018'!F54+'[1]2019'!F54+'[1]2020'!F54</f>
        <v>0</v>
      </c>
      <c r="G49" s="46">
        <f>'[1]2018'!G54+'[1]2019'!G54+'[1]2020'!G54</f>
        <v>0</v>
      </c>
      <c r="H49" s="46">
        <f>'[1]2018'!H54+'[1]2019'!H54+'[1]2020'!H54</f>
        <v>23</v>
      </c>
      <c r="I49" s="46">
        <f>'[1]2018'!I54+'[1]2019'!I54+'[1]2020'!I54</f>
        <v>0</v>
      </c>
      <c r="J49" s="46">
        <f>'[1]2018'!J54+'[1]2019'!J54+'[1]2020'!J54</f>
        <v>0</v>
      </c>
      <c r="K49" s="46">
        <f>'[1]2018'!K54+'[1]2019'!K54+'[1]2020'!K54</f>
        <v>0</v>
      </c>
      <c r="L49" s="46">
        <f>'[1]2018'!L54+'[1]2019'!L54+'[1]2020'!L54</f>
        <v>0</v>
      </c>
      <c r="M49" s="46">
        <f>'[1]2018'!M54+'[1]2019'!M54+'[1]2020'!M54</f>
        <v>0</v>
      </c>
      <c r="N49" s="46">
        <f>'[1]2018'!N54+'[1]2019'!N54+'[1]2020'!N54</f>
        <v>0</v>
      </c>
      <c r="O49" s="46">
        <f>'[1]2018'!O54+'[1]2019'!O54+'[1]2020'!O54</f>
        <v>0</v>
      </c>
      <c r="P49" s="46">
        <f>'[1]2018'!P54+'[1]2019'!P54+'[1]2020'!P54</f>
        <v>0</v>
      </c>
      <c r="Q49" s="46">
        <f>'[1]2018'!Q54+'[1]2019'!Q54+'[1]2020'!Q54</f>
        <v>0</v>
      </c>
      <c r="R49" s="46">
        <f>'[1]2018'!R54+'[1]2019'!R54+'[1]2020'!R54</f>
        <v>0</v>
      </c>
      <c r="S49" s="46">
        <f>'[1]2018'!S54+'[1]2019'!S54+'[1]2020'!S54</f>
        <v>0</v>
      </c>
      <c r="T49" s="46">
        <f>'[1]2018'!T54+'[1]2019'!T54+'[1]2020'!T54</f>
        <v>0</v>
      </c>
      <c r="U49" s="46">
        <f>'[1]2018'!U54+'[1]2019'!U54+'[1]2020'!U54</f>
        <v>0</v>
      </c>
      <c r="V49" s="46">
        <f>'[1]2018'!V54+'[1]2019'!V54+'[1]2020'!V54</f>
        <v>51</v>
      </c>
      <c r="W49" s="46">
        <f>'[1]2018'!W54+'[1]2019'!W54+'[1]2020'!W54</f>
        <v>0</v>
      </c>
      <c r="X49" s="46">
        <f>'[1]2018'!X54+'[1]2019'!X54+'[1]2020'!X54</f>
        <v>4</v>
      </c>
      <c r="Y49" s="41">
        <f t="shared" si="1"/>
        <v>78</v>
      </c>
      <c r="Z49" s="11">
        <f>'[1]2018'!Z54+'[1]2019'!Z54+'[1]2020'!Z54</f>
        <v>5</v>
      </c>
      <c r="AA49" s="11">
        <f>'[1]2018'!AA54+'[1]2019'!AA54+'[1]2020'!AA54</f>
        <v>3</v>
      </c>
      <c r="AB49" s="11">
        <f>'[1]2018'!AB54+'[1]2019'!AB54+'[1]2020'!AB54</f>
        <v>26</v>
      </c>
      <c r="AC49" s="11">
        <f>'[1]2018'!AC54+'[1]2019'!AC54+'[1]2020'!AC54</f>
        <v>3</v>
      </c>
      <c r="AD49" s="11">
        <f>'[1]2018'!AD54+'[1]2019'!AD54+'[1]2020'!AD54</f>
        <v>0</v>
      </c>
      <c r="AE49" s="11">
        <f>'[1]2018'!AE54+'[1]2019'!AE54+'[1]2020'!AE54</f>
        <v>0</v>
      </c>
      <c r="AF49" s="11">
        <f>'[1]2018'!AF54+'[1]2019'!AF54+'[1]2020'!AF54</f>
        <v>23</v>
      </c>
      <c r="AG49" s="11">
        <f>'[1]2018'!AG54+'[1]2019'!AG54+'[1]2020'!AG54</f>
        <v>0</v>
      </c>
      <c r="AH49" s="11">
        <f>'[1]2018'!AH54+'[1]2019'!AH54+'[1]2020'!AH54</f>
        <v>0</v>
      </c>
      <c r="AI49" s="11">
        <f>'[1]2018'!AI54+'[1]2019'!AI54+'[1]2020'!AI54</f>
        <v>0</v>
      </c>
      <c r="AJ49" s="11">
        <f>'[1]2018'!AJ54+'[1]2019'!AJ54+'[1]2020'!AJ54</f>
        <v>0</v>
      </c>
      <c r="AK49" s="11">
        <f>'[1]2018'!AK54+'[1]2019'!AK54+'[1]2020'!AK54</f>
        <v>0</v>
      </c>
      <c r="AL49" s="11">
        <f>'[1]2018'!AL54+'[1]2019'!AL54+'[1]2020'!AL54</f>
        <v>0</v>
      </c>
      <c r="AM49" s="11">
        <f>'[1]2018'!AM54+'[1]2019'!AM54+'[1]2020'!AM54</f>
        <v>0</v>
      </c>
      <c r="AN49" s="11">
        <f>'[1]2018'!AN54+'[1]2019'!AN54+'[1]2020'!AN54</f>
        <v>0</v>
      </c>
      <c r="AO49" s="11">
        <f>'[1]2018'!AO54+'[1]2019'!AO54+'[1]2020'!AO54</f>
        <v>0</v>
      </c>
      <c r="AP49" s="11">
        <f>'[1]2018'!AP54+'[1]2019'!AP54+'[1]2020'!AP54</f>
        <v>0</v>
      </c>
      <c r="AQ49" s="11">
        <f>'[1]2018'!AQ54+'[1]2019'!AQ54+'[1]2020'!AQ54</f>
        <v>0</v>
      </c>
      <c r="AR49" s="11">
        <f>'[1]2018'!AR54+'[1]2019'!AR54+'[1]2020'!AR54</f>
        <v>0</v>
      </c>
      <c r="AS49" s="11">
        <f>'[1]2018'!AS54+'[1]2019'!AS54+'[1]2020'!AS54</f>
        <v>0</v>
      </c>
      <c r="AT49" s="11">
        <f>'[1]2018'!AT54+'[1]2019'!AT54+'[1]2020'!AT54</f>
        <v>2</v>
      </c>
      <c r="AU49" s="11">
        <f>'[1]2018'!AU54+'[1]2019'!AU54+'[1]2020'!AU54</f>
        <v>0</v>
      </c>
      <c r="AV49" s="11">
        <f>'[1]2018'!AV54+'[1]2019'!AV54+'[1]2020'!AV54</f>
        <v>1</v>
      </c>
      <c r="AW49" s="41">
        <f t="shared" si="3"/>
        <v>26</v>
      </c>
      <c r="AX49" s="14">
        <f t="shared" si="4"/>
        <v>607.38888888888891</v>
      </c>
      <c r="AY49" s="2">
        <f>'[1]2018'!AX54+'[1]2019'!AX54+'[1]2020'!AX54</f>
        <v>1822.1666666666667</v>
      </c>
    </row>
    <row r="50" spans="1:57" x14ac:dyDescent="0.25">
      <c r="A50" s="10" t="s">
        <v>137</v>
      </c>
      <c r="B50" s="46">
        <f>'[1]2018'!B55+'[1]2019'!B55+'[1]2020'!B55</f>
        <v>11</v>
      </c>
      <c r="C50" s="46">
        <f>'[1]2018'!C55+'[1]2019'!C55+'[1]2020'!C55</f>
        <v>1</v>
      </c>
      <c r="D50" s="46">
        <f>'[1]2018'!D55+'[1]2019'!D55+'[1]2020'!D55</f>
        <v>81</v>
      </c>
      <c r="E50" s="46">
        <f>'[1]2018'!E55+'[1]2019'!E55+'[1]2020'!E55</f>
        <v>1</v>
      </c>
      <c r="F50" s="46">
        <f>'[1]2018'!F55+'[1]2019'!F55+'[1]2020'!F55</f>
        <v>0</v>
      </c>
      <c r="G50" s="46">
        <f>'[1]2018'!G55+'[1]2019'!G55+'[1]2020'!G55</f>
        <v>0</v>
      </c>
      <c r="H50" s="46">
        <f>'[1]2018'!H55+'[1]2019'!H55+'[1]2020'!H55</f>
        <v>35</v>
      </c>
      <c r="I50" s="46">
        <f>'[1]2018'!I55+'[1]2019'!I55+'[1]2020'!I55</f>
        <v>0</v>
      </c>
      <c r="J50" s="46">
        <f>'[1]2018'!J55+'[1]2019'!J55+'[1]2020'!J55</f>
        <v>0</v>
      </c>
      <c r="K50" s="46">
        <f>'[1]2018'!K55+'[1]2019'!K55+'[1]2020'!K55</f>
        <v>0</v>
      </c>
      <c r="L50" s="46">
        <f>'[1]2018'!L55+'[1]2019'!L55+'[1]2020'!L55</f>
        <v>17</v>
      </c>
      <c r="M50" s="46">
        <f>'[1]2018'!M55+'[1]2019'!M55+'[1]2020'!M55</f>
        <v>0</v>
      </c>
      <c r="N50" s="46">
        <f>'[1]2018'!N55+'[1]2019'!N55+'[1]2020'!N55</f>
        <v>0</v>
      </c>
      <c r="O50" s="46">
        <f>'[1]2018'!O55+'[1]2019'!O55+'[1]2020'!O55</f>
        <v>0</v>
      </c>
      <c r="P50" s="46">
        <f>'[1]2018'!P55+'[1]2019'!P55+'[1]2020'!P55</f>
        <v>28</v>
      </c>
      <c r="Q50" s="46">
        <f>'[1]2018'!Q55+'[1]2019'!Q55+'[1]2020'!Q55</f>
        <v>0</v>
      </c>
      <c r="R50" s="46">
        <f>'[1]2018'!R55+'[1]2019'!R55+'[1]2020'!R55</f>
        <v>0</v>
      </c>
      <c r="S50" s="46">
        <f>'[1]2018'!S55+'[1]2019'!S55+'[1]2020'!S55</f>
        <v>0</v>
      </c>
      <c r="T50" s="46">
        <f>'[1]2018'!T55+'[1]2019'!T55+'[1]2020'!T55</f>
        <v>0</v>
      </c>
      <c r="U50" s="46">
        <f>'[1]2018'!U55+'[1]2019'!U55+'[1]2020'!U55</f>
        <v>0</v>
      </c>
      <c r="V50" s="46">
        <f>'[1]2018'!V55+'[1]2019'!V55+'[1]2020'!V55</f>
        <v>1</v>
      </c>
      <c r="W50" s="46">
        <f>'[1]2018'!W55+'[1]2019'!W55+'[1]2020'!W55</f>
        <v>0</v>
      </c>
      <c r="X50" s="46">
        <f>'[1]2018'!X55+'[1]2019'!X55+'[1]2020'!X55</f>
        <v>0</v>
      </c>
      <c r="Y50" s="41">
        <f t="shared" si="1"/>
        <v>81</v>
      </c>
      <c r="Z50" s="11">
        <v>11</v>
      </c>
      <c r="AA50" s="11">
        <f>'[1]2018'!AA55+'[1]2019'!AA55+'[1]2020'!AA55</f>
        <v>1</v>
      </c>
      <c r="AB50" s="11">
        <f>'[1]2018'!AB55+'[1]2019'!AB55+'[1]2020'!AB55</f>
        <v>53</v>
      </c>
      <c r="AC50" s="11">
        <f>'[1]2018'!AC55+'[1]2019'!AC55+'[1]2020'!AC55</f>
        <v>1</v>
      </c>
      <c r="AD50" s="11">
        <f>'[1]2018'!AD55+'[1]2019'!AD55+'[1]2020'!AD55</f>
        <v>0</v>
      </c>
      <c r="AE50" s="11">
        <f>'[1]2018'!AE55+'[1]2019'!AE55+'[1]2020'!AE55</f>
        <v>0</v>
      </c>
      <c r="AF50" s="11">
        <f>'[1]2018'!AF55+'[1]2019'!AF55+'[1]2020'!AF55</f>
        <v>17</v>
      </c>
      <c r="AG50" s="11">
        <f>'[1]2018'!AG55+'[1]2019'!AG55+'[1]2020'!AG55</f>
        <v>0</v>
      </c>
      <c r="AH50" s="11">
        <f>'[1]2018'!AH55+'[1]2019'!AH55+'[1]2020'!AH55</f>
        <v>0</v>
      </c>
      <c r="AI50" s="11">
        <f>'[1]2018'!AI55+'[1]2019'!AI55+'[1]2020'!AI55</f>
        <v>0</v>
      </c>
      <c r="AJ50" s="11">
        <f>'[1]2018'!AJ55+'[1]2019'!AJ55+'[1]2020'!AJ55</f>
        <v>17</v>
      </c>
      <c r="AK50" s="11">
        <f>'[1]2018'!AK55+'[1]2019'!AK55+'[1]2020'!AK55</f>
        <v>0</v>
      </c>
      <c r="AL50" s="11">
        <f>'[1]2018'!AL55+'[1]2019'!AL55+'[1]2020'!AL55</f>
        <v>0</v>
      </c>
      <c r="AM50" s="11">
        <f>'[1]2018'!AM55+'[1]2019'!AM55+'[1]2020'!AM55</f>
        <v>0</v>
      </c>
      <c r="AN50" s="11">
        <f>'[1]2018'!AN55+'[1]2019'!AN55+'[1]2020'!AN55</f>
        <v>18</v>
      </c>
      <c r="AO50" s="11">
        <f>'[1]2018'!AO55+'[1]2019'!AO55+'[1]2020'!AO55</f>
        <v>0</v>
      </c>
      <c r="AP50" s="11">
        <f>'[1]2018'!AP55+'[1]2019'!AP55+'[1]2020'!AP55</f>
        <v>0</v>
      </c>
      <c r="AQ50" s="11">
        <f>'[1]2018'!AQ55+'[1]2019'!AQ55+'[1]2020'!AQ55</f>
        <v>0</v>
      </c>
      <c r="AR50" s="11">
        <f>'[1]2018'!AR55+'[1]2019'!AR55+'[1]2020'!AR55</f>
        <v>0</v>
      </c>
      <c r="AS50" s="11">
        <f>'[1]2018'!AS55+'[1]2019'!AS55+'[1]2020'!AS55</f>
        <v>0</v>
      </c>
      <c r="AT50" s="11">
        <f>'[1]2018'!AT55+'[1]2019'!AT55+'[1]2020'!AT55</f>
        <v>1</v>
      </c>
      <c r="AU50" s="11">
        <f>'[1]2018'!AU55+'[1]2019'!AU55+'[1]2020'!AU55</f>
        <v>0</v>
      </c>
      <c r="AV50" s="11">
        <f>'[1]2018'!AV55+'[1]2019'!AV55+'[1]2020'!AV55</f>
        <v>0</v>
      </c>
      <c r="AW50" s="41">
        <f t="shared" si="3"/>
        <v>53</v>
      </c>
      <c r="AX50" s="14">
        <f t="shared" si="4"/>
        <v>501.9111111111111</v>
      </c>
      <c r="AY50" s="2">
        <f>'[1]2018'!AX55+'[1]2019'!AX55+'[1]2020'!AX55</f>
        <v>1505.7333333333333</v>
      </c>
    </row>
    <row r="51" spans="1:57" x14ac:dyDescent="0.25">
      <c r="A51" s="10" t="s">
        <v>136</v>
      </c>
      <c r="B51" s="46">
        <f>'[1]2018'!B56+'[1]2019'!B56+'[1]2020'!B56</f>
        <v>2</v>
      </c>
      <c r="C51" s="46">
        <f>'[1]2018'!C56+'[1]2019'!C56+'[1]2020'!C56</f>
        <v>0</v>
      </c>
      <c r="D51" s="46">
        <f>'[1]2018'!D56+'[1]2019'!D56+'[1]2020'!D56</f>
        <v>3</v>
      </c>
      <c r="E51" s="46">
        <f>'[1]2018'!E56+'[1]2019'!E56+'[1]2020'!E56</f>
        <v>0</v>
      </c>
      <c r="F51" s="46">
        <f>'[1]2018'!F56+'[1]2019'!F56+'[1]2020'!F56</f>
        <v>0</v>
      </c>
      <c r="G51" s="46">
        <f>'[1]2018'!G56+'[1]2019'!G56+'[1]2020'!G56</f>
        <v>0</v>
      </c>
      <c r="H51" s="46">
        <f>'[1]2018'!H56+'[1]2019'!H56+'[1]2020'!H56</f>
        <v>0</v>
      </c>
      <c r="I51" s="46">
        <f>'[1]2018'!I56+'[1]2019'!I56+'[1]2020'!I56</f>
        <v>0</v>
      </c>
      <c r="J51" s="46">
        <f>'[1]2018'!J56+'[1]2019'!J56+'[1]2020'!J56</f>
        <v>0</v>
      </c>
      <c r="K51" s="46">
        <f>'[1]2018'!K56+'[1]2019'!K56+'[1]2020'!K56</f>
        <v>0</v>
      </c>
      <c r="L51" s="46">
        <f>'[1]2018'!L56+'[1]2019'!L56+'[1]2020'!L56</f>
        <v>2</v>
      </c>
      <c r="M51" s="46">
        <f>'[1]2018'!M56+'[1]2019'!M56+'[1]2020'!M56</f>
        <v>0</v>
      </c>
      <c r="N51" s="46">
        <f>'[1]2018'!N56+'[1]2019'!N56+'[1]2020'!N56</f>
        <v>0</v>
      </c>
      <c r="O51" s="46">
        <f>'[1]2018'!O56+'[1]2019'!O56+'[1]2020'!O56</f>
        <v>1</v>
      </c>
      <c r="P51" s="46">
        <f>'[1]2018'!P56+'[1]2019'!P56+'[1]2020'!P56</f>
        <v>0</v>
      </c>
      <c r="Q51" s="46">
        <f>'[1]2018'!Q56+'[1]2019'!Q56+'[1]2020'!Q56</f>
        <v>0</v>
      </c>
      <c r="R51" s="46">
        <f>'[1]2018'!R56+'[1]2019'!R56+'[1]2020'!R56</f>
        <v>0</v>
      </c>
      <c r="S51" s="46">
        <f>'[1]2018'!S56+'[1]2019'!S56+'[1]2020'!S56</f>
        <v>0</v>
      </c>
      <c r="T51" s="46">
        <f>'[1]2018'!T56+'[1]2019'!T56+'[1]2020'!T56</f>
        <v>0</v>
      </c>
      <c r="U51" s="46">
        <f>'[1]2018'!U56+'[1]2019'!U56+'[1]2020'!U56</f>
        <v>0</v>
      </c>
      <c r="V51" s="46">
        <f>'[1]2018'!V56+'[1]2019'!V56+'[1]2020'!V56</f>
        <v>0</v>
      </c>
      <c r="W51" s="46">
        <f>'[1]2018'!W56+'[1]2019'!W56+'[1]2020'!W56</f>
        <v>0</v>
      </c>
      <c r="X51" s="46">
        <f>'[1]2018'!X56+'[1]2019'!X56+'[1]2020'!X56</f>
        <v>0</v>
      </c>
      <c r="Y51" s="41">
        <f t="shared" si="1"/>
        <v>3</v>
      </c>
      <c r="Z51" s="11">
        <f>'[1]2018'!Z56+'[1]2019'!Z56+'[1]2020'!Z56</f>
        <v>0</v>
      </c>
      <c r="AA51" s="11">
        <f>'[1]2018'!AA56+'[1]2019'!AA56+'[1]2020'!AA56</f>
        <v>0</v>
      </c>
      <c r="AB51" s="11">
        <f>'[1]2018'!AB56+'[1]2019'!AB56+'[1]2020'!AB56</f>
        <v>0</v>
      </c>
      <c r="AC51" s="11">
        <f>'[1]2018'!AC56+'[1]2019'!AC56+'[1]2020'!AC56</f>
        <v>0</v>
      </c>
      <c r="AD51" s="11">
        <f>'[1]2018'!AD56+'[1]2019'!AD56+'[1]2020'!AD56</f>
        <v>0</v>
      </c>
      <c r="AE51" s="11">
        <f>'[1]2018'!AE56+'[1]2019'!AE56+'[1]2020'!AE56</f>
        <v>0</v>
      </c>
      <c r="AF51" s="11">
        <f>'[1]2018'!AF56+'[1]2019'!AF56+'[1]2020'!AF56</f>
        <v>0</v>
      </c>
      <c r="AG51" s="11">
        <f>'[1]2018'!AG56+'[1]2019'!AG56+'[1]2020'!AG56</f>
        <v>0</v>
      </c>
      <c r="AH51" s="11">
        <f>'[1]2018'!AH56+'[1]2019'!AH56+'[1]2020'!AH56</f>
        <v>0</v>
      </c>
      <c r="AI51" s="11">
        <f>'[1]2018'!AI56+'[1]2019'!AI56+'[1]2020'!AI56</f>
        <v>0</v>
      </c>
      <c r="AJ51" s="11">
        <f>'[1]2018'!AJ56+'[1]2019'!AJ56+'[1]2020'!AJ56</f>
        <v>0</v>
      </c>
      <c r="AK51" s="11">
        <f>'[1]2018'!AK56+'[1]2019'!AK56+'[1]2020'!AK56</f>
        <v>0</v>
      </c>
      <c r="AL51" s="11">
        <f>'[1]2018'!AL56+'[1]2019'!AL56+'[1]2020'!AL56</f>
        <v>0</v>
      </c>
      <c r="AM51" s="11">
        <f>'[1]2018'!AM56+'[1]2019'!AM56+'[1]2020'!AM56</f>
        <v>0</v>
      </c>
      <c r="AN51" s="11">
        <f>'[1]2018'!AN56+'[1]2019'!AN56+'[1]2020'!AN56</f>
        <v>0</v>
      </c>
      <c r="AO51" s="11">
        <f>'[1]2018'!AO56+'[1]2019'!AO56+'[1]2020'!AO56</f>
        <v>0</v>
      </c>
      <c r="AP51" s="11">
        <f>'[1]2018'!AP56+'[1]2019'!AP56+'[1]2020'!AP56</f>
        <v>0</v>
      </c>
      <c r="AQ51" s="11">
        <f>'[1]2018'!AQ56+'[1]2019'!AQ56+'[1]2020'!AQ56</f>
        <v>0</v>
      </c>
      <c r="AR51" s="11">
        <f>'[1]2018'!AR56+'[1]2019'!AR56+'[1]2020'!AR56</f>
        <v>0</v>
      </c>
      <c r="AS51" s="11">
        <f>'[1]2018'!AS56+'[1]2019'!AS56+'[1]2020'!AS56</f>
        <v>0</v>
      </c>
      <c r="AT51" s="11">
        <f>'[1]2018'!AT56+'[1]2019'!AT56+'[1]2020'!AT56</f>
        <v>0</v>
      </c>
      <c r="AU51" s="11">
        <f>'[1]2018'!AU56+'[1]2019'!AU56+'[1]2020'!AU56</f>
        <v>0</v>
      </c>
      <c r="AV51" s="11">
        <f>'[1]2018'!AV56+'[1]2019'!AV56+'[1]2020'!AV56</f>
        <v>0</v>
      </c>
      <c r="AW51" s="41">
        <f t="shared" si="3"/>
        <v>0</v>
      </c>
      <c r="AX51" s="14">
        <f t="shared" si="4"/>
        <v>0</v>
      </c>
      <c r="AY51" s="2">
        <f>'[1]2018'!AX56+'[1]2019'!AX56+'[1]2020'!AX56</f>
        <v>0</v>
      </c>
    </row>
    <row r="52" spans="1:57" x14ac:dyDescent="0.25">
      <c r="A52" s="10" t="s">
        <v>135</v>
      </c>
      <c r="B52" s="46">
        <f>'[1]2018'!B57+'[1]2019'!B57+'[1]2020'!B57</f>
        <v>5</v>
      </c>
      <c r="C52" s="46">
        <f>'[1]2018'!C57+'[1]2019'!C57+'[1]2020'!C57</f>
        <v>2</v>
      </c>
      <c r="D52" s="46">
        <f>'[1]2018'!D57+'[1]2019'!D57+'[1]2020'!D57</f>
        <v>123</v>
      </c>
      <c r="E52" s="46">
        <f>'[1]2018'!E57+'[1]2019'!E57+'[1]2020'!E57</f>
        <v>3</v>
      </c>
      <c r="F52" s="46">
        <f>'[1]2018'!F57+'[1]2019'!F57+'[1]2020'!F57</f>
        <v>0</v>
      </c>
      <c r="G52" s="46">
        <f>'[1]2018'!G57+'[1]2019'!G57+'[1]2020'!G57</f>
        <v>0</v>
      </c>
      <c r="H52" s="46">
        <f>'[1]2018'!H57+'[1]2019'!H57+'[1]2020'!H57</f>
        <v>120</v>
      </c>
      <c r="I52" s="46">
        <f>'[1]2018'!I57+'[1]2019'!I57+'[1]2020'!I57</f>
        <v>0</v>
      </c>
      <c r="J52" s="46">
        <f>'[1]2018'!J57+'[1]2019'!J57+'[1]2020'!J57</f>
        <v>0</v>
      </c>
      <c r="K52" s="46">
        <f>'[1]2018'!K57+'[1]2019'!K57+'[1]2020'!K57</f>
        <v>0</v>
      </c>
      <c r="L52" s="46">
        <f>'[1]2018'!L57+'[1]2019'!L57+'[1]2020'!L57</f>
        <v>0</v>
      </c>
      <c r="M52" s="46">
        <f>'[1]2018'!M57+'[1]2019'!M57+'[1]2020'!M57</f>
        <v>0</v>
      </c>
      <c r="N52" s="46">
        <f>'[1]2018'!N57+'[1]2019'!N57+'[1]2020'!N57</f>
        <v>0</v>
      </c>
      <c r="O52" s="46">
        <f>'[1]2018'!O57+'[1]2019'!O57+'[1]2020'!O57</f>
        <v>0</v>
      </c>
      <c r="P52" s="46">
        <f>'[1]2018'!P57+'[1]2019'!P57+'[1]2020'!P57</f>
        <v>0</v>
      </c>
      <c r="Q52" s="46">
        <f>'[1]2018'!Q57+'[1]2019'!Q57+'[1]2020'!Q57</f>
        <v>0</v>
      </c>
      <c r="R52" s="46">
        <f>'[1]2018'!R57+'[1]2019'!R57+'[1]2020'!R57</f>
        <v>0</v>
      </c>
      <c r="S52" s="46">
        <f>'[1]2018'!S57+'[1]2019'!S57+'[1]2020'!S57</f>
        <v>0</v>
      </c>
      <c r="T52" s="46">
        <f>'[1]2018'!T57+'[1]2019'!T57+'[1]2020'!T57</f>
        <v>0</v>
      </c>
      <c r="U52" s="46">
        <f>'[1]2018'!U57+'[1]2019'!U57+'[1]2020'!U57</f>
        <v>0</v>
      </c>
      <c r="V52" s="46">
        <f>'[1]2018'!V57+'[1]2019'!V57+'[1]2020'!V57</f>
        <v>3</v>
      </c>
      <c r="W52" s="46">
        <f>'[1]2018'!W57+'[1]2019'!W57+'[1]2020'!W57</f>
        <v>0</v>
      </c>
      <c r="X52" s="46">
        <f>'[1]2018'!X57+'[1]2019'!X57+'[1]2020'!X57</f>
        <v>0</v>
      </c>
      <c r="Y52" s="41">
        <f t="shared" si="1"/>
        <v>123</v>
      </c>
      <c r="Z52" s="11">
        <f>'[1]2018'!Z57+'[1]2019'!Z57+'[1]2020'!Z57</f>
        <v>1</v>
      </c>
      <c r="AA52" s="11">
        <f>'[1]2018'!AA57+'[1]2019'!AA57+'[1]2020'!AA57</f>
        <v>1</v>
      </c>
      <c r="AB52" s="11">
        <f>'[1]2018'!AB57+'[1]2019'!AB57+'[1]2020'!AB57</f>
        <v>1</v>
      </c>
      <c r="AC52" s="11">
        <f>'[1]2018'!AC57+'[1]2019'!AC57+'[1]2020'!AC57</f>
        <v>1</v>
      </c>
      <c r="AD52" s="11">
        <f>'[1]2018'!AD57+'[1]2019'!AD57+'[1]2020'!AD57</f>
        <v>0</v>
      </c>
      <c r="AE52" s="11">
        <f>'[1]2018'!AE57+'[1]2019'!AE57+'[1]2020'!AE57</f>
        <v>0</v>
      </c>
      <c r="AF52" s="11">
        <f>'[1]2018'!AF57+'[1]2019'!AF57+'[1]2020'!AF57</f>
        <v>0</v>
      </c>
      <c r="AG52" s="11">
        <f>'[1]2018'!AG57+'[1]2019'!AG57+'[1]2020'!AG57</f>
        <v>0</v>
      </c>
      <c r="AH52" s="11">
        <f>'[1]2018'!AH57+'[1]2019'!AH57+'[1]2020'!AH57</f>
        <v>0</v>
      </c>
      <c r="AI52" s="11">
        <f>'[1]2018'!AI57+'[1]2019'!AI57+'[1]2020'!AI57</f>
        <v>0</v>
      </c>
      <c r="AJ52" s="11">
        <f>'[1]2018'!AJ57+'[1]2019'!AJ57+'[1]2020'!AJ57</f>
        <v>0</v>
      </c>
      <c r="AK52" s="11">
        <f>'[1]2018'!AK57+'[1]2019'!AK57+'[1]2020'!AK57</f>
        <v>0</v>
      </c>
      <c r="AL52" s="11">
        <f>'[1]2018'!AL57+'[1]2019'!AL57+'[1]2020'!AL57</f>
        <v>0</v>
      </c>
      <c r="AM52" s="11">
        <f>'[1]2018'!AM57+'[1]2019'!AM57+'[1]2020'!AM57</f>
        <v>0</v>
      </c>
      <c r="AN52" s="11">
        <f>'[1]2018'!AN57+'[1]2019'!AN57+'[1]2020'!AN57</f>
        <v>0</v>
      </c>
      <c r="AO52" s="11">
        <f>'[1]2018'!AO57+'[1]2019'!AO57+'[1]2020'!AO57</f>
        <v>0</v>
      </c>
      <c r="AP52" s="11">
        <f>'[1]2018'!AP57+'[1]2019'!AP57+'[1]2020'!AP57</f>
        <v>0</v>
      </c>
      <c r="AQ52" s="11">
        <f>'[1]2018'!AQ57+'[1]2019'!AQ57+'[1]2020'!AQ57</f>
        <v>0</v>
      </c>
      <c r="AR52" s="11">
        <f>'[1]2018'!AR57+'[1]2019'!AR57+'[1]2020'!AR57</f>
        <v>0</v>
      </c>
      <c r="AS52" s="11">
        <f>'[1]2018'!AS57+'[1]2019'!AS57+'[1]2020'!AS57</f>
        <v>0</v>
      </c>
      <c r="AT52" s="11">
        <f>'[1]2018'!AT57+'[1]2019'!AT57+'[1]2020'!AT57</f>
        <v>1</v>
      </c>
      <c r="AU52" s="11">
        <f>'[1]2018'!AU57+'[1]2019'!AU57+'[1]2020'!AU57</f>
        <v>0</v>
      </c>
      <c r="AV52" s="11">
        <f>'[1]2018'!AV57+'[1]2019'!AV57+'[1]2020'!AV57</f>
        <v>0</v>
      </c>
      <c r="AW52" s="41">
        <f t="shared" si="3"/>
        <v>1</v>
      </c>
      <c r="AX52" s="14">
        <f t="shared" si="4"/>
        <v>298.66666666666669</v>
      </c>
      <c r="AY52" s="2">
        <f>'[1]2018'!AX57+'[1]2019'!AX57+'[1]2020'!AX57</f>
        <v>896</v>
      </c>
    </row>
    <row r="53" spans="1:57" x14ac:dyDescent="0.25">
      <c r="A53" s="10" t="s">
        <v>134</v>
      </c>
      <c r="B53" s="46">
        <f>'[1]2018'!B58+'[1]2019'!B58+'[1]2020'!B58</f>
        <v>0</v>
      </c>
      <c r="C53" s="46">
        <f>'[1]2018'!C58+'[1]2019'!C58+'[1]2020'!C58</f>
        <v>0</v>
      </c>
      <c r="D53" s="46">
        <f>'[1]2018'!D58+'[1]2019'!D58+'[1]2020'!D58</f>
        <v>0</v>
      </c>
      <c r="E53" s="46">
        <f>'[1]2018'!E58+'[1]2019'!E58+'[1]2020'!E58</f>
        <v>0</v>
      </c>
      <c r="F53" s="46">
        <f>'[1]2018'!F58+'[1]2019'!F58+'[1]2020'!F58</f>
        <v>0</v>
      </c>
      <c r="G53" s="46">
        <f>'[1]2018'!G58+'[1]2019'!G58+'[1]2020'!G58</f>
        <v>0</v>
      </c>
      <c r="H53" s="46">
        <f>'[1]2018'!H58+'[1]2019'!H58+'[1]2020'!H58</f>
        <v>0</v>
      </c>
      <c r="I53" s="46">
        <f>'[1]2018'!I58+'[1]2019'!I58+'[1]2020'!I58</f>
        <v>0</v>
      </c>
      <c r="J53" s="46">
        <f>'[1]2018'!J58+'[1]2019'!J58+'[1]2020'!J58</f>
        <v>0</v>
      </c>
      <c r="K53" s="46">
        <f>'[1]2018'!K58+'[1]2019'!K58+'[1]2020'!K58</f>
        <v>0</v>
      </c>
      <c r="L53" s="46">
        <f>'[1]2018'!L58+'[1]2019'!L58+'[1]2020'!L58</f>
        <v>0</v>
      </c>
      <c r="M53" s="46">
        <f>'[1]2018'!M58+'[1]2019'!M58+'[1]2020'!M58</f>
        <v>0</v>
      </c>
      <c r="N53" s="46">
        <f>'[1]2018'!N58+'[1]2019'!N58+'[1]2020'!N58</f>
        <v>0</v>
      </c>
      <c r="O53" s="46">
        <f>'[1]2018'!O58+'[1]2019'!O58+'[1]2020'!O58</f>
        <v>0</v>
      </c>
      <c r="P53" s="46">
        <f>'[1]2018'!P58+'[1]2019'!P58+'[1]2020'!P58</f>
        <v>0</v>
      </c>
      <c r="Q53" s="46">
        <f>'[1]2018'!Q58+'[1]2019'!Q58+'[1]2020'!Q58</f>
        <v>0</v>
      </c>
      <c r="R53" s="46">
        <f>'[1]2018'!R58+'[1]2019'!R58+'[1]2020'!R58</f>
        <v>0</v>
      </c>
      <c r="S53" s="46">
        <f>'[1]2018'!S58+'[1]2019'!S58+'[1]2020'!S58</f>
        <v>0</v>
      </c>
      <c r="T53" s="46">
        <f>'[1]2018'!T58+'[1]2019'!T58+'[1]2020'!T58</f>
        <v>0</v>
      </c>
      <c r="U53" s="46">
        <f>'[1]2018'!U58+'[1]2019'!U58+'[1]2020'!U58</f>
        <v>0</v>
      </c>
      <c r="V53" s="46">
        <f>'[1]2018'!V58+'[1]2019'!V58+'[1]2020'!V58</f>
        <v>0</v>
      </c>
      <c r="W53" s="46">
        <f>'[1]2018'!W58+'[1]2019'!W58+'[1]2020'!W58</f>
        <v>0</v>
      </c>
      <c r="X53" s="46">
        <f>'[1]2018'!X58+'[1]2019'!X58+'[1]2020'!X58</f>
        <v>0</v>
      </c>
      <c r="Y53" s="41">
        <f t="shared" si="1"/>
        <v>0</v>
      </c>
      <c r="Z53" s="11">
        <f>'[1]2018'!Z58+'[1]2019'!Z58+'[1]2020'!Z58</f>
        <v>0</v>
      </c>
      <c r="AA53" s="11">
        <f>'[1]2018'!AA58+'[1]2019'!AA58+'[1]2020'!AA58</f>
        <v>0</v>
      </c>
      <c r="AB53" s="11">
        <f>'[1]2018'!AB58+'[1]2019'!AB58+'[1]2020'!AB58</f>
        <v>0</v>
      </c>
      <c r="AC53" s="11">
        <f>'[1]2018'!AC58+'[1]2019'!AC58+'[1]2020'!AC58</f>
        <v>0</v>
      </c>
      <c r="AD53" s="11">
        <f>'[1]2018'!AD58+'[1]2019'!AD58+'[1]2020'!AD58</f>
        <v>0</v>
      </c>
      <c r="AE53" s="11">
        <f>'[1]2018'!AE58+'[1]2019'!AE58+'[1]2020'!AE58</f>
        <v>0</v>
      </c>
      <c r="AF53" s="11">
        <f>'[1]2018'!AF58+'[1]2019'!AF58+'[1]2020'!AF58</f>
        <v>0</v>
      </c>
      <c r="AG53" s="11">
        <f>'[1]2018'!AG58+'[1]2019'!AG58+'[1]2020'!AG58</f>
        <v>0</v>
      </c>
      <c r="AH53" s="11">
        <f>'[1]2018'!AH58+'[1]2019'!AH58+'[1]2020'!AH58</f>
        <v>0</v>
      </c>
      <c r="AI53" s="11">
        <f>'[1]2018'!AI58+'[1]2019'!AI58+'[1]2020'!AI58</f>
        <v>0</v>
      </c>
      <c r="AJ53" s="11">
        <f>'[1]2018'!AJ58+'[1]2019'!AJ58+'[1]2020'!AJ58</f>
        <v>0</v>
      </c>
      <c r="AK53" s="11">
        <f>'[1]2018'!AK58+'[1]2019'!AK58+'[1]2020'!AK58</f>
        <v>0</v>
      </c>
      <c r="AL53" s="11">
        <f>'[1]2018'!AL58+'[1]2019'!AL58+'[1]2020'!AL58</f>
        <v>0</v>
      </c>
      <c r="AM53" s="11">
        <f>'[1]2018'!AM58+'[1]2019'!AM58+'[1]2020'!AM58</f>
        <v>0</v>
      </c>
      <c r="AN53" s="11">
        <f>'[1]2018'!AN58+'[1]2019'!AN58+'[1]2020'!AN58</f>
        <v>0</v>
      </c>
      <c r="AO53" s="11">
        <f>'[1]2018'!AO58+'[1]2019'!AO58+'[1]2020'!AO58</f>
        <v>0</v>
      </c>
      <c r="AP53" s="11">
        <f>'[1]2018'!AP58+'[1]2019'!AP58+'[1]2020'!AP58</f>
        <v>0</v>
      </c>
      <c r="AQ53" s="11">
        <f>'[1]2018'!AQ58+'[1]2019'!AQ58+'[1]2020'!AQ58</f>
        <v>0</v>
      </c>
      <c r="AR53" s="11">
        <f>'[1]2018'!AR58+'[1]2019'!AR58+'[1]2020'!AR58</f>
        <v>0</v>
      </c>
      <c r="AS53" s="11">
        <f>'[1]2018'!AS58+'[1]2019'!AS58+'[1]2020'!AS58</f>
        <v>0</v>
      </c>
      <c r="AT53" s="11">
        <f>'[1]2018'!AT58+'[1]2019'!AT58+'[1]2020'!AT58</f>
        <v>0</v>
      </c>
      <c r="AU53" s="11">
        <f>'[1]2018'!AU58+'[1]2019'!AU58+'[1]2020'!AU58</f>
        <v>0</v>
      </c>
      <c r="AV53" s="11">
        <f>'[1]2018'!AV58+'[1]2019'!AV58+'[1]2020'!AV58</f>
        <v>0</v>
      </c>
      <c r="AW53" s="41">
        <f t="shared" si="3"/>
        <v>0</v>
      </c>
      <c r="AX53" s="14">
        <f t="shared" si="4"/>
        <v>0</v>
      </c>
      <c r="AY53" s="2">
        <f>'[1]2018'!AX58+'[1]2019'!AX58+'[1]2020'!AX58</f>
        <v>0</v>
      </c>
    </row>
    <row r="54" spans="1:57" x14ac:dyDescent="0.25">
      <c r="A54" s="10" t="s">
        <v>32</v>
      </c>
      <c r="B54" s="46">
        <f>'[1]2018'!B59+'[1]2019'!B59+'[1]2020'!B59</f>
        <v>2</v>
      </c>
      <c r="C54" s="46">
        <f>'[1]2018'!C59+'[1]2019'!C59+'[1]2020'!C59</f>
        <v>0</v>
      </c>
      <c r="D54" s="46">
        <f>'[1]2018'!D59+'[1]2019'!D59+'[1]2020'!D59</f>
        <v>4</v>
      </c>
      <c r="E54" s="46">
        <f>'[1]2018'!E59+'[1]2019'!E59+'[1]2020'!E59</f>
        <v>0</v>
      </c>
      <c r="F54" s="46">
        <f>'[1]2018'!F59+'[1]2019'!F59+'[1]2020'!F59</f>
        <v>0</v>
      </c>
      <c r="G54" s="46">
        <f>'[1]2018'!G59+'[1]2019'!G59+'[1]2020'!G59</f>
        <v>0</v>
      </c>
      <c r="H54" s="46">
        <f>'[1]2018'!H59+'[1]2019'!H59+'[1]2020'!H59</f>
        <v>0</v>
      </c>
      <c r="I54" s="46">
        <f>'[1]2018'!I59+'[1]2019'!I59+'[1]2020'!I59</f>
        <v>0</v>
      </c>
      <c r="J54" s="46">
        <f>'[1]2018'!J59+'[1]2019'!J59+'[1]2020'!J59</f>
        <v>0</v>
      </c>
      <c r="K54" s="46">
        <f>'[1]2018'!K59+'[1]2019'!K59+'[1]2020'!K59</f>
        <v>0</v>
      </c>
      <c r="L54" s="46">
        <f>'[1]2018'!L59+'[1]2019'!L59+'[1]2020'!L59</f>
        <v>1</v>
      </c>
      <c r="M54" s="46">
        <f>'[1]2018'!M59+'[1]2019'!M59+'[1]2020'!M59</f>
        <v>0</v>
      </c>
      <c r="N54" s="46">
        <f>'[1]2018'!N59+'[1]2019'!N59+'[1]2020'!N59</f>
        <v>0</v>
      </c>
      <c r="O54" s="46">
        <f>'[1]2018'!O59+'[1]2019'!O59+'[1]2020'!O59</f>
        <v>0</v>
      </c>
      <c r="P54" s="46">
        <f>'[1]2018'!P59+'[1]2019'!P59+'[1]2020'!P59</f>
        <v>0</v>
      </c>
      <c r="Q54" s="46">
        <f>'[1]2018'!Q59+'[1]2019'!Q59+'[1]2020'!Q59</f>
        <v>0</v>
      </c>
      <c r="R54" s="46">
        <f>'[1]2018'!R59+'[1]2019'!R59+'[1]2020'!R59</f>
        <v>0</v>
      </c>
      <c r="S54" s="46">
        <f>'[1]2018'!S59+'[1]2019'!S59+'[1]2020'!S59</f>
        <v>0</v>
      </c>
      <c r="T54" s="46">
        <f>'[1]2018'!T59+'[1]2019'!T59+'[1]2020'!T59</f>
        <v>0</v>
      </c>
      <c r="U54" s="46">
        <f>'[1]2018'!U59+'[1]2019'!U59+'[1]2020'!U59</f>
        <v>0</v>
      </c>
      <c r="V54" s="46">
        <f>'[1]2018'!V59+'[1]2019'!V59+'[1]2020'!V59</f>
        <v>0</v>
      </c>
      <c r="W54" s="46">
        <f>'[1]2018'!W59+'[1]2019'!W59+'[1]2020'!W59</f>
        <v>0</v>
      </c>
      <c r="X54" s="46">
        <f>'[1]2018'!X59+'[1]2019'!X59+'[1]2020'!X59</f>
        <v>3</v>
      </c>
      <c r="Y54" s="41">
        <f t="shared" si="1"/>
        <v>4</v>
      </c>
      <c r="Z54" s="11">
        <f>'[1]2018'!Z59+'[1]2019'!Z59+'[1]2020'!Z59</f>
        <v>2</v>
      </c>
      <c r="AA54" s="11">
        <f>'[1]2018'!AA59+'[1]2019'!AA59+'[1]2020'!AA59</f>
        <v>0</v>
      </c>
      <c r="AB54" s="11">
        <f>'[1]2018'!AB59+'[1]2019'!AB59+'[1]2020'!AB59</f>
        <v>4</v>
      </c>
      <c r="AC54" s="11">
        <f>'[1]2018'!AC59+'[1]2019'!AC59+'[1]2020'!AC59</f>
        <v>0</v>
      </c>
      <c r="AD54" s="11">
        <f>'[1]2018'!AD59+'[1]2019'!AD59+'[1]2020'!AD59</f>
        <v>0</v>
      </c>
      <c r="AE54" s="11">
        <f>'[1]2018'!AE59+'[1]2019'!AE59+'[1]2020'!AE59</f>
        <v>0</v>
      </c>
      <c r="AF54" s="11">
        <f>'[1]2018'!AF59+'[1]2019'!AF59+'[1]2020'!AF59</f>
        <v>0</v>
      </c>
      <c r="AG54" s="11">
        <f>'[1]2018'!AG59+'[1]2019'!AG59+'[1]2020'!AG59</f>
        <v>0</v>
      </c>
      <c r="AH54" s="11">
        <f>'[1]2018'!AH59+'[1]2019'!AH59+'[1]2020'!AH59</f>
        <v>0</v>
      </c>
      <c r="AI54" s="11">
        <f>'[1]2018'!AI59+'[1]2019'!AI59+'[1]2020'!AI59</f>
        <v>0</v>
      </c>
      <c r="AJ54" s="11">
        <f>'[1]2018'!AJ59+'[1]2019'!AJ59+'[1]2020'!AJ59</f>
        <v>1</v>
      </c>
      <c r="AK54" s="11">
        <f>'[1]2018'!AK59+'[1]2019'!AK59+'[1]2020'!AK59</f>
        <v>0</v>
      </c>
      <c r="AL54" s="11">
        <f>'[1]2018'!AL59+'[1]2019'!AL59+'[1]2020'!AL59</f>
        <v>0</v>
      </c>
      <c r="AM54" s="11">
        <f>'[1]2018'!AM59+'[1]2019'!AM59+'[1]2020'!AM59</f>
        <v>0</v>
      </c>
      <c r="AN54" s="11">
        <f>'[1]2018'!AN59+'[1]2019'!AN59+'[1]2020'!AN59</f>
        <v>0</v>
      </c>
      <c r="AO54" s="11">
        <f>'[1]2018'!AO59+'[1]2019'!AO59+'[1]2020'!AO59</f>
        <v>0</v>
      </c>
      <c r="AP54" s="11">
        <f>'[1]2018'!AP59+'[1]2019'!AP59+'[1]2020'!AP59</f>
        <v>0</v>
      </c>
      <c r="AQ54" s="11">
        <f>'[1]2018'!AQ59+'[1]2019'!AQ59+'[1]2020'!AQ59</f>
        <v>0</v>
      </c>
      <c r="AR54" s="11">
        <f>'[1]2018'!AR59+'[1]2019'!AR59+'[1]2020'!AR59</f>
        <v>0</v>
      </c>
      <c r="AS54" s="11">
        <f>'[1]2018'!AS59+'[1]2019'!AS59+'[1]2020'!AS59</f>
        <v>0</v>
      </c>
      <c r="AT54" s="11">
        <f>'[1]2018'!AT59+'[1]2019'!AT59+'[1]2020'!AT59</f>
        <v>0</v>
      </c>
      <c r="AU54" s="11">
        <f>'[1]2018'!AU59+'[1]2019'!AU59+'[1]2020'!AU59</f>
        <v>0</v>
      </c>
      <c r="AV54" s="11">
        <f>'[1]2018'!AV59+'[1]2019'!AV59+'[1]2020'!AV59</f>
        <v>3</v>
      </c>
      <c r="AW54" s="41">
        <f t="shared" si="3"/>
        <v>4</v>
      </c>
      <c r="AX54" s="14">
        <f t="shared" si="4"/>
        <v>1000</v>
      </c>
      <c r="AY54" s="2">
        <f>'[1]2018'!AX59+'[1]2019'!AX59+'[1]2020'!AX59</f>
        <v>3000</v>
      </c>
    </row>
    <row r="55" spans="1:57" x14ac:dyDescent="0.25">
      <c r="A55" s="10" t="s">
        <v>33</v>
      </c>
      <c r="B55" s="46">
        <f>'[1]2018'!B60+'[1]2019'!B60+'[1]2020'!B60</f>
        <v>0</v>
      </c>
      <c r="C55" s="46">
        <f>'[1]2018'!C60+'[1]2019'!C60+'[1]2020'!C60</f>
        <v>0</v>
      </c>
      <c r="D55" s="46">
        <f>'[1]2018'!D60+'[1]2019'!D60+'[1]2020'!D60</f>
        <v>0</v>
      </c>
      <c r="E55" s="46">
        <f>'[1]2018'!E60+'[1]2019'!E60+'[1]2020'!E60</f>
        <v>0</v>
      </c>
      <c r="F55" s="46">
        <f>'[1]2018'!F60+'[1]2019'!F60+'[1]2020'!F60</f>
        <v>0</v>
      </c>
      <c r="G55" s="46">
        <f>'[1]2018'!G60+'[1]2019'!G60+'[1]2020'!G60</f>
        <v>0</v>
      </c>
      <c r="H55" s="46">
        <f>'[1]2018'!H60+'[1]2019'!H60+'[1]2020'!H60</f>
        <v>0</v>
      </c>
      <c r="I55" s="46">
        <f>'[1]2018'!I60+'[1]2019'!I60+'[1]2020'!I60</f>
        <v>0</v>
      </c>
      <c r="J55" s="46">
        <f>'[1]2018'!J60+'[1]2019'!J60+'[1]2020'!J60</f>
        <v>0</v>
      </c>
      <c r="K55" s="46">
        <f>'[1]2018'!K60+'[1]2019'!K60+'[1]2020'!K60</f>
        <v>0</v>
      </c>
      <c r="L55" s="46">
        <f>'[1]2018'!L60+'[1]2019'!L60+'[1]2020'!L60</f>
        <v>0</v>
      </c>
      <c r="M55" s="46">
        <f>'[1]2018'!M60+'[1]2019'!M60+'[1]2020'!M60</f>
        <v>0</v>
      </c>
      <c r="N55" s="46">
        <f>'[1]2018'!N60+'[1]2019'!N60+'[1]2020'!N60</f>
        <v>0</v>
      </c>
      <c r="O55" s="46">
        <f>'[1]2018'!O60+'[1]2019'!O60+'[1]2020'!O60</f>
        <v>0</v>
      </c>
      <c r="P55" s="46">
        <f>'[1]2018'!P60+'[1]2019'!P60+'[1]2020'!P60</f>
        <v>0</v>
      </c>
      <c r="Q55" s="46">
        <f>'[1]2018'!Q60+'[1]2019'!Q60+'[1]2020'!Q60</f>
        <v>0</v>
      </c>
      <c r="R55" s="46">
        <f>'[1]2018'!R60+'[1]2019'!R60+'[1]2020'!R60</f>
        <v>0</v>
      </c>
      <c r="S55" s="46">
        <f>'[1]2018'!S60+'[1]2019'!S60+'[1]2020'!S60</f>
        <v>0</v>
      </c>
      <c r="T55" s="46">
        <f>'[1]2018'!T60+'[1]2019'!T60+'[1]2020'!T60</f>
        <v>0</v>
      </c>
      <c r="U55" s="46">
        <f>'[1]2018'!U60+'[1]2019'!U60+'[1]2020'!U60</f>
        <v>0</v>
      </c>
      <c r="V55" s="46">
        <f>'[1]2018'!V60+'[1]2019'!V60+'[1]2020'!V60</f>
        <v>0</v>
      </c>
      <c r="W55" s="46">
        <f>'[1]2018'!W60+'[1]2019'!W60+'[1]2020'!W60</f>
        <v>0</v>
      </c>
      <c r="X55" s="46">
        <f>'[1]2018'!X60+'[1]2019'!X60+'[1]2020'!X60</f>
        <v>0</v>
      </c>
      <c r="Y55" s="41">
        <f t="shared" si="1"/>
        <v>0</v>
      </c>
      <c r="Z55" s="11">
        <f>'[1]2018'!Z60+'[1]2019'!Z60+'[1]2020'!Z60</f>
        <v>0</v>
      </c>
      <c r="AA55" s="11">
        <f>'[1]2018'!AA60+'[1]2019'!AA60+'[1]2020'!AA60</f>
        <v>0</v>
      </c>
      <c r="AB55" s="11">
        <f>'[1]2018'!AB60+'[1]2019'!AB60+'[1]2020'!AB60</f>
        <v>0</v>
      </c>
      <c r="AC55" s="11">
        <f>'[1]2018'!AC60+'[1]2019'!AC60+'[1]2020'!AC60</f>
        <v>0</v>
      </c>
      <c r="AD55" s="11">
        <f>'[1]2018'!AD60+'[1]2019'!AD60+'[1]2020'!AD60</f>
        <v>0</v>
      </c>
      <c r="AE55" s="11">
        <f>'[1]2018'!AE60+'[1]2019'!AE60+'[1]2020'!AE60</f>
        <v>0</v>
      </c>
      <c r="AF55" s="11">
        <f>'[1]2018'!AF60+'[1]2019'!AF60+'[1]2020'!AF60</f>
        <v>0</v>
      </c>
      <c r="AG55" s="11">
        <f>'[1]2018'!AG60+'[1]2019'!AG60+'[1]2020'!AG60</f>
        <v>0</v>
      </c>
      <c r="AH55" s="11">
        <f>'[1]2018'!AH60+'[1]2019'!AH60+'[1]2020'!AH60</f>
        <v>0</v>
      </c>
      <c r="AI55" s="11">
        <f>'[1]2018'!AI60+'[1]2019'!AI60+'[1]2020'!AI60</f>
        <v>0</v>
      </c>
      <c r="AJ55" s="11">
        <f>'[1]2018'!AJ60+'[1]2019'!AJ60+'[1]2020'!AJ60</f>
        <v>0</v>
      </c>
      <c r="AK55" s="11">
        <f>'[1]2018'!AK60+'[1]2019'!AK60+'[1]2020'!AK60</f>
        <v>0</v>
      </c>
      <c r="AL55" s="11">
        <f>'[1]2018'!AL60+'[1]2019'!AL60+'[1]2020'!AL60</f>
        <v>0</v>
      </c>
      <c r="AM55" s="11">
        <f>'[1]2018'!AM60+'[1]2019'!AM60+'[1]2020'!AM60</f>
        <v>0</v>
      </c>
      <c r="AN55" s="11">
        <f>'[1]2018'!AN60+'[1]2019'!AN60+'[1]2020'!AN60</f>
        <v>0</v>
      </c>
      <c r="AO55" s="11">
        <f>'[1]2018'!AO60+'[1]2019'!AO60+'[1]2020'!AO60</f>
        <v>0</v>
      </c>
      <c r="AP55" s="11">
        <f>'[1]2018'!AP60+'[1]2019'!AP60+'[1]2020'!AP60</f>
        <v>0</v>
      </c>
      <c r="AQ55" s="11">
        <f>'[1]2018'!AQ60+'[1]2019'!AQ60+'[1]2020'!AQ60</f>
        <v>0</v>
      </c>
      <c r="AR55" s="11">
        <f>'[1]2018'!AR60+'[1]2019'!AR60+'[1]2020'!AR60</f>
        <v>0</v>
      </c>
      <c r="AS55" s="11">
        <f>'[1]2018'!AS60+'[1]2019'!AS60+'[1]2020'!AS60</f>
        <v>0</v>
      </c>
      <c r="AT55" s="11">
        <f>'[1]2018'!AT60+'[1]2019'!AT60+'[1]2020'!AT60</f>
        <v>0</v>
      </c>
      <c r="AU55" s="11">
        <f>'[1]2018'!AU60+'[1]2019'!AU60+'[1]2020'!AU60</f>
        <v>0</v>
      </c>
      <c r="AV55" s="11">
        <f>'[1]2018'!AV60+'[1]2019'!AV60+'[1]2020'!AV60</f>
        <v>0</v>
      </c>
      <c r="AW55" s="41">
        <f t="shared" si="3"/>
        <v>0</v>
      </c>
      <c r="AX55" s="14">
        <f t="shared" si="4"/>
        <v>0</v>
      </c>
      <c r="AY55" s="2">
        <f>'[1]2018'!AX60+'[1]2019'!AX60+'[1]2020'!AX60</f>
        <v>0</v>
      </c>
    </row>
    <row r="56" spans="1:57" x14ac:dyDescent="0.25">
      <c r="A56" s="10" t="s">
        <v>34</v>
      </c>
      <c r="B56" s="46">
        <f>'[1]2018'!B61+'[1]2019'!B61+'[1]2020'!B61</f>
        <v>5</v>
      </c>
      <c r="C56" s="46">
        <f>'[1]2018'!C61+'[1]2019'!C61+'[1]2020'!C61</f>
        <v>1</v>
      </c>
      <c r="D56" s="46">
        <f>'[1]2018'!D61+'[1]2019'!D61+'[1]2020'!D61</f>
        <v>57</v>
      </c>
      <c r="E56" s="46">
        <f>'[1]2018'!E61+'[1]2019'!E61+'[1]2020'!E61</f>
        <v>30</v>
      </c>
      <c r="F56" s="46">
        <f>'[1]2018'!F61+'[1]2019'!F61+'[1]2020'!F61</f>
        <v>0</v>
      </c>
      <c r="G56" s="46">
        <f>'[1]2018'!G61+'[1]2019'!G61+'[1]2020'!G61</f>
        <v>0</v>
      </c>
      <c r="H56" s="46">
        <f>'[1]2018'!H61+'[1]2019'!H61+'[1]2020'!H61</f>
        <v>0</v>
      </c>
      <c r="I56" s="46">
        <f>'[1]2018'!I61+'[1]2019'!I61+'[1]2020'!I61</f>
        <v>0</v>
      </c>
      <c r="J56" s="46">
        <f>'[1]2018'!J61+'[1]2019'!J61+'[1]2020'!J61</f>
        <v>0</v>
      </c>
      <c r="K56" s="46">
        <f>'[1]2018'!K61+'[1]2019'!K61+'[1]2020'!K61</f>
        <v>0</v>
      </c>
      <c r="L56" s="46">
        <f>'[1]2018'!L61+'[1]2019'!L61+'[1]2020'!L61</f>
        <v>27</v>
      </c>
      <c r="M56" s="46">
        <f>'[1]2018'!M61+'[1]2019'!M61+'[1]2020'!M61</f>
        <v>0</v>
      </c>
      <c r="N56" s="46">
        <f>'[1]2018'!N61+'[1]2019'!N61+'[1]2020'!N61</f>
        <v>0</v>
      </c>
      <c r="O56" s="46">
        <f>'[1]2018'!O61+'[1]2019'!O61+'[1]2020'!O61</f>
        <v>0</v>
      </c>
      <c r="P56" s="46">
        <f>'[1]2018'!P61+'[1]2019'!P61+'[1]2020'!P61</f>
        <v>0</v>
      </c>
      <c r="Q56" s="46">
        <f>'[1]2018'!Q61+'[1]2019'!Q61+'[1]2020'!Q61</f>
        <v>0</v>
      </c>
      <c r="R56" s="46">
        <f>'[1]2018'!R61+'[1]2019'!R61+'[1]2020'!R61</f>
        <v>0</v>
      </c>
      <c r="S56" s="46">
        <f>'[1]2018'!S61+'[1]2019'!S61+'[1]2020'!S61</f>
        <v>0</v>
      </c>
      <c r="T56" s="46">
        <f>'[1]2018'!T61+'[1]2019'!T61+'[1]2020'!T61</f>
        <v>0</v>
      </c>
      <c r="U56" s="46">
        <f>'[1]2018'!U61+'[1]2019'!U61+'[1]2020'!U61</f>
        <v>0</v>
      </c>
      <c r="V56" s="46">
        <f>'[1]2018'!V61+'[1]2019'!V61+'[1]2020'!V61</f>
        <v>0</v>
      </c>
      <c r="W56" s="46">
        <f>'[1]2018'!W61+'[1]2019'!W61+'[1]2020'!W61</f>
        <v>0</v>
      </c>
      <c r="X56" s="46">
        <f>'[1]2018'!X61+'[1]2019'!X61+'[1]2020'!X61</f>
        <v>30</v>
      </c>
      <c r="Y56" s="41">
        <f t="shared" si="1"/>
        <v>57</v>
      </c>
      <c r="Z56" s="11">
        <f>'[1]2018'!Z61+'[1]2019'!Z61+'[1]2020'!Z61</f>
        <v>1</v>
      </c>
      <c r="AA56" s="11">
        <f>'[1]2018'!AA61+'[1]2019'!AA61+'[1]2020'!AA61</f>
        <v>1</v>
      </c>
      <c r="AB56" s="11">
        <f>'[1]2018'!AB61+'[1]2019'!AB61+'[1]2020'!AB61</f>
        <v>26</v>
      </c>
      <c r="AC56" s="11">
        <f>'[1]2018'!AC61+'[1]2019'!AC61+'[1]2020'!AC61</f>
        <v>26</v>
      </c>
      <c r="AD56" s="11">
        <f>'[1]2018'!AD61+'[1]2019'!AD61+'[1]2020'!AD61</f>
        <v>0</v>
      </c>
      <c r="AE56" s="11">
        <f>'[1]2018'!AE61+'[1]2019'!AE61+'[1]2020'!AE61</f>
        <v>0</v>
      </c>
      <c r="AF56" s="11">
        <f>'[1]2018'!AF61+'[1]2019'!AF61+'[1]2020'!AF61</f>
        <v>0</v>
      </c>
      <c r="AG56" s="11">
        <f>'[1]2018'!AG61+'[1]2019'!AG61+'[1]2020'!AG61</f>
        <v>0</v>
      </c>
      <c r="AH56" s="11">
        <f>'[1]2018'!AH61+'[1]2019'!AH61+'[1]2020'!AH61</f>
        <v>0</v>
      </c>
      <c r="AI56" s="11">
        <f>'[1]2018'!AI61+'[1]2019'!AI61+'[1]2020'!AI61</f>
        <v>0</v>
      </c>
      <c r="AJ56" s="11">
        <f>'[1]2018'!AJ61+'[1]2019'!AJ61+'[1]2020'!AJ61</f>
        <v>0</v>
      </c>
      <c r="AK56" s="11">
        <f>'[1]2018'!AK61+'[1]2019'!AK61+'[1]2020'!AK61</f>
        <v>0</v>
      </c>
      <c r="AL56" s="11">
        <f>'[1]2018'!AL61+'[1]2019'!AL61+'[1]2020'!AL61</f>
        <v>0</v>
      </c>
      <c r="AM56" s="11">
        <f>'[1]2018'!AM61+'[1]2019'!AM61+'[1]2020'!AM61</f>
        <v>0</v>
      </c>
      <c r="AN56" s="11">
        <f>'[1]2018'!AN61+'[1]2019'!AN61+'[1]2020'!AN61</f>
        <v>0</v>
      </c>
      <c r="AO56" s="11">
        <f>'[1]2018'!AO61+'[1]2019'!AO61+'[1]2020'!AO61</f>
        <v>0</v>
      </c>
      <c r="AP56" s="11">
        <f>'[1]2018'!AP61+'[1]2019'!AP61+'[1]2020'!AP61</f>
        <v>0</v>
      </c>
      <c r="AQ56" s="11">
        <f>'[1]2018'!AQ61+'[1]2019'!AQ61+'[1]2020'!AQ61</f>
        <v>0</v>
      </c>
      <c r="AR56" s="11">
        <f>'[1]2018'!AR61+'[1]2019'!AR61+'[1]2020'!AR61</f>
        <v>0</v>
      </c>
      <c r="AS56" s="11">
        <f>'[1]2018'!AS61+'[1]2019'!AS61+'[1]2020'!AS61</f>
        <v>0</v>
      </c>
      <c r="AT56" s="11">
        <f>'[1]2018'!AT61+'[1]2019'!AT61+'[1]2020'!AT61</f>
        <v>0</v>
      </c>
      <c r="AU56" s="11">
        <f>'[1]2018'!AU61+'[1]2019'!AU61+'[1]2020'!AU61</f>
        <v>0</v>
      </c>
      <c r="AV56" s="11">
        <f>'[1]2018'!AV61+'[1]2019'!AV61+'[1]2020'!AV61</f>
        <v>26</v>
      </c>
      <c r="AW56" s="41">
        <f t="shared" si="3"/>
        <v>26</v>
      </c>
      <c r="AX56" s="14">
        <f t="shared" si="4"/>
        <v>96</v>
      </c>
      <c r="AY56" s="2">
        <f>'[1]2018'!AX61+'[1]2019'!AX61+'[1]2020'!AX61</f>
        <v>288</v>
      </c>
    </row>
    <row r="57" spans="1:57" x14ac:dyDescent="0.25">
      <c r="A57" s="10" t="s">
        <v>35</v>
      </c>
      <c r="B57" s="46">
        <f>'[1]2018'!B62+'[1]2019'!B62+'[1]2020'!B62</f>
        <v>6</v>
      </c>
      <c r="C57" s="46">
        <f>'[1]2018'!C62+'[1]2019'!C62+'[1]2020'!C62</f>
        <v>0</v>
      </c>
      <c r="D57" s="46">
        <f>'[1]2018'!D62+'[1]2019'!D62+'[1]2020'!D62</f>
        <v>67</v>
      </c>
      <c r="E57" s="46">
        <f>'[1]2018'!E62+'[1]2019'!E62+'[1]2020'!E62</f>
        <v>0</v>
      </c>
      <c r="F57" s="46">
        <f>'[1]2018'!F62+'[1]2019'!F62+'[1]2020'!F62</f>
        <v>0</v>
      </c>
      <c r="G57" s="46">
        <f>'[1]2018'!G62+'[1]2019'!G62+'[1]2020'!G62</f>
        <v>0</v>
      </c>
      <c r="H57" s="46">
        <f>'[1]2018'!H62+'[1]2019'!H62+'[1]2020'!H62</f>
        <v>64</v>
      </c>
      <c r="I57" s="46">
        <f>'[1]2018'!I62+'[1]2019'!I62+'[1]2020'!I62</f>
        <v>0</v>
      </c>
      <c r="J57" s="46">
        <f>'[1]2018'!J62+'[1]2019'!J62+'[1]2020'!J62</f>
        <v>0</v>
      </c>
      <c r="K57" s="46">
        <f>'[1]2018'!K62+'[1]2019'!K62+'[1]2020'!K62</f>
        <v>0</v>
      </c>
      <c r="L57" s="46">
        <f>'[1]2018'!L62+'[1]2019'!L62+'[1]2020'!L62</f>
        <v>0</v>
      </c>
      <c r="M57" s="46">
        <f>'[1]2018'!M62+'[1]2019'!M62+'[1]2020'!M62</f>
        <v>0</v>
      </c>
      <c r="N57" s="46">
        <f>'[1]2018'!N62+'[1]2019'!N62+'[1]2020'!N62</f>
        <v>0</v>
      </c>
      <c r="O57" s="46">
        <f>'[1]2018'!O62+'[1]2019'!O62+'[1]2020'!O62</f>
        <v>0</v>
      </c>
      <c r="P57" s="46">
        <f>'[1]2018'!P62+'[1]2019'!P62+'[1]2020'!P62</f>
        <v>0</v>
      </c>
      <c r="Q57" s="46">
        <f>'[1]2018'!Q62+'[1]2019'!Q62+'[1]2020'!Q62</f>
        <v>0</v>
      </c>
      <c r="R57" s="46">
        <f>'[1]2018'!R62+'[1]2019'!R62+'[1]2020'!R62</f>
        <v>0</v>
      </c>
      <c r="S57" s="46">
        <f>'[1]2018'!S62+'[1]2019'!S62+'[1]2020'!S62</f>
        <v>3</v>
      </c>
      <c r="T57" s="46">
        <f>'[1]2018'!T62+'[1]2019'!T62+'[1]2020'!T62</f>
        <v>0</v>
      </c>
      <c r="U57" s="46">
        <f>'[1]2018'!U62+'[1]2019'!U62+'[1]2020'!U62</f>
        <v>0</v>
      </c>
      <c r="V57" s="46">
        <f>'[1]2018'!V62+'[1]2019'!V62+'[1]2020'!V62</f>
        <v>0</v>
      </c>
      <c r="W57" s="46">
        <f>'[1]2018'!W62+'[1]2019'!W62+'[1]2020'!W62</f>
        <v>0</v>
      </c>
      <c r="X57" s="46">
        <f>'[1]2018'!X62+'[1]2019'!X62+'[1]2020'!X62</f>
        <v>0</v>
      </c>
      <c r="Y57" s="41">
        <f t="shared" si="1"/>
        <v>67</v>
      </c>
      <c r="Z57" s="11">
        <f>'[1]2018'!Z62+'[1]2019'!Z62+'[1]2020'!Z62</f>
        <v>3</v>
      </c>
      <c r="AA57" s="11">
        <f>'[1]2018'!AA62+'[1]2019'!AA62+'[1]2020'!AA62</f>
        <v>0</v>
      </c>
      <c r="AB57" s="11">
        <f>'[1]2018'!AB62+'[1]2019'!AB62+'[1]2020'!AB62</f>
        <v>45</v>
      </c>
      <c r="AC57" s="11">
        <f>'[1]2018'!AC62+'[1]2019'!AC62+'[1]2020'!AC62</f>
        <v>0</v>
      </c>
      <c r="AD57" s="11">
        <f>'[1]2018'!AD62+'[1]2019'!AD62+'[1]2020'!AD62</f>
        <v>0</v>
      </c>
      <c r="AE57" s="11">
        <f>'[1]2018'!AE62+'[1]2019'!AE62+'[1]2020'!AE62</f>
        <v>0</v>
      </c>
      <c r="AF57" s="11">
        <f>'[1]2018'!AF62+'[1]2019'!AF62+'[1]2020'!AF62</f>
        <v>42</v>
      </c>
      <c r="AG57" s="11">
        <f>'[1]2018'!AG62+'[1]2019'!AG62+'[1]2020'!AG62</f>
        <v>0</v>
      </c>
      <c r="AH57" s="11">
        <f>'[1]2018'!AH62+'[1]2019'!AH62+'[1]2020'!AH62</f>
        <v>0</v>
      </c>
      <c r="AI57" s="11">
        <f>'[1]2018'!AI62+'[1]2019'!AI62+'[1]2020'!AI62</f>
        <v>0</v>
      </c>
      <c r="AJ57" s="11">
        <f>'[1]2018'!AJ62+'[1]2019'!AJ62+'[1]2020'!AJ62</f>
        <v>0</v>
      </c>
      <c r="AK57" s="11">
        <f>'[1]2018'!AK62+'[1]2019'!AK62+'[1]2020'!AK62</f>
        <v>0</v>
      </c>
      <c r="AL57" s="11">
        <f>'[1]2018'!AL62+'[1]2019'!AL62+'[1]2020'!AL62</f>
        <v>0</v>
      </c>
      <c r="AM57" s="11">
        <f>'[1]2018'!AM62+'[1]2019'!AM62+'[1]2020'!AM62</f>
        <v>0</v>
      </c>
      <c r="AN57" s="11">
        <f>'[1]2018'!AN62+'[1]2019'!AN62+'[1]2020'!AN62</f>
        <v>0</v>
      </c>
      <c r="AO57" s="11">
        <f>'[1]2018'!AO62+'[1]2019'!AO62+'[1]2020'!AO62</f>
        <v>0</v>
      </c>
      <c r="AP57" s="11">
        <f>'[1]2018'!AP62+'[1]2019'!AP62+'[1]2020'!AP62</f>
        <v>0</v>
      </c>
      <c r="AQ57" s="11">
        <f>'[1]2018'!AQ62+'[1]2019'!AQ62+'[1]2020'!AQ62</f>
        <v>3</v>
      </c>
      <c r="AR57" s="11">
        <f>'[1]2018'!AR62+'[1]2019'!AR62+'[1]2020'!AR62</f>
        <v>0</v>
      </c>
      <c r="AS57" s="11">
        <f>'[1]2018'!AS62+'[1]2019'!AS62+'[1]2020'!AS62</f>
        <v>0</v>
      </c>
      <c r="AT57" s="11">
        <f>'[1]2018'!AT62+'[1]2019'!AT62+'[1]2020'!AT62</f>
        <v>0</v>
      </c>
      <c r="AU57" s="11">
        <f>'[1]2018'!AU62+'[1]2019'!AU62+'[1]2020'!AU62</f>
        <v>0</v>
      </c>
      <c r="AV57" s="11">
        <f>'[1]2018'!AV62+'[1]2019'!AV62+'[1]2020'!AV62</f>
        <v>0</v>
      </c>
      <c r="AW57" s="41">
        <f t="shared" si="3"/>
        <v>45</v>
      </c>
      <c r="AX57" s="14">
        <f t="shared" si="4"/>
        <v>362.22222222222223</v>
      </c>
      <c r="AY57" s="2">
        <f>'[1]2018'!AX62+'[1]2019'!AX62+'[1]2020'!AX62</f>
        <v>1086.6666666666667</v>
      </c>
    </row>
    <row r="58" spans="1:57" x14ac:dyDescent="0.25">
      <c r="A58" s="10" t="s">
        <v>36</v>
      </c>
      <c r="B58" s="46">
        <f>'[1]2018'!B63+'[1]2019'!B63+'[1]2020'!B63</f>
        <v>7</v>
      </c>
      <c r="C58" s="46">
        <f>'[1]2018'!C63+'[1]2019'!C63+'[1]2020'!C63</f>
        <v>0</v>
      </c>
      <c r="D58" s="46">
        <f>'[1]2018'!D63+'[1]2019'!D63+'[1]2020'!D63</f>
        <v>21</v>
      </c>
      <c r="E58" s="46">
        <f>'[1]2018'!E63+'[1]2019'!E63+'[1]2020'!E63</f>
        <v>0</v>
      </c>
      <c r="F58" s="46">
        <f>'[1]2018'!F63+'[1]2019'!F63+'[1]2020'!F63</f>
        <v>0</v>
      </c>
      <c r="G58" s="46">
        <f>'[1]2018'!G63+'[1]2019'!G63+'[1]2020'!G63</f>
        <v>0</v>
      </c>
      <c r="H58" s="46">
        <f>'[1]2018'!H63+'[1]2019'!H63+'[1]2020'!H63</f>
        <v>20</v>
      </c>
      <c r="I58" s="46">
        <f>'[1]2018'!I63+'[1]2019'!I63+'[1]2020'!I63</f>
        <v>0</v>
      </c>
      <c r="J58" s="46">
        <f>'[1]2018'!J63+'[1]2019'!J63+'[1]2020'!J63</f>
        <v>0</v>
      </c>
      <c r="K58" s="46">
        <f>'[1]2018'!K63+'[1]2019'!K63+'[1]2020'!K63</f>
        <v>0</v>
      </c>
      <c r="L58" s="46">
        <f>'[1]2018'!L63+'[1]2019'!L63+'[1]2020'!L63</f>
        <v>0</v>
      </c>
      <c r="M58" s="46">
        <f>'[1]2018'!M63+'[1]2019'!M63+'[1]2020'!M63</f>
        <v>0</v>
      </c>
      <c r="N58" s="46">
        <f>'[1]2018'!N63+'[1]2019'!N63+'[1]2020'!N63</f>
        <v>0</v>
      </c>
      <c r="O58" s="46">
        <f>'[1]2018'!O63+'[1]2019'!O63+'[1]2020'!O63</f>
        <v>0</v>
      </c>
      <c r="P58" s="46">
        <f>'[1]2018'!P63+'[1]2019'!P63+'[1]2020'!P63</f>
        <v>0</v>
      </c>
      <c r="Q58" s="46">
        <f>'[1]2018'!Q63+'[1]2019'!Q63+'[1]2020'!Q63</f>
        <v>0</v>
      </c>
      <c r="R58" s="46">
        <f>'[1]2018'!R63+'[1]2019'!R63+'[1]2020'!R63</f>
        <v>0</v>
      </c>
      <c r="S58" s="46">
        <f>'[1]2018'!S63+'[1]2019'!S63+'[1]2020'!S63</f>
        <v>0</v>
      </c>
      <c r="T58" s="46">
        <f>'[1]2018'!T63+'[1]2019'!T63+'[1]2020'!T63</f>
        <v>0</v>
      </c>
      <c r="U58" s="46">
        <f>'[1]2018'!U63+'[1]2019'!U63+'[1]2020'!U63</f>
        <v>1</v>
      </c>
      <c r="V58" s="46">
        <f>'[1]2018'!V63+'[1]2019'!V63+'[1]2020'!V63</f>
        <v>0</v>
      </c>
      <c r="W58" s="46">
        <f>'[1]2018'!W63+'[1]2019'!W63+'[1]2020'!W63</f>
        <v>0</v>
      </c>
      <c r="X58" s="46">
        <f>'[1]2018'!X63+'[1]2019'!X63+'[1]2020'!X63</f>
        <v>0</v>
      </c>
      <c r="Y58" s="41">
        <f t="shared" si="1"/>
        <v>21</v>
      </c>
      <c r="Z58" s="11">
        <f>'[1]2018'!Z63+'[1]2019'!Z63+'[1]2020'!Z63</f>
        <v>1</v>
      </c>
      <c r="AA58" s="11">
        <f>'[1]2018'!AA63+'[1]2019'!AA63+'[1]2020'!AA63</f>
        <v>0</v>
      </c>
      <c r="AB58" s="11">
        <f>'[1]2018'!AB63+'[1]2019'!AB63+'[1]2020'!AB63</f>
        <v>15</v>
      </c>
      <c r="AC58" s="11">
        <f>'[1]2018'!AC63+'[1]2019'!AC63+'[1]2020'!AC63</f>
        <v>0</v>
      </c>
      <c r="AD58" s="11">
        <f>'[1]2018'!AD63+'[1]2019'!AD63+'[1]2020'!AD63</f>
        <v>0</v>
      </c>
      <c r="AE58" s="11">
        <f>'[1]2018'!AE63+'[1]2019'!AE63+'[1]2020'!AE63</f>
        <v>0</v>
      </c>
      <c r="AF58" s="11">
        <f>'[1]2018'!AF63+'[1]2019'!AF63+'[1]2020'!AF63</f>
        <v>15</v>
      </c>
      <c r="AG58" s="11">
        <f>'[1]2018'!AG63+'[1]2019'!AG63+'[1]2020'!AG63</f>
        <v>0</v>
      </c>
      <c r="AH58" s="11">
        <f>'[1]2018'!AH63+'[1]2019'!AH63+'[1]2020'!AH63</f>
        <v>0</v>
      </c>
      <c r="AI58" s="11">
        <f>'[1]2018'!AI63+'[1]2019'!AI63+'[1]2020'!AI63</f>
        <v>0</v>
      </c>
      <c r="AJ58" s="11">
        <f>'[1]2018'!AJ63+'[1]2019'!AJ63+'[1]2020'!AJ63</f>
        <v>0</v>
      </c>
      <c r="AK58" s="11">
        <f>'[1]2018'!AK63+'[1]2019'!AK63+'[1]2020'!AK63</f>
        <v>0</v>
      </c>
      <c r="AL58" s="11">
        <f>'[1]2018'!AL63+'[1]2019'!AL63+'[1]2020'!AL63</f>
        <v>0</v>
      </c>
      <c r="AM58" s="11">
        <f>'[1]2018'!AM63+'[1]2019'!AM63+'[1]2020'!AM63</f>
        <v>0</v>
      </c>
      <c r="AN58" s="11">
        <f>'[1]2018'!AN63+'[1]2019'!AN63+'[1]2020'!AN63</f>
        <v>0</v>
      </c>
      <c r="AO58" s="11">
        <f>'[1]2018'!AO63+'[1]2019'!AO63+'[1]2020'!AO63</f>
        <v>0</v>
      </c>
      <c r="AP58" s="11">
        <f>'[1]2018'!AP63+'[1]2019'!AP63+'[1]2020'!AP63</f>
        <v>0</v>
      </c>
      <c r="AQ58" s="11">
        <f>'[1]2018'!AQ63+'[1]2019'!AQ63+'[1]2020'!AQ63</f>
        <v>0</v>
      </c>
      <c r="AR58" s="11">
        <f>'[1]2018'!AR63+'[1]2019'!AR63+'[1]2020'!AR63</f>
        <v>0</v>
      </c>
      <c r="AS58" s="11">
        <f>'[1]2018'!AS63+'[1]2019'!AS63+'[1]2020'!AS63</f>
        <v>0</v>
      </c>
      <c r="AT58" s="11">
        <f>'[1]2018'!AT63+'[1]2019'!AT63+'[1]2020'!AT63</f>
        <v>0</v>
      </c>
      <c r="AU58" s="11">
        <f>'[1]2018'!AU63+'[1]2019'!AU63+'[1]2020'!AU63</f>
        <v>0</v>
      </c>
      <c r="AV58" s="11">
        <f>'[1]2018'!AV63+'[1]2019'!AV63+'[1]2020'!AV63</f>
        <v>0</v>
      </c>
      <c r="AW58" s="41">
        <f t="shared" si="3"/>
        <v>15</v>
      </c>
      <c r="AX58" s="14">
        <f t="shared" si="4"/>
        <v>119.46666666666665</v>
      </c>
      <c r="AY58" s="2">
        <f>'[1]2018'!AX63+'[1]2019'!AX63+'[1]2020'!AX63</f>
        <v>358.4</v>
      </c>
    </row>
    <row r="59" spans="1:57" x14ac:dyDescent="0.25">
      <c r="A59" s="10" t="s">
        <v>37</v>
      </c>
      <c r="B59" s="46">
        <f>'[1]2018'!B64+'[1]2019'!B64+'[1]2020'!B64</f>
        <v>2</v>
      </c>
      <c r="C59" s="46">
        <f>'[1]2018'!C64+'[1]2019'!C64+'[1]2020'!C64</f>
        <v>0</v>
      </c>
      <c r="D59" s="46">
        <f>'[1]2018'!D64+'[1]2019'!D64+'[1]2020'!D64</f>
        <v>24</v>
      </c>
      <c r="E59" s="46">
        <f>'[1]2018'!E64+'[1]2019'!E64+'[1]2020'!E64</f>
        <v>0</v>
      </c>
      <c r="F59" s="46">
        <f>'[1]2018'!F64+'[1]2019'!F64+'[1]2020'!F64</f>
        <v>0</v>
      </c>
      <c r="G59" s="46">
        <f>'[1]2018'!G64+'[1]2019'!G64+'[1]2020'!G64</f>
        <v>0</v>
      </c>
      <c r="H59" s="46">
        <f>'[1]2018'!H64+'[1]2019'!H64+'[1]2020'!H64</f>
        <v>24</v>
      </c>
      <c r="I59" s="46">
        <f>'[1]2018'!I64+'[1]2019'!I64+'[1]2020'!I64</f>
        <v>0</v>
      </c>
      <c r="J59" s="46">
        <f>'[1]2018'!J64+'[1]2019'!J64+'[1]2020'!J64</f>
        <v>0</v>
      </c>
      <c r="K59" s="46">
        <f>'[1]2018'!K64+'[1]2019'!K64+'[1]2020'!K64</f>
        <v>0</v>
      </c>
      <c r="L59" s="46">
        <f>'[1]2018'!L64+'[1]2019'!L64+'[1]2020'!L64</f>
        <v>0</v>
      </c>
      <c r="M59" s="46">
        <f>'[1]2018'!M64+'[1]2019'!M64+'[1]2020'!M64</f>
        <v>0</v>
      </c>
      <c r="N59" s="46">
        <f>'[1]2018'!N64+'[1]2019'!N64+'[1]2020'!N64</f>
        <v>0</v>
      </c>
      <c r="O59" s="46">
        <f>'[1]2018'!O64+'[1]2019'!O64+'[1]2020'!O64</f>
        <v>0</v>
      </c>
      <c r="P59" s="46">
        <f>'[1]2018'!P64+'[1]2019'!P64+'[1]2020'!P64</f>
        <v>0</v>
      </c>
      <c r="Q59" s="46">
        <f>'[1]2018'!Q64+'[1]2019'!Q64+'[1]2020'!Q64</f>
        <v>0</v>
      </c>
      <c r="R59" s="46">
        <f>'[1]2018'!R64+'[1]2019'!R64+'[1]2020'!R64</f>
        <v>0</v>
      </c>
      <c r="S59" s="46">
        <f>'[1]2018'!S64+'[1]2019'!S64+'[1]2020'!S64</f>
        <v>0</v>
      </c>
      <c r="T59" s="46">
        <f>'[1]2018'!T64+'[1]2019'!T64+'[1]2020'!T64</f>
        <v>0</v>
      </c>
      <c r="U59" s="46">
        <f>'[1]2018'!U64+'[1]2019'!U64+'[1]2020'!U64</f>
        <v>0</v>
      </c>
      <c r="V59" s="46">
        <f>'[1]2018'!V64+'[1]2019'!V64+'[1]2020'!V64</f>
        <v>0</v>
      </c>
      <c r="W59" s="46">
        <f>'[1]2018'!W64+'[1]2019'!W64+'[1]2020'!W64</f>
        <v>0</v>
      </c>
      <c r="X59" s="46">
        <f>'[1]2018'!X64+'[1]2019'!X64+'[1]2020'!X64</f>
        <v>0</v>
      </c>
      <c r="Y59" s="41">
        <f t="shared" si="1"/>
        <v>24</v>
      </c>
      <c r="Z59" s="11">
        <f>'[1]2018'!Z64+'[1]2019'!Z64+'[1]2020'!Z64</f>
        <v>0</v>
      </c>
      <c r="AA59" s="11">
        <f>'[1]2018'!AA64+'[1]2019'!AA64+'[1]2020'!AA64</f>
        <v>0</v>
      </c>
      <c r="AB59" s="11">
        <f>'[1]2018'!AB64+'[1]2019'!AB64+'[1]2020'!AB64</f>
        <v>0</v>
      </c>
      <c r="AC59" s="11">
        <f>'[1]2018'!AC64+'[1]2019'!AC64+'[1]2020'!AC64</f>
        <v>0</v>
      </c>
      <c r="AD59" s="11">
        <f>'[1]2018'!AD64+'[1]2019'!AD64+'[1]2020'!AD64</f>
        <v>0</v>
      </c>
      <c r="AE59" s="11">
        <f>'[1]2018'!AE64+'[1]2019'!AE64+'[1]2020'!AE64</f>
        <v>0</v>
      </c>
      <c r="AF59" s="11">
        <f>'[1]2018'!AF64+'[1]2019'!AF64+'[1]2020'!AF64</f>
        <v>0</v>
      </c>
      <c r="AG59" s="11">
        <f>'[1]2018'!AG64+'[1]2019'!AG64+'[1]2020'!AG64</f>
        <v>0</v>
      </c>
      <c r="AH59" s="11">
        <f>'[1]2018'!AH64+'[1]2019'!AH64+'[1]2020'!AH64</f>
        <v>0</v>
      </c>
      <c r="AI59" s="11">
        <f>'[1]2018'!AI64+'[1]2019'!AI64+'[1]2020'!AI64</f>
        <v>0</v>
      </c>
      <c r="AJ59" s="11">
        <f>'[1]2018'!AJ64+'[1]2019'!AJ64+'[1]2020'!AJ64</f>
        <v>0</v>
      </c>
      <c r="AK59" s="11">
        <f>'[1]2018'!AK64+'[1]2019'!AK64+'[1]2020'!AK64</f>
        <v>0</v>
      </c>
      <c r="AL59" s="11">
        <f>'[1]2018'!AL64+'[1]2019'!AL64+'[1]2020'!AL64</f>
        <v>0</v>
      </c>
      <c r="AM59" s="11">
        <f>'[1]2018'!AM64+'[1]2019'!AM64+'[1]2020'!AM64</f>
        <v>0</v>
      </c>
      <c r="AN59" s="11">
        <f>'[1]2018'!AN64+'[1]2019'!AN64+'[1]2020'!AN64</f>
        <v>0</v>
      </c>
      <c r="AO59" s="11">
        <f>'[1]2018'!AO64+'[1]2019'!AO64+'[1]2020'!AO64</f>
        <v>0</v>
      </c>
      <c r="AP59" s="11">
        <f>'[1]2018'!AP64+'[1]2019'!AP64+'[1]2020'!AP64</f>
        <v>0</v>
      </c>
      <c r="AQ59" s="11">
        <f>'[1]2018'!AQ64+'[1]2019'!AQ64+'[1]2020'!AQ64</f>
        <v>0</v>
      </c>
      <c r="AR59" s="11">
        <f>'[1]2018'!AR64+'[1]2019'!AR64+'[1]2020'!AR64</f>
        <v>0</v>
      </c>
      <c r="AS59" s="11">
        <f>'[1]2018'!AS64+'[1]2019'!AS64+'[1]2020'!AS64</f>
        <v>0</v>
      </c>
      <c r="AT59" s="11">
        <f>'[1]2018'!AT64+'[1]2019'!AT64+'[1]2020'!AT64</f>
        <v>0</v>
      </c>
      <c r="AU59" s="11">
        <f>'[1]2018'!AU64+'[1]2019'!AU64+'[1]2020'!AU64</f>
        <v>0</v>
      </c>
      <c r="AV59" s="11">
        <f>'[1]2018'!AV64+'[1]2019'!AV64+'[1]2020'!AV64</f>
        <v>0</v>
      </c>
      <c r="AW59" s="41">
        <f t="shared" si="3"/>
        <v>0</v>
      </c>
      <c r="AX59" s="14">
        <f t="shared" si="4"/>
        <v>0</v>
      </c>
      <c r="AY59" s="2">
        <f>'[1]2018'!AX64+'[1]2019'!AX64+'[1]2020'!AX64</f>
        <v>0</v>
      </c>
    </row>
    <row r="60" spans="1:57" x14ac:dyDescent="0.25">
      <c r="A60" s="10" t="s">
        <v>38</v>
      </c>
      <c r="B60" s="46">
        <f>'[1]2018'!B65+'[1]2019'!B65+'[1]2020'!B65</f>
        <v>3</v>
      </c>
      <c r="C60" s="46">
        <f>'[1]2018'!C65+'[1]2019'!C65+'[1]2020'!C65</f>
        <v>0</v>
      </c>
      <c r="D60" s="46">
        <f>'[1]2018'!D65+'[1]2019'!D65+'[1]2020'!D65</f>
        <v>7</v>
      </c>
      <c r="E60" s="46">
        <f>'[1]2018'!E65+'[1]2019'!E65+'[1]2020'!E65</f>
        <v>0</v>
      </c>
      <c r="F60" s="46">
        <f>'[1]2018'!F65+'[1]2019'!F65+'[1]2020'!F65</f>
        <v>0</v>
      </c>
      <c r="G60" s="46">
        <f>'[1]2018'!G65+'[1]2019'!G65+'[1]2020'!G65</f>
        <v>0</v>
      </c>
      <c r="H60" s="46">
        <f>'[1]2018'!H65+'[1]2019'!H65+'[1]2020'!H65</f>
        <v>7</v>
      </c>
      <c r="I60" s="46">
        <f>'[1]2018'!I65+'[1]2019'!I65+'[1]2020'!I65</f>
        <v>0</v>
      </c>
      <c r="J60" s="46">
        <f>'[1]2018'!J65+'[1]2019'!J65+'[1]2020'!J65</f>
        <v>0</v>
      </c>
      <c r="K60" s="46">
        <f>'[1]2018'!K65+'[1]2019'!K65+'[1]2020'!K65</f>
        <v>0</v>
      </c>
      <c r="L60" s="46">
        <f>'[1]2018'!L65+'[1]2019'!L65+'[1]2020'!L65</f>
        <v>0</v>
      </c>
      <c r="M60" s="46">
        <f>'[1]2018'!M65+'[1]2019'!M65+'[1]2020'!M65</f>
        <v>0</v>
      </c>
      <c r="N60" s="46">
        <f>'[1]2018'!N65+'[1]2019'!N65+'[1]2020'!N65</f>
        <v>0</v>
      </c>
      <c r="O60" s="46">
        <f>'[1]2018'!O65+'[1]2019'!O65+'[1]2020'!O65</f>
        <v>0</v>
      </c>
      <c r="P60" s="46">
        <f>'[1]2018'!P65+'[1]2019'!P65+'[1]2020'!P65</f>
        <v>0</v>
      </c>
      <c r="Q60" s="46">
        <f>'[1]2018'!Q65+'[1]2019'!Q65+'[1]2020'!Q65</f>
        <v>0</v>
      </c>
      <c r="R60" s="46">
        <f>'[1]2018'!R65+'[1]2019'!R65+'[1]2020'!R65</f>
        <v>0</v>
      </c>
      <c r="S60" s="46">
        <f>'[1]2018'!S65+'[1]2019'!S65+'[1]2020'!S65</f>
        <v>0</v>
      </c>
      <c r="T60" s="46">
        <f>'[1]2018'!T65+'[1]2019'!T65+'[1]2020'!T65</f>
        <v>0</v>
      </c>
      <c r="U60" s="46">
        <f>'[1]2018'!U65+'[1]2019'!U65+'[1]2020'!U65</f>
        <v>0</v>
      </c>
      <c r="V60" s="46">
        <f>'[1]2018'!V65+'[1]2019'!V65+'[1]2020'!V65</f>
        <v>0</v>
      </c>
      <c r="W60" s="46">
        <f>'[1]2018'!W65+'[1]2019'!W65+'[1]2020'!W65</f>
        <v>0</v>
      </c>
      <c r="X60" s="46">
        <f>'[1]2018'!X65+'[1]2019'!X65+'[1]2020'!X65</f>
        <v>0</v>
      </c>
      <c r="Y60" s="41">
        <f t="shared" si="1"/>
        <v>7</v>
      </c>
      <c r="Z60" s="11">
        <f>'[1]2018'!Z65+'[1]2019'!Z65+'[1]2020'!Z65</f>
        <v>3</v>
      </c>
      <c r="AA60" s="11">
        <f>'[1]2018'!AA65+'[1]2019'!AA65+'[1]2020'!AA65</f>
        <v>0</v>
      </c>
      <c r="AB60" s="11">
        <f>'[1]2018'!AB65+'[1]2019'!AB65+'[1]2020'!AB65</f>
        <v>7</v>
      </c>
      <c r="AC60" s="11">
        <f>'[1]2018'!AC65+'[1]2019'!AC65+'[1]2020'!AC65</f>
        <v>0</v>
      </c>
      <c r="AD60" s="11">
        <f>'[1]2018'!AD65+'[1]2019'!AD65+'[1]2020'!AD65</f>
        <v>0</v>
      </c>
      <c r="AE60" s="11">
        <f>'[1]2018'!AE65+'[1]2019'!AE65+'[1]2020'!AE65</f>
        <v>0</v>
      </c>
      <c r="AF60" s="11">
        <f>'[1]2018'!AF65+'[1]2019'!AF65+'[1]2020'!AF65</f>
        <v>7</v>
      </c>
      <c r="AG60" s="11">
        <f>'[1]2018'!AG65+'[1]2019'!AG65+'[1]2020'!AG65</f>
        <v>0</v>
      </c>
      <c r="AH60" s="11">
        <f>'[1]2018'!AH65+'[1]2019'!AH65+'[1]2020'!AH65</f>
        <v>0</v>
      </c>
      <c r="AI60" s="11">
        <f>'[1]2018'!AI65+'[1]2019'!AI65+'[1]2020'!AI65</f>
        <v>0</v>
      </c>
      <c r="AJ60" s="11">
        <f>'[1]2018'!AJ65+'[1]2019'!AJ65+'[1]2020'!AJ65</f>
        <v>0</v>
      </c>
      <c r="AK60" s="11">
        <f>'[1]2018'!AK65+'[1]2019'!AK65+'[1]2020'!AK65</f>
        <v>0</v>
      </c>
      <c r="AL60" s="11">
        <f>'[1]2018'!AL65+'[1]2019'!AL65+'[1]2020'!AL65</f>
        <v>0</v>
      </c>
      <c r="AM60" s="11">
        <f>'[1]2018'!AM65+'[1]2019'!AM65+'[1]2020'!AM65</f>
        <v>0</v>
      </c>
      <c r="AN60" s="11">
        <f>'[1]2018'!AN65+'[1]2019'!AN65+'[1]2020'!AN65</f>
        <v>0</v>
      </c>
      <c r="AO60" s="11">
        <f>'[1]2018'!AO65+'[1]2019'!AO65+'[1]2020'!AO65</f>
        <v>0</v>
      </c>
      <c r="AP60" s="11">
        <f>'[1]2018'!AP65+'[1]2019'!AP65+'[1]2020'!AP65</f>
        <v>0</v>
      </c>
      <c r="AQ60" s="11">
        <f>'[1]2018'!AQ65+'[1]2019'!AQ65+'[1]2020'!AQ65</f>
        <v>0</v>
      </c>
      <c r="AR60" s="11">
        <f>'[1]2018'!AR65+'[1]2019'!AR65+'[1]2020'!AR65</f>
        <v>0</v>
      </c>
      <c r="AS60" s="11">
        <f>'[1]2018'!AS65+'[1]2019'!AS65+'[1]2020'!AS65</f>
        <v>0</v>
      </c>
      <c r="AT60" s="11">
        <f>'[1]2018'!AT65+'[1]2019'!AT65+'[1]2020'!AT65</f>
        <v>0</v>
      </c>
      <c r="AU60" s="11">
        <f>'[1]2018'!AU65+'[1]2019'!AU65+'[1]2020'!AU65</f>
        <v>0</v>
      </c>
      <c r="AV60" s="11">
        <f>'[1]2018'!AV65+'[1]2019'!AV65+'[1]2020'!AV65</f>
        <v>0</v>
      </c>
      <c r="AW60" s="41">
        <f t="shared" si="3"/>
        <v>7</v>
      </c>
      <c r="AX60" s="14">
        <f t="shared" si="4"/>
        <v>1576</v>
      </c>
      <c r="AY60" s="2">
        <f>'[1]2018'!AX65+'[1]2019'!AX65+'[1]2020'!AX65</f>
        <v>4728</v>
      </c>
    </row>
    <row r="61" spans="1:57" x14ac:dyDescent="0.25">
      <c r="A61" s="10" t="s">
        <v>39</v>
      </c>
      <c r="B61" s="46">
        <f>'[1]2018'!B66+'[1]2019'!B66+'[1]2020'!B66</f>
        <v>1</v>
      </c>
      <c r="C61" s="46">
        <f>'[1]2018'!C66+'[1]2019'!C66+'[1]2020'!C66</f>
        <v>1</v>
      </c>
      <c r="D61" s="46">
        <f>'[1]2018'!D66+'[1]2019'!D66+'[1]2020'!D66</f>
        <v>10</v>
      </c>
      <c r="E61" s="46">
        <f>'[1]2018'!E66+'[1]2019'!E66+'[1]2020'!E66</f>
        <v>10</v>
      </c>
      <c r="F61" s="46">
        <f>'[1]2018'!F66+'[1]2019'!F66+'[1]2020'!F66</f>
        <v>0</v>
      </c>
      <c r="G61" s="46">
        <f>'[1]2018'!G66+'[1]2019'!G66+'[1]2020'!G66</f>
        <v>0</v>
      </c>
      <c r="H61" s="46">
        <f>'[1]2018'!H66+'[1]2019'!H66+'[1]2020'!H66</f>
        <v>0</v>
      </c>
      <c r="I61" s="46">
        <f>'[1]2018'!I66+'[1]2019'!I66+'[1]2020'!I66</f>
        <v>0</v>
      </c>
      <c r="J61" s="46">
        <f>'[1]2018'!J66+'[1]2019'!J66+'[1]2020'!J66</f>
        <v>0</v>
      </c>
      <c r="K61" s="46">
        <f>'[1]2018'!K66+'[1]2019'!K66+'[1]2020'!K66</f>
        <v>0</v>
      </c>
      <c r="L61" s="46">
        <f>'[1]2018'!L66+'[1]2019'!L66+'[1]2020'!L66</f>
        <v>0</v>
      </c>
      <c r="M61" s="46">
        <f>'[1]2018'!M66+'[1]2019'!M66+'[1]2020'!M66</f>
        <v>0</v>
      </c>
      <c r="N61" s="46">
        <f>'[1]2018'!N66+'[1]2019'!N66+'[1]2020'!N66</f>
        <v>0</v>
      </c>
      <c r="O61" s="46">
        <f>'[1]2018'!O66+'[1]2019'!O66+'[1]2020'!O66</f>
        <v>0</v>
      </c>
      <c r="P61" s="46">
        <f>'[1]2018'!P66+'[1]2019'!P66+'[1]2020'!P66</f>
        <v>0</v>
      </c>
      <c r="Q61" s="46">
        <f>'[1]2018'!Q66+'[1]2019'!Q66+'[1]2020'!Q66</f>
        <v>0</v>
      </c>
      <c r="R61" s="46">
        <f>'[1]2018'!R66+'[1]2019'!R66+'[1]2020'!R66</f>
        <v>0</v>
      </c>
      <c r="S61" s="46">
        <f>'[1]2018'!S66+'[1]2019'!S66+'[1]2020'!S66</f>
        <v>0</v>
      </c>
      <c r="T61" s="46">
        <f>'[1]2018'!T66+'[1]2019'!T66+'[1]2020'!T66</f>
        <v>0</v>
      </c>
      <c r="U61" s="46">
        <f>'[1]2018'!U66+'[1]2019'!U66+'[1]2020'!U66</f>
        <v>0</v>
      </c>
      <c r="V61" s="46">
        <f>'[1]2018'!V66+'[1]2019'!V66+'[1]2020'!V66</f>
        <v>10</v>
      </c>
      <c r="W61" s="46">
        <f>'[1]2018'!W66+'[1]2019'!W66+'[1]2020'!W66</f>
        <v>0</v>
      </c>
      <c r="X61" s="46">
        <f>'[1]2018'!X66+'[1]2019'!X66+'[1]2020'!X66</f>
        <v>0</v>
      </c>
      <c r="Y61" s="41">
        <f t="shared" si="1"/>
        <v>10</v>
      </c>
      <c r="Z61" s="11">
        <f>'[1]2018'!Z66+'[1]2019'!Z66+'[1]2020'!Z66</f>
        <v>1</v>
      </c>
      <c r="AA61" s="11">
        <f>'[1]2018'!AA66+'[1]2019'!AA66+'[1]2020'!AA66</f>
        <v>1</v>
      </c>
      <c r="AB61" s="11">
        <f>'[1]2018'!AB66+'[1]2019'!AB66+'[1]2020'!AB66</f>
        <v>6</v>
      </c>
      <c r="AC61" s="11">
        <f>'[1]2018'!AC66+'[1]2019'!AC66+'[1]2020'!AC66</f>
        <v>6</v>
      </c>
      <c r="AD61" s="11">
        <f>'[1]2018'!AD66+'[1]2019'!AD66+'[1]2020'!AD66</f>
        <v>0</v>
      </c>
      <c r="AE61" s="11">
        <f>'[1]2018'!AE66+'[1]2019'!AE66+'[1]2020'!AE66</f>
        <v>0</v>
      </c>
      <c r="AF61" s="11">
        <f>'[1]2018'!AF66+'[1]2019'!AF66+'[1]2020'!AF66</f>
        <v>0</v>
      </c>
      <c r="AG61" s="11">
        <f>'[1]2018'!AG66+'[1]2019'!AG66+'[1]2020'!AG66</f>
        <v>0</v>
      </c>
      <c r="AH61" s="11">
        <f>'[1]2018'!AH66+'[1]2019'!AH66+'[1]2020'!AH66</f>
        <v>0</v>
      </c>
      <c r="AI61" s="11">
        <f>'[1]2018'!AI66+'[1]2019'!AI66+'[1]2020'!AI66</f>
        <v>0</v>
      </c>
      <c r="AJ61" s="11">
        <f>'[1]2018'!AJ66+'[1]2019'!AJ66+'[1]2020'!AJ66</f>
        <v>0</v>
      </c>
      <c r="AK61" s="11">
        <f>'[1]2018'!AK66+'[1]2019'!AK66+'[1]2020'!AK66</f>
        <v>0</v>
      </c>
      <c r="AL61" s="11">
        <f>'[1]2018'!AL66+'[1]2019'!AL66+'[1]2020'!AL66</f>
        <v>0</v>
      </c>
      <c r="AM61" s="11">
        <f>'[1]2018'!AM66+'[1]2019'!AM66+'[1]2020'!AM66</f>
        <v>0</v>
      </c>
      <c r="AN61" s="11">
        <f>'[1]2018'!AN66+'[1]2019'!AN66+'[1]2020'!AN66</f>
        <v>0</v>
      </c>
      <c r="AO61" s="11">
        <f>'[1]2018'!AO66+'[1]2019'!AO66+'[1]2020'!AO66</f>
        <v>0</v>
      </c>
      <c r="AP61" s="11">
        <f>'[1]2018'!AP66+'[1]2019'!AP66+'[1]2020'!AP66</f>
        <v>0</v>
      </c>
      <c r="AQ61" s="11">
        <f>'[1]2018'!AQ66+'[1]2019'!AQ66+'[1]2020'!AQ66</f>
        <v>0</v>
      </c>
      <c r="AR61" s="11">
        <f>'[1]2018'!AR66+'[1]2019'!AR66+'[1]2020'!AR66</f>
        <v>0</v>
      </c>
      <c r="AS61" s="11">
        <f>'[1]2018'!AS66+'[1]2019'!AS66+'[1]2020'!AS66</f>
        <v>0</v>
      </c>
      <c r="AT61" s="11">
        <f>'[1]2018'!AT66+'[1]2019'!AT66+'[1]2020'!AT66</f>
        <v>6</v>
      </c>
      <c r="AU61" s="11">
        <f>'[1]2018'!AU66+'[1]2019'!AU66+'[1]2020'!AU66</f>
        <v>0</v>
      </c>
      <c r="AV61" s="11">
        <f>'[1]2018'!AV66+'[1]2019'!AV66+'[1]2020'!AV66</f>
        <v>0</v>
      </c>
      <c r="AW61" s="41">
        <f t="shared" si="3"/>
        <v>6</v>
      </c>
      <c r="AX61" s="14">
        <f t="shared" si="4"/>
        <v>760</v>
      </c>
      <c r="AY61" s="2">
        <f>'[1]2018'!AX66+'[1]2019'!AX66+'[1]2020'!AX66</f>
        <v>2280</v>
      </c>
    </row>
    <row r="62" spans="1:57" x14ac:dyDescent="0.25">
      <c r="A62" s="10" t="s">
        <v>40</v>
      </c>
      <c r="B62" s="46">
        <f>'[1]2018'!B67+'[1]2019'!B67+'[1]2020'!B67</f>
        <v>1</v>
      </c>
      <c r="C62" s="46">
        <f>'[1]2018'!C67+'[1]2019'!C67+'[1]2020'!C67</f>
        <v>0</v>
      </c>
      <c r="D62" s="46">
        <f>'[1]2018'!D67+'[1]2019'!D67+'[1]2020'!D67</f>
        <v>2</v>
      </c>
      <c r="E62" s="46">
        <f>'[1]2018'!E67+'[1]2019'!E67+'[1]2020'!E67</f>
        <v>0</v>
      </c>
      <c r="F62" s="46">
        <f>'[1]2018'!F67+'[1]2019'!F67+'[1]2020'!F67</f>
        <v>0</v>
      </c>
      <c r="G62" s="46">
        <f>'[1]2018'!G67+'[1]2019'!G67+'[1]2020'!G67</f>
        <v>0</v>
      </c>
      <c r="H62" s="46">
        <f>'[1]2018'!H67+'[1]2019'!H67+'[1]2020'!H67</f>
        <v>2</v>
      </c>
      <c r="I62" s="46">
        <f>'[1]2018'!I67+'[1]2019'!I67+'[1]2020'!I67</f>
        <v>0</v>
      </c>
      <c r="J62" s="46">
        <f>'[1]2018'!J67+'[1]2019'!J67+'[1]2020'!J67</f>
        <v>0</v>
      </c>
      <c r="K62" s="46">
        <f>'[1]2018'!K67+'[1]2019'!K67+'[1]2020'!K67</f>
        <v>0</v>
      </c>
      <c r="L62" s="46">
        <f>'[1]2018'!L67+'[1]2019'!L67+'[1]2020'!L67</f>
        <v>0</v>
      </c>
      <c r="M62" s="46">
        <f>'[1]2018'!M67+'[1]2019'!M67+'[1]2020'!M67</f>
        <v>0</v>
      </c>
      <c r="N62" s="46">
        <f>'[1]2018'!N67+'[1]2019'!N67+'[1]2020'!N67</f>
        <v>0</v>
      </c>
      <c r="O62" s="46">
        <f>'[1]2018'!O67+'[1]2019'!O67+'[1]2020'!O67</f>
        <v>0</v>
      </c>
      <c r="P62" s="46">
        <f>'[1]2018'!P67+'[1]2019'!P67+'[1]2020'!P67</f>
        <v>0</v>
      </c>
      <c r="Q62" s="46">
        <f>'[1]2018'!Q67+'[1]2019'!Q67+'[1]2020'!Q67</f>
        <v>0</v>
      </c>
      <c r="R62" s="46">
        <f>'[1]2018'!R67+'[1]2019'!R67+'[1]2020'!R67</f>
        <v>0</v>
      </c>
      <c r="S62" s="46">
        <f>'[1]2018'!S67+'[1]2019'!S67+'[1]2020'!S67</f>
        <v>0</v>
      </c>
      <c r="T62" s="46">
        <f>'[1]2018'!T67+'[1]2019'!T67+'[1]2020'!T67</f>
        <v>0</v>
      </c>
      <c r="U62" s="46">
        <f>'[1]2018'!U67+'[1]2019'!U67+'[1]2020'!U67</f>
        <v>0</v>
      </c>
      <c r="V62" s="46">
        <f>'[1]2018'!V67+'[1]2019'!V67+'[1]2020'!V67</f>
        <v>0</v>
      </c>
      <c r="W62" s="46">
        <f>'[1]2018'!W67+'[1]2019'!W67+'[1]2020'!W67</f>
        <v>0</v>
      </c>
      <c r="X62" s="46">
        <f>'[1]2018'!X67+'[1]2019'!X67+'[1]2020'!X67</f>
        <v>0</v>
      </c>
      <c r="Y62" s="41">
        <f t="shared" si="1"/>
        <v>2</v>
      </c>
      <c r="Z62" s="11">
        <f>'[1]2018'!Z67+'[1]2019'!Z67+'[1]2020'!Z67</f>
        <v>0</v>
      </c>
      <c r="AA62" s="11">
        <f>'[1]2018'!AA67+'[1]2019'!AA67+'[1]2020'!AA67</f>
        <v>0</v>
      </c>
      <c r="AB62" s="11">
        <f>'[1]2018'!AB67+'[1]2019'!AB67+'[1]2020'!AB67</f>
        <v>0</v>
      </c>
      <c r="AC62" s="11">
        <f>'[1]2018'!AC67+'[1]2019'!AC67+'[1]2020'!AC67</f>
        <v>0</v>
      </c>
      <c r="AD62" s="11">
        <f>'[1]2018'!AD67+'[1]2019'!AD67+'[1]2020'!AD67</f>
        <v>0</v>
      </c>
      <c r="AE62" s="11">
        <f>'[1]2018'!AE67+'[1]2019'!AE67+'[1]2020'!AE67</f>
        <v>0</v>
      </c>
      <c r="AF62" s="11">
        <f>'[1]2018'!AF67+'[1]2019'!AF67+'[1]2020'!AF67</f>
        <v>0</v>
      </c>
      <c r="AG62" s="11">
        <f>'[1]2018'!AG67+'[1]2019'!AG67+'[1]2020'!AG67</f>
        <v>0</v>
      </c>
      <c r="AH62" s="11">
        <f>'[1]2018'!AH67+'[1]2019'!AH67+'[1]2020'!AH67</f>
        <v>0</v>
      </c>
      <c r="AI62" s="11">
        <f>'[1]2018'!AI67+'[1]2019'!AI67+'[1]2020'!AI67</f>
        <v>0</v>
      </c>
      <c r="AJ62" s="11">
        <f>'[1]2018'!AJ67+'[1]2019'!AJ67+'[1]2020'!AJ67</f>
        <v>0</v>
      </c>
      <c r="AK62" s="11">
        <f>'[1]2018'!AK67+'[1]2019'!AK67+'[1]2020'!AK67</f>
        <v>0</v>
      </c>
      <c r="AL62" s="11">
        <f>'[1]2018'!AL67+'[1]2019'!AL67+'[1]2020'!AL67</f>
        <v>0</v>
      </c>
      <c r="AM62" s="11">
        <f>'[1]2018'!AM67+'[1]2019'!AM67+'[1]2020'!AM67</f>
        <v>0</v>
      </c>
      <c r="AN62" s="11">
        <f>'[1]2018'!AN67+'[1]2019'!AN67+'[1]2020'!AN67</f>
        <v>0</v>
      </c>
      <c r="AO62" s="11">
        <f>'[1]2018'!AO67+'[1]2019'!AO67+'[1]2020'!AO67</f>
        <v>0</v>
      </c>
      <c r="AP62" s="11">
        <f>'[1]2018'!AP67+'[1]2019'!AP67+'[1]2020'!AP67</f>
        <v>0</v>
      </c>
      <c r="AQ62" s="11">
        <f>'[1]2018'!AQ67+'[1]2019'!AQ67+'[1]2020'!AQ67</f>
        <v>0</v>
      </c>
      <c r="AR62" s="11">
        <f>'[1]2018'!AR67+'[1]2019'!AR67+'[1]2020'!AR67</f>
        <v>0</v>
      </c>
      <c r="AS62" s="11">
        <f>'[1]2018'!AS67+'[1]2019'!AS67+'[1]2020'!AS67</f>
        <v>0</v>
      </c>
      <c r="AT62" s="11">
        <f>'[1]2018'!AT67+'[1]2019'!AT67+'[1]2020'!AT67</f>
        <v>0</v>
      </c>
      <c r="AU62" s="11">
        <f>'[1]2018'!AU67+'[1]2019'!AU67+'[1]2020'!AU67</f>
        <v>0</v>
      </c>
      <c r="AV62" s="11">
        <f>'[1]2018'!AV67+'[1]2019'!AV67+'[1]2020'!AV67</f>
        <v>0</v>
      </c>
      <c r="AW62" s="41">
        <f t="shared" si="3"/>
        <v>0</v>
      </c>
      <c r="AX62" s="14">
        <f t="shared" si="4"/>
        <v>0</v>
      </c>
      <c r="AY62" s="2">
        <f>'[1]2018'!AX67+'[1]2019'!AX67+'[1]2020'!AX67</f>
        <v>0</v>
      </c>
    </row>
    <row r="63" spans="1:57" s="45" customFormat="1" x14ac:dyDescent="0.25">
      <c r="A63" s="40" t="s">
        <v>41</v>
      </c>
      <c r="B63" s="48">
        <f t="shared" ref="B63:X63" si="9">SUM(B64:B72)</f>
        <v>195</v>
      </c>
      <c r="C63" s="48">
        <f t="shared" si="9"/>
        <v>17</v>
      </c>
      <c r="D63" s="48">
        <f t="shared" si="9"/>
        <v>898</v>
      </c>
      <c r="E63" s="48">
        <f t="shared" si="9"/>
        <v>89</v>
      </c>
      <c r="F63" s="48">
        <f t="shared" si="9"/>
        <v>0</v>
      </c>
      <c r="G63" s="48">
        <f t="shared" si="9"/>
        <v>0</v>
      </c>
      <c r="H63" s="48">
        <f t="shared" si="9"/>
        <v>444</v>
      </c>
      <c r="I63" s="48">
        <f t="shared" si="9"/>
        <v>7</v>
      </c>
      <c r="J63" s="48">
        <f t="shared" si="9"/>
        <v>31</v>
      </c>
      <c r="K63" s="48">
        <f t="shared" si="9"/>
        <v>77</v>
      </c>
      <c r="L63" s="48">
        <f t="shared" si="9"/>
        <v>184</v>
      </c>
      <c r="M63" s="48">
        <f t="shared" si="9"/>
        <v>1</v>
      </c>
      <c r="N63" s="48">
        <f t="shared" si="9"/>
        <v>46</v>
      </c>
      <c r="O63" s="48">
        <f t="shared" si="9"/>
        <v>5</v>
      </c>
      <c r="P63" s="48">
        <f t="shared" si="9"/>
        <v>11</v>
      </c>
      <c r="Q63" s="48">
        <f t="shared" si="9"/>
        <v>0</v>
      </c>
      <c r="R63" s="48">
        <f t="shared" si="9"/>
        <v>13</v>
      </c>
      <c r="S63" s="48">
        <f t="shared" si="9"/>
        <v>4</v>
      </c>
      <c r="T63" s="48">
        <f t="shared" si="9"/>
        <v>7</v>
      </c>
      <c r="U63" s="48">
        <f t="shared" si="9"/>
        <v>5</v>
      </c>
      <c r="V63" s="48">
        <f t="shared" si="9"/>
        <v>50</v>
      </c>
      <c r="W63" s="48">
        <f t="shared" si="9"/>
        <v>1</v>
      </c>
      <c r="X63" s="48">
        <f t="shared" si="9"/>
        <v>12</v>
      </c>
      <c r="Y63" s="41">
        <f t="shared" si="1"/>
        <v>898</v>
      </c>
      <c r="Z63" s="41">
        <f t="shared" ref="Z63:AV63" si="10">SUM(Z64:Z72)</f>
        <v>127</v>
      </c>
      <c r="AA63" s="41">
        <f t="shared" si="10"/>
        <v>10</v>
      </c>
      <c r="AB63" s="41">
        <f t="shared" si="10"/>
        <v>404</v>
      </c>
      <c r="AC63" s="41">
        <f t="shared" si="10"/>
        <v>31</v>
      </c>
      <c r="AD63" s="41">
        <f t="shared" si="10"/>
        <v>0</v>
      </c>
      <c r="AE63" s="41">
        <f t="shared" si="10"/>
        <v>0</v>
      </c>
      <c r="AF63" s="41">
        <f t="shared" si="10"/>
        <v>194</v>
      </c>
      <c r="AG63" s="41">
        <f t="shared" si="10"/>
        <v>0</v>
      </c>
      <c r="AH63" s="41">
        <f t="shared" si="10"/>
        <v>30</v>
      </c>
      <c r="AI63" s="41">
        <f t="shared" si="10"/>
        <v>26</v>
      </c>
      <c r="AJ63" s="41">
        <f t="shared" si="10"/>
        <v>70</v>
      </c>
      <c r="AK63" s="41">
        <f t="shared" si="10"/>
        <v>0</v>
      </c>
      <c r="AL63" s="41">
        <f t="shared" si="10"/>
        <v>34</v>
      </c>
      <c r="AM63" s="41">
        <f t="shared" si="10"/>
        <v>4</v>
      </c>
      <c r="AN63" s="41">
        <f t="shared" si="10"/>
        <v>8</v>
      </c>
      <c r="AO63" s="41">
        <f t="shared" si="10"/>
        <v>0</v>
      </c>
      <c r="AP63" s="41">
        <f t="shared" si="10"/>
        <v>11</v>
      </c>
      <c r="AQ63" s="41">
        <f t="shared" si="10"/>
        <v>5</v>
      </c>
      <c r="AR63" s="41">
        <f t="shared" si="10"/>
        <v>2</v>
      </c>
      <c r="AS63" s="41">
        <f t="shared" si="10"/>
        <v>6</v>
      </c>
      <c r="AT63" s="41">
        <f t="shared" si="10"/>
        <v>11</v>
      </c>
      <c r="AU63" s="41">
        <f t="shared" si="10"/>
        <v>2</v>
      </c>
      <c r="AV63" s="41">
        <f t="shared" si="10"/>
        <v>1</v>
      </c>
      <c r="AW63" s="41">
        <f t="shared" si="3"/>
        <v>404</v>
      </c>
      <c r="AX63" s="42">
        <f t="shared" si="4"/>
        <v>2332.0892691798945</v>
      </c>
      <c r="AY63" s="43">
        <f>'[1]2018'!AX68+'[1]2019'!AX68+'[1]2020'!AX68</f>
        <v>6996.2678075396834</v>
      </c>
      <c r="AZ63" s="42">
        <f>AB63*100/D63</f>
        <v>44.988864142538972</v>
      </c>
      <c r="BA63" s="44"/>
      <c r="BB63" s="44"/>
      <c r="BC63" s="44"/>
      <c r="BD63" s="44"/>
      <c r="BE63" s="44"/>
    </row>
    <row r="64" spans="1:57" x14ac:dyDescent="0.25">
      <c r="A64" s="10" t="s">
        <v>133</v>
      </c>
      <c r="B64" s="46">
        <f>'[1]2018'!B69+'[1]2019'!B69+'[1]2020'!B69</f>
        <v>45</v>
      </c>
      <c r="C64" s="46">
        <f>'[1]2018'!C69+'[1]2019'!C69+'[1]2020'!C69</f>
        <v>1</v>
      </c>
      <c r="D64" s="46">
        <f>'[1]2018'!D69+'[1]2019'!D69+'[1]2020'!D69</f>
        <v>181</v>
      </c>
      <c r="E64" s="46">
        <f>'[1]2018'!E69+'[1]2019'!E69+'[1]2020'!E69</f>
        <v>1</v>
      </c>
      <c r="F64" s="46">
        <f>'[1]2018'!F69+'[1]2019'!F69+'[1]2020'!F69</f>
        <v>0</v>
      </c>
      <c r="G64" s="46">
        <f>'[1]2018'!G69+'[1]2019'!G69+'[1]2020'!G69</f>
        <v>0</v>
      </c>
      <c r="H64" s="46">
        <f>'[1]2018'!H69+'[1]2019'!H69+'[1]2020'!H69</f>
        <v>2</v>
      </c>
      <c r="I64" s="46">
        <f>'[1]2018'!I69+'[1]2019'!I69+'[1]2020'!I69</f>
        <v>0</v>
      </c>
      <c r="J64" s="46">
        <f>'[1]2018'!J69+'[1]2019'!J69+'[1]2020'!J69</f>
        <v>0</v>
      </c>
      <c r="K64" s="46">
        <f>'[1]2018'!K69+'[1]2019'!K69+'[1]2020'!K69</f>
        <v>5</v>
      </c>
      <c r="L64" s="46">
        <f>'[1]2018'!L69+'[1]2019'!L69+'[1]2020'!L69</f>
        <v>136</v>
      </c>
      <c r="M64" s="46">
        <f>'[1]2018'!M69+'[1]2019'!M69+'[1]2020'!M69</f>
        <v>0</v>
      </c>
      <c r="N64" s="46">
        <f>'[1]2018'!N69+'[1]2019'!N69+'[1]2020'!N69</f>
        <v>18</v>
      </c>
      <c r="O64" s="46">
        <f>'[1]2018'!O69+'[1]2019'!O69+'[1]2020'!O69</f>
        <v>2</v>
      </c>
      <c r="P64" s="46">
        <f>'[1]2018'!P69+'[1]2019'!P69+'[1]2020'!P69</f>
        <v>6</v>
      </c>
      <c r="Q64" s="46">
        <f>'[1]2018'!Q69+'[1]2019'!Q69+'[1]2020'!Q69</f>
        <v>0</v>
      </c>
      <c r="R64" s="46">
        <f>'[1]2018'!R69+'[1]2019'!R69+'[1]2020'!R69</f>
        <v>5</v>
      </c>
      <c r="S64" s="46">
        <f>'[1]2018'!S69+'[1]2019'!S69+'[1]2020'!S69</f>
        <v>4</v>
      </c>
      <c r="T64" s="46">
        <f>'[1]2018'!T69+'[1]2019'!T69+'[1]2020'!T69</f>
        <v>1</v>
      </c>
      <c r="U64" s="46">
        <f>'[1]2018'!U69+'[1]2019'!U69+'[1]2020'!U69</f>
        <v>1</v>
      </c>
      <c r="V64" s="46">
        <f>'[1]2018'!V69+'[1]2019'!V69+'[1]2020'!V69</f>
        <v>0</v>
      </c>
      <c r="W64" s="46">
        <f>'[1]2018'!W69+'[1]2019'!W69+'[1]2020'!W69</f>
        <v>1</v>
      </c>
      <c r="X64" s="46">
        <f>'[1]2018'!X69+'[1]2019'!X69+'[1]2020'!X69</f>
        <v>0</v>
      </c>
      <c r="Y64" s="41">
        <f t="shared" si="1"/>
        <v>181</v>
      </c>
      <c r="Z64" s="11">
        <f>'[1]2018'!Z69+'[1]2019'!Z69+'[1]2020'!Z69</f>
        <v>48</v>
      </c>
      <c r="AA64" s="11">
        <f>'[1]2018'!AA69+'[1]2019'!AA69+'[1]2020'!AA69</f>
        <v>1</v>
      </c>
      <c r="AB64" s="11">
        <f>'[1]2018'!AB69+'[1]2019'!AB69+'[1]2020'!AB69</f>
        <v>81</v>
      </c>
      <c r="AC64" s="11">
        <f>'[1]2018'!AC69+'[1]2019'!AC69+'[1]2020'!AC69</f>
        <v>1</v>
      </c>
      <c r="AD64" s="11">
        <f>'[1]2018'!AD69+'[1]2019'!AD69+'[1]2020'!AD69</f>
        <v>0</v>
      </c>
      <c r="AE64" s="11">
        <f>'[1]2018'!AE69+'[1]2019'!AE69+'[1]2020'!AE69</f>
        <v>0</v>
      </c>
      <c r="AF64" s="11">
        <f>'[1]2018'!AF69+'[1]2019'!AF69+'[1]2020'!AF69</f>
        <v>8</v>
      </c>
      <c r="AG64" s="11">
        <f>'[1]2018'!AG69+'[1]2019'!AG69+'[1]2020'!AG69</f>
        <v>0</v>
      </c>
      <c r="AH64" s="11">
        <f>'[1]2018'!AH69+'[1]2019'!AH69+'[1]2020'!AH69</f>
        <v>0</v>
      </c>
      <c r="AI64" s="11">
        <f>'[1]2018'!AI69+'[1]2019'!AI69+'[1]2020'!AI69</f>
        <v>2</v>
      </c>
      <c r="AJ64" s="11">
        <f>'[1]2018'!AJ69+'[1]2019'!AJ69+'[1]2020'!AJ69</f>
        <v>41</v>
      </c>
      <c r="AK64" s="11">
        <f>'[1]2018'!AK69+'[1]2019'!AK69+'[1]2020'!AK69</f>
        <v>0</v>
      </c>
      <c r="AL64" s="11">
        <f>'[1]2018'!AL69+'[1]2019'!AL69+'[1]2020'!AL69</f>
        <v>11</v>
      </c>
      <c r="AM64" s="11">
        <f>'[1]2018'!AM69+'[1]2019'!AM69+'[1]2020'!AM69</f>
        <v>2</v>
      </c>
      <c r="AN64" s="11">
        <f>'[1]2018'!AN69+'[1]2019'!AN69+'[1]2020'!AN69</f>
        <v>6</v>
      </c>
      <c r="AO64" s="11">
        <f>'[1]2018'!AO69+'[1]2019'!AO69+'[1]2020'!AO69</f>
        <v>0</v>
      </c>
      <c r="AP64" s="11">
        <f>'[1]2018'!AP69+'[1]2019'!AP69+'[1]2020'!AP69</f>
        <v>4</v>
      </c>
      <c r="AQ64" s="11">
        <f>'[1]2018'!AQ69+'[1]2019'!AQ69+'[1]2020'!AQ69</f>
        <v>4</v>
      </c>
      <c r="AR64" s="11">
        <f>'[1]2018'!AR69+'[1]2019'!AR69+'[1]2020'!AR69</f>
        <v>1</v>
      </c>
      <c r="AS64" s="11">
        <f>'[1]2018'!AS69+'[1]2019'!AS69+'[1]2020'!AS69</f>
        <v>1</v>
      </c>
      <c r="AT64" s="11">
        <f>'[1]2018'!AT69+'[1]2019'!AT69+'[1]2020'!AT69</f>
        <v>0</v>
      </c>
      <c r="AU64" s="11">
        <f>'[1]2018'!AU69+'[1]2019'!AU69+'[1]2020'!AU69</f>
        <v>1</v>
      </c>
      <c r="AV64" s="11">
        <f>'[1]2018'!AV69+'[1]2019'!AV69+'[1]2020'!AV69</f>
        <v>0</v>
      </c>
      <c r="AW64" s="41">
        <f t="shared" si="3"/>
        <v>81</v>
      </c>
      <c r="AX64" s="14">
        <f t="shared" si="4"/>
        <v>2634.8249206349205</v>
      </c>
      <c r="AY64" s="2">
        <f>'[1]2018'!AX69+'[1]2019'!AX69+'[1]2020'!AX69</f>
        <v>7904.4747619047612</v>
      </c>
    </row>
    <row r="65" spans="1:136" x14ac:dyDescent="0.25">
      <c r="A65" s="10" t="s">
        <v>96</v>
      </c>
      <c r="B65" s="46">
        <f>'[1]2018'!B71+'[1]2019'!B71+'[1]2020'!B71</f>
        <v>71</v>
      </c>
      <c r="C65" s="46">
        <f>'[1]2018'!C71+'[1]2019'!C71+'[1]2020'!C71</f>
        <v>1</v>
      </c>
      <c r="D65" s="46">
        <f>'[1]2018'!D71+'[1]2019'!D71+'[1]2020'!D71</f>
        <v>228</v>
      </c>
      <c r="E65" s="46">
        <f>'[1]2018'!E71+'[1]2019'!E71+'[1]2020'!E71</f>
        <v>1</v>
      </c>
      <c r="F65" s="46">
        <f>'[1]2018'!F71+'[1]2019'!F71+'[1]2020'!F71</f>
        <v>0</v>
      </c>
      <c r="G65" s="46">
        <f>'[1]2018'!G71+'[1]2019'!G71+'[1]2020'!G71</f>
        <v>0</v>
      </c>
      <c r="H65" s="46">
        <f>'[1]2018'!H71+'[1]2019'!H71+'[1]2020'!H71</f>
        <v>159</v>
      </c>
      <c r="I65" s="46">
        <f>'[1]2018'!I71+'[1]2019'!I71+'[1]2020'!I71</f>
        <v>0</v>
      </c>
      <c r="J65" s="46">
        <f>'[1]2018'!J71+'[1]2019'!J71+'[1]2020'!J71</f>
        <v>0</v>
      </c>
      <c r="K65" s="46">
        <f>'[1]2018'!K71+'[1]2019'!K71+'[1]2020'!K71</f>
        <v>6</v>
      </c>
      <c r="L65" s="46">
        <f>'[1]2018'!L71+'[1]2019'!L71+'[1]2020'!L71</f>
        <v>40</v>
      </c>
      <c r="M65" s="46">
        <f>'[1]2018'!M71+'[1]2019'!M71+'[1]2020'!M71</f>
        <v>0</v>
      </c>
      <c r="N65" s="46">
        <f>'[1]2018'!N71+'[1]2019'!N71+'[1]2020'!N71</f>
        <v>1</v>
      </c>
      <c r="O65" s="46">
        <f>'[1]2018'!O71+'[1]2019'!O71+'[1]2020'!O71</f>
        <v>1</v>
      </c>
      <c r="P65" s="46">
        <f>'[1]2018'!P71+'[1]2019'!P71+'[1]2020'!P71</f>
        <v>5</v>
      </c>
      <c r="Q65" s="46">
        <f>'[1]2018'!Q71+'[1]2019'!Q71+'[1]2020'!Q71</f>
        <v>0</v>
      </c>
      <c r="R65" s="46">
        <f>'[1]2018'!R71+'[1]2019'!R71+'[1]2020'!R71</f>
        <v>8</v>
      </c>
      <c r="S65" s="46">
        <f>'[1]2018'!S71+'[1]2019'!S71+'[1]2020'!S71</f>
        <v>0</v>
      </c>
      <c r="T65" s="46">
        <f>'[1]2018'!T71+'[1]2019'!T71+'[1]2020'!T71</f>
        <v>4</v>
      </c>
      <c r="U65" s="46">
        <f>'[1]2018'!U71+'[1]2019'!U71+'[1]2020'!U71</f>
        <v>0</v>
      </c>
      <c r="V65" s="46">
        <f>'[1]2018'!V71+'[1]2019'!V71+'[1]2020'!V71</f>
        <v>4</v>
      </c>
      <c r="W65" s="46">
        <f>'[1]2018'!W71+'[1]2019'!W71+'[1]2020'!W71</f>
        <v>0</v>
      </c>
      <c r="X65" s="46">
        <f>'[1]2018'!X71+'[1]2019'!X71+'[1]2020'!X71</f>
        <v>0</v>
      </c>
      <c r="Y65" s="41">
        <f t="shared" ref="Y65:Y124" si="11">SUM(F65:X65)</f>
        <v>228</v>
      </c>
      <c r="Z65" s="11">
        <f>'[1]2018'!Z71+'[1]2019'!Z71+'[1]2020'!Z71</f>
        <v>35</v>
      </c>
      <c r="AA65" s="11">
        <f>'[1]2018'!AA71+'[1]2019'!AA71+'[1]2020'!AA71</f>
        <v>1</v>
      </c>
      <c r="AB65" s="11">
        <f>'[1]2018'!AB71+'[1]2019'!AB71+'[1]2020'!AB71</f>
        <v>159</v>
      </c>
      <c r="AC65" s="11">
        <f>'[1]2018'!AC71+'[1]2019'!AC71+'[1]2020'!AC71</f>
        <v>1</v>
      </c>
      <c r="AD65" s="11">
        <f>'[1]2018'!AD71+'[1]2019'!AD71+'[1]2020'!AD71</f>
        <v>0</v>
      </c>
      <c r="AE65" s="11">
        <f>'[1]2018'!AE71+'[1]2019'!AE71+'[1]2020'!AE71</f>
        <v>0</v>
      </c>
      <c r="AF65" s="11">
        <f>'[1]2018'!AF71+'[1]2019'!AF71+'[1]2020'!AF71</f>
        <v>106</v>
      </c>
      <c r="AG65" s="11">
        <f>'[1]2018'!AG71+'[1]2019'!AG71+'[1]2020'!AG71</f>
        <v>0</v>
      </c>
      <c r="AH65" s="11">
        <f>'[1]2018'!AH71+'[1]2019'!AH71+'[1]2020'!AH71</f>
        <v>0</v>
      </c>
      <c r="AI65" s="11">
        <f>'[1]2018'!AI71+'[1]2019'!AI71+'[1]2020'!AI71</f>
        <v>6</v>
      </c>
      <c r="AJ65" s="11">
        <f>'[1]2018'!AJ71+'[1]2019'!AJ71+'[1]2020'!AJ71</f>
        <v>22</v>
      </c>
      <c r="AK65" s="11">
        <f>'[1]2018'!AK71+'[1]2019'!AK71+'[1]2020'!AK71</f>
        <v>0</v>
      </c>
      <c r="AL65" s="11">
        <f>'[1]2018'!AL71+'[1]2019'!AL71+'[1]2020'!AL71</f>
        <v>1</v>
      </c>
      <c r="AM65" s="11">
        <f>'[1]2018'!AM71+'[1]2019'!AM71+'[1]2020'!AM71</f>
        <v>1</v>
      </c>
      <c r="AN65" s="11">
        <f>'[1]2018'!AN71+'[1]2019'!AN71+'[1]2020'!AN71</f>
        <v>2</v>
      </c>
      <c r="AO65" s="11">
        <f>'[1]2018'!AO71+'[1]2019'!AO71+'[1]2020'!AO71</f>
        <v>0</v>
      </c>
      <c r="AP65" s="11">
        <f>'[1]2018'!AP71+'[1]2019'!AP71+'[1]2020'!AP71</f>
        <v>7</v>
      </c>
      <c r="AQ65" s="11">
        <f>'[1]2018'!AQ71+'[1]2019'!AQ71+'[1]2020'!AQ71</f>
        <v>1</v>
      </c>
      <c r="AR65" s="11">
        <f>'[1]2018'!AR71+'[1]2019'!AR71+'[1]2020'!AR71</f>
        <v>0</v>
      </c>
      <c r="AS65" s="11">
        <f>'[1]2018'!AS71+'[1]2019'!AS71+'[1]2020'!AS71</f>
        <v>1</v>
      </c>
      <c r="AT65" s="11">
        <f>'[1]2018'!AT71+'[1]2019'!AT71+'[1]2020'!AT71</f>
        <v>11</v>
      </c>
      <c r="AU65" s="11">
        <f>'[1]2018'!AU71+'[1]2019'!AU71+'[1]2020'!AU71</f>
        <v>1</v>
      </c>
      <c r="AV65" s="11">
        <f>'[1]2018'!AV71+'[1]2019'!AV71+'[1]2020'!AV71</f>
        <v>0</v>
      </c>
      <c r="AW65" s="41">
        <f t="shared" ref="AW65:AW124" si="12">SUM(AD65:AV65)</f>
        <v>159</v>
      </c>
      <c r="AX65" s="14">
        <f t="shared" ref="AX65:AX124" si="13">AY65/3</f>
        <v>2881.65625</v>
      </c>
      <c r="AY65" s="2">
        <f>'[1]2018'!AX71+'[1]2019'!AX71+'[1]2020'!AX71</f>
        <v>8644.96875</v>
      </c>
    </row>
    <row r="66" spans="1:136" x14ac:dyDescent="0.25">
      <c r="A66" s="10" t="s">
        <v>97</v>
      </c>
      <c r="B66" s="46">
        <f>'[1]2018'!B72+'[1]2019'!B72+'[1]2020'!B72</f>
        <v>32</v>
      </c>
      <c r="C66" s="46">
        <f>'[1]2018'!C72+'[1]2019'!C72+'[1]2020'!C72</f>
        <v>8</v>
      </c>
      <c r="D66" s="46">
        <f>'[1]2018'!D72+'[1]2019'!D72+'[1]2020'!D72</f>
        <v>113</v>
      </c>
      <c r="E66" s="46">
        <f>'[1]2018'!E72+'[1]2019'!E72+'[1]2020'!E72</f>
        <v>34</v>
      </c>
      <c r="F66" s="46">
        <f>'[1]2018'!F72+'[1]2019'!F72+'[1]2020'!F72</f>
        <v>0</v>
      </c>
      <c r="G66" s="46">
        <f>'[1]2018'!G72+'[1]2019'!G72+'[1]2020'!G72</f>
        <v>0</v>
      </c>
      <c r="H66" s="46">
        <f>'[1]2018'!H72+'[1]2019'!H72+'[1]2020'!H72</f>
        <v>43</v>
      </c>
      <c r="I66" s="46">
        <f>'[1]2018'!I72+'[1]2019'!I72+'[1]2020'!I72</f>
        <v>7</v>
      </c>
      <c r="J66" s="46">
        <f>'[1]2018'!J72+'[1]2019'!J72+'[1]2020'!J72</f>
        <v>0</v>
      </c>
      <c r="K66" s="46">
        <f>'[1]2018'!K72+'[1]2019'!K72+'[1]2020'!K72</f>
        <v>44</v>
      </c>
      <c r="L66" s="46">
        <f>'[1]2018'!L72+'[1]2019'!L72+'[1]2020'!L72</f>
        <v>7</v>
      </c>
      <c r="M66" s="46">
        <f>'[1]2018'!M72+'[1]2019'!M72+'[1]2020'!M72</f>
        <v>0</v>
      </c>
      <c r="N66" s="46">
        <f>'[1]2018'!N72+'[1]2019'!N72+'[1]2020'!N72</f>
        <v>0</v>
      </c>
      <c r="O66" s="46">
        <f>'[1]2018'!O72+'[1]2019'!O72+'[1]2020'!O72</f>
        <v>0</v>
      </c>
      <c r="P66" s="46">
        <f>'[1]2018'!P72+'[1]2019'!P72+'[1]2020'!P72</f>
        <v>0</v>
      </c>
      <c r="Q66" s="46">
        <f>'[1]2018'!Q72+'[1]2019'!Q72+'[1]2020'!Q72</f>
        <v>0</v>
      </c>
      <c r="R66" s="46">
        <f>'[1]2018'!R72+'[1]2019'!R72+'[1]2020'!R72</f>
        <v>0</v>
      </c>
      <c r="S66" s="46">
        <f>'[1]2018'!S72+'[1]2019'!S72+'[1]2020'!S72</f>
        <v>0</v>
      </c>
      <c r="T66" s="46">
        <f>'[1]2018'!T72+'[1]2019'!T72+'[1]2020'!T72</f>
        <v>2</v>
      </c>
      <c r="U66" s="46">
        <f>'[1]2018'!U72+'[1]2019'!U72+'[1]2020'!U72</f>
        <v>3</v>
      </c>
      <c r="V66" s="46">
        <f>'[1]2018'!V72+'[1]2019'!V72+'[1]2020'!V72</f>
        <v>2</v>
      </c>
      <c r="W66" s="46">
        <f>'[1]2018'!W72+'[1]2019'!W72+'[1]2020'!W72</f>
        <v>0</v>
      </c>
      <c r="X66" s="46">
        <f>'[1]2018'!X72+'[1]2019'!X72+'[1]2020'!X72</f>
        <v>5</v>
      </c>
      <c r="Y66" s="41">
        <f t="shared" si="11"/>
        <v>113</v>
      </c>
      <c r="Z66" s="11">
        <f>'[1]2018'!Z72+'[1]2019'!Z72+'[1]2020'!Z72</f>
        <v>15</v>
      </c>
      <c r="AA66" s="11">
        <f>'[1]2018'!AA72+'[1]2019'!AA72+'[1]2020'!AA72</f>
        <v>5</v>
      </c>
      <c r="AB66" s="11">
        <f>'[1]2018'!AB72+'[1]2019'!AB72+'[1]2020'!AB72</f>
        <v>34</v>
      </c>
      <c r="AC66" s="11">
        <f>'[1]2018'!AC72+'[1]2019'!AC72+'[1]2020'!AC72</f>
        <v>14</v>
      </c>
      <c r="AD66" s="11">
        <f>'[1]2018'!AD72+'[1]2019'!AD72+'[1]2020'!AD72</f>
        <v>0</v>
      </c>
      <c r="AE66" s="11">
        <f>'[1]2018'!AE72+'[1]2019'!AE72+'[1]2020'!AE72</f>
        <v>0</v>
      </c>
      <c r="AF66" s="11">
        <f>'[1]2018'!AF72+'[1]2019'!AF72+'[1]2020'!AF72</f>
        <v>8</v>
      </c>
      <c r="AG66" s="11">
        <f>'[1]2018'!AG72+'[1]2019'!AG72+'[1]2020'!AG72</f>
        <v>0</v>
      </c>
      <c r="AH66" s="11">
        <f>'[1]2018'!AH72+'[1]2019'!AH72+'[1]2020'!AH72</f>
        <v>0</v>
      </c>
      <c r="AI66" s="11">
        <f>'[1]2018'!AI72+'[1]2019'!AI72+'[1]2020'!AI72</f>
        <v>14</v>
      </c>
      <c r="AJ66" s="11">
        <f>'[1]2018'!AJ72+'[1]2019'!AJ72+'[1]2020'!AJ72</f>
        <v>7</v>
      </c>
      <c r="AK66" s="11">
        <f>'[1]2018'!AK72+'[1]2019'!AK72+'[1]2020'!AK72</f>
        <v>0</v>
      </c>
      <c r="AL66" s="11">
        <f>'[1]2018'!AL72+'[1]2019'!AL72+'[1]2020'!AL72</f>
        <v>0</v>
      </c>
      <c r="AM66" s="11">
        <f>'[1]2018'!AM72+'[1]2019'!AM72+'[1]2020'!AM72</f>
        <v>0</v>
      </c>
      <c r="AN66" s="11">
        <f>'[1]2018'!AN72+'[1]2019'!AN72+'[1]2020'!AN72</f>
        <v>0</v>
      </c>
      <c r="AO66" s="11">
        <f>'[1]2018'!AO72+'[1]2019'!AO72+'[1]2020'!AO72</f>
        <v>0</v>
      </c>
      <c r="AP66" s="11">
        <f>'[1]2018'!AP72+'[1]2019'!AP72+'[1]2020'!AP72</f>
        <v>0</v>
      </c>
      <c r="AQ66" s="11">
        <f>'[1]2018'!AQ72+'[1]2019'!AQ72+'[1]2020'!AQ72</f>
        <v>0</v>
      </c>
      <c r="AR66" s="11">
        <f>'[1]2018'!AR72+'[1]2019'!AR72+'[1]2020'!AR72</f>
        <v>1</v>
      </c>
      <c r="AS66" s="11">
        <f>'[1]2018'!AS72+'[1]2019'!AS72+'[1]2020'!AS72</f>
        <v>3</v>
      </c>
      <c r="AT66" s="11">
        <f>'[1]2018'!AT72+'[1]2019'!AT72+'[1]2020'!AT72</f>
        <v>0</v>
      </c>
      <c r="AU66" s="11">
        <f>'[1]2018'!AU72+'[1]2019'!AU72+'[1]2020'!AU72</f>
        <v>0</v>
      </c>
      <c r="AV66" s="11">
        <f>'[1]2018'!AV72+'[1]2019'!AV72+'[1]2020'!AV72</f>
        <v>1</v>
      </c>
      <c r="AW66" s="41">
        <f t="shared" si="12"/>
        <v>34</v>
      </c>
      <c r="AX66" s="14">
        <f t="shared" si="13"/>
        <v>2634.5733333333333</v>
      </c>
      <c r="AY66" s="2">
        <f>'[1]2018'!AX72+'[1]2019'!AX72+'[1]2020'!AX72</f>
        <v>7903.72</v>
      </c>
    </row>
    <row r="67" spans="1:136" s="13" customFormat="1" x14ac:dyDescent="0.25">
      <c r="A67" s="10" t="s">
        <v>98</v>
      </c>
      <c r="B67" s="46">
        <f>'[1]2018'!B73+'[1]2019'!B73+'[1]2020'!B73</f>
        <v>0</v>
      </c>
      <c r="C67" s="46">
        <f>'[1]2018'!C73+'[1]2019'!C73+'[1]2020'!C73</f>
        <v>0</v>
      </c>
      <c r="D67" s="46">
        <f>'[1]2018'!D73+'[1]2019'!D73+'[1]2020'!D73</f>
        <v>0</v>
      </c>
      <c r="E67" s="46">
        <f>'[1]2018'!E73+'[1]2019'!E73+'[1]2020'!E73</f>
        <v>0</v>
      </c>
      <c r="F67" s="46">
        <f>'[1]2018'!F73+'[1]2019'!F73+'[1]2020'!F73</f>
        <v>0</v>
      </c>
      <c r="G67" s="46">
        <f>'[1]2018'!G73+'[1]2019'!G73+'[1]2020'!G73</f>
        <v>0</v>
      </c>
      <c r="H67" s="46">
        <f>'[1]2018'!H73+'[1]2019'!H73+'[1]2020'!H73</f>
        <v>0</v>
      </c>
      <c r="I67" s="46">
        <f>'[1]2018'!I73+'[1]2019'!I73+'[1]2020'!I73</f>
        <v>0</v>
      </c>
      <c r="J67" s="46">
        <f>'[1]2018'!J73+'[1]2019'!J73+'[1]2020'!J73</f>
        <v>0</v>
      </c>
      <c r="K67" s="46">
        <f>'[1]2018'!K73+'[1]2019'!K73+'[1]2020'!K73</f>
        <v>0</v>
      </c>
      <c r="L67" s="46">
        <f>'[1]2018'!L73+'[1]2019'!L73+'[1]2020'!L73</f>
        <v>0</v>
      </c>
      <c r="M67" s="46">
        <f>'[1]2018'!M73+'[1]2019'!M73+'[1]2020'!M73</f>
        <v>0</v>
      </c>
      <c r="N67" s="46">
        <f>'[1]2018'!N73+'[1]2019'!N73+'[1]2020'!N73</f>
        <v>0</v>
      </c>
      <c r="O67" s="46">
        <f>'[1]2018'!O73+'[1]2019'!O73+'[1]2020'!O73</f>
        <v>0</v>
      </c>
      <c r="P67" s="46">
        <f>'[1]2018'!P73+'[1]2019'!P73+'[1]2020'!P73</f>
        <v>0</v>
      </c>
      <c r="Q67" s="46">
        <f>'[1]2018'!Q73+'[1]2019'!Q73+'[1]2020'!Q73</f>
        <v>0</v>
      </c>
      <c r="R67" s="46">
        <f>'[1]2018'!R73+'[1]2019'!R73+'[1]2020'!R73</f>
        <v>0</v>
      </c>
      <c r="S67" s="46">
        <f>'[1]2018'!S73+'[1]2019'!S73+'[1]2020'!S73</f>
        <v>0</v>
      </c>
      <c r="T67" s="46">
        <f>'[1]2018'!T73+'[1]2019'!T73+'[1]2020'!T73</f>
        <v>0</v>
      </c>
      <c r="U67" s="46">
        <f>'[1]2018'!U73+'[1]2019'!U73+'[1]2020'!U73</f>
        <v>0</v>
      </c>
      <c r="V67" s="46">
        <f>'[1]2018'!V73+'[1]2019'!V73+'[1]2020'!V73</f>
        <v>0</v>
      </c>
      <c r="W67" s="46">
        <f>'[1]2018'!W73+'[1]2019'!W73+'[1]2020'!W73</f>
        <v>0</v>
      </c>
      <c r="X67" s="46">
        <f>'[1]2018'!X73+'[1]2019'!X73+'[1]2020'!X73</f>
        <v>0</v>
      </c>
      <c r="Y67" s="41">
        <f t="shared" si="11"/>
        <v>0</v>
      </c>
      <c r="Z67" s="11">
        <f>'[1]2018'!Z73+'[1]2019'!Z73+'[1]2020'!Z73</f>
        <v>0</v>
      </c>
      <c r="AA67" s="11">
        <f>'[1]2018'!AA73+'[1]2019'!AA73+'[1]2020'!AA73</f>
        <v>0</v>
      </c>
      <c r="AB67" s="11">
        <f>'[1]2018'!AB73+'[1]2019'!AB73+'[1]2020'!AB73</f>
        <v>0</v>
      </c>
      <c r="AC67" s="11">
        <f>'[1]2018'!AC73+'[1]2019'!AC73+'[1]2020'!AC73</f>
        <v>0</v>
      </c>
      <c r="AD67" s="11">
        <f>'[1]2018'!AD73+'[1]2019'!AD73+'[1]2020'!AD73</f>
        <v>0</v>
      </c>
      <c r="AE67" s="11">
        <f>'[1]2018'!AE73+'[1]2019'!AE73+'[1]2020'!AE73</f>
        <v>0</v>
      </c>
      <c r="AF67" s="11">
        <f>'[1]2018'!AF73+'[1]2019'!AF73+'[1]2020'!AF73</f>
        <v>0</v>
      </c>
      <c r="AG67" s="11">
        <f>'[1]2018'!AG73+'[1]2019'!AG73+'[1]2020'!AG73</f>
        <v>0</v>
      </c>
      <c r="AH67" s="11">
        <f>'[1]2018'!AH73+'[1]2019'!AH73+'[1]2020'!AH73</f>
        <v>0</v>
      </c>
      <c r="AI67" s="11">
        <f>'[1]2018'!AI73+'[1]2019'!AI73+'[1]2020'!AI73</f>
        <v>0</v>
      </c>
      <c r="AJ67" s="11">
        <f>'[1]2018'!AJ73+'[1]2019'!AJ73+'[1]2020'!AJ73</f>
        <v>0</v>
      </c>
      <c r="AK67" s="11">
        <f>'[1]2018'!AK73+'[1]2019'!AK73+'[1]2020'!AK73</f>
        <v>0</v>
      </c>
      <c r="AL67" s="11">
        <f>'[1]2018'!AL73+'[1]2019'!AL73+'[1]2020'!AL73</f>
        <v>0</v>
      </c>
      <c r="AM67" s="11">
        <f>'[1]2018'!AM73+'[1]2019'!AM73+'[1]2020'!AM73</f>
        <v>0</v>
      </c>
      <c r="AN67" s="11">
        <f>'[1]2018'!AN73+'[1]2019'!AN73+'[1]2020'!AN73</f>
        <v>0</v>
      </c>
      <c r="AO67" s="11">
        <f>'[1]2018'!AO73+'[1]2019'!AO73+'[1]2020'!AO73</f>
        <v>0</v>
      </c>
      <c r="AP67" s="11">
        <f>'[1]2018'!AP73+'[1]2019'!AP73+'[1]2020'!AP73</f>
        <v>0</v>
      </c>
      <c r="AQ67" s="11">
        <f>'[1]2018'!AQ73+'[1]2019'!AQ73+'[1]2020'!AQ73</f>
        <v>0</v>
      </c>
      <c r="AR67" s="11">
        <f>'[1]2018'!AR73+'[1]2019'!AR73+'[1]2020'!AR73</f>
        <v>0</v>
      </c>
      <c r="AS67" s="11">
        <f>'[1]2018'!AS73+'[1]2019'!AS73+'[1]2020'!AS73</f>
        <v>0</v>
      </c>
      <c r="AT67" s="11">
        <f>'[1]2018'!AT73+'[1]2019'!AT73+'[1]2020'!AT73</f>
        <v>0</v>
      </c>
      <c r="AU67" s="11">
        <f>'[1]2018'!AU73+'[1]2019'!AU73+'[1]2020'!AU73</f>
        <v>0</v>
      </c>
      <c r="AV67" s="11">
        <f>'[1]2018'!AV73+'[1]2019'!AV73+'[1]2020'!AV73</f>
        <v>0</v>
      </c>
      <c r="AW67" s="41">
        <f t="shared" si="12"/>
        <v>0</v>
      </c>
      <c r="AX67" s="14">
        <f t="shared" si="13"/>
        <v>0</v>
      </c>
      <c r="AY67" s="2">
        <f>'[1]2018'!AX73+'[1]2019'!AX73+'[1]2020'!AX73</f>
        <v>0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</row>
    <row r="68" spans="1:136" x14ac:dyDescent="0.25">
      <c r="A68" s="10" t="s">
        <v>99</v>
      </c>
      <c r="B68" s="46">
        <f>'[1]2018'!B74+'[1]2019'!B74+'[1]2020'!B74</f>
        <v>3</v>
      </c>
      <c r="C68" s="46">
        <f>'[1]2018'!C74+'[1]2019'!C74+'[1]2020'!C74</f>
        <v>0</v>
      </c>
      <c r="D68" s="46">
        <f>'[1]2018'!D74+'[1]2019'!D74+'[1]2020'!D74</f>
        <v>9</v>
      </c>
      <c r="E68" s="46">
        <f>'[1]2018'!E74+'[1]2019'!E74+'[1]2020'!E74</f>
        <v>0</v>
      </c>
      <c r="F68" s="46">
        <f>'[1]2018'!F74+'[1]2019'!F74+'[1]2020'!F74</f>
        <v>0</v>
      </c>
      <c r="G68" s="46">
        <f>'[1]2018'!G74+'[1]2019'!G74+'[1]2020'!G74</f>
        <v>0</v>
      </c>
      <c r="H68" s="46">
        <f>'[1]2018'!H74+'[1]2019'!H74+'[1]2020'!H74</f>
        <v>9</v>
      </c>
      <c r="I68" s="46">
        <f>'[1]2018'!I74+'[1]2019'!I74+'[1]2020'!I74</f>
        <v>0</v>
      </c>
      <c r="J68" s="46">
        <f>'[1]2018'!J74+'[1]2019'!J74+'[1]2020'!J74</f>
        <v>0</v>
      </c>
      <c r="K68" s="46">
        <f>'[1]2018'!K74+'[1]2019'!K74+'[1]2020'!K74</f>
        <v>0</v>
      </c>
      <c r="L68" s="46">
        <f>'[1]2018'!L74+'[1]2019'!L74+'[1]2020'!L74</f>
        <v>0</v>
      </c>
      <c r="M68" s="46">
        <f>'[1]2018'!M74+'[1]2019'!M74+'[1]2020'!M74</f>
        <v>0</v>
      </c>
      <c r="N68" s="46">
        <f>'[1]2018'!N74+'[1]2019'!N74+'[1]2020'!N74</f>
        <v>0</v>
      </c>
      <c r="O68" s="46">
        <f>'[1]2018'!O74+'[1]2019'!O74+'[1]2020'!O74</f>
        <v>0</v>
      </c>
      <c r="P68" s="46">
        <f>'[1]2018'!P74+'[1]2019'!P74+'[1]2020'!P74</f>
        <v>0</v>
      </c>
      <c r="Q68" s="46">
        <f>'[1]2018'!Q74+'[1]2019'!Q74+'[1]2020'!Q74</f>
        <v>0</v>
      </c>
      <c r="R68" s="46">
        <f>'[1]2018'!R74+'[1]2019'!R74+'[1]2020'!R74</f>
        <v>0</v>
      </c>
      <c r="S68" s="46">
        <f>'[1]2018'!S74+'[1]2019'!S74+'[1]2020'!S74</f>
        <v>0</v>
      </c>
      <c r="T68" s="46">
        <f>'[1]2018'!T74+'[1]2019'!T74+'[1]2020'!T74</f>
        <v>0</v>
      </c>
      <c r="U68" s="46">
        <f>'[1]2018'!U74+'[1]2019'!U74+'[1]2020'!U74</f>
        <v>0</v>
      </c>
      <c r="V68" s="46">
        <f>'[1]2018'!V74+'[1]2019'!V74+'[1]2020'!V74</f>
        <v>0</v>
      </c>
      <c r="W68" s="46">
        <f>'[1]2018'!W74+'[1]2019'!W74+'[1]2020'!W74</f>
        <v>0</v>
      </c>
      <c r="X68" s="46">
        <f>'[1]2018'!X74+'[1]2019'!X74+'[1]2020'!X74</f>
        <v>0</v>
      </c>
      <c r="Y68" s="41">
        <f t="shared" si="11"/>
        <v>9</v>
      </c>
      <c r="Z68" s="11">
        <f>'[1]2018'!Z74+'[1]2019'!Z74+'[1]2020'!Z74</f>
        <v>2</v>
      </c>
      <c r="AA68" s="11">
        <f>'[1]2018'!AA74+'[1]2019'!AA74+'[1]2020'!AA74</f>
        <v>0</v>
      </c>
      <c r="AB68" s="11">
        <f>'[1]2018'!AB74+'[1]2019'!AB74+'[1]2020'!AB74</f>
        <v>5</v>
      </c>
      <c r="AC68" s="11">
        <f>'[1]2018'!AC74+'[1]2019'!AC74+'[1]2020'!AC74</f>
        <v>0</v>
      </c>
      <c r="AD68" s="11">
        <f>'[1]2018'!AD74+'[1]2019'!AD74+'[1]2020'!AD74</f>
        <v>0</v>
      </c>
      <c r="AE68" s="11">
        <f>'[1]2018'!AE74+'[1]2019'!AE74+'[1]2020'!AE74</f>
        <v>0</v>
      </c>
      <c r="AF68" s="11">
        <f>'[1]2018'!AF74+'[1]2019'!AF74+'[1]2020'!AF74</f>
        <v>5</v>
      </c>
      <c r="AG68" s="11">
        <f>'[1]2018'!AG74+'[1]2019'!AG74+'[1]2020'!AG74</f>
        <v>0</v>
      </c>
      <c r="AH68" s="11">
        <f>'[1]2018'!AH74+'[1]2019'!AH74+'[1]2020'!AH74</f>
        <v>0</v>
      </c>
      <c r="AI68" s="11">
        <f>'[1]2018'!AI74+'[1]2019'!AI74+'[1]2020'!AI74</f>
        <v>0</v>
      </c>
      <c r="AJ68" s="11">
        <f>'[1]2018'!AJ74+'[1]2019'!AJ74+'[1]2020'!AJ74</f>
        <v>0</v>
      </c>
      <c r="AK68" s="11">
        <f>'[1]2018'!AK74+'[1]2019'!AK74+'[1]2020'!AK74</f>
        <v>0</v>
      </c>
      <c r="AL68" s="11">
        <f>'[1]2018'!AL74+'[1]2019'!AL74+'[1]2020'!AL74</f>
        <v>0</v>
      </c>
      <c r="AM68" s="11">
        <f>'[1]2018'!AM74+'[1]2019'!AM74+'[1]2020'!AM74</f>
        <v>0</v>
      </c>
      <c r="AN68" s="11">
        <f>'[1]2018'!AN74+'[1]2019'!AN74+'[1]2020'!AN74</f>
        <v>0</v>
      </c>
      <c r="AO68" s="11">
        <f>'[1]2018'!AO74+'[1]2019'!AO74+'[1]2020'!AO74</f>
        <v>0</v>
      </c>
      <c r="AP68" s="11">
        <f>'[1]2018'!AP74+'[1]2019'!AP74+'[1]2020'!AP74</f>
        <v>0</v>
      </c>
      <c r="AQ68" s="11">
        <f>'[1]2018'!AQ74+'[1]2019'!AQ74+'[1]2020'!AQ74</f>
        <v>0</v>
      </c>
      <c r="AR68" s="11">
        <f>'[1]2018'!AR74+'[1]2019'!AR74+'[1]2020'!AR74</f>
        <v>0</v>
      </c>
      <c r="AS68" s="11">
        <f>'[1]2018'!AS74+'[1]2019'!AS74+'[1]2020'!AS74</f>
        <v>0</v>
      </c>
      <c r="AT68" s="11">
        <f>'[1]2018'!AT74+'[1]2019'!AT74+'[1]2020'!AT74</f>
        <v>0</v>
      </c>
      <c r="AU68" s="11">
        <f>'[1]2018'!AU74+'[1]2019'!AU74+'[1]2020'!AU74</f>
        <v>0</v>
      </c>
      <c r="AV68" s="11">
        <f>'[1]2018'!AV74+'[1]2019'!AV74+'[1]2020'!AV74</f>
        <v>0</v>
      </c>
      <c r="AW68" s="41">
        <f t="shared" si="12"/>
        <v>5</v>
      </c>
      <c r="AX68" s="14">
        <f t="shared" si="13"/>
        <v>2893.3333333333335</v>
      </c>
      <c r="AY68" s="2">
        <f>'[1]2018'!AX74+'[1]2019'!AX74+'[1]2020'!AX74</f>
        <v>8680</v>
      </c>
    </row>
    <row r="69" spans="1:136" x14ac:dyDescent="0.25">
      <c r="A69" s="10" t="s">
        <v>100</v>
      </c>
      <c r="B69" s="46">
        <f>'[1]2018'!B75+'[1]2019'!B75+'[1]2020'!B75</f>
        <v>12</v>
      </c>
      <c r="C69" s="46">
        <f>'[1]2018'!C75+'[1]2019'!C75+'[1]2020'!C75</f>
        <v>0</v>
      </c>
      <c r="D69" s="46">
        <f>'[1]2018'!D75+'[1]2019'!D75+'[1]2020'!D75</f>
        <v>28</v>
      </c>
      <c r="E69" s="46">
        <f>'[1]2018'!E75+'[1]2019'!E75+'[1]2020'!E75</f>
        <v>0</v>
      </c>
      <c r="F69" s="46">
        <f>'[1]2018'!F75+'[1]2019'!F75+'[1]2020'!F75</f>
        <v>0</v>
      </c>
      <c r="G69" s="46">
        <f>'[1]2018'!G75+'[1]2019'!G75+'[1]2020'!G75</f>
        <v>0</v>
      </c>
      <c r="H69" s="46">
        <f>'[1]2018'!H75+'[1]2019'!H75+'[1]2020'!H75</f>
        <v>0</v>
      </c>
      <c r="I69" s="46">
        <f>'[1]2018'!I75+'[1]2019'!I75+'[1]2020'!I75</f>
        <v>0</v>
      </c>
      <c r="J69" s="46">
        <f>'[1]2018'!J75+'[1]2019'!J75+'[1]2020'!J75</f>
        <v>0</v>
      </c>
      <c r="K69" s="46">
        <f>'[1]2018'!K75+'[1]2019'!K75+'[1]2020'!K75</f>
        <v>0</v>
      </c>
      <c r="L69" s="46">
        <f>'[1]2018'!L75+'[1]2019'!L75+'[1]2020'!L75</f>
        <v>1</v>
      </c>
      <c r="M69" s="46">
        <f>'[1]2018'!M75+'[1]2019'!M75+'[1]2020'!M75</f>
        <v>0</v>
      </c>
      <c r="N69" s="46">
        <f>'[1]2018'!N75+'[1]2019'!N75+'[1]2020'!N75</f>
        <v>27</v>
      </c>
      <c r="O69" s="46">
        <f>'[1]2018'!O75+'[1]2019'!O75+'[1]2020'!O75</f>
        <v>0</v>
      </c>
      <c r="P69" s="46">
        <f>'[1]2018'!P75+'[1]2019'!P75+'[1]2020'!P75</f>
        <v>0</v>
      </c>
      <c r="Q69" s="46">
        <f>'[1]2018'!Q75+'[1]2019'!Q75+'[1]2020'!Q75</f>
        <v>0</v>
      </c>
      <c r="R69" s="46">
        <f>'[1]2018'!R75+'[1]2019'!R75+'[1]2020'!R75</f>
        <v>0</v>
      </c>
      <c r="S69" s="46">
        <f>'[1]2018'!S75+'[1]2019'!S75+'[1]2020'!S75</f>
        <v>0</v>
      </c>
      <c r="T69" s="46">
        <f>'[1]2018'!T75+'[1]2019'!T75+'[1]2020'!T75</f>
        <v>0</v>
      </c>
      <c r="U69" s="46">
        <f>'[1]2018'!U75+'[1]2019'!U75+'[1]2020'!U75</f>
        <v>0</v>
      </c>
      <c r="V69" s="46">
        <f>'[1]2018'!V75+'[1]2019'!V75+'[1]2020'!V75</f>
        <v>0</v>
      </c>
      <c r="W69" s="46">
        <f>'[1]2018'!W75+'[1]2019'!W75+'[1]2020'!W75</f>
        <v>0</v>
      </c>
      <c r="X69" s="46">
        <f>'[1]2018'!X75+'[1]2019'!X75+'[1]2020'!X75</f>
        <v>0</v>
      </c>
      <c r="Y69" s="41">
        <f t="shared" si="11"/>
        <v>28</v>
      </c>
      <c r="Z69" s="11">
        <f>'[1]2018'!Z75+'[1]2019'!Z75+'[1]2020'!Z75</f>
        <v>10</v>
      </c>
      <c r="AA69" s="11">
        <f>'[1]2018'!AA75+'[1]2019'!AA75+'[1]2020'!AA75</f>
        <v>0</v>
      </c>
      <c r="AB69" s="11">
        <f>'[1]2018'!AB75+'[1]2019'!AB75+'[1]2020'!AB75</f>
        <v>22</v>
      </c>
      <c r="AC69" s="11">
        <f>'[1]2018'!AC75+'[1]2019'!AC75+'[1]2020'!AC75</f>
        <v>0</v>
      </c>
      <c r="AD69" s="11">
        <f>'[1]2018'!AD75+'[1]2019'!AD75+'[1]2020'!AD75</f>
        <v>0</v>
      </c>
      <c r="AE69" s="11">
        <f>'[1]2018'!AE75+'[1]2019'!AE75+'[1]2020'!AE75</f>
        <v>0</v>
      </c>
      <c r="AF69" s="11">
        <f>'[1]2018'!AF75+'[1]2019'!AF75+'[1]2020'!AF75</f>
        <v>0</v>
      </c>
      <c r="AG69" s="11">
        <f>'[1]2018'!AG75+'[1]2019'!AG75+'[1]2020'!AG75</f>
        <v>0</v>
      </c>
      <c r="AH69" s="11">
        <f>'[1]2018'!AH75+'[1]2019'!AH75+'[1]2020'!AH75</f>
        <v>0</v>
      </c>
      <c r="AI69" s="11">
        <f>'[1]2018'!AI75+'[1]2019'!AI75+'[1]2020'!AI75</f>
        <v>0</v>
      </c>
      <c r="AJ69" s="11">
        <f>'[1]2018'!AJ75+'[1]2019'!AJ75+'[1]2020'!AJ75</f>
        <v>0</v>
      </c>
      <c r="AK69" s="11">
        <f>'[1]2018'!AK75+'[1]2019'!AK75+'[1]2020'!AK75</f>
        <v>0</v>
      </c>
      <c r="AL69" s="11">
        <f>'[1]2018'!AL75+'[1]2019'!AL75+'[1]2020'!AL75</f>
        <v>22</v>
      </c>
      <c r="AM69" s="11">
        <f>'[1]2018'!AM75+'[1]2019'!AM75+'[1]2020'!AM75</f>
        <v>0</v>
      </c>
      <c r="AN69" s="11">
        <f>'[1]2018'!AN75+'[1]2019'!AN75+'[1]2020'!AN75</f>
        <v>0</v>
      </c>
      <c r="AO69" s="11">
        <f>'[1]2018'!AO75+'[1]2019'!AO75+'[1]2020'!AO75</f>
        <v>0</v>
      </c>
      <c r="AP69" s="11">
        <f>'[1]2018'!AP75+'[1]2019'!AP75+'[1]2020'!AP75</f>
        <v>0</v>
      </c>
      <c r="AQ69" s="11">
        <f>'[1]2018'!AQ75+'[1]2019'!AQ75+'[1]2020'!AQ75</f>
        <v>0</v>
      </c>
      <c r="AR69" s="11">
        <f>'[1]2018'!AR75+'[1]2019'!AR75+'[1]2020'!AR75</f>
        <v>0</v>
      </c>
      <c r="AS69" s="11">
        <f>'[1]2018'!AS75+'[1]2019'!AS75+'[1]2020'!AS75</f>
        <v>0</v>
      </c>
      <c r="AT69" s="11">
        <f>'[1]2018'!AT75+'[1]2019'!AT75+'[1]2020'!AT75</f>
        <v>0</v>
      </c>
      <c r="AU69" s="11">
        <f>'[1]2018'!AU75+'[1]2019'!AU75+'[1]2020'!AU75</f>
        <v>0</v>
      </c>
      <c r="AV69" s="11">
        <f>'[1]2018'!AV75+'[1]2019'!AV75+'[1]2020'!AV75</f>
        <v>0</v>
      </c>
      <c r="AW69" s="41">
        <f t="shared" si="12"/>
        <v>22</v>
      </c>
      <c r="AX69" s="14">
        <f t="shared" si="13"/>
        <v>1216.2955555555554</v>
      </c>
      <c r="AY69" s="2">
        <f>'[1]2018'!AX75+'[1]2019'!AX75+'[1]2020'!AX75</f>
        <v>3648.8866666666663</v>
      </c>
    </row>
    <row r="70" spans="1:136" x14ac:dyDescent="0.25">
      <c r="A70" s="10" t="s">
        <v>132</v>
      </c>
      <c r="B70" s="46">
        <f>'[1]2018'!B76+'[1]2019'!B76+'[1]2020'!B76</f>
        <v>19</v>
      </c>
      <c r="C70" s="46">
        <f>'[1]2018'!C76+'[1]2019'!C76+'[1]2020'!C76</f>
        <v>6</v>
      </c>
      <c r="D70" s="46">
        <f>'[1]2018'!D76+'[1]2019'!D76+'[1]2020'!D76</f>
        <v>260</v>
      </c>
      <c r="E70" s="46">
        <f>'[1]2018'!E76+'[1]2019'!E76+'[1]2020'!E76</f>
        <v>52</v>
      </c>
      <c r="F70" s="46">
        <f>'[1]2018'!F76+'[1]2019'!F76+'[1]2020'!F76</f>
        <v>0</v>
      </c>
      <c r="G70" s="46">
        <f>'[1]2018'!G76+'[1]2019'!G76+'[1]2020'!G76</f>
        <v>0</v>
      </c>
      <c r="H70" s="46">
        <f>'[1]2018'!H76+'[1]2019'!H76+'[1]2020'!H76</f>
        <v>178</v>
      </c>
      <c r="I70" s="46">
        <f>'[1]2018'!I76+'[1]2019'!I76+'[1]2020'!I76</f>
        <v>0</v>
      </c>
      <c r="J70" s="46">
        <f>'[1]2018'!J76+'[1]2019'!J76+'[1]2020'!J76</f>
        <v>31</v>
      </c>
      <c r="K70" s="46">
        <f>'[1]2018'!K76+'[1]2019'!K76+'[1]2020'!K76</f>
        <v>19</v>
      </c>
      <c r="L70" s="46">
        <f>'[1]2018'!L76+'[1]2019'!L76+'[1]2020'!L76</f>
        <v>0</v>
      </c>
      <c r="M70" s="46">
        <f>'[1]2018'!M76+'[1]2019'!M76+'[1]2020'!M76</f>
        <v>0</v>
      </c>
      <c r="N70" s="46">
        <f>'[1]2018'!N76+'[1]2019'!N76+'[1]2020'!N76</f>
        <v>0</v>
      </c>
      <c r="O70" s="46">
        <f>'[1]2018'!O76+'[1]2019'!O76+'[1]2020'!O76</f>
        <v>2</v>
      </c>
      <c r="P70" s="46">
        <f>'[1]2018'!P76+'[1]2019'!P76+'[1]2020'!P76</f>
        <v>0</v>
      </c>
      <c r="Q70" s="46">
        <f>'[1]2018'!Q76+'[1]2019'!Q76+'[1]2020'!Q76</f>
        <v>0</v>
      </c>
      <c r="R70" s="46">
        <f>'[1]2018'!R76+'[1]2019'!R76+'[1]2020'!R76</f>
        <v>0</v>
      </c>
      <c r="S70" s="46">
        <f>'[1]2018'!S76+'[1]2019'!S76+'[1]2020'!S76</f>
        <v>0</v>
      </c>
      <c r="T70" s="46">
        <f>'[1]2018'!T76+'[1]2019'!T76+'[1]2020'!T76</f>
        <v>0</v>
      </c>
      <c r="U70" s="46">
        <f>'[1]2018'!U76+'[1]2019'!U76+'[1]2020'!U76</f>
        <v>0</v>
      </c>
      <c r="V70" s="46">
        <f>'[1]2018'!V76+'[1]2019'!V76+'[1]2020'!V76</f>
        <v>30</v>
      </c>
      <c r="W70" s="46">
        <f>'[1]2018'!W76+'[1]2019'!W76+'[1]2020'!W76</f>
        <v>0</v>
      </c>
      <c r="X70" s="46">
        <f>'[1]2018'!X76+'[1]2019'!X76+'[1]2020'!X76</f>
        <v>0</v>
      </c>
      <c r="Y70" s="41">
        <f t="shared" si="11"/>
        <v>260</v>
      </c>
      <c r="Z70" s="11">
        <f>'[1]2018'!Z76+'[1]2019'!Z76+'[1]2020'!Z76</f>
        <v>13</v>
      </c>
      <c r="AA70" s="11">
        <f>'[1]2018'!AA76+'[1]2019'!AA76+'[1]2020'!AA76</f>
        <v>3</v>
      </c>
      <c r="AB70" s="11">
        <f>'[1]2018'!AB76+'[1]2019'!AB76+'[1]2020'!AB76</f>
        <v>92</v>
      </c>
      <c r="AC70" s="11">
        <f>'[1]2018'!AC76+'[1]2019'!AC76+'[1]2020'!AC76</f>
        <v>15</v>
      </c>
      <c r="AD70" s="11">
        <f>'[1]2018'!AD76+'[1]2019'!AD76+'[1]2020'!AD76</f>
        <v>0</v>
      </c>
      <c r="AE70" s="11">
        <f>'[1]2018'!AE76+'[1]2019'!AE76+'[1]2020'!AE76</f>
        <v>0</v>
      </c>
      <c r="AF70" s="11">
        <f>'[1]2018'!AF76+'[1]2019'!AF76+'[1]2020'!AF76</f>
        <v>57</v>
      </c>
      <c r="AG70" s="11">
        <f>'[1]2018'!AG76+'[1]2019'!AG76+'[1]2020'!AG76</f>
        <v>0</v>
      </c>
      <c r="AH70" s="11">
        <f>'[1]2018'!AH76+'[1]2019'!AH76+'[1]2020'!AH76</f>
        <v>30</v>
      </c>
      <c r="AI70" s="11">
        <f>'[1]2018'!AI76+'[1]2019'!AI76+'[1]2020'!AI76</f>
        <v>4</v>
      </c>
      <c r="AJ70" s="11">
        <f>'[1]2018'!AJ76+'[1]2019'!AJ76+'[1]2020'!AJ76</f>
        <v>0</v>
      </c>
      <c r="AK70" s="11">
        <f>'[1]2018'!AK76+'[1]2019'!AK76+'[1]2020'!AK76</f>
        <v>0</v>
      </c>
      <c r="AL70" s="11">
        <f>'[1]2018'!AL76+'[1]2019'!AL76+'[1]2020'!AL76</f>
        <v>0</v>
      </c>
      <c r="AM70" s="11">
        <f>'[1]2018'!AM76+'[1]2019'!AM76+'[1]2020'!AM76</f>
        <v>1</v>
      </c>
      <c r="AN70" s="11">
        <f>'[1]2018'!AN76+'[1]2019'!AN76+'[1]2020'!AN76</f>
        <v>0</v>
      </c>
      <c r="AO70" s="11">
        <f>'[1]2018'!AO76+'[1]2019'!AO76+'[1]2020'!AO76</f>
        <v>0</v>
      </c>
      <c r="AP70" s="11">
        <f>'[1]2018'!AP76+'[1]2019'!AP76+'[1]2020'!AP76</f>
        <v>0</v>
      </c>
      <c r="AQ70" s="11">
        <f>'[1]2018'!AQ76+'[1]2019'!AQ76+'[1]2020'!AQ76</f>
        <v>0</v>
      </c>
      <c r="AR70" s="11">
        <f>'[1]2018'!AR76+'[1]2019'!AR76+'[1]2020'!AR76</f>
        <v>0</v>
      </c>
      <c r="AS70" s="11">
        <f>'[1]2018'!AS76+'[1]2019'!AS76+'[1]2020'!AS76</f>
        <v>0</v>
      </c>
      <c r="AT70" s="11">
        <f>'[1]2018'!AT76+'[1]2019'!AT76+'[1]2020'!AT76</f>
        <v>0</v>
      </c>
      <c r="AU70" s="11">
        <f>'[1]2018'!AU76+'[1]2019'!AU76+'[1]2020'!AU76</f>
        <v>0</v>
      </c>
      <c r="AV70" s="11">
        <f>'[1]2018'!AV76+'[1]2019'!AV76+'[1]2020'!AV76</f>
        <v>0</v>
      </c>
      <c r="AW70" s="41">
        <f t="shared" si="12"/>
        <v>92</v>
      </c>
      <c r="AX70" s="14">
        <f t="shared" si="13"/>
        <v>796.56666666666661</v>
      </c>
      <c r="AY70" s="2">
        <f>'[1]2018'!AX76+'[1]2019'!AX76+'[1]2020'!AX76</f>
        <v>2389.6999999999998</v>
      </c>
    </row>
    <row r="71" spans="1:136" x14ac:dyDescent="0.25">
      <c r="A71" s="10" t="s">
        <v>131</v>
      </c>
      <c r="B71" s="46">
        <f>'[1]2018'!B77+'[1]2019'!B77+'[1]2020'!B77</f>
        <v>11</v>
      </c>
      <c r="C71" s="46">
        <f>'[1]2018'!C77+'[1]2019'!C77+'[1]2020'!C77</f>
        <v>0</v>
      </c>
      <c r="D71" s="46">
        <f>'[1]2018'!D77+'[1]2019'!D77+'[1]2020'!D77</f>
        <v>77</v>
      </c>
      <c r="E71" s="46">
        <f>'[1]2018'!E77+'[1]2019'!E77+'[1]2020'!E77</f>
        <v>0</v>
      </c>
      <c r="F71" s="46">
        <f>'[1]2018'!F77+'[1]2019'!F77+'[1]2020'!F77</f>
        <v>0</v>
      </c>
      <c r="G71" s="46">
        <f>'[1]2018'!G77+'[1]2019'!G77+'[1]2020'!G77</f>
        <v>0</v>
      </c>
      <c r="H71" s="46">
        <f>'[1]2018'!H77+'[1]2019'!H77+'[1]2020'!H77</f>
        <v>52</v>
      </c>
      <c r="I71" s="46">
        <f>'[1]2018'!I77+'[1]2019'!I77+'[1]2020'!I77</f>
        <v>0</v>
      </c>
      <c r="J71" s="46">
        <f>'[1]2018'!J77+'[1]2019'!J77+'[1]2020'!J77</f>
        <v>0</v>
      </c>
      <c r="K71" s="46">
        <f>'[1]2018'!K77+'[1]2019'!K77+'[1]2020'!K77</f>
        <v>3</v>
      </c>
      <c r="L71" s="46">
        <f>'[1]2018'!L77+'[1]2019'!L77+'[1]2020'!L77</f>
        <v>0</v>
      </c>
      <c r="M71" s="46">
        <f>'[1]2018'!M77+'[1]2019'!M77+'[1]2020'!M77</f>
        <v>0</v>
      </c>
      <c r="N71" s="46">
        <f>'[1]2018'!N77+'[1]2019'!N77+'[1]2020'!N77</f>
        <v>0</v>
      </c>
      <c r="O71" s="46">
        <f>'[1]2018'!O77+'[1]2019'!O77+'[1]2020'!O77</f>
        <v>0</v>
      </c>
      <c r="P71" s="46">
        <f>'[1]2018'!P77+'[1]2019'!P77+'[1]2020'!P77</f>
        <v>0</v>
      </c>
      <c r="Q71" s="46">
        <f>'[1]2018'!Q77+'[1]2019'!Q77+'[1]2020'!Q77</f>
        <v>0</v>
      </c>
      <c r="R71" s="46">
        <f>'[1]2018'!R77+'[1]2019'!R77+'[1]2020'!R77</f>
        <v>0</v>
      </c>
      <c r="S71" s="46">
        <f>'[1]2018'!S77+'[1]2019'!S77+'[1]2020'!S77</f>
        <v>0</v>
      </c>
      <c r="T71" s="46">
        <f>'[1]2018'!T77+'[1]2019'!T77+'[1]2020'!T77</f>
        <v>0</v>
      </c>
      <c r="U71" s="46">
        <f>'[1]2018'!U77+'[1]2019'!U77+'[1]2020'!U77</f>
        <v>1</v>
      </c>
      <c r="V71" s="46">
        <f>'[1]2018'!V77+'[1]2019'!V77+'[1]2020'!V77</f>
        <v>14</v>
      </c>
      <c r="W71" s="46">
        <f>'[1]2018'!W77+'[1]2019'!W77+'[1]2020'!W77</f>
        <v>0</v>
      </c>
      <c r="X71" s="46">
        <f>'[1]2018'!X77+'[1]2019'!X77+'[1]2020'!X77</f>
        <v>7</v>
      </c>
      <c r="Y71" s="41">
        <f t="shared" si="11"/>
        <v>77</v>
      </c>
      <c r="Z71" s="11">
        <f>'[1]2018'!Z77+'[1]2019'!Z77+'[1]2020'!Z77</f>
        <v>4</v>
      </c>
      <c r="AA71" s="11">
        <f>'[1]2018'!AA77+'[1]2019'!AA77+'[1]2020'!AA77</f>
        <v>0</v>
      </c>
      <c r="AB71" s="11">
        <f>'[1]2018'!AB77+'[1]2019'!AB77+'[1]2020'!AB77</f>
        <v>11</v>
      </c>
      <c r="AC71" s="11">
        <f>'[1]2018'!AC77+'[1]2019'!AC77+'[1]2020'!AC77</f>
        <v>0</v>
      </c>
      <c r="AD71" s="11">
        <f>'[1]2018'!AD77+'[1]2019'!AD77+'[1]2020'!AD77</f>
        <v>0</v>
      </c>
      <c r="AE71" s="11">
        <f>'[1]2018'!AE77+'[1]2019'!AE77+'[1]2020'!AE77</f>
        <v>0</v>
      </c>
      <c r="AF71" s="11">
        <f>'[1]2018'!AF77+'[1]2019'!AF77+'[1]2020'!AF77</f>
        <v>10</v>
      </c>
      <c r="AG71" s="11">
        <f>'[1]2018'!AG77+'[1]2019'!AG77+'[1]2020'!AG77</f>
        <v>0</v>
      </c>
      <c r="AH71" s="11">
        <f>'[1]2018'!AH77+'[1]2019'!AH77+'[1]2020'!AH77</f>
        <v>0</v>
      </c>
      <c r="AI71" s="11">
        <f>'[1]2018'!AI77+'[1]2019'!AI77+'[1]2020'!AI77</f>
        <v>0</v>
      </c>
      <c r="AJ71" s="11">
        <f>'[1]2018'!AJ77+'[1]2019'!AJ77+'[1]2020'!AJ77</f>
        <v>0</v>
      </c>
      <c r="AK71" s="11">
        <f>'[1]2018'!AK77+'[1]2019'!AK77+'[1]2020'!AK77</f>
        <v>0</v>
      </c>
      <c r="AL71" s="11">
        <f>'[1]2018'!AL77+'[1]2019'!AL77+'[1]2020'!AL77</f>
        <v>0</v>
      </c>
      <c r="AM71" s="11">
        <f>'[1]2018'!AM77+'[1]2019'!AM77+'[1]2020'!AM77</f>
        <v>0</v>
      </c>
      <c r="AN71" s="11">
        <f>'[1]2018'!AN77+'[1]2019'!AN77+'[1]2020'!AN77</f>
        <v>0</v>
      </c>
      <c r="AO71" s="11">
        <f>'[1]2018'!AO77+'[1]2019'!AO77+'[1]2020'!AO77</f>
        <v>0</v>
      </c>
      <c r="AP71" s="11">
        <f>'[1]2018'!AP77+'[1]2019'!AP77+'[1]2020'!AP77</f>
        <v>0</v>
      </c>
      <c r="AQ71" s="11">
        <f>'[1]2018'!AQ77+'[1]2019'!AQ77+'[1]2020'!AQ77</f>
        <v>0</v>
      </c>
      <c r="AR71" s="11">
        <f>'[1]2018'!AR77+'[1]2019'!AR77+'[1]2020'!AR77</f>
        <v>0</v>
      </c>
      <c r="AS71" s="11">
        <f>'[1]2018'!AS77+'[1]2019'!AS77+'[1]2020'!AS77</f>
        <v>1</v>
      </c>
      <c r="AT71" s="11">
        <f>'[1]2018'!AT77+'[1]2019'!AT77+'[1]2020'!AT77</f>
        <v>0</v>
      </c>
      <c r="AU71" s="11">
        <f>'[1]2018'!AU77+'[1]2019'!AU77+'[1]2020'!AU77</f>
        <v>0</v>
      </c>
      <c r="AV71" s="11">
        <f>'[1]2018'!AV77+'[1]2019'!AV77+'[1]2020'!AV77</f>
        <v>0</v>
      </c>
      <c r="AW71" s="41">
        <f t="shared" si="12"/>
        <v>11</v>
      </c>
      <c r="AX71" s="14">
        <f t="shared" si="13"/>
        <v>578.4666666666667</v>
      </c>
      <c r="AY71" s="2">
        <f>'[1]2018'!AX77+'[1]2019'!AX77+'[1]2020'!AX77</f>
        <v>1735.4</v>
      </c>
    </row>
    <row r="72" spans="1:136" x14ac:dyDescent="0.25">
      <c r="A72" s="10" t="s">
        <v>130</v>
      </c>
      <c r="B72" s="46">
        <f>'[1]2018'!B78+'[1]2019'!B78+'[1]2020'!B78</f>
        <v>2</v>
      </c>
      <c r="C72" s="46">
        <f>'[1]2018'!C78+'[1]2019'!C78+'[1]2020'!C78</f>
        <v>1</v>
      </c>
      <c r="D72" s="46">
        <f>'[1]2018'!D78+'[1]2019'!D78+'[1]2020'!D78</f>
        <v>2</v>
      </c>
      <c r="E72" s="46">
        <f>'[1]2018'!E78+'[1]2019'!E78+'[1]2020'!E78</f>
        <v>1</v>
      </c>
      <c r="F72" s="46">
        <f>'[1]2018'!F78+'[1]2019'!F78+'[1]2020'!F78</f>
        <v>0</v>
      </c>
      <c r="G72" s="46">
        <f>'[1]2018'!G78+'[1]2019'!G78+'[1]2020'!G78</f>
        <v>0</v>
      </c>
      <c r="H72" s="46">
        <f>'[1]2018'!H78+'[1]2019'!H78+'[1]2020'!H78</f>
        <v>1</v>
      </c>
      <c r="I72" s="46">
        <f>'[1]2018'!I78+'[1]2019'!I78+'[1]2020'!I78</f>
        <v>0</v>
      </c>
      <c r="J72" s="46">
        <f>'[1]2018'!J78+'[1]2019'!J78+'[1]2020'!J78</f>
        <v>0</v>
      </c>
      <c r="K72" s="46">
        <f>'[1]2018'!K78+'[1]2019'!K78+'[1]2020'!K78</f>
        <v>0</v>
      </c>
      <c r="L72" s="46">
        <f>'[1]2018'!L78+'[1]2019'!L78+'[1]2020'!L78</f>
        <v>0</v>
      </c>
      <c r="M72" s="46">
        <f>'[1]2018'!M78+'[1]2019'!M78+'[1]2020'!M78</f>
        <v>1</v>
      </c>
      <c r="N72" s="46">
        <f>'[1]2018'!N78+'[1]2019'!N78+'[1]2020'!N78</f>
        <v>0</v>
      </c>
      <c r="O72" s="46">
        <f>'[1]2018'!O78+'[1]2019'!O78+'[1]2020'!O78</f>
        <v>0</v>
      </c>
      <c r="P72" s="46">
        <f>'[1]2018'!P78+'[1]2019'!P78+'[1]2020'!P78</f>
        <v>0</v>
      </c>
      <c r="Q72" s="46">
        <f>'[1]2018'!Q78+'[1]2019'!Q78+'[1]2020'!Q78</f>
        <v>0</v>
      </c>
      <c r="R72" s="46">
        <f>'[1]2018'!R78+'[1]2019'!R78+'[1]2020'!R78</f>
        <v>0</v>
      </c>
      <c r="S72" s="46">
        <f>'[1]2018'!S78+'[1]2019'!S78+'[1]2020'!S78</f>
        <v>0</v>
      </c>
      <c r="T72" s="46">
        <f>'[1]2018'!T78+'[1]2019'!T78+'[1]2020'!T78</f>
        <v>0</v>
      </c>
      <c r="U72" s="46">
        <f>'[1]2018'!U78+'[1]2019'!U78+'[1]2020'!U78</f>
        <v>0</v>
      </c>
      <c r="V72" s="46">
        <f>'[1]2018'!V78+'[1]2019'!V78+'[1]2020'!V78</f>
        <v>0</v>
      </c>
      <c r="W72" s="46">
        <f>'[1]2018'!W78+'[1]2019'!W78+'[1]2020'!W78</f>
        <v>0</v>
      </c>
      <c r="X72" s="46">
        <f>'[1]2018'!X78+'[1]2019'!X78+'[1]2020'!X78</f>
        <v>0</v>
      </c>
      <c r="Y72" s="41">
        <f t="shared" si="11"/>
        <v>2</v>
      </c>
      <c r="Z72" s="11">
        <f>'[1]2018'!Z78+'[1]2019'!Z78+'[1]2020'!Z78</f>
        <v>0</v>
      </c>
      <c r="AA72" s="11">
        <f>'[1]2018'!AA78+'[1]2019'!AA78+'[1]2020'!AA78</f>
        <v>0</v>
      </c>
      <c r="AB72" s="11">
        <f>'[1]2018'!AB78+'[1]2019'!AB78+'[1]2020'!AB78</f>
        <v>0</v>
      </c>
      <c r="AC72" s="11">
        <f>'[1]2018'!AC78+'[1]2019'!AC78+'[1]2020'!AC78</f>
        <v>0</v>
      </c>
      <c r="AD72" s="11">
        <f>'[1]2018'!AD78+'[1]2019'!AD78+'[1]2020'!AD78</f>
        <v>0</v>
      </c>
      <c r="AE72" s="11">
        <f>'[1]2018'!AE78+'[1]2019'!AE78+'[1]2020'!AE78</f>
        <v>0</v>
      </c>
      <c r="AF72" s="11">
        <f>'[1]2018'!AF78+'[1]2019'!AF78+'[1]2020'!AF78</f>
        <v>0</v>
      </c>
      <c r="AG72" s="11">
        <f>'[1]2018'!AG78+'[1]2019'!AG78+'[1]2020'!AG78</f>
        <v>0</v>
      </c>
      <c r="AH72" s="11">
        <f>'[1]2018'!AH78+'[1]2019'!AH78+'[1]2020'!AH78</f>
        <v>0</v>
      </c>
      <c r="AI72" s="11">
        <f>'[1]2018'!AI78+'[1]2019'!AI78+'[1]2020'!AI78</f>
        <v>0</v>
      </c>
      <c r="AJ72" s="11">
        <f>'[1]2018'!AJ78+'[1]2019'!AJ78+'[1]2020'!AJ78</f>
        <v>0</v>
      </c>
      <c r="AK72" s="11">
        <f>'[1]2018'!AK78+'[1]2019'!AK78+'[1]2020'!AK78</f>
        <v>0</v>
      </c>
      <c r="AL72" s="11">
        <f>'[1]2018'!AL78+'[1]2019'!AL78+'[1]2020'!AL78</f>
        <v>0</v>
      </c>
      <c r="AM72" s="11">
        <f>'[1]2018'!AM78+'[1]2019'!AM78+'[1]2020'!AM78</f>
        <v>0</v>
      </c>
      <c r="AN72" s="11">
        <f>'[1]2018'!AN78+'[1]2019'!AN78+'[1]2020'!AN78</f>
        <v>0</v>
      </c>
      <c r="AO72" s="11">
        <f>'[1]2018'!AO78+'[1]2019'!AO78+'[1]2020'!AO78</f>
        <v>0</v>
      </c>
      <c r="AP72" s="11">
        <f>'[1]2018'!AP78+'[1]2019'!AP78+'[1]2020'!AP78</f>
        <v>0</v>
      </c>
      <c r="AQ72" s="11">
        <f>'[1]2018'!AQ78+'[1]2019'!AQ78+'[1]2020'!AQ78</f>
        <v>0</v>
      </c>
      <c r="AR72" s="11">
        <f>'[1]2018'!AR78+'[1]2019'!AR78+'[1]2020'!AR78</f>
        <v>0</v>
      </c>
      <c r="AS72" s="11">
        <f>'[1]2018'!AS78+'[1]2019'!AS78+'[1]2020'!AS78</f>
        <v>0</v>
      </c>
      <c r="AT72" s="11">
        <f>'[1]2018'!AT78+'[1]2019'!AT78+'[1]2020'!AT78</f>
        <v>0</v>
      </c>
      <c r="AU72" s="11">
        <f>'[1]2018'!AU78+'[1]2019'!AU78+'[1]2020'!AU78</f>
        <v>0</v>
      </c>
      <c r="AV72" s="11">
        <f>'[1]2018'!AV78+'[1]2019'!AV78+'[1]2020'!AV78</f>
        <v>0</v>
      </c>
      <c r="AW72" s="41">
        <f t="shared" si="12"/>
        <v>0</v>
      </c>
      <c r="AX72" s="14">
        <f t="shared" si="13"/>
        <v>0</v>
      </c>
      <c r="AY72" s="2">
        <f>'[1]2018'!AX78+'[1]2019'!AX78+'[1]2020'!AX78</f>
        <v>0</v>
      </c>
    </row>
    <row r="73" spans="1:136" x14ac:dyDescent="0.25">
      <c r="A73" s="40" t="s">
        <v>42</v>
      </c>
      <c r="B73" s="48">
        <f t="shared" ref="B73:X73" si="14">SUM(B74:B93)</f>
        <v>527</v>
      </c>
      <c r="C73" s="48">
        <f t="shared" si="14"/>
        <v>92</v>
      </c>
      <c r="D73" s="48">
        <f t="shared" si="14"/>
        <v>1681</v>
      </c>
      <c r="E73" s="48">
        <f t="shared" si="14"/>
        <v>354</v>
      </c>
      <c r="F73" s="48">
        <f t="shared" si="14"/>
        <v>0</v>
      </c>
      <c r="G73" s="48">
        <f t="shared" si="14"/>
        <v>0</v>
      </c>
      <c r="H73" s="48">
        <f t="shared" si="14"/>
        <v>511</v>
      </c>
      <c r="I73" s="48">
        <f t="shared" si="14"/>
        <v>8</v>
      </c>
      <c r="J73" s="48">
        <f t="shared" si="14"/>
        <v>28</v>
      </c>
      <c r="K73" s="48">
        <f t="shared" si="14"/>
        <v>37</v>
      </c>
      <c r="L73" s="48">
        <f t="shared" si="14"/>
        <v>245</v>
      </c>
      <c r="M73" s="48">
        <f t="shared" si="14"/>
        <v>18</v>
      </c>
      <c r="N73" s="48">
        <f t="shared" si="14"/>
        <v>90</v>
      </c>
      <c r="O73" s="48">
        <f t="shared" si="14"/>
        <v>112</v>
      </c>
      <c r="P73" s="48">
        <f t="shared" si="14"/>
        <v>7</v>
      </c>
      <c r="Q73" s="48">
        <f t="shared" si="14"/>
        <v>12</v>
      </c>
      <c r="R73" s="48">
        <f t="shared" si="14"/>
        <v>83</v>
      </c>
      <c r="S73" s="48">
        <f t="shared" si="14"/>
        <v>22</v>
      </c>
      <c r="T73" s="48">
        <f t="shared" si="14"/>
        <v>232</v>
      </c>
      <c r="U73" s="48">
        <f t="shared" si="14"/>
        <v>71</v>
      </c>
      <c r="V73" s="48">
        <f t="shared" si="14"/>
        <v>171</v>
      </c>
      <c r="W73" s="48">
        <f t="shared" si="14"/>
        <v>6</v>
      </c>
      <c r="X73" s="48">
        <f t="shared" si="14"/>
        <v>28</v>
      </c>
      <c r="Y73" s="41">
        <f t="shared" si="11"/>
        <v>1681</v>
      </c>
      <c r="Z73" s="41">
        <f t="shared" ref="Z73:AV73" si="15">SUM(Z74:Z93)</f>
        <v>444</v>
      </c>
      <c r="AA73" s="41">
        <f t="shared" si="15"/>
        <v>81</v>
      </c>
      <c r="AB73" s="41">
        <f t="shared" si="15"/>
        <v>1031</v>
      </c>
      <c r="AC73" s="41">
        <f t="shared" si="15"/>
        <v>247</v>
      </c>
      <c r="AD73" s="41">
        <f t="shared" si="15"/>
        <v>0</v>
      </c>
      <c r="AE73" s="41">
        <f t="shared" si="15"/>
        <v>0</v>
      </c>
      <c r="AF73" s="41">
        <f t="shared" si="15"/>
        <v>268</v>
      </c>
      <c r="AG73" s="41">
        <f t="shared" si="15"/>
        <v>8</v>
      </c>
      <c r="AH73" s="41">
        <f t="shared" si="15"/>
        <v>9</v>
      </c>
      <c r="AI73" s="41">
        <f t="shared" si="15"/>
        <v>23</v>
      </c>
      <c r="AJ73" s="41">
        <f t="shared" si="15"/>
        <v>155</v>
      </c>
      <c r="AK73" s="41">
        <f t="shared" si="15"/>
        <v>8</v>
      </c>
      <c r="AL73" s="41">
        <f t="shared" si="15"/>
        <v>78</v>
      </c>
      <c r="AM73" s="41">
        <f t="shared" si="15"/>
        <v>79</v>
      </c>
      <c r="AN73" s="41">
        <f t="shared" si="15"/>
        <v>1</v>
      </c>
      <c r="AO73" s="41">
        <f t="shared" si="15"/>
        <v>7</v>
      </c>
      <c r="AP73" s="41">
        <f t="shared" si="15"/>
        <v>47</v>
      </c>
      <c r="AQ73" s="41">
        <f t="shared" si="15"/>
        <v>14</v>
      </c>
      <c r="AR73" s="41">
        <f t="shared" si="15"/>
        <v>170</v>
      </c>
      <c r="AS73" s="41">
        <f t="shared" si="15"/>
        <v>33</v>
      </c>
      <c r="AT73" s="41">
        <f t="shared" si="15"/>
        <v>111</v>
      </c>
      <c r="AU73" s="41">
        <f t="shared" si="15"/>
        <v>6</v>
      </c>
      <c r="AV73" s="41">
        <f t="shared" si="15"/>
        <v>14</v>
      </c>
      <c r="AW73" s="41">
        <f t="shared" si="12"/>
        <v>1031</v>
      </c>
      <c r="AX73" s="42">
        <f t="shared" si="13"/>
        <v>3236.7042997350968</v>
      </c>
      <c r="AY73" s="43">
        <f>'[1]2018'!AX79+'[1]2019'!AX79+'[1]2020'!AX79</f>
        <v>9710.1128992052909</v>
      </c>
      <c r="AZ73" s="42">
        <f>AB73*100/D73</f>
        <v>61.332540154669836</v>
      </c>
      <c r="BA73" s="44"/>
      <c r="BB73" s="44"/>
      <c r="BC73" s="44"/>
      <c r="BD73" s="44"/>
      <c r="BE73" s="44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</row>
    <row r="74" spans="1:136" x14ac:dyDescent="0.25">
      <c r="A74" s="10" t="s">
        <v>171</v>
      </c>
      <c r="B74" s="46">
        <f>'[1]2018'!B80+'[1]2019'!B80+'[1]2020'!B80</f>
        <v>136</v>
      </c>
      <c r="C74" s="46">
        <f>'[1]2018'!C80+'[1]2019'!C80+'[1]2020'!C80</f>
        <v>22</v>
      </c>
      <c r="D74" s="46">
        <f>'[1]2018'!D80+'[1]2019'!D80+'[1]2020'!D80</f>
        <v>336</v>
      </c>
      <c r="E74" s="46">
        <f>'[1]2018'!E80+'[1]2019'!E80+'[1]2020'!E80</f>
        <v>40</v>
      </c>
      <c r="F74" s="46">
        <f>'[1]2018'!F80+'[1]2019'!F80+'[1]2020'!F80</f>
        <v>0</v>
      </c>
      <c r="G74" s="46">
        <f>'[1]2018'!G80+'[1]2019'!G80+'[1]2020'!G80</f>
        <v>0</v>
      </c>
      <c r="H74" s="46">
        <f>'[1]2018'!H80+'[1]2019'!H80+'[1]2020'!H80</f>
        <v>148</v>
      </c>
      <c r="I74" s="46">
        <f>'[1]2018'!I80+'[1]2019'!I80+'[1]2020'!I80</f>
        <v>0</v>
      </c>
      <c r="J74" s="46">
        <f>'[1]2018'!J80+'[1]2019'!J80+'[1]2020'!J80</f>
        <v>3</v>
      </c>
      <c r="K74" s="46">
        <f>'[1]2018'!K80+'[1]2019'!K80+'[1]2020'!K80</f>
        <v>17</v>
      </c>
      <c r="L74" s="46">
        <f>'[1]2018'!L80+'[1]2019'!L80+'[1]2020'!L80</f>
        <v>46</v>
      </c>
      <c r="M74" s="46">
        <f>'[1]2018'!M80+'[1]2019'!M80+'[1]2020'!M80</f>
        <v>0</v>
      </c>
      <c r="N74" s="46">
        <f>'[1]2018'!N80+'[1]2019'!N80+'[1]2020'!N80</f>
        <v>49</v>
      </c>
      <c r="O74" s="46">
        <f>'[1]2018'!O80+'[1]2019'!O80+'[1]2020'!O80</f>
        <v>1</v>
      </c>
      <c r="P74" s="46">
        <f>'[1]2018'!P80+'[1]2019'!P80+'[1]2020'!P80</f>
        <v>2</v>
      </c>
      <c r="Q74" s="46">
        <f>'[1]2018'!Q80+'[1]2019'!Q80+'[1]2020'!Q80</f>
        <v>3</v>
      </c>
      <c r="R74" s="46">
        <f>'[1]2018'!R80+'[1]2019'!R80+'[1]2020'!R80</f>
        <v>33</v>
      </c>
      <c r="S74" s="46">
        <f>'[1]2018'!S80+'[1]2019'!S80+'[1]2020'!S80</f>
        <v>5</v>
      </c>
      <c r="T74" s="46">
        <f>'[1]2018'!T80+'[1]2019'!T80+'[1]2020'!T80</f>
        <v>9</v>
      </c>
      <c r="U74" s="46">
        <f>'[1]2018'!U80+'[1]2019'!U80+'[1]2020'!U80</f>
        <v>3</v>
      </c>
      <c r="V74" s="46">
        <f>'[1]2018'!V80+'[1]2019'!V80+'[1]2020'!V80</f>
        <v>17</v>
      </c>
      <c r="W74" s="46">
        <f>'[1]2018'!W80+'[1]2019'!W80+'[1]2020'!W80</f>
        <v>0</v>
      </c>
      <c r="X74" s="46">
        <f>'[1]2018'!X80+'[1]2019'!X80+'[1]2020'!X80</f>
        <v>0</v>
      </c>
      <c r="Y74" s="41">
        <f t="shared" si="11"/>
        <v>336</v>
      </c>
      <c r="Z74" s="11">
        <f>'[1]2018'!Z80+'[1]2019'!Z80+'[1]2020'!Z80</f>
        <v>102</v>
      </c>
      <c r="AA74" s="11">
        <f>'[1]2018'!AA80+'[1]2019'!AA80+'[1]2020'!AA80</f>
        <v>17</v>
      </c>
      <c r="AB74" s="11">
        <f>'[1]2018'!AB80+'[1]2019'!AB80+'[1]2020'!AB80</f>
        <v>223</v>
      </c>
      <c r="AC74" s="11">
        <f>'[1]2018'!AC80+'[1]2019'!AC80+'[1]2020'!AC80</f>
        <v>25</v>
      </c>
      <c r="AD74" s="11">
        <f>'[1]2018'!AD80+'[1]2019'!AD80+'[1]2020'!AD80</f>
        <v>0</v>
      </c>
      <c r="AE74" s="11">
        <f>'[1]2018'!AE80+'[1]2019'!AE80+'[1]2020'!AE80</f>
        <v>0</v>
      </c>
      <c r="AF74" s="11">
        <f>'[1]2018'!AF80+'[1]2019'!AF80+'[1]2020'!AF80</f>
        <v>87</v>
      </c>
      <c r="AG74" s="11">
        <f>'[1]2018'!AG80+'[1]2019'!AG80+'[1]2020'!AG80</f>
        <v>0</v>
      </c>
      <c r="AH74" s="11">
        <f>'[1]2018'!AH80+'[1]2019'!AH80+'[1]2020'!AH80</f>
        <v>3</v>
      </c>
      <c r="AI74" s="11">
        <f>'[1]2018'!AI80+'[1]2019'!AI80+'[1]2020'!AI80</f>
        <v>13</v>
      </c>
      <c r="AJ74" s="11">
        <f>'[1]2018'!AJ80+'[1]2019'!AJ80+'[1]2020'!AJ80</f>
        <v>25</v>
      </c>
      <c r="AK74" s="11">
        <f>'[1]2018'!AK80+'[1]2019'!AK80+'[1]2020'!AK80</f>
        <v>0</v>
      </c>
      <c r="AL74" s="11">
        <f>'[1]2018'!AL80+'[1]2019'!AL80+'[1]2020'!AL80</f>
        <v>43</v>
      </c>
      <c r="AM74" s="11">
        <f>'[1]2018'!AM80+'[1]2019'!AM80+'[1]2020'!AM80</f>
        <v>0</v>
      </c>
      <c r="AN74" s="11">
        <f>'[1]2018'!AN80+'[1]2019'!AN80+'[1]2020'!AN80</f>
        <v>1</v>
      </c>
      <c r="AO74" s="11">
        <f>'[1]2018'!AO80+'[1]2019'!AO80+'[1]2020'!AO80</f>
        <v>3</v>
      </c>
      <c r="AP74" s="11">
        <f>'[1]2018'!AP80+'[1]2019'!AP80+'[1]2020'!AP80</f>
        <v>21</v>
      </c>
      <c r="AQ74" s="11">
        <f>'[1]2018'!AQ80+'[1]2019'!AQ80+'[1]2020'!AQ80</f>
        <v>5</v>
      </c>
      <c r="AR74" s="11">
        <f>'[1]2018'!AR80+'[1]2019'!AR80+'[1]2020'!AR80</f>
        <v>9</v>
      </c>
      <c r="AS74" s="11">
        <f>'[1]2018'!AS80+'[1]2019'!AS80+'[1]2020'!AS80</f>
        <v>0</v>
      </c>
      <c r="AT74" s="11">
        <f>'[1]2018'!AT80+'[1]2019'!AT80+'[1]2020'!AT80</f>
        <v>13</v>
      </c>
      <c r="AU74" s="11">
        <f>'[1]2018'!AU80+'[1]2019'!AU80+'[1]2020'!AU80</f>
        <v>0</v>
      </c>
      <c r="AV74" s="11">
        <f>'[1]2018'!AV80+'[1]2019'!AV80+'[1]2020'!AV80</f>
        <v>0</v>
      </c>
      <c r="AW74" s="41">
        <f t="shared" si="12"/>
        <v>223</v>
      </c>
      <c r="AX74" s="14">
        <f t="shared" si="13"/>
        <v>2890.9970794633646</v>
      </c>
      <c r="AY74" s="2">
        <f>'[1]2018'!AX80+'[1]2019'!AX80+'[1]2020'!AX80</f>
        <v>8672.9912383900937</v>
      </c>
    </row>
    <row r="75" spans="1:136" x14ac:dyDescent="0.25">
      <c r="A75" s="10" t="s">
        <v>172</v>
      </c>
      <c r="B75" s="46">
        <f>'[1]2018'!B81+'[1]2019'!B81+'[1]2020'!B81</f>
        <v>11</v>
      </c>
      <c r="C75" s="46">
        <f>'[1]2018'!C81+'[1]2019'!C81+'[1]2020'!C81</f>
        <v>0</v>
      </c>
      <c r="D75" s="46">
        <f>'[1]2018'!D81+'[1]2019'!D81+'[1]2020'!D81</f>
        <v>18</v>
      </c>
      <c r="E75" s="46">
        <f>'[1]2018'!E81+'[1]2019'!E81+'[1]2020'!E81</f>
        <v>0</v>
      </c>
      <c r="F75" s="46">
        <f>'[1]2018'!F81+'[1]2019'!F81+'[1]2020'!F81</f>
        <v>0</v>
      </c>
      <c r="G75" s="46">
        <f>'[1]2018'!G81+'[1]2019'!G81+'[1]2020'!G81</f>
        <v>0</v>
      </c>
      <c r="H75" s="46">
        <f>'[1]2018'!H81+'[1]2019'!H81+'[1]2020'!H81</f>
        <v>0</v>
      </c>
      <c r="I75" s="46">
        <f>'[1]2018'!I81+'[1]2019'!I81+'[1]2020'!I81</f>
        <v>0</v>
      </c>
      <c r="J75" s="46">
        <f>'[1]2018'!J81+'[1]2019'!J81+'[1]2020'!J81</f>
        <v>0</v>
      </c>
      <c r="K75" s="46">
        <f>'[1]2018'!K81+'[1]2019'!K81+'[1]2020'!K81</f>
        <v>0</v>
      </c>
      <c r="L75" s="46">
        <f>'[1]2018'!L81+'[1]2019'!L81+'[1]2020'!L81</f>
        <v>0</v>
      </c>
      <c r="M75" s="46">
        <f>'[1]2018'!M81+'[1]2019'!M81+'[1]2020'!M81</f>
        <v>0</v>
      </c>
      <c r="N75" s="46">
        <f>'[1]2018'!N81+'[1]2019'!N81+'[1]2020'!N81</f>
        <v>3</v>
      </c>
      <c r="O75" s="46">
        <f>'[1]2018'!O81+'[1]2019'!O81+'[1]2020'!O81</f>
        <v>11</v>
      </c>
      <c r="P75" s="46">
        <f>'[1]2018'!P81+'[1]2019'!P81+'[1]2020'!P81</f>
        <v>0</v>
      </c>
      <c r="Q75" s="46">
        <f>'[1]2018'!Q81+'[1]2019'!Q81+'[1]2020'!Q81</f>
        <v>0</v>
      </c>
      <c r="R75" s="46">
        <f>'[1]2018'!R81+'[1]2019'!R81+'[1]2020'!R81</f>
        <v>4</v>
      </c>
      <c r="S75" s="46">
        <f>'[1]2018'!S81+'[1]2019'!S81+'[1]2020'!S81</f>
        <v>0</v>
      </c>
      <c r="T75" s="46">
        <f>'[1]2018'!T81+'[1]2019'!T81+'[1]2020'!T81</f>
        <v>0</v>
      </c>
      <c r="U75" s="46">
        <f>'[1]2018'!U81+'[1]2019'!U81+'[1]2020'!U81</f>
        <v>0</v>
      </c>
      <c r="V75" s="46">
        <f>'[1]2018'!V81+'[1]2019'!V81+'[1]2020'!V81</f>
        <v>0</v>
      </c>
      <c r="W75" s="46">
        <f>'[1]2018'!W81+'[1]2019'!W81+'[1]2020'!W81</f>
        <v>0</v>
      </c>
      <c r="X75" s="46">
        <f>'[1]2018'!X81+'[1]2019'!X81+'[1]2020'!X81</f>
        <v>0</v>
      </c>
      <c r="Y75" s="41">
        <f t="shared" si="11"/>
        <v>18</v>
      </c>
      <c r="Z75" s="11">
        <f>'[1]2018'!Z81+'[1]2019'!Z81+'[1]2020'!Z81</f>
        <v>5</v>
      </c>
      <c r="AA75" s="11">
        <f>'[1]2018'!AA81+'[1]2019'!AA81+'[1]2020'!AA81</f>
        <v>0</v>
      </c>
      <c r="AB75" s="11">
        <f>'[1]2018'!AB81+'[1]2019'!AB81+'[1]2020'!AB81</f>
        <v>15</v>
      </c>
      <c r="AC75" s="11">
        <f>'[1]2018'!AC81+'[1]2019'!AC81+'[1]2020'!AC81</f>
        <v>0</v>
      </c>
      <c r="AD75" s="11">
        <f>'[1]2018'!AD81+'[1]2019'!AD81+'[1]2020'!AD81</f>
        <v>0</v>
      </c>
      <c r="AE75" s="11">
        <f>'[1]2018'!AE81+'[1]2019'!AE81+'[1]2020'!AE81</f>
        <v>0</v>
      </c>
      <c r="AF75" s="11">
        <f>'[1]2018'!AF81+'[1]2019'!AF81+'[1]2020'!AF81</f>
        <v>0</v>
      </c>
      <c r="AG75" s="11">
        <f>'[1]2018'!AG81+'[1]2019'!AG81+'[1]2020'!AG81</f>
        <v>0</v>
      </c>
      <c r="AH75" s="11">
        <f>'[1]2018'!AH81+'[1]2019'!AH81+'[1]2020'!AH81</f>
        <v>0</v>
      </c>
      <c r="AI75" s="11">
        <f>'[1]2018'!AI81+'[1]2019'!AI81+'[1]2020'!AI81</f>
        <v>0</v>
      </c>
      <c r="AJ75" s="11">
        <f>'[1]2018'!AJ81+'[1]2019'!AJ81+'[1]2020'!AJ81</f>
        <v>0</v>
      </c>
      <c r="AK75" s="11">
        <f>'[1]2018'!AK81+'[1]2019'!AK81+'[1]2020'!AK81</f>
        <v>0</v>
      </c>
      <c r="AL75" s="11">
        <f>'[1]2018'!AL81+'[1]2019'!AL81+'[1]2020'!AL81</f>
        <v>3</v>
      </c>
      <c r="AM75" s="11">
        <f>'[1]2018'!AM81+'[1]2019'!AM81+'[1]2020'!AM81</f>
        <v>11</v>
      </c>
      <c r="AN75" s="11">
        <f>'[1]2018'!AN81+'[1]2019'!AN81+'[1]2020'!AN81</f>
        <v>0</v>
      </c>
      <c r="AO75" s="11">
        <f>'[1]2018'!AO81+'[1]2019'!AO81+'[1]2020'!AO81</f>
        <v>0</v>
      </c>
      <c r="AP75" s="11">
        <f>'[1]2018'!AP81+'[1]2019'!AP81+'[1]2020'!AP81</f>
        <v>1</v>
      </c>
      <c r="AQ75" s="11">
        <f>'[1]2018'!AQ81+'[1]2019'!AQ81+'[1]2020'!AQ81</f>
        <v>0</v>
      </c>
      <c r="AR75" s="11">
        <f>'[1]2018'!AR81+'[1]2019'!AR81+'[1]2020'!AR81</f>
        <v>0</v>
      </c>
      <c r="AS75" s="11">
        <f>'[1]2018'!AS81+'[1]2019'!AS81+'[1]2020'!AS81</f>
        <v>0</v>
      </c>
      <c r="AT75" s="11">
        <f>'[1]2018'!AT81+'[1]2019'!AT81+'[1]2020'!AT81</f>
        <v>0</v>
      </c>
      <c r="AU75" s="11">
        <f>'[1]2018'!AU81+'[1]2019'!AU81+'[1]2020'!AU81</f>
        <v>0</v>
      </c>
      <c r="AV75" s="11">
        <f>'[1]2018'!AV81+'[1]2019'!AV81+'[1]2020'!AV81</f>
        <v>0</v>
      </c>
      <c r="AW75" s="41">
        <f t="shared" si="12"/>
        <v>15</v>
      </c>
      <c r="AX75" s="14">
        <f t="shared" si="13"/>
        <v>1456.6666666666667</v>
      </c>
      <c r="AY75" s="2">
        <f>'[1]2018'!AX81+'[1]2019'!AX81+'[1]2020'!AX81</f>
        <v>4370</v>
      </c>
    </row>
    <row r="76" spans="1:136" x14ac:dyDescent="0.25">
      <c r="A76" s="10" t="s">
        <v>173</v>
      </c>
      <c r="B76" s="46">
        <f>'[1]2018'!B82+'[1]2019'!B82+'[1]2020'!B82</f>
        <v>51</v>
      </c>
      <c r="C76" s="46">
        <f>'[1]2018'!C82+'[1]2019'!C82+'[1]2020'!C82</f>
        <v>12</v>
      </c>
      <c r="D76" s="46">
        <f>'[1]2018'!D82+'[1]2019'!D82+'[1]2020'!D82</f>
        <v>77</v>
      </c>
      <c r="E76" s="46">
        <f>'[1]2018'!E82+'[1]2019'!E82+'[1]2020'!E82</f>
        <v>10</v>
      </c>
      <c r="F76" s="46">
        <f>'[1]2018'!F82+'[1]2019'!F82+'[1]2020'!F82</f>
        <v>0</v>
      </c>
      <c r="G76" s="46">
        <f>'[1]2018'!G82+'[1]2019'!G82+'[1]2020'!G82</f>
        <v>0</v>
      </c>
      <c r="H76" s="46">
        <f>'[1]2018'!H82+'[1]2019'!H82+'[1]2020'!H82</f>
        <v>14</v>
      </c>
      <c r="I76" s="46">
        <f>'[1]2018'!I82+'[1]2019'!I82+'[1]2020'!I82</f>
        <v>2</v>
      </c>
      <c r="J76" s="46">
        <f>'[1]2018'!J82+'[1]2019'!J82+'[1]2020'!J82</f>
        <v>0</v>
      </c>
      <c r="K76" s="46">
        <f>'[1]2018'!K82+'[1]2019'!K82+'[1]2020'!K82</f>
        <v>0</v>
      </c>
      <c r="L76" s="46">
        <f>'[1]2018'!L82+'[1]2019'!L82+'[1]2020'!L82</f>
        <v>2</v>
      </c>
      <c r="M76" s="46">
        <f>'[1]2018'!M82+'[1]2019'!M82+'[1]2020'!M82</f>
        <v>0</v>
      </c>
      <c r="N76" s="46">
        <f>'[1]2018'!N82+'[1]2019'!N82+'[1]2020'!N82</f>
        <v>11</v>
      </c>
      <c r="O76" s="46">
        <f>'[1]2018'!O82+'[1]2019'!O82+'[1]2020'!O82</f>
        <v>16</v>
      </c>
      <c r="P76" s="46">
        <f>'[1]2018'!P82+'[1]2019'!P82+'[1]2020'!P82</f>
        <v>0</v>
      </c>
      <c r="Q76" s="46">
        <f>'[1]2018'!Q82+'[1]2019'!Q82+'[1]2020'!Q82</f>
        <v>0</v>
      </c>
      <c r="R76" s="46">
        <f>'[1]2018'!R82+'[1]2019'!R82+'[1]2020'!R82</f>
        <v>3</v>
      </c>
      <c r="S76" s="46">
        <f>'[1]2018'!S82+'[1]2019'!S82+'[1]2020'!S82</f>
        <v>0</v>
      </c>
      <c r="T76" s="46">
        <f>'[1]2018'!T82+'[1]2019'!T82+'[1]2020'!T82</f>
        <v>17</v>
      </c>
      <c r="U76" s="46">
        <f>'[1]2018'!U82+'[1]2019'!U82+'[1]2020'!U82</f>
        <v>3</v>
      </c>
      <c r="V76" s="46">
        <f>'[1]2018'!V82+'[1]2019'!V82+'[1]2020'!V82</f>
        <v>2</v>
      </c>
      <c r="W76" s="46">
        <f>'[1]2018'!W82+'[1]2019'!W82+'[1]2020'!W82</f>
        <v>0</v>
      </c>
      <c r="X76" s="46">
        <f>'[1]2018'!X82+'[1]2019'!X82+'[1]2020'!X82</f>
        <v>7</v>
      </c>
      <c r="Y76" s="41">
        <f t="shared" si="11"/>
        <v>77</v>
      </c>
      <c r="Z76" s="11">
        <f>'[1]2018'!Z82+'[1]2019'!Z82+'[1]2020'!Z82</f>
        <v>28</v>
      </c>
      <c r="AA76" s="11">
        <f>'[1]2018'!AA82+'[1]2019'!AA82+'[1]2020'!AA82</f>
        <v>9</v>
      </c>
      <c r="AB76" s="11">
        <f>'[1]2018'!AB82+'[1]2019'!AB82+'[1]2020'!AB82</f>
        <v>38</v>
      </c>
      <c r="AC76" s="11">
        <f>'[1]2018'!AC82+'[1]2019'!AC82+'[1]2020'!AC82</f>
        <v>10</v>
      </c>
      <c r="AD76" s="11">
        <f>'[1]2018'!AD82+'[1]2019'!AD82+'[1]2020'!AD82</f>
        <v>0</v>
      </c>
      <c r="AE76" s="11">
        <f>'[1]2018'!AE82+'[1]2019'!AE82+'[1]2020'!AE82</f>
        <v>0</v>
      </c>
      <c r="AF76" s="11">
        <f>'[1]2018'!AF82+'[1]2019'!AF82+'[1]2020'!AF82</f>
        <v>2</v>
      </c>
      <c r="AG76" s="11">
        <f>'[1]2018'!AG82+'[1]2019'!AG82+'[1]2020'!AG82</f>
        <v>2</v>
      </c>
      <c r="AH76" s="11">
        <f>'[1]2018'!AH82+'[1]2019'!AH82+'[1]2020'!AH82</f>
        <v>0</v>
      </c>
      <c r="AI76" s="11">
        <f>'[1]2018'!AI82+'[1]2019'!AI82+'[1]2020'!AI82</f>
        <v>0</v>
      </c>
      <c r="AJ76" s="11">
        <f>'[1]2018'!AJ82+'[1]2019'!AJ82+'[1]2020'!AJ82</f>
        <v>1</v>
      </c>
      <c r="AK76" s="11">
        <f>'[1]2018'!AK82+'[1]2019'!AK82+'[1]2020'!AK82</f>
        <v>0</v>
      </c>
      <c r="AL76" s="11">
        <f>'[1]2018'!AL82+'[1]2019'!AL82+'[1]2020'!AL82</f>
        <v>11</v>
      </c>
      <c r="AM76" s="11">
        <f>'[1]2018'!AM82+'[1]2019'!AM82+'[1]2020'!AM82</f>
        <v>8</v>
      </c>
      <c r="AN76" s="11">
        <f>'[1]2018'!AN82+'[1]2019'!AN82+'[1]2020'!AN82</f>
        <v>0</v>
      </c>
      <c r="AO76" s="11">
        <f>'[1]2018'!AO82+'[1]2019'!AO82+'[1]2020'!AO82</f>
        <v>0</v>
      </c>
      <c r="AP76" s="11">
        <f>'[1]2018'!AP82+'[1]2019'!AP82+'[1]2020'!AP82</f>
        <v>3</v>
      </c>
      <c r="AQ76" s="11">
        <f>'[1]2018'!AQ82+'[1]2019'!AQ82+'[1]2020'!AQ82</f>
        <v>0</v>
      </c>
      <c r="AR76" s="11">
        <f>'[1]2018'!AR82+'[1]2019'!AR82+'[1]2020'!AR82</f>
        <v>5</v>
      </c>
      <c r="AS76" s="11">
        <f>'[1]2018'!AS82+'[1]2019'!AS82+'[1]2020'!AS82</f>
        <v>3</v>
      </c>
      <c r="AT76" s="11">
        <f>'[1]2018'!AT82+'[1]2019'!AT82+'[1]2020'!AT82</f>
        <v>2</v>
      </c>
      <c r="AU76" s="11">
        <f>'[1]2018'!AU82+'[1]2019'!AU82+'[1]2020'!AU82</f>
        <v>0</v>
      </c>
      <c r="AV76" s="11">
        <f>'[1]2018'!AV82+'[1]2019'!AV82+'[1]2020'!AV82</f>
        <v>1</v>
      </c>
      <c r="AW76" s="41">
        <f t="shared" si="12"/>
        <v>38</v>
      </c>
      <c r="AX76" s="14">
        <f t="shared" si="13"/>
        <v>2605.3308928571428</v>
      </c>
      <c r="AY76" s="2">
        <f>'[1]2018'!AX82+'[1]2019'!AX82+'[1]2020'!AX82</f>
        <v>7815.9926785714288</v>
      </c>
    </row>
    <row r="77" spans="1:136" x14ac:dyDescent="0.25">
      <c r="A77" s="10" t="s">
        <v>174</v>
      </c>
      <c r="B77" s="46">
        <f>'[1]2018'!B83+'[1]2019'!B83+'[1]2020'!B83</f>
        <v>4</v>
      </c>
      <c r="C77" s="46">
        <f>'[1]2018'!C83+'[1]2019'!C83+'[1]2020'!C83</f>
        <v>1</v>
      </c>
      <c r="D77" s="46">
        <f>'[1]2018'!D83+'[1]2019'!D83+'[1]2020'!D83</f>
        <v>95</v>
      </c>
      <c r="E77" s="46">
        <f>'[1]2018'!E83+'[1]2019'!E83+'[1]2020'!E83</f>
        <v>10</v>
      </c>
      <c r="F77" s="46">
        <f>'[1]2018'!F83+'[1]2019'!F83+'[1]2020'!F83</f>
        <v>0</v>
      </c>
      <c r="G77" s="46">
        <f>'[1]2018'!G83+'[1]2019'!G83+'[1]2020'!G83</f>
        <v>0</v>
      </c>
      <c r="H77" s="46">
        <f>'[1]2018'!H83+'[1]2019'!H83+'[1]2020'!H83</f>
        <v>0</v>
      </c>
      <c r="I77" s="46">
        <f>'[1]2018'!I83+'[1]2019'!I83+'[1]2020'!I83</f>
        <v>0</v>
      </c>
      <c r="J77" s="46">
        <f>'[1]2018'!J83+'[1]2019'!J83+'[1]2020'!J83</f>
        <v>0</v>
      </c>
      <c r="K77" s="46">
        <f>'[1]2018'!K83+'[1]2019'!K83+'[1]2020'!K83</f>
        <v>0</v>
      </c>
      <c r="L77" s="46">
        <f>'[1]2018'!L83+'[1]2019'!L83+'[1]2020'!L83</f>
        <v>0</v>
      </c>
      <c r="M77" s="46">
        <f>'[1]2018'!M83+'[1]2019'!M83+'[1]2020'!M83</f>
        <v>0</v>
      </c>
      <c r="N77" s="46">
        <f>'[1]2018'!N83+'[1]2019'!N83+'[1]2020'!N83</f>
        <v>0</v>
      </c>
      <c r="O77" s="46">
        <f>'[1]2018'!O83+'[1]2019'!O83+'[1]2020'!O83</f>
        <v>0</v>
      </c>
      <c r="P77" s="46">
        <f>'[1]2018'!P83+'[1]2019'!P83+'[1]2020'!P83</f>
        <v>0</v>
      </c>
      <c r="Q77" s="46">
        <f>'[1]2018'!Q83+'[1]2019'!Q83+'[1]2020'!Q83</f>
        <v>0</v>
      </c>
      <c r="R77" s="46">
        <f>'[1]2018'!R83+'[1]2019'!R83+'[1]2020'!R83</f>
        <v>0</v>
      </c>
      <c r="S77" s="46">
        <f>'[1]2018'!S83+'[1]2019'!S83+'[1]2020'!S83</f>
        <v>0</v>
      </c>
      <c r="T77" s="46">
        <f>'[1]2018'!T83+'[1]2019'!T83+'[1]2020'!T83</f>
        <v>0</v>
      </c>
      <c r="U77" s="46">
        <f>'[1]2018'!U83+'[1]2019'!U83+'[1]2020'!U83</f>
        <v>0</v>
      </c>
      <c r="V77" s="46">
        <f>'[1]2018'!V83+'[1]2019'!V83+'[1]2020'!V83</f>
        <v>95</v>
      </c>
      <c r="W77" s="46">
        <f>'[1]2018'!W83+'[1]2019'!W83+'[1]2020'!W83</f>
        <v>0</v>
      </c>
      <c r="X77" s="46">
        <f>'[1]2018'!X83+'[1]2019'!X83+'[1]2020'!X83</f>
        <v>0</v>
      </c>
      <c r="Y77" s="41">
        <f t="shared" si="11"/>
        <v>95</v>
      </c>
      <c r="Z77" s="11">
        <f>'[1]2018'!Z83+'[1]2019'!Z83+'[1]2020'!Z83</f>
        <v>4</v>
      </c>
      <c r="AA77" s="11">
        <f>'[1]2018'!AA83+'[1]2019'!AA83+'[1]2020'!AA83</f>
        <v>1</v>
      </c>
      <c r="AB77" s="11">
        <f>'[1]2018'!AB83+'[1]2019'!AB83+'[1]2020'!AB83</f>
        <v>56</v>
      </c>
      <c r="AC77" s="11">
        <f>'[1]2018'!AC83+'[1]2019'!AC83+'[1]2020'!AC83</f>
        <v>10</v>
      </c>
      <c r="AD77" s="11">
        <f>'[1]2018'!AD83+'[1]2019'!AD83+'[1]2020'!AD83</f>
        <v>0</v>
      </c>
      <c r="AE77" s="11">
        <f>'[1]2018'!AE83+'[1]2019'!AE83+'[1]2020'!AE83</f>
        <v>0</v>
      </c>
      <c r="AF77" s="11">
        <f>'[1]2018'!AF83+'[1]2019'!AF83+'[1]2020'!AF83</f>
        <v>0</v>
      </c>
      <c r="AG77" s="11">
        <f>'[1]2018'!AG83+'[1]2019'!AG83+'[1]2020'!AG83</f>
        <v>0</v>
      </c>
      <c r="AH77" s="11">
        <f>'[1]2018'!AH83+'[1]2019'!AH83+'[1]2020'!AH83</f>
        <v>0</v>
      </c>
      <c r="AI77" s="11">
        <f>'[1]2018'!AI83+'[1]2019'!AI83+'[1]2020'!AI83</f>
        <v>0</v>
      </c>
      <c r="AJ77" s="11">
        <f>'[1]2018'!AJ83+'[1]2019'!AJ83+'[1]2020'!AJ83</f>
        <v>0</v>
      </c>
      <c r="AK77" s="11">
        <f>'[1]2018'!AK83+'[1]2019'!AK83+'[1]2020'!AK83</f>
        <v>0</v>
      </c>
      <c r="AL77" s="11">
        <f>'[1]2018'!AL83+'[1]2019'!AL83+'[1]2020'!AL83</f>
        <v>0</v>
      </c>
      <c r="AM77" s="11">
        <f>'[1]2018'!AM83+'[1]2019'!AM83+'[1]2020'!AM83</f>
        <v>0</v>
      </c>
      <c r="AN77" s="11">
        <f>'[1]2018'!AN83+'[1]2019'!AN83+'[1]2020'!AN83</f>
        <v>0</v>
      </c>
      <c r="AO77" s="11">
        <f>'[1]2018'!AO83+'[1]2019'!AO83+'[1]2020'!AO83</f>
        <v>0</v>
      </c>
      <c r="AP77" s="11">
        <f>'[1]2018'!AP83+'[1]2019'!AP83+'[1]2020'!AP83</f>
        <v>0</v>
      </c>
      <c r="AQ77" s="11">
        <f>'[1]2018'!AQ83+'[1]2019'!AQ83+'[1]2020'!AQ83</f>
        <v>0</v>
      </c>
      <c r="AR77" s="11">
        <f>'[1]2018'!AR83+'[1]2019'!AR83+'[1]2020'!AR83</f>
        <v>0</v>
      </c>
      <c r="AS77" s="11">
        <f>'[1]2018'!AS83+'[1]2019'!AS83+'[1]2020'!AS83</f>
        <v>0</v>
      </c>
      <c r="AT77" s="11">
        <f>'[1]2018'!AT83+'[1]2019'!AT83+'[1]2020'!AT83</f>
        <v>56</v>
      </c>
      <c r="AU77" s="11">
        <f>'[1]2018'!AU83+'[1]2019'!AU83+'[1]2020'!AU83</f>
        <v>0</v>
      </c>
      <c r="AV77" s="11">
        <f>'[1]2018'!AV83+'[1]2019'!AV83+'[1]2020'!AV83</f>
        <v>0</v>
      </c>
      <c r="AW77" s="41">
        <f t="shared" si="12"/>
        <v>56</v>
      </c>
      <c r="AX77" s="14">
        <f t="shared" si="13"/>
        <v>652.26</v>
      </c>
      <c r="AY77" s="2">
        <f>'[1]2018'!AX83+'[1]2019'!AX83+'[1]2020'!AX83</f>
        <v>1956.78</v>
      </c>
    </row>
    <row r="78" spans="1:136" x14ac:dyDescent="0.25">
      <c r="A78" s="10" t="s">
        <v>175</v>
      </c>
      <c r="B78" s="46">
        <f>'[1]2018'!B84+'[1]2019'!B84+'[1]2020'!B84</f>
        <v>45</v>
      </c>
      <c r="C78" s="46">
        <f>'[1]2018'!C84+'[1]2019'!C84+'[1]2020'!C84</f>
        <v>0</v>
      </c>
      <c r="D78" s="46">
        <f>'[1]2018'!D84+'[1]2019'!D84+'[1]2020'!D84</f>
        <v>143</v>
      </c>
      <c r="E78" s="46">
        <f>'[1]2018'!E84+'[1]2019'!E84+'[1]2020'!E84</f>
        <v>0</v>
      </c>
      <c r="F78" s="46">
        <f>'[1]2018'!F84+'[1]2019'!F84+'[1]2020'!F84</f>
        <v>0</v>
      </c>
      <c r="G78" s="46">
        <f>'[1]2018'!G84+'[1]2019'!G84+'[1]2020'!G84</f>
        <v>0</v>
      </c>
      <c r="H78" s="46">
        <f>'[1]2018'!H84+'[1]2019'!H84+'[1]2020'!H84</f>
        <v>107</v>
      </c>
      <c r="I78" s="46">
        <f>'[1]2018'!I84+'[1]2019'!I84+'[1]2020'!I84</f>
        <v>6</v>
      </c>
      <c r="J78" s="46">
        <f>'[1]2018'!J84+'[1]2019'!J84+'[1]2020'!J84</f>
        <v>0</v>
      </c>
      <c r="K78" s="46">
        <f>'[1]2018'!K84+'[1]2019'!K84+'[1]2020'!K84</f>
        <v>5</v>
      </c>
      <c r="L78" s="46">
        <f>'[1]2018'!L84+'[1]2019'!L84+'[1]2020'!L84</f>
        <v>9</v>
      </c>
      <c r="M78" s="46">
        <f>'[1]2018'!M84+'[1]2019'!M84+'[1]2020'!M84</f>
        <v>0</v>
      </c>
      <c r="N78" s="46">
        <f>'[1]2018'!N84+'[1]2019'!N84+'[1]2020'!N84</f>
        <v>0</v>
      </c>
      <c r="O78" s="46">
        <f>'[1]2018'!O84+'[1]2019'!O84+'[1]2020'!O84</f>
        <v>0</v>
      </c>
      <c r="P78" s="46">
        <f>'[1]2018'!P84+'[1]2019'!P84+'[1]2020'!P84</f>
        <v>0</v>
      </c>
      <c r="Q78" s="46">
        <f>'[1]2018'!Q84+'[1]2019'!Q84+'[1]2020'!Q84</f>
        <v>0</v>
      </c>
      <c r="R78" s="46">
        <f>'[1]2018'!R84+'[1]2019'!R84+'[1]2020'!R84</f>
        <v>16</v>
      </c>
      <c r="S78" s="46">
        <f>'[1]2018'!S84+'[1]2019'!S84+'[1]2020'!S84</f>
        <v>0</v>
      </c>
      <c r="T78" s="46">
        <f>'[1]2018'!T84+'[1]2019'!T84+'[1]2020'!T84</f>
        <v>0</v>
      </c>
      <c r="U78" s="46">
        <f>'[1]2018'!U84+'[1]2019'!U84+'[1]2020'!U84</f>
        <v>0</v>
      </c>
      <c r="V78" s="46">
        <f>'[1]2018'!V84+'[1]2019'!V84+'[1]2020'!V84</f>
        <v>0</v>
      </c>
      <c r="W78" s="46">
        <f>'[1]2018'!W84+'[1]2019'!W84+'[1]2020'!W84</f>
        <v>0</v>
      </c>
      <c r="X78" s="46">
        <f>'[1]2018'!X84+'[1]2019'!X84+'[1]2020'!X84</f>
        <v>0</v>
      </c>
      <c r="Y78" s="41">
        <f t="shared" si="11"/>
        <v>143</v>
      </c>
      <c r="Z78" s="11">
        <f>'[1]2018'!Z84+'[1]2019'!Z84+'[1]2020'!Z84</f>
        <v>29</v>
      </c>
      <c r="AA78" s="11">
        <f>'[1]2018'!AA84+'[1]2019'!AA84+'[1]2020'!AA84</f>
        <v>0</v>
      </c>
      <c r="AB78" s="11">
        <f>'[1]2018'!AB84+'[1]2019'!AB84+'[1]2020'!AB84</f>
        <v>72</v>
      </c>
      <c r="AC78" s="11">
        <f>'[1]2018'!AC84+'[1]2019'!AC84+'[1]2020'!AC84</f>
        <v>0</v>
      </c>
      <c r="AD78" s="11">
        <f>'[1]2018'!AD84+'[1]2019'!AD84+'[1]2020'!AD84</f>
        <v>0</v>
      </c>
      <c r="AE78" s="11">
        <f>'[1]2018'!AE84+'[1]2019'!AE84+'[1]2020'!AE84</f>
        <v>0</v>
      </c>
      <c r="AF78" s="11">
        <f>'[1]2018'!AF84+'[1]2019'!AF84+'[1]2020'!AF84</f>
        <v>52</v>
      </c>
      <c r="AG78" s="11">
        <f>'[1]2018'!AG84+'[1]2019'!AG84+'[1]2020'!AG84</f>
        <v>6</v>
      </c>
      <c r="AH78" s="11">
        <f>'[1]2018'!AH84+'[1]2019'!AH84+'[1]2020'!AH84</f>
        <v>0</v>
      </c>
      <c r="AI78" s="11">
        <f>'[1]2018'!AI84+'[1]2019'!AI84+'[1]2020'!AI84</f>
        <v>5</v>
      </c>
      <c r="AJ78" s="11">
        <f>'[1]2018'!AJ84+'[1]2019'!AJ84+'[1]2020'!AJ84</f>
        <v>3</v>
      </c>
      <c r="AK78" s="11">
        <f>'[1]2018'!AK84+'[1]2019'!AK84+'[1]2020'!AK84</f>
        <v>0</v>
      </c>
      <c r="AL78" s="11">
        <f>'[1]2018'!AL84+'[1]2019'!AL84+'[1]2020'!AL84</f>
        <v>0</v>
      </c>
      <c r="AM78" s="11">
        <f>'[1]2018'!AM84+'[1]2019'!AM84+'[1]2020'!AM84</f>
        <v>0</v>
      </c>
      <c r="AN78" s="11">
        <f>'[1]2018'!AN84+'[1]2019'!AN84+'[1]2020'!AN84</f>
        <v>0</v>
      </c>
      <c r="AO78" s="11">
        <f>'[1]2018'!AO84+'[1]2019'!AO84+'[1]2020'!AO84</f>
        <v>0</v>
      </c>
      <c r="AP78" s="11">
        <f>'[1]2018'!AP84+'[1]2019'!AP84+'[1]2020'!AP84</f>
        <v>6</v>
      </c>
      <c r="AQ78" s="11">
        <f>'[1]2018'!AQ84+'[1]2019'!AQ84+'[1]2020'!AQ84</f>
        <v>0</v>
      </c>
      <c r="AR78" s="11">
        <f>'[1]2018'!AR84+'[1]2019'!AR84+'[1]2020'!AR84</f>
        <v>0</v>
      </c>
      <c r="AS78" s="11">
        <f>'[1]2018'!AS84+'[1]2019'!AS84+'[1]2020'!AS84</f>
        <v>0</v>
      </c>
      <c r="AT78" s="11">
        <f>'[1]2018'!AT84+'[1]2019'!AT84+'[1]2020'!AT84</f>
        <v>0</v>
      </c>
      <c r="AU78" s="11">
        <f>'[1]2018'!AU84+'[1]2019'!AU84+'[1]2020'!AU84</f>
        <v>0</v>
      </c>
      <c r="AV78" s="11">
        <f>'[1]2018'!AV84+'[1]2019'!AV84+'[1]2020'!AV84</f>
        <v>0</v>
      </c>
      <c r="AW78" s="41">
        <f t="shared" si="12"/>
        <v>72</v>
      </c>
      <c r="AX78" s="14">
        <f t="shared" si="13"/>
        <v>1868.7977777777778</v>
      </c>
      <c r="AY78" s="2">
        <f>'[1]2018'!AX84+'[1]2019'!AX84+'[1]2020'!AX84</f>
        <v>5606.3933333333334</v>
      </c>
    </row>
    <row r="79" spans="1:136" x14ac:dyDescent="0.25">
      <c r="A79" s="10" t="s">
        <v>176</v>
      </c>
      <c r="B79" s="46">
        <f>'[1]2018'!B85+'[1]2019'!B85+'[1]2020'!B85</f>
        <v>16</v>
      </c>
      <c r="C79" s="46">
        <f>'[1]2018'!C85+'[1]2019'!C85+'[1]2020'!C85</f>
        <v>5</v>
      </c>
      <c r="D79" s="46">
        <f>'[1]2018'!D85+'[1]2019'!D85+'[1]2020'!D85</f>
        <v>43</v>
      </c>
      <c r="E79" s="46">
        <f>'[1]2018'!E85+'[1]2019'!E85+'[1]2020'!E85</f>
        <v>23</v>
      </c>
      <c r="F79" s="46">
        <f>'[1]2018'!F85+'[1]2019'!F85+'[1]2020'!F85</f>
        <v>0</v>
      </c>
      <c r="G79" s="46">
        <f>'[1]2018'!G85+'[1]2019'!G85+'[1]2020'!G85</f>
        <v>0</v>
      </c>
      <c r="H79" s="46">
        <f>'[1]2018'!H85+'[1]2019'!H85+'[1]2020'!H85</f>
        <v>5</v>
      </c>
      <c r="I79" s="46">
        <f>'[1]2018'!I85+'[1]2019'!I85+'[1]2020'!I85</f>
        <v>0</v>
      </c>
      <c r="J79" s="46">
        <f>'[1]2018'!J85+'[1]2019'!J85+'[1]2020'!J85</f>
        <v>0</v>
      </c>
      <c r="K79" s="46">
        <f>'[1]2018'!K85+'[1]2019'!K85+'[1]2020'!K85</f>
        <v>0</v>
      </c>
      <c r="L79" s="46">
        <f>'[1]2018'!L85+'[1]2019'!L85+'[1]2020'!L85</f>
        <v>8</v>
      </c>
      <c r="M79" s="46">
        <f>'[1]2018'!M85+'[1]2019'!M85+'[1]2020'!M85</f>
        <v>0</v>
      </c>
      <c r="N79" s="46">
        <f>'[1]2018'!N85+'[1]2019'!N85+'[1]2020'!N85</f>
        <v>0</v>
      </c>
      <c r="O79" s="46">
        <f>'[1]2018'!O85+'[1]2019'!O85+'[1]2020'!O85</f>
        <v>5</v>
      </c>
      <c r="P79" s="46">
        <f>'[1]2018'!P85+'[1]2019'!P85+'[1]2020'!P85</f>
        <v>0</v>
      </c>
      <c r="Q79" s="46">
        <f>'[1]2018'!Q85+'[1]2019'!Q85+'[1]2020'!Q85</f>
        <v>2</v>
      </c>
      <c r="R79" s="46">
        <f>'[1]2018'!R85+'[1]2019'!R85+'[1]2020'!R85</f>
        <v>0</v>
      </c>
      <c r="S79" s="46">
        <f>'[1]2018'!S85+'[1]2019'!S85+'[1]2020'!S85</f>
        <v>0</v>
      </c>
      <c r="T79" s="46">
        <f>'[1]2018'!T85+'[1]2019'!T85+'[1]2020'!T85</f>
        <v>1</v>
      </c>
      <c r="U79" s="46">
        <f>'[1]2018'!U85+'[1]2019'!U85+'[1]2020'!U85</f>
        <v>22</v>
      </c>
      <c r="V79" s="46">
        <f>'[1]2018'!V85+'[1]2019'!V85+'[1]2020'!V85</f>
        <v>0</v>
      </c>
      <c r="W79" s="46">
        <f>'[1]2018'!W85+'[1]2019'!W85+'[1]2020'!W85</f>
        <v>0</v>
      </c>
      <c r="X79" s="46">
        <f>'[1]2018'!X85+'[1]2019'!X85+'[1]2020'!X85</f>
        <v>0</v>
      </c>
      <c r="Y79" s="41">
        <f t="shared" si="11"/>
        <v>43</v>
      </c>
      <c r="Z79" s="11">
        <f>'[1]2018'!Z85+'[1]2019'!Z85+'[1]2020'!Z85</f>
        <v>9</v>
      </c>
      <c r="AA79" s="11">
        <f>'[1]2018'!AA85+'[1]2019'!AA85+'[1]2020'!AA85</f>
        <v>4</v>
      </c>
      <c r="AB79" s="11">
        <f>'[1]2018'!AB85+'[1]2019'!AB85+'[1]2020'!AB85</f>
        <v>19</v>
      </c>
      <c r="AC79" s="11">
        <f>'[1]2018'!AC85+'[1]2019'!AC85+'[1]2020'!AC85</f>
        <v>12</v>
      </c>
      <c r="AD79" s="11">
        <f>'[1]2018'!AD85+'[1]2019'!AD85+'[1]2020'!AD85</f>
        <v>0</v>
      </c>
      <c r="AE79" s="11">
        <f>'[1]2018'!AE85+'[1]2019'!AE85+'[1]2020'!AE85</f>
        <v>0</v>
      </c>
      <c r="AF79" s="11">
        <f>'[1]2018'!AF85+'[1]2019'!AF85+'[1]2020'!AF85</f>
        <v>0</v>
      </c>
      <c r="AG79" s="11">
        <f>'[1]2018'!AG85+'[1]2019'!AG85+'[1]2020'!AG85</f>
        <v>0</v>
      </c>
      <c r="AH79" s="11">
        <f>'[1]2018'!AH85+'[1]2019'!AH85+'[1]2020'!AH85</f>
        <v>0</v>
      </c>
      <c r="AI79" s="11">
        <f>'[1]2018'!AI85+'[1]2019'!AI85+'[1]2020'!AI85</f>
        <v>0</v>
      </c>
      <c r="AJ79" s="11">
        <f>'[1]2018'!AJ85+'[1]2019'!AJ85+'[1]2020'!AJ85</f>
        <v>6</v>
      </c>
      <c r="AK79" s="11">
        <f>'[1]2018'!AK85+'[1]2019'!AK85+'[1]2020'!AK85</f>
        <v>0</v>
      </c>
      <c r="AL79" s="11">
        <f>'[1]2018'!AL85+'[1]2019'!AL85+'[1]2020'!AL85</f>
        <v>0</v>
      </c>
      <c r="AM79" s="11">
        <f>'[1]2018'!AM85+'[1]2019'!AM85+'[1]2020'!AM85</f>
        <v>1</v>
      </c>
      <c r="AN79" s="11">
        <f>'[1]2018'!AN85+'[1]2019'!AN85+'[1]2020'!AN85</f>
        <v>0</v>
      </c>
      <c r="AO79" s="11">
        <f>'[1]2018'!AO85+'[1]2019'!AO85+'[1]2020'!AO85</f>
        <v>0</v>
      </c>
      <c r="AP79" s="11">
        <f>'[1]2018'!AP85+'[1]2019'!AP85+'[1]2020'!AP85</f>
        <v>0</v>
      </c>
      <c r="AQ79" s="11">
        <f>'[1]2018'!AQ85+'[1]2019'!AQ85+'[1]2020'!AQ85</f>
        <v>0</v>
      </c>
      <c r="AR79" s="11">
        <f>'[1]2018'!AR85+'[1]2019'!AR85+'[1]2020'!AR85</f>
        <v>1</v>
      </c>
      <c r="AS79" s="11">
        <f>'[1]2018'!AS85+'[1]2019'!AS85+'[1]2020'!AS85</f>
        <v>11</v>
      </c>
      <c r="AT79" s="11">
        <f>'[1]2018'!AT85+'[1]2019'!AT85+'[1]2020'!AT85</f>
        <v>0</v>
      </c>
      <c r="AU79" s="11">
        <f>'[1]2018'!AU85+'[1]2019'!AU85+'[1]2020'!AU85</f>
        <v>0</v>
      </c>
      <c r="AV79" s="11">
        <f>'[1]2018'!AV85+'[1]2019'!AV85+'[1]2020'!AV85</f>
        <v>0</v>
      </c>
      <c r="AW79" s="41">
        <f t="shared" si="12"/>
        <v>19</v>
      </c>
      <c r="AX79" s="14">
        <f t="shared" si="13"/>
        <v>4739.1333333333332</v>
      </c>
      <c r="AY79" s="2">
        <f>'[1]2018'!AX85+'[1]2019'!AX85+'[1]2020'!AX85</f>
        <v>14217.4</v>
      </c>
    </row>
    <row r="80" spans="1:136" x14ac:dyDescent="0.25">
      <c r="A80" s="10" t="s">
        <v>178</v>
      </c>
      <c r="B80" s="46">
        <f>'[1]2018'!B87+'[1]2019'!B87+'[1]2020'!B87</f>
        <v>66</v>
      </c>
      <c r="C80" s="46">
        <f>'[1]2018'!C87+'[1]2019'!C87+'[1]2020'!C87</f>
        <v>25</v>
      </c>
      <c r="D80" s="46">
        <f>'[1]2018'!D87+'[1]2019'!D87+'[1]2020'!D87</f>
        <v>369</v>
      </c>
      <c r="E80" s="46">
        <f>'[1]2018'!E87+'[1]2019'!E87+'[1]2020'!E87</f>
        <v>145</v>
      </c>
      <c r="F80" s="46">
        <f>'[1]2018'!F87+'[1]2019'!F87+'[1]2020'!F87</f>
        <v>0</v>
      </c>
      <c r="G80" s="46">
        <f>'[1]2018'!G87+'[1]2019'!G87+'[1]2020'!G87</f>
        <v>0</v>
      </c>
      <c r="H80" s="46">
        <f>'[1]2018'!H87+'[1]2019'!H87+'[1]2020'!H87</f>
        <v>135</v>
      </c>
      <c r="I80" s="46">
        <f>'[1]2018'!I87+'[1]2019'!I87+'[1]2020'!I87</f>
        <v>0</v>
      </c>
      <c r="J80" s="46">
        <f>'[1]2018'!J87+'[1]2019'!J87+'[1]2020'!J87</f>
        <v>16</v>
      </c>
      <c r="K80" s="46">
        <f>'[1]2018'!K87+'[1]2019'!K87+'[1]2020'!K87</f>
        <v>8</v>
      </c>
      <c r="L80" s="46">
        <f>'[1]2018'!L87+'[1]2019'!L87+'[1]2020'!L87</f>
        <v>32</v>
      </c>
      <c r="M80" s="46">
        <f>'[1]2018'!M87+'[1]2019'!M87+'[1]2020'!M87</f>
        <v>2</v>
      </c>
      <c r="N80" s="46">
        <f>'[1]2018'!N87+'[1]2019'!N87+'[1]2020'!N87</f>
        <v>1</v>
      </c>
      <c r="O80" s="46">
        <f>'[1]2018'!O87+'[1]2019'!O87+'[1]2020'!O87</f>
        <v>2</v>
      </c>
      <c r="P80" s="46">
        <f>'[1]2018'!P87+'[1]2019'!P87+'[1]2020'!P87</f>
        <v>0</v>
      </c>
      <c r="Q80" s="46">
        <f>'[1]2018'!Q87+'[1]2019'!Q87+'[1]2020'!Q87</f>
        <v>0</v>
      </c>
      <c r="R80" s="46">
        <f>'[1]2018'!R87+'[1]2019'!R87+'[1]2020'!R87</f>
        <v>17</v>
      </c>
      <c r="S80" s="46">
        <f>'[1]2018'!S87+'[1]2019'!S87+'[1]2020'!S87</f>
        <v>0</v>
      </c>
      <c r="T80" s="46">
        <f>'[1]2018'!T87+'[1]2019'!T87+'[1]2020'!T87</f>
        <v>109</v>
      </c>
      <c r="U80" s="46">
        <f>'[1]2018'!U87+'[1]2019'!U87+'[1]2020'!U87</f>
        <v>0</v>
      </c>
      <c r="V80" s="46">
        <f>'[1]2018'!V87+'[1]2019'!V87+'[1]2020'!V87</f>
        <v>35</v>
      </c>
      <c r="W80" s="46">
        <f>'[1]2018'!W87+'[1]2019'!W87+'[1]2020'!W87</f>
        <v>4</v>
      </c>
      <c r="X80" s="46">
        <f>'[1]2018'!X87+'[1]2019'!X87+'[1]2020'!X87</f>
        <v>8</v>
      </c>
      <c r="Y80" s="41">
        <f t="shared" si="11"/>
        <v>369</v>
      </c>
      <c r="Z80" s="11">
        <f>'[1]2018'!Z87+'[1]2019'!Z87+'[1]2020'!Z87</f>
        <v>58</v>
      </c>
      <c r="AA80" s="11">
        <f>'[1]2018'!AA87+'[1]2019'!AA87+'[1]2020'!AA87</f>
        <v>32</v>
      </c>
      <c r="AB80" s="11">
        <f>'[1]2018'!AB87+'[1]2019'!AB87+'[1]2020'!AB87</f>
        <v>209</v>
      </c>
      <c r="AC80" s="11">
        <f>'[1]2018'!AC87+'[1]2019'!AC87+'[1]2020'!AC87</f>
        <v>106</v>
      </c>
      <c r="AD80" s="11">
        <f>'[1]2018'!AD87+'[1]2019'!AD87+'[1]2020'!AD87</f>
        <v>0</v>
      </c>
      <c r="AE80" s="11">
        <f>'[1]2018'!AE87+'[1]2019'!AE87+'[1]2020'!AE87</f>
        <v>0</v>
      </c>
      <c r="AF80" s="11">
        <f>'[1]2018'!AF87+'[1]2019'!AF87+'[1]2020'!AF87</f>
        <v>55</v>
      </c>
      <c r="AG80" s="11">
        <f>'[1]2018'!AG87+'[1]2019'!AG87+'[1]2020'!AG87</f>
        <v>0</v>
      </c>
      <c r="AH80" s="11">
        <f>'[1]2018'!AH87+'[1]2019'!AH87+'[1]2020'!AH87</f>
        <v>4</v>
      </c>
      <c r="AI80" s="11">
        <f>'[1]2018'!AI87+'[1]2019'!AI87+'[1]2020'!AI87</f>
        <v>0</v>
      </c>
      <c r="AJ80" s="11">
        <f>'[1]2018'!AJ87+'[1]2019'!AJ87+'[1]2020'!AJ87</f>
        <v>23</v>
      </c>
      <c r="AK80" s="11">
        <f>'[1]2018'!AK87+'[1]2019'!AK87+'[1]2020'!AK87</f>
        <v>2</v>
      </c>
      <c r="AL80" s="11">
        <f>'[1]2018'!AL87+'[1]2019'!AL87+'[1]2020'!AL87</f>
        <v>1</v>
      </c>
      <c r="AM80" s="11">
        <f>'[1]2018'!AM87+'[1]2019'!AM87+'[1]2020'!AM87</f>
        <v>2</v>
      </c>
      <c r="AN80" s="11">
        <f>'[1]2018'!AN87+'[1]2019'!AN87+'[1]2020'!AN87</f>
        <v>0</v>
      </c>
      <c r="AO80" s="11">
        <f>'[1]2018'!AO87+'[1]2019'!AO87+'[1]2020'!AO87</f>
        <v>0</v>
      </c>
      <c r="AP80" s="11">
        <f>'[1]2018'!AP87+'[1]2019'!AP87+'[1]2020'!AP87</f>
        <v>7</v>
      </c>
      <c r="AQ80" s="11">
        <f>'[1]2018'!AQ87+'[1]2019'!AQ87+'[1]2020'!AQ87</f>
        <v>0</v>
      </c>
      <c r="AR80" s="11">
        <f>'[1]2018'!AR87+'[1]2019'!AR87+'[1]2020'!AR87</f>
        <v>85</v>
      </c>
      <c r="AS80" s="11">
        <f>'[1]2018'!AS87+'[1]2019'!AS87+'[1]2020'!AS87</f>
        <v>0</v>
      </c>
      <c r="AT80" s="11">
        <f>'[1]2018'!AT87+'[1]2019'!AT87+'[1]2020'!AT87</f>
        <v>20</v>
      </c>
      <c r="AU80" s="11">
        <f>'[1]2018'!AU87+'[1]2019'!AU87+'[1]2020'!AU87</f>
        <v>4</v>
      </c>
      <c r="AV80" s="11">
        <f>'[1]2018'!AV87+'[1]2019'!AV87+'[1]2020'!AV87</f>
        <v>6</v>
      </c>
      <c r="AW80" s="41">
        <f t="shared" si="12"/>
        <v>209</v>
      </c>
      <c r="AX80" s="14">
        <f t="shared" si="13"/>
        <v>1448.6357952069718</v>
      </c>
      <c r="AY80" s="2">
        <f>'[1]2018'!AX87+'[1]2019'!AX87+'[1]2020'!AX87</f>
        <v>4345.9073856209152</v>
      </c>
    </row>
    <row r="81" spans="1:136" x14ac:dyDescent="0.25">
      <c r="A81" s="10" t="s">
        <v>177</v>
      </c>
      <c r="B81" s="46">
        <f>'[1]2018'!B88+'[1]2019'!B88+'[1]2020'!B88</f>
        <v>32</v>
      </c>
      <c r="C81" s="46">
        <f>'[1]2018'!C88+'[1]2019'!C88+'[1]2020'!C88</f>
        <v>1</v>
      </c>
      <c r="D81" s="46">
        <f>'[1]2018'!D88+'[1]2019'!D88+'[1]2020'!D88</f>
        <v>103</v>
      </c>
      <c r="E81" s="46">
        <f>'[1]2018'!E88+'[1]2019'!E88+'[1]2020'!E88</f>
        <v>4</v>
      </c>
      <c r="F81" s="46">
        <f>'[1]2018'!F88+'[1]2019'!F88+'[1]2020'!F88</f>
        <v>0</v>
      </c>
      <c r="G81" s="46">
        <f>'[1]2018'!G88+'[1]2019'!G88+'[1]2020'!G88</f>
        <v>0</v>
      </c>
      <c r="H81" s="46">
        <f>'[1]2018'!H88+'[1]2019'!H88+'[1]2020'!H88</f>
        <v>27</v>
      </c>
      <c r="I81" s="46">
        <f>'[1]2018'!I88+'[1]2019'!I88+'[1]2020'!I88</f>
        <v>0</v>
      </c>
      <c r="J81" s="46">
        <f>'[1]2018'!J88+'[1]2019'!J88+'[1]2020'!J88</f>
        <v>0</v>
      </c>
      <c r="K81" s="46">
        <f>'[1]2018'!K88+'[1]2019'!K88+'[1]2020'!K88</f>
        <v>7</v>
      </c>
      <c r="L81" s="46">
        <f>'[1]2018'!L88+'[1]2019'!L88+'[1]2020'!L88</f>
        <v>2</v>
      </c>
      <c r="M81" s="46">
        <f>'[1]2018'!M88+'[1]2019'!M88+'[1]2020'!M88</f>
        <v>0</v>
      </c>
      <c r="N81" s="46">
        <f>'[1]2018'!N88+'[1]2019'!N88+'[1]2020'!N88</f>
        <v>8</v>
      </c>
      <c r="O81" s="46">
        <f>'[1]2018'!O88+'[1]2019'!O88+'[1]2020'!O88</f>
        <v>19</v>
      </c>
      <c r="P81" s="46">
        <f>'[1]2018'!P88+'[1]2019'!P88+'[1]2020'!P88</f>
        <v>0</v>
      </c>
      <c r="Q81" s="46">
        <f>'[1]2018'!Q88+'[1]2019'!Q88+'[1]2020'!Q88</f>
        <v>0</v>
      </c>
      <c r="R81" s="46">
        <f>'[1]2018'!R88+'[1]2019'!R88+'[1]2020'!R88</f>
        <v>0</v>
      </c>
      <c r="S81" s="46">
        <f>'[1]2018'!S88+'[1]2019'!S88+'[1]2020'!S88</f>
        <v>2</v>
      </c>
      <c r="T81" s="46">
        <f>'[1]2018'!T88+'[1]2019'!T88+'[1]2020'!T88</f>
        <v>0</v>
      </c>
      <c r="U81" s="46">
        <f>'[1]2018'!U88+'[1]2019'!U88+'[1]2020'!U88</f>
        <v>23</v>
      </c>
      <c r="V81" s="46">
        <f>'[1]2018'!V88+'[1]2019'!V88+'[1]2020'!V88</f>
        <v>15</v>
      </c>
      <c r="W81" s="46">
        <f>'[1]2018'!W88+'[1]2019'!W88+'[1]2020'!W88</f>
        <v>0</v>
      </c>
      <c r="X81" s="46">
        <f>'[1]2018'!X88+'[1]2019'!X88+'[1]2020'!X88</f>
        <v>0</v>
      </c>
      <c r="Y81" s="41">
        <f t="shared" si="11"/>
        <v>103</v>
      </c>
      <c r="Z81" s="11">
        <f>'[1]2018'!Z88+'[1]2019'!Z88+'[1]2020'!Z88</f>
        <v>31</v>
      </c>
      <c r="AA81" s="11">
        <f>'[1]2018'!AA88+'[1]2019'!AA88+'[1]2020'!AA88</f>
        <v>1</v>
      </c>
      <c r="AB81" s="11">
        <f>'[1]2018'!AB88+'[1]2019'!AB88+'[1]2020'!AB88</f>
        <v>72</v>
      </c>
      <c r="AC81" s="11">
        <f>'[1]2018'!AC88+'[1]2019'!AC88+'[1]2020'!AC88</f>
        <v>4</v>
      </c>
      <c r="AD81" s="11">
        <f>'[1]2018'!AD88+'[1]2019'!AD88+'[1]2020'!AD88</f>
        <v>0</v>
      </c>
      <c r="AE81" s="11">
        <f>'[1]2018'!AE88+'[1]2019'!AE88+'[1]2020'!AE88</f>
        <v>0</v>
      </c>
      <c r="AF81" s="11">
        <f>'[1]2018'!AF88+'[1]2019'!AF88+'[1]2020'!AF88</f>
        <v>18</v>
      </c>
      <c r="AG81" s="11">
        <f>'[1]2018'!AG88+'[1]2019'!AG88+'[1]2020'!AG88</f>
        <v>0</v>
      </c>
      <c r="AH81" s="11">
        <f>'[1]2018'!AH88+'[1]2019'!AH88+'[1]2020'!AH88</f>
        <v>0</v>
      </c>
      <c r="AI81" s="11">
        <f>'[1]2018'!AI88+'[1]2019'!AI88+'[1]2020'!AI88</f>
        <v>5</v>
      </c>
      <c r="AJ81" s="11">
        <f>'[1]2018'!AJ88+'[1]2019'!AJ88+'[1]2020'!AJ88</f>
        <v>0</v>
      </c>
      <c r="AK81" s="11">
        <f>'[1]2018'!AK88+'[1]2019'!AK88+'[1]2020'!AK88</f>
        <v>0</v>
      </c>
      <c r="AL81" s="11">
        <f>'[1]2018'!AL88+'[1]2019'!AL88+'[1]2020'!AL88</f>
        <v>5</v>
      </c>
      <c r="AM81" s="11">
        <f>'[1]2018'!AM88+'[1]2019'!AM88+'[1]2020'!AM88</f>
        <v>17</v>
      </c>
      <c r="AN81" s="11">
        <f>'[1]2018'!AN88+'[1]2019'!AN88+'[1]2020'!AN88</f>
        <v>0</v>
      </c>
      <c r="AO81" s="11">
        <f>'[1]2018'!AO88+'[1]2019'!AO88+'[1]2020'!AO88</f>
        <v>0</v>
      </c>
      <c r="AP81" s="11">
        <f>'[1]2018'!AP88+'[1]2019'!AP88+'[1]2020'!AP88</f>
        <v>0</v>
      </c>
      <c r="AQ81" s="11">
        <f>'[1]2018'!AQ88+'[1]2019'!AQ88+'[1]2020'!AQ88</f>
        <v>1</v>
      </c>
      <c r="AR81" s="11">
        <f>'[1]2018'!AR88+'[1]2019'!AR88+'[1]2020'!AR88</f>
        <v>0</v>
      </c>
      <c r="AS81" s="11">
        <f>'[1]2018'!AS88+'[1]2019'!AS88+'[1]2020'!AS88</f>
        <v>11</v>
      </c>
      <c r="AT81" s="11">
        <f>'[1]2018'!AT88+'[1]2019'!AT88+'[1]2020'!AT88</f>
        <v>15</v>
      </c>
      <c r="AU81" s="11">
        <f>'[1]2018'!AU88+'[1]2019'!AU88+'[1]2020'!AU88</f>
        <v>0</v>
      </c>
      <c r="AV81" s="11">
        <f>'[1]2018'!AV88+'[1]2019'!AV88+'[1]2020'!AV88</f>
        <v>0</v>
      </c>
      <c r="AW81" s="41">
        <f t="shared" si="12"/>
        <v>72</v>
      </c>
      <c r="AX81" s="14">
        <f t="shared" si="13"/>
        <v>3324.1029629629629</v>
      </c>
      <c r="AY81" s="2">
        <f>'[1]2018'!AX88+'[1]2019'!AX88+'[1]2020'!AX88</f>
        <v>9972.3088888888888</v>
      </c>
    </row>
    <row r="82" spans="1:136" x14ac:dyDescent="0.25">
      <c r="A82" s="10" t="s">
        <v>159</v>
      </c>
      <c r="B82" s="46">
        <f>'[1]2018'!B89+'[1]2019'!B89+'[1]2020'!B89</f>
        <v>24</v>
      </c>
      <c r="C82" s="46">
        <f>'[1]2018'!C89+'[1]2019'!C89+'[1]2020'!C89</f>
        <v>2</v>
      </c>
      <c r="D82" s="46">
        <f>'[1]2018'!D89+'[1]2019'!D89+'[1]2020'!D89</f>
        <v>50</v>
      </c>
      <c r="E82" s="46">
        <f>'[1]2018'!E89+'[1]2019'!E89+'[1]2020'!E89</f>
        <v>3</v>
      </c>
      <c r="F82" s="46">
        <f>'[1]2018'!F89+'[1]2019'!F89+'[1]2020'!F89</f>
        <v>0</v>
      </c>
      <c r="G82" s="46">
        <f>'[1]2018'!G89+'[1]2019'!G89+'[1]2020'!G89</f>
        <v>0</v>
      </c>
      <c r="H82" s="46">
        <f>'[1]2018'!H89+'[1]2019'!H89+'[1]2020'!H89</f>
        <v>0</v>
      </c>
      <c r="I82" s="46">
        <f>'[1]2018'!I89+'[1]2019'!I89+'[1]2020'!I89</f>
        <v>0</v>
      </c>
      <c r="J82" s="46">
        <f>'[1]2018'!J89+'[1]2019'!J89+'[1]2020'!J89</f>
        <v>1</v>
      </c>
      <c r="K82" s="46">
        <f>'[1]2018'!K89+'[1]2019'!K89+'[1]2020'!K89</f>
        <v>0</v>
      </c>
      <c r="L82" s="46">
        <f>'[1]2018'!L89+'[1]2019'!L89+'[1]2020'!L89</f>
        <v>38</v>
      </c>
      <c r="M82" s="46">
        <f>'[1]2018'!M89+'[1]2019'!M89+'[1]2020'!M89</f>
        <v>0</v>
      </c>
      <c r="N82" s="46">
        <f>'[1]2018'!N89+'[1]2019'!N89+'[1]2020'!N89</f>
        <v>3</v>
      </c>
      <c r="O82" s="46">
        <f>'[1]2018'!O89+'[1]2019'!O89+'[1]2020'!O89</f>
        <v>4</v>
      </c>
      <c r="P82" s="46">
        <f>'[1]2018'!P89+'[1]2019'!P89+'[1]2020'!P89</f>
        <v>0</v>
      </c>
      <c r="Q82" s="46">
        <f>'[1]2018'!Q89+'[1]2019'!Q89+'[1]2020'!Q89</f>
        <v>0</v>
      </c>
      <c r="R82" s="46">
        <f>'[1]2018'!R89+'[1]2019'!R89+'[1]2020'!R89</f>
        <v>1</v>
      </c>
      <c r="S82" s="46">
        <f>'[1]2018'!S89+'[1]2019'!S89+'[1]2020'!S89</f>
        <v>0</v>
      </c>
      <c r="T82" s="46">
        <f>'[1]2018'!T89+'[1]2019'!T89+'[1]2020'!T89</f>
        <v>2</v>
      </c>
      <c r="U82" s="46">
        <f>'[1]2018'!U89+'[1]2019'!U89+'[1]2020'!U89</f>
        <v>1</v>
      </c>
      <c r="V82" s="46">
        <f>'[1]2018'!V89+'[1]2019'!V89+'[1]2020'!V89</f>
        <v>0</v>
      </c>
      <c r="W82" s="46">
        <f>'[1]2018'!W89+'[1]2019'!W89+'[1]2020'!W89</f>
        <v>0</v>
      </c>
      <c r="X82" s="46">
        <f>'[1]2018'!X89+'[1]2019'!X89+'[1]2020'!X89</f>
        <v>0</v>
      </c>
      <c r="Y82" s="41">
        <f t="shared" si="11"/>
        <v>50</v>
      </c>
      <c r="Z82" s="11">
        <f>'[1]2018'!Z89+'[1]2019'!Z89+'[1]2020'!Z89</f>
        <v>15</v>
      </c>
      <c r="AA82" s="11">
        <f>'[1]2018'!AA89+'[1]2019'!AA89+'[1]2020'!AA89</f>
        <v>2</v>
      </c>
      <c r="AB82" s="11">
        <f>'[1]2018'!AB89+'[1]2019'!AB89+'[1]2020'!AB89</f>
        <v>32</v>
      </c>
      <c r="AC82" s="11">
        <f>'[1]2018'!AC89+'[1]2019'!AC89+'[1]2020'!AC89</f>
        <v>2</v>
      </c>
      <c r="AD82" s="11">
        <f>'[1]2018'!AD89+'[1]2019'!AD89+'[1]2020'!AD89</f>
        <v>0</v>
      </c>
      <c r="AE82" s="11">
        <f>'[1]2018'!AE89+'[1]2019'!AE89+'[1]2020'!AE89</f>
        <v>0</v>
      </c>
      <c r="AF82" s="11">
        <f>'[1]2018'!AF89+'[1]2019'!AF89+'[1]2020'!AF89</f>
        <v>0</v>
      </c>
      <c r="AG82" s="11">
        <f>'[1]2018'!AG89+'[1]2019'!AG89+'[1]2020'!AG89</f>
        <v>0</v>
      </c>
      <c r="AH82" s="11">
        <f>'[1]2018'!AH89+'[1]2019'!AH89+'[1]2020'!AH89</f>
        <v>0</v>
      </c>
      <c r="AI82" s="11">
        <f>'[1]2018'!AI89+'[1]2019'!AI89+'[1]2020'!AI89</f>
        <v>0</v>
      </c>
      <c r="AJ82" s="11">
        <f>'[1]2018'!AJ89+'[1]2019'!AJ89+'[1]2020'!AJ89</f>
        <v>25</v>
      </c>
      <c r="AK82" s="11">
        <f>'[1]2018'!AK89+'[1]2019'!AK89+'[1]2020'!AK89</f>
        <v>0</v>
      </c>
      <c r="AL82" s="11">
        <f>'[1]2018'!AL89+'[1]2019'!AL89+'[1]2020'!AL89</f>
        <v>0</v>
      </c>
      <c r="AM82" s="11">
        <f>'[1]2018'!AM89+'[1]2019'!AM89+'[1]2020'!AM89</f>
        <v>4</v>
      </c>
      <c r="AN82" s="11">
        <f>'[1]2018'!AN89+'[1]2019'!AN89+'[1]2020'!AN89</f>
        <v>0</v>
      </c>
      <c r="AO82" s="11">
        <f>'[1]2018'!AO89+'[1]2019'!AO89+'[1]2020'!AO89</f>
        <v>0</v>
      </c>
      <c r="AP82" s="11">
        <f>'[1]2018'!AP89+'[1]2019'!AP89+'[1]2020'!AP89</f>
        <v>0</v>
      </c>
      <c r="AQ82" s="11">
        <f>'[1]2018'!AQ89+'[1]2019'!AQ89+'[1]2020'!AQ89</f>
        <v>0</v>
      </c>
      <c r="AR82" s="11">
        <f>'[1]2018'!AR89+'[1]2019'!AR89+'[1]2020'!AR89</f>
        <v>2</v>
      </c>
      <c r="AS82" s="11">
        <f>'[1]2018'!AS89+'[1]2019'!AS89+'[1]2020'!AS89</f>
        <v>1</v>
      </c>
      <c r="AT82" s="11">
        <f>'[1]2018'!AT89+'[1]2019'!AT89+'[1]2020'!AT89</f>
        <v>0</v>
      </c>
      <c r="AU82" s="11">
        <f>'[1]2018'!AU89+'[1]2019'!AU89+'[1]2020'!AU89</f>
        <v>0</v>
      </c>
      <c r="AV82" s="11">
        <f>'[1]2018'!AV89+'[1]2019'!AV89+'[1]2020'!AV89</f>
        <v>0</v>
      </c>
      <c r="AW82" s="41">
        <f t="shared" si="12"/>
        <v>32</v>
      </c>
      <c r="AX82" s="14">
        <f t="shared" si="13"/>
        <v>3954.6533333333332</v>
      </c>
      <c r="AY82" s="2">
        <f>'[1]2018'!AX89+'[1]2019'!AX89+'[1]2020'!AX89</f>
        <v>11863.96</v>
      </c>
    </row>
    <row r="83" spans="1:136" x14ac:dyDescent="0.25">
      <c r="A83" s="10" t="s">
        <v>160</v>
      </c>
      <c r="B83" s="46">
        <f>'[1]2018'!B90+'[1]2019'!B90+'[1]2020'!B90</f>
        <v>9</v>
      </c>
      <c r="C83" s="46">
        <f>'[1]2018'!C90+'[1]2019'!C90+'[1]2020'!C90</f>
        <v>2</v>
      </c>
      <c r="D83" s="46">
        <f>'[1]2018'!D90+'[1]2019'!D90+'[1]2020'!D90</f>
        <v>24</v>
      </c>
      <c r="E83" s="46">
        <f>'[1]2018'!E90+'[1]2019'!E90+'[1]2020'!E90</f>
        <v>4</v>
      </c>
      <c r="F83" s="46">
        <f>'[1]2018'!F90+'[1]2019'!F90+'[1]2020'!F90</f>
        <v>0</v>
      </c>
      <c r="G83" s="46">
        <f>'[1]2018'!G90+'[1]2019'!G90+'[1]2020'!G90</f>
        <v>0</v>
      </c>
      <c r="H83" s="46">
        <f>'[1]2018'!H90+'[1]2019'!H90+'[1]2020'!H90</f>
        <v>2</v>
      </c>
      <c r="I83" s="46">
        <f>'[1]2018'!I90+'[1]2019'!I90+'[1]2020'!I90</f>
        <v>0</v>
      </c>
      <c r="J83" s="46">
        <f>'[1]2018'!J90+'[1]2019'!J90+'[1]2020'!J90</f>
        <v>0</v>
      </c>
      <c r="K83" s="46">
        <f>'[1]2018'!K90+'[1]2019'!K90+'[1]2020'!K90</f>
        <v>0</v>
      </c>
      <c r="L83" s="46">
        <f>'[1]2018'!L90+'[1]2019'!L90+'[1]2020'!L90</f>
        <v>2</v>
      </c>
      <c r="M83" s="46">
        <f>'[1]2018'!M90+'[1]2019'!M90+'[1]2020'!M90</f>
        <v>0</v>
      </c>
      <c r="N83" s="46">
        <f>'[1]2018'!N90+'[1]2019'!N90+'[1]2020'!N90</f>
        <v>3</v>
      </c>
      <c r="O83" s="46">
        <f>'[1]2018'!O90+'[1]2019'!O90+'[1]2020'!O90</f>
        <v>0</v>
      </c>
      <c r="P83" s="46">
        <f>'[1]2018'!P90+'[1]2019'!P90+'[1]2020'!P90</f>
        <v>0</v>
      </c>
      <c r="Q83" s="46">
        <f>'[1]2018'!Q90+'[1]2019'!Q90+'[1]2020'!Q90</f>
        <v>0</v>
      </c>
      <c r="R83" s="46">
        <f>'[1]2018'!R90+'[1]2019'!R90+'[1]2020'!R90</f>
        <v>3</v>
      </c>
      <c r="S83" s="46">
        <f>'[1]2018'!S90+'[1]2019'!S90+'[1]2020'!S90</f>
        <v>5</v>
      </c>
      <c r="T83" s="46">
        <f>'[1]2018'!T90+'[1]2019'!T90+'[1]2020'!T90</f>
        <v>0</v>
      </c>
      <c r="U83" s="46">
        <f>'[1]2018'!U90+'[1]2019'!U90+'[1]2020'!U90</f>
        <v>5</v>
      </c>
      <c r="V83" s="46">
        <f>'[1]2018'!V90+'[1]2019'!V90+'[1]2020'!V90</f>
        <v>2</v>
      </c>
      <c r="W83" s="46">
        <f>'[1]2018'!W90+'[1]2019'!W90+'[1]2020'!W90</f>
        <v>2</v>
      </c>
      <c r="X83" s="46">
        <f>'[1]2018'!X90+'[1]2019'!X90+'[1]2020'!X90</f>
        <v>0</v>
      </c>
      <c r="Y83" s="41">
        <f t="shared" si="11"/>
        <v>24</v>
      </c>
      <c r="Z83" s="11">
        <f>'[1]2018'!Z90+'[1]2019'!Z90+'[1]2020'!Z90</f>
        <v>8</v>
      </c>
      <c r="AA83" s="11">
        <f>'[1]2018'!AA90+'[1]2019'!AA90+'[1]2020'!AA90</f>
        <v>2</v>
      </c>
      <c r="AB83" s="11">
        <f>'[1]2018'!AB90+'[1]2019'!AB90+'[1]2020'!AB90</f>
        <v>21</v>
      </c>
      <c r="AC83" s="11">
        <f>'[1]2018'!AC90+'[1]2019'!AC90+'[1]2020'!AC90</f>
        <v>4</v>
      </c>
      <c r="AD83" s="11">
        <f>'[1]2018'!AD90+'[1]2019'!AD90+'[1]2020'!AD90</f>
        <v>0</v>
      </c>
      <c r="AE83" s="11">
        <f>'[1]2018'!AE90+'[1]2019'!AE90+'[1]2020'!AE90</f>
        <v>0</v>
      </c>
      <c r="AF83" s="11">
        <f>'[1]2018'!AF90+'[1]2019'!AF90+'[1]2020'!AF90</f>
        <v>2</v>
      </c>
      <c r="AG83" s="11">
        <f>'[1]2018'!AG90+'[1]2019'!AG90+'[1]2020'!AG90</f>
        <v>0</v>
      </c>
      <c r="AH83" s="11">
        <f>'[1]2018'!AH90+'[1]2019'!AH90+'[1]2020'!AH90</f>
        <v>0</v>
      </c>
      <c r="AI83" s="11">
        <f>'[1]2018'!AI90+'[1]2019'!AI90+'[1]2020'!AI90</f>
        <v>0</v>
      </c>
      <c r="AJ83" s="11">
        <f>'[1]2018'!AJ90+'[1]2019'!AJ90+'[1]2020'!AJ90</f>
        <v>2</v>
      </c>
      <c r="AK83" s="11">
        <f>'[1]2018'!AK90+'[1]2019'!AK90+'[1]2020'!AK90</f>
        <v>0</v>
      </c>
      <c r="AL83" s="11">
        <f>'[1]2018'!AL90+'[1]2019'!AL90+'[1]2020'!AL90</f>
        <v>3</v>
      </c>
      <c r="AM83" s="11">
        <f>'[1]2018'!AM90+'[1]2019'!AM90+'[1]2020'!AM90</f>
        <v>0</v>
      </c>
      <c r="AN83" s="11">
        <f>'[1]2018'!AN90+'[1]2019'!AN90+'[1]2020'!AN90</f>
        <v>0</v>
      </c>
      <c r="AO83" s="11">
        <f>'[1]2018'!AO90+'[1]2019'!AO90+'[1]2020'!AO90</f>
        <v>0</v>
      </c>
      <c r="AP83" s="11">
        <f>'[1]2018'!AP90+'[1]2019'!AP90+'[1]2020'!AP90</f>
        <v>2</v>
      </c>
      <c r="AQ83" s="11">
        <f>'[1]2018'!AQ90+'[1]2019'!AQ90+'[1]2020'!AQ90</f>
        <v>5</v>
      </c>
      <c r="AR83" s="11">
        <f>'[1]2018'!AR90+'[1]2019'!AR90+'[1]2020'!AR90</f>
        <v>0</v>
      </c>
      <c r="AS83" s="11">
        <f>'[1]2018'!AS90+'[1]2019'!AS90+'[1]2020'!AS90</f>
        <v>3</v>
      </c>
      <c r="AT83" s="11">
        <f>'[1]2018'!AT90+'[1]2019'!AT90+'[1]2020'!AT90</f>
        <v>2</v>
      </c>
      <c r="AU83" s="11">
        <f>'[1]2018'!AU90+'[1]2019'!AU90+'[1]2020'!AU90</f>
        <v>2</v>
      </c>
      <c r="AV83" s="11">
        <f>'[1]2018'!AV90+'[1]2019'!AV90+'[1]2020'!AV90</f>
        <v>0</v>
      </c>
      <c r="AW83" s="41">
        <f t="shared" si="12"/>
        <v>21</v>
      </c>
      <c r="AX83" s="14">
        <f t="shared" si="13"/>
        <v>2355.1</v>
      </c>
      <c r="AY83" s="2">
        <f>'[1]2018'!AX90+'[1]2019'!AX90+'[1]2020'!AX90</f>
        <v>7065.3</v>
      </c>
    </row>
    <row r="84" spans="1:136" x14ac:dyDescent="0.25">
      <c r="A84" s="10" t="s">
        <v>161</v>
      </c>
      <c r="B84" s="46">
        <f>'[1]2018'!B91+'[1]2019'!B91+'[1]2020'!B91</f>
        <v>9</v>
      </c>
      <c r="C84" s="46">
        <f>'[1]2018'!C91+'[1]2019'!C91+'[1]2020'!C91</f>
        <v>0</v>
      </c>
      <c r="D84" s="46">
        <f>'[1]2018'!D91+'[1]2019'!D91+'[1]2020'!D91</f>
        <v>81</v>
      </c>
      <c r="E84" s="46">
        <f>'[1]2018'!E91+'[1]2019'!E91+'[1]2020'!E91</f>
        <v>0</v>
      </c>
      <c r="F84" s="46">
        <f>'[1]2018'!F91+'[1]2019'!F91+'[1]2020'!F91</f>
        <v>0</v>
      </c>
      <c r="G84" s="46">
        <f>'[1]2018'!G91+'[1]2019'!G91+'[1]2020'!G91</f>
        <v>0</v>
      </c>
      <c r="H84" s="46">
        <f>'[1]2018'!H91+'[1]2019'!H91+'[1]2020'!H91</f>
        <v>26</v>
      </c>
      <c r="I84" s="46">
        <f>'[1]2018'!I91+'[1]2019'!I91+'[1]2020'!I91</f>
        <v>0</v>
      </c>
      <c r="J84" s="46">
        <f>'[1]2018'!J91+'[1]2019'!J91+'[1]2020'!J91</f>
        <v>0</v>
      </c>
      <c r="K84" s="46">
        <f>'[1]2018'!K91+'[1]2019'!K91+'[1]2020'!K91</f>
        <v>0</v>
      </c>
      <c r="L84" s="46">
        <f>'[1]2018'!L91+'[1]2019'!L91+'[1]2020'!L91</f>
        <v>40</v>
      </c>
      <c r="M84" s="46">
        <f>'[1]2018'!M91+'[1]2019'!M91+'[1]2020'!M91</f>
        <v>5</v>
      </c>
      <c r="N84" s="46">
        <f>'[1]2018'!N91+'[1]2019'!N91+'[1]2020'!N91</f>
        <v>10</v>
      </c>
      <c r="O84" s="46">
        <f>'[1]2018'!O91+'[1]2019'!O91+'[1]2020'!O91</f>
        <v>0</v>
      </c>
      <c r="P84" s="46">
        <f>'[1]2018'!P91+'[1]2019'!P91+'[1]2020'!P91</f>
        <v>0</v>
      </c>
      <c r="Q84" s="46">
        <f>'[1]2018'!Q91+'[1]2019'!Q91+'[1]2020'!Q91</f>
        <v>0</v>
      </c>
      <c r="R84" s="46">
        <f>'[1]2018'!R91+'[1]2019'!R91+'[1]2020'!R91</f>
        <v>0</v>
      </c>
      <c r="S84" s="46">
        <f>'[1]2018'!S91+'[1]2019'!S91+'[1]2020'!S91</f>
        <v>0</v>
      </c>
      <c r="T84" s="46">
        <f>'[1]2018'!T91+'[1]2019'!T91+'[1]2020'!T91</f>
        <v>0</v>
      </c>
      <c r="U84" s="46">
        <f>'[1]2018'!U91+'[1]2019'!U91+'[1]2020'!U91</f>
        <v>0</v>
      </c>
      <c r="V84" s="46">
        <f>'[1]2018'!V91+'[1]2019'!V91+'[1]2020'!V91</f>
        <v>0</v>
      </c>
      <c r="W84" s="46">
        <f>'[1]2018'!W91+'[1]2019'!W91+'[1]2020'!W91</f>
        <v>0</v>
      </c>
      <c r="X84" s="46">
        <f>'[1]2018'!X91+'[1]2019'!X91+'[1]2020'!X91</f>
        <v>0</v>
      </c>
      <c r="Y84" s="41">
        <f t="shared" si="11"/>
        <v>81</v>
      </c>
      <c r="Z84" s="11">
        <f>'[1]2018'!Z91+'[1]2019'!Z91+'[1]2020'!Z91</f>
        <v>10</v>
      </c>
      <c r="AA84" s="11">
        <f>'[1]2018'!AA91+'[1]2019'!AA91+'[1]2020'!AA91</f>
        <v>0</v>
      </c>
      <c r="AB84" s="11">
        <f>'[1]2018'!AB91+'[1]2019'!AB91+'[1]2020'!AB91</f>
        <v>48</v>
      </c>
      <c r="AC84" s="11">
        <f>'[1]2018'!AC91+'[1]2019'!AC91+'[1]2020'!AC91</f>
        <v>0</v>
      </c>
      <c r="AD84" s="11">
        <f>'[1]2018'!AD91+'[1]2019'!AD91+'[1]2020'!AD91</f>
        <v>0</v>
      </c>
      <c r="AE84" s="11">
        <f>'[1]2018'!AE91+'[1]2019'!AE91+'[1]2020'!AE91</f>
        <v>0</v>
      </c>
      <c r="AF84" s="11">
        <f>'[1]2018'!AF91+'[1]2019'!AF91+'[1]2020'!AF91</f>
        <v>9</v>
      </c>
      <c r="AG84" s="11">
        <f>'[1]2018'!AG91+'[1]2019'!AG91+'[1]2020'!AG91</f>
        <v>0</v>
      </c>
      <c r="AH84" s="11">
        <f>'[1]2018'!AH91+'[1]2019'!AH91+'[1]2020'!AH91</f>
        <v>0</v>
      </c>
      <c r="AI84" s="11">
        <f>'[1]2018'!AI91+'[1]2019'!AI91+'[1]2020'!AI91</f>
        <v>0</v>
      </c>
      <c r="AJ84" s="11">
        <f>'[1]2018'!AJ91+'[1]2019'!AJ91+'[1]2020'!AJ91</f>
        <v>29</v>
      </c>
      <c r="AK84" s="11">
        <f>'[1]2018'!AK91+'[1]2019'!AK91+'[1]2020'!AK91</f>
        <v>0</v>
      </c>
      <c r="AL84" s="11">
        <f>'[1]2018'!AL91+'[1]2019'!AL91+'[1]2020'!AL91</f>
        <v>10</v>
      </c>
      <c r="AM84" s="11">
        <f>'[1]2018'!AM91+'[1]2019'!AM91+'[1]2020'!AM91</f>
        <v>0</v>
      </c>
      <c r="AN84" s="11">
        <f>'[1]2018'!AN91+'[1]2019'!AN91+'[1]2020'!AN91</f>
        <v>0</v>
      </c>
      <c r="AO84" s="11">
        <f>'[1]2018'!AO91+'[1]2019'!AO91+'[1]2020'!AO91</f>
        <v>0</v>
      </c>
      <c r="AP84" s="11">
        <f>'[1]2018'!AP91+'[1]2019'!AP91+'[1]2020'!AP91</f>
        <v>0</v>
      </c>
      <c r="AQ84" s="11">
        <f>'[1]2018'!AQ91+'[1]2019'!AQ91+'[1]2020'!AQ91</f>
        <v>0</v>
      </c>
      <c r="AR84" s="11">
        <f>'[1]2018'!AR91+'[1]2019'!AR91+'[1]2020'!AR91</f>
        <v>0</v>
      </c>
      <c r="AS84" s="11">
        <f>'[1]2018'!AS91+'[1]2019'!AS91+'[1]2020'!AS91</f>
        <v>0</v>
      </c>
      <c r="AT84" s="11">
        <f>'[1]2018'!AT91+'[1]2019'!AT91+'[1]2020'!AT91</f>
        <v>0</v>
      </c>
      <c r="AU84" s="11">
        <f>'[1]2018'!AU91+'[1]2019'!AU91+'[1]2020'!AU91</f>
        <v>0</v>
      </c>
      <c r="AV84" s="11">
        <f>'[1]2018'!AV91+'[1]2019'!AV91+'[1]2020'!AV91</f>
        <v>0</v>
      </c>
      <c r="AW84" s="41">
        <f t="shared" si="12"/>
        <v>48</v>
      </c>
      <c r="AX84" s="14">
        <f t="shared" si="13"/>
        <v>6829.5177777777781</v>
      </c>
      <c r="AY84" s="2">
        <f>'[1]2018'!AX91+'[1]2019'!AX91+'[1]2020'!AX91</f>
        <v>20488.553333333333</v>
      </c>
    </row>
    <row r="85" spans="1:136" x14ac:dyDescent="0.25">
      <c r="A85" s="10" t="s">
        <v>162</v>
      </c>
      <c r="B85" s="46">
        <f>'[1]2018'!B92+'[1]2019'!B92+'[1]2020'!B92</f>
        <v>40</v>
      </c>
      <c r="C85" s="46">
        <f>'[1]2018'!C92+'[1]2019'!C92+'[1]2020'!C92</f>
        <v>8</v>
      </c>
      <c r="D85" s="46">
        <f>'[1]2018'!D92+'[1]2019'!D92+'[1]2020'!D92</f>
        <v>77</v>
      </c>
      <c r="E85" s="46">
        <f>'[1]2018'!E92+'[1]2019'!E92+'[1]2020'!E92</f>
        <v>13</v>
      </c>
      <c r="F85" s="46">
        <f>'[1]2018'!F92+'[1]2019'!F92+'[1]2020'!F92</f>
        <v>0</v>
      </c>
      <c r="G85" s="46">
        <f>'[1]2018'!G92+'[1]2019'!G92+'[1]2020'!G92</f>
        <v>0</v>
      </c>
      <c r="H85" s="46">
        <f>'[1]2018'!H92+'[1]2019'!H92+'[1]2020'!H92</f>
        <v>6</v>
      </c>
      <c r="I85" s="46">
        <f>'[1]2018'!I92+'[1]2019'!I92+'[1]2020'!I92</f>
        <v>0</v>
      </c>
      <c r="J85" s="46">
        <f>'[1]2018'!J92+'[1]2019'!J92+'[1]2020'!J92</f>
        <v>0</v>
      </c>
      <c r="K85" s="46">
        <f>'[1]2018'!K92+'[1]2019'!K92+'[1]2020'!K92</f>
        <v>0</v>
      </c>
      <c r="L85" s="46">
        <f>'[1]2018'!L92+'[1]2019'!L92+'[1]2020'!L92</f>
        <v>15</v>
      </c>
      <c r="M85" s="46">
        <f>'[1]2018'!M92+'[1]2019'!M92+'[1]2020'!M92</f>
        <v>0</v>
      </c>
      <c r="N85" s="46">
        <f>'[1]2018'!N92+'[1]2019'!N92+'[1]2020'!N92</f>
        <v>0</v>
      </c>
      <c r="O85" s="46">
        <f>'[1]2018'!O92+'[1]2019'!O92+'[1]2020'!O92</f>
        <v>16</v>
      </c>
      <c r="P85" s="46">
        <f>'[1]2018'!P92+'[1]2019'!P92+'[1]2020'!P92</f>
        <v>0</v>
      </c>
      <c r="Q85" s="46">
        <f>'[1]2018'!Q92+'[1]2019'!Q92+'[1]2020'!Q92</f>
        <v>2</v>
      </c>
      <c r="R85" s="46">
        <f>'[1]2018'!R92+'[1]2019'!R92+'[1]2020'!R92</f>
        <v>5</v>
      </c>
      <c r="S85" s="46">
        <f>'[1]2018'!S92+'[1]2019'!S92+'[1]2020'!S92</f>
        <v>4</v>
      </c>
      <c r="T85" s="46">
        <f>'[1]2018'!T92+'[1]2019'!T92+'[1]2020'!T92</f>
        <v>10</v>
      </c>
      <c r="U85" s="46">
        <f>'[1]2018'!U92+'[1]2019'!U92+'[1]2020'!U92</f>
        <v>10</v>
      </c>
      <c r="V85" s="46">
        <f>'[1]2018'!V92+'[1]2019'!V92+'[1]2020'!V92</f>
        <v>3</v>
      </c>
      <c r="W85" s="46">
        <f>'[1]2018'!W92+'[1]2019'!W92+'[1]2020'!W92</f>
        <v>0</v>
      </c>
      <c r="X85" s="46">
        <f>'[1]2018'!X92+'[1]2019'!X92+'[1]2020'!X92</f>
        <v>6</v>
      </c>
      <c r="Y85" s="41">
        <f t="shared" si="11"/>
        <v>77</v>
      </c>
      <c r="Z85" s="11">
        <f>'[1]2018'!Z92+'[1]2019'!Z92+'[1]2020'!Z92</f>
        <v>70</v>
      </c>
      <c r="AA85" s="11">
        <f>'[1]2018'!AA92+'[1]2019'!AA92+'[1]2020'!AA92</f>
        <v>7</v>
      </c>
      <c r="AB85" s="11">
        <f>'[1]2018'!AB92+'[1]2019'!AB92+'[1]2020'!AB92</f>
        <v>52</v>
      </c>
      <c r="AC85" s="11">
        <f>'[1]2018'!AC92+'[1]2019'!AC92+'[1]2020'!AC92</f>
        <v>10</v>
      </c>
      <c r="AD85" s="11">
        <f>'[1]2018'!AD92+'[1]2019'!AD92+'[1]2020'!AD92</f>
        <v>0</v>
      </c>
      <c r="AE85" s="11">
        <f>'[1]2018'!AE92+'[1]2019'!AE92+'[1]2020'!AE92</f>
        <v>0</v>
      </c>
      <c r="AF85" s="11">
        <f>'[1]2018'!AF92+'[1]2019'!AF92+'[1]2020'!AF92</f>
        <v>4</v>
      </c>
      <c r="AG85" s="11">
        <f>'[1]2018'!AG92+'[1]2019'!AG92+'[1]2020'!AG92</f>
        <v>0</v>
      </c>
      <c r="AH85" s="11">
        <f>'[1]2018'!AH92+'[1]2019'!AH92+'[1]2020'!AH92</f>
        <v>0</v>
      </c>
      <c r="AI85" s="11">
        <f>'[1]2018'!AI92+'[1]2019'!AI92+'[1]2020'!AI92</f>
        <v>0</v>
      </c>
      <c r="AJ85" s="11">
        <f>'[1]2018'!AJ92+'[1]2019'!AJ92+'[1]2020'!AJ92</f>
        <v>8</v>
      </c>
      <c r="AK85" s="11">
        <f>'[1]2018'!AK92+'[1]2019'!AK92+'[1]2020'!AK92</f>
        <v>0</v>
      </c>
      <c r="AL85" s="11">
        <f>'[1]2018'!AL92+'[1]2019'!AL92+'[1]2020'!AL92</f>
        <v>0</v>
      </c>
      <c r="AM85" s="11">
        <f>'[1]2018'!AM92+'[1]2019'!AM92+'[1]2020'!AM92</f>
        <v>12</v>
      </c>
      <c r="AN85" s="11">
        <f>'[1]2018'!AN92+'[1]2019'!AN92+'[1]2020'!AN92</f>
        <v>0</v>
      </c>
      <c r="AO85" s="11">
        <f>'[1]2018'!AO92+'[1]2019'!AO92+'[1]2020'!AO92</f>
        <v>2</v>
      </c>
      <c r="AP85" s="11">
        <f>'[1]2018'!AP92+'[1]2019'!AP92+'[1]2020'!AP92</f>
        <v>5</v>
      </c>
      <c r="AQ85" s="11">
        <f>'[1]2018'!AQ92+'[1]2019'!AQ92+'[1]2020'!AQ92</f>
        <v>3</v>
      </c>
      <c r="AR85" s="11">
        <f>'[1]2018'!AR92+'[1]2019'!AR92+'[1]2020'!AR92</f>
        <v>7</v>
      </c>
      <c r="AS85" s="11">
        <f>'[1]2018'!AS92+'[1]2019'!AS92+'[1]2020'!AS92</f>
        <v>2</v>
      </c>
      <c r="AT85" s="11">
        <f>'[1]2018'!AT92+'[1]2019'!AT92+'[1]2020'!AT92</f>
        <v>3</v>
      </c>
      <c r="AU85" s="11">
        <f>'[1]2018'!AU92+'[1]2019'!AU92+'[1]2020'!AU92</f>
        <v>0</v>
      </c>
      <c r="AV85" s="11">
        <f>'[1]2018'!AV92+'[1]2019'!AV92+'[1]2020'!AV92</f>
        <v>6</v>
      </c>
      <c r="AW85" s="41">
        <f t="shared" si="12"/>
        <v>52</v>
      </c>
      <c r="AX85" s="14">
        <f t="shared" si="13"/>
        <v>4485.6200466200462</v>
      </c>
      <c r="AY85" s="2">
        <f>'[1]2018'!AX92+'[1]2019'!AX92+'[1]2020'!AX92</f>
        <v>13456.860139860139</v>
      </c>
    </row>
    <row r="86" spans="1:136" x14ac:dyDescent="0.25">
      <c r="A86" s="10" t="s">
        <v>163</v>
      </c>
      <c r="B86" s="46">
        <f>'[1]2018'!B93+'[1]2019'!B93+'[1]2020'!B93</f>
        <v>3</v>
      </c>
      <c r="C86" s="46">
        <f>'[1]2018'!C93+'[1]2019'!C93+'[1]2020'!C93</f>
        <v>0</v>
      </c>
      <c r="D86" s="46">
        <f>'[1]2018'!D93+'[1]2019'!D93+'[1]2020'!D93</f>
        <v>11</v>
      </c>
      <c r="E86" s="46">
        <f>'[1]2018'!E93+'[1]2019'!E93+'[1]2020'!E93</f>
        <v>0</v>
      </c>
      <c r="F86" s="46">
        <f>'[1]2018'!F93+'[1]2019'!F93+'[1]2020'!F93</f>
        <v>0</v>
      </c>
      <c r="G86" s="46">
        <f>'[1]2018'!G93+'[1]2019'!G93+'[1]2020'!G93</f>
        <v>0</v>
      </c>
      <c r="H86" s="46">
        <f>'[1]2018'!H93+'[1]2019'!H93+'[1]2020'!H93</f>
        <v>11</v>
      </c>
      <c r="I86" s="46">
        <f>'[1]2018'!I93+'[1]2019'!I93+'[1]2020'!I93</f>
        <v>0</v>
      </c>
      <c r="J86" s="46">
        <f>'[1]2018'!J93+'[1]2019'!J93+'[1]2020'!J93</f>
        <v>0</v>
      </c>
      <c r="K86" s="46">
        <f>'[1]2018'!K93+'[1]2019'!K93+'[1]2020'!K93</f>
        <v>0</v>
      </c>
      <c r="L86" s="46">
        <f>'[1]2018'!L93+'[1]2019'!L93+'[1]2020'!L93</f>
        <v>0</v>
      </c>
      <c r="M86" s="46">
        <f>'[1]2018'!M93+'[1]2019'!M93+'[1]2020'!M93</f>
        <v>0</v>
      </c>
      <c r="N86" s="46">
        <f>'[1]2018'!N93+'[1]2019'!N93+'[1]2020'!N93</f>
        <v>0</v>
      </c>
      <c r="O86" s="46">
        <f>'[1]2018'!O93+'[1]2019'!O93+'[1]2020'!O93</f>
        <v>0</v>
      </c>
      <c r="P86" s="46">
        <f>'[1]2018'!P93+'[1]2019'!P93+'[1]2020'!P93</f>
        <v>0</v>
      </c>
      <c r="Q86" s="46">
        <f>'[1]2018'!Q93+'[1]2019'!Q93+'[1]2020'!Q93</f>
        <v>0</v>
      </c>
      <c r="R86" s="46">
        <f>'[1]2018'!R93+'[1]2019'!R93+'[1]2020'!R93</f>
        <v>0</v>
      </c>
      <c r="S86" s="46">
        <f>'[1]2018'!S93+'[1]2019'!S93+'[1]2020'!S93</f>
        <v>0</v>
      </c>
      <c r="T86" s="46">
        <f>'[1]2018'!T93+'[1]2019'!T93+'[1]2020'!T93</f>
        <v>0</v>
      </c>
      <c r="U86" s="46">
        <f>'[1]2018'!U93+'[1]2019'!U93+'[1]2020'!U93</f>
        <v>0</v>
      </c>
      <c r="V86" s="46">
        <f>'[1]2018'!V93+'[1]2019'!V93+'[1]2020'!V93</f>
        <v>0</v>
      </c>
      <c r="W86" s="46">
        <f>'[1]2018'!W93+'[1]2019'!W93+'[1]2020'!W93</f>
        <v>0</v>
      </c>
      <c r="X86" s="46">
        <f>'[1]2018'!X93+'[1]2019'!X93+'[1]2020'!X93</f>
        <v>0</v>
      </c>
      <c r="Y86" s="41">
        <f t="shared" si="11"/>
        <v>11</v>
      </c>
      <c r="Z86" s="11">
        <f>'[1]2018'!Z93+'[1]2019'!Z93+'[1]2020'!Z93</f>
        <v>3</v>
      </c>
      <c r="AA86" s="11">
        <f>'[1]2018'!AA93+'[1]2019'!AA93+'[1]2020'!AA93</f>
        <v>0</v>
      </c>
      <c r="AB86" s="11">
        <f>'[1]2018'!AB93+'[1]2019'!AB93+'[1]2020'!AB93</f>
        <v>11</v>
      </c>
      <c r="AC86" s="11">
        <f>'[1]2018'!AC93+'[1]2019'!AC93+'[1]2020'!AC93</f>
        <v>0</v>
      </c>
      <c r="AD86" s="11">
        <f>'[1]2018'!AD93+'[1]2019'!AD93+'[1]2020'!AD93</f>
        <v>0</v>
      </c>
      <c r="AE86" s="11">
        <f>'[1]2018'!AE93+'[1]2019'!AE93+'[1]2020'!AE93</f>
        <v>0</v>
      </c>
      <c r="AF86" s="11">
        <f>'[1]2018'!AF93+'[1]2019'!AF93+'[1]2020'!AF93</f>
        <v>11</v>
      </c>
      <c r="AG86" s="11">
        <f>'[1]2018'!AG93+'[1]2019'!AG93+'[1]2020'!AG93</f>
        <v>0</v>
      </c>
      <c r="AH86" s="11">
        <f>'[1]2018'!AH93+'[1]2019'!AH93+'[1]2020'!AH93</f>
        <v>0</v>
      </c>
      <c r="AI86" s="11">
        <f>'[1]2018'!AI93+'[1]2019'!AI93+'[1]2020'!AI93</f>
        <v>0</v>
      </c>
      <c r="AJ86" s="11">
        <f>'[1]2018'!AJ93+'[1]2019'!AJ93+'[1]2020'!AJ93</f>
        <v>0</v>
      </c>
      <c r="AK86" s="11">
        <f>'[1]2018'!AK93+'[1]2019'!AK93+'[1]2020'!AK93</f>
        <v>0</v>
      </c>
      <c r="AL86" s="11">
        <f>'[1]2018'!AL93+'[1]2019'!AL93+'[1]2020'!AL93</f>
        <v>0</v>
      </c>
      <c r="AM86" s="11">
        <f>'[1]2018'!AM93+'[1]2019'!AM93+'[1]2020'!AM93</f>
        <v>0</v>
      </c>
      <c r="AN86" s="11">
        <f>'[1]2018'!AN93+'[1]2019'!AN93+'[1]2020'!AN93</f>
        <v>0</v>
      </c>
      <c r="AO86" s="11">
        <f>'[1]2018'!AO93+'[1]2019'!AO93+'[1]2020'!AO93</f>
        <v>0</v>
      </c>
      <c r="AP86" s="11">
        <f>'[1]2018'!AP93+'[1]2019'!AP93+'[1]2020'!AP93</f>
        <v>0</v>
      </c>
      <c r="AQ86" s="11">
        <f>'[1]2018'!AQ93+'[1]2019'!AQ93+'[1]2020'!AQ93</f>
        <v>0</v>
      </c>
      <c r="AR86" s="11">
        <f>'[1]2018'!AR93+'[1]2019'!AR93+'[1]2020'!AR93</f>
        <v>0</v>
      </c>
      <c r="AS86" s="11">
        <f>'[1]2018'!AS93+'[1]2019'!AS93+'[1]2020'!AS93</f>
        <v>0</v>
      </c>
      <c r="AT86" s="11">
        <f>'[1]2018'!AT93+'[1]2019'!AT93+'[1]2020'!AT93</f>
        <v>0</v>
      </c>
      <c r="AU86" s="11">
        <f>'[1]2018'!AU93+'[1]2019'!AU93+'[1]2020'!AU93</f>
        <v>0</v>
      </c>
      <c r="AV86" s="11">
        <f>'[1]2018'!AV93+'[1]2019'!AV93+'[1]2020'!AV93</f>
        <v>0</v>
      </c>
      <c r="AW86" s="41">
        <f t="shared" si="12"/>
        <v>11</v>
      </c>
      <c r="AX86" s="14">
        <f t="shared" si="13"/>
        <v>1600</v>
      </c>
      <c r="AY86" s="2">
        <f>'[1]2018'!AX93+'[1]2019'!AX93+'[1]2020'!AX93</f>
        <v>4800</v>
      </c>
    </row>
    <row r="87" spans="1:136" x14ac:dyDescent="0.25">
      <c r="A87" s="10" t="s">
        <v>164</v>
      </c>
      <c r="B87" s="46">
        <f>'[1]2018'!B94+'[1]2019'!B94+'[1]2020'!B94</f>
        <v>0</v>
      </c>
      <c r="C87" s="46">
        <f>'[1]2018'!C94+'[1]2019'!C94+'[1]2020'!C94</f>
        <v>0</v>
      </c>
      <c r="D87" s="46">
        <f>'[1]2018'!D94+'[1]2019'!D94+'[1]2020'!D94</f>
        <v>0</v>
      </c>
      <c r="E87" s="46">
        <f>'[1]2018'!E94+'[1]2019'!E94+'[1]2020'!E94</f>
        <v>0</v>
      </c>
      <c r="F87" s="46">
        <f>'[1]2018'!F94+'[1]2019'!F94+'[1]2020'!F94</f>
        <v>0</v>
      </c>
      <c r="G87" s="46">
        <f>'[1]2018'!G94+'[1]2019'!G94+'[1]2020'!G94</f>
        <v>0</v>
      </c>
      <c r="H87" s="46">
        <f>'[1]2018'!H94+'[1]2019'!H94+'[1]2020'!H94</f>
        <v>0</v>
      </c>
      <c r="I87" s="46">
        <f>'[1]2018'!I94+'[1]2019'!I94+'[1]2020'!I94</f>
        <v>0</v>
      </c>
      <c r="J87" s="46">
        <f>'[1]2018'!J94+'[1]2019'!J94+'[1]2020'!J94</f>
        <v>0</v>
      </c>
      <c r="K87" s="46">
        <f>'[1]2018'!K94+'[1]2019'!K94+'[1]2020'!K94</f>
        <v>0</v>
      </c>
      <c r="L87" s="46">
        <f>'[1]2018'!L94+'[1]2019'!L94+'[1]2020'!L94</f>
        <v>0</v>
      </c>
      <c r="M87" s="46">
        <f>'[1]2018'!M94+'[1]2019'!M94+'[1]2020'!M94</f>
        <v>0</v>
      </c>
      <c r="N87" s="46">
        <f>'[1]2018'!N94+'[1]2019'!N94+'[1]2020'!N94</f>
        <v>0</v>
      </c>
      <c r="O87" s="46">
        <f>'[1]2018'!O94+'[1]2019'!O94+'[1]2020'!O94</f>
        <v>0</v>
      </c>
      <c r="P87" s="46">
        <f>'[1]2018'!P94+'[1]2019'!P94+'[1]2020'!P94</f>
        <v>0</v>
      </c>
      <c r="Q87" s="46">
        <f>'[1]2018'!Q94+'[1]2019'!Q94+'[1]2020'!Q94</f>
        <v>0</v>
      </c>
      <c r="R87" s="46">
        <f>'[1]2018'!R94+'[1]2019'!R94+'[1]2020'!R94</f>
        <v>0</v>
      </c>
      <c r="S87" s="46">
        <f>'[1]2018'!S94+'[1]2019'!S94+'[1]2020'!S94</f>
        <v>0</v>
      </c>
      <c r="T87" s="46">
        <f>'[1]2018'!T94+'[1]2019'!T94+'[1]2020'!T94</f>
        <v>0</v>
      </c>
      <c r="U87" s="46">
        <f>'[1]2018'!U94+'[1]2019'!U94+'[1]2020'!U94</f>
        <v>0</v>
      </c>
      <c r="V87" s="46">
        <f>'[1]2018'!V94+'[1]2019'!V94+'[1]2020'!V94</f>
        <v>0</v>
      </c>
      <c r="W87" s="46">
        <f>'[1]2018'!W94+'[1]2019'!W94+'[1]2020'!W94</f>
        <v>0</v>
      </c>
      <c r="X87" s="46">
        <f>'[1]2018'!X94+'[1]2019'!X94+'[1]2020'!X94</f>
        <v>0</v>
      </c>
      <c r="Y87" s="41">
        <f t="shared" si="11"/>
        <v>0</v>
      </c>
      <c r="Z87" s="11">
        <f>'[1]2018'!Z94+'[1]2019'!Z94+'[1]2020'!Z94</f>
        <v>0</v>
      </c>
      <c r="AA87" s="11">
        <f>'[1]2018'!AA94+'[1]2019'!AA94+'[1]2020'!AA94</f>
        <v>0</v>
      </c>
      <c r="AB87" s="11">
        <f>'[1]2018'!AB94+'[1]2019'!AB94+'[1]2020'!AB94</f>
        <v>0</v>
      </c>
      <c r="AC87" s="11">
        <f>'[1]2018'!AC94+'[1]2019'!AC94+'[1]2020'!AC94</f>
        <v>0</v>
      </c>
      <c r="AD87" s="11">
        <f>'[1]2018'!AD94+'[1]2019'!AD94+'[1]2020'!AD94</f>
        <v>0</v>
      </c>
      <c r="AE87" s="11">
        <f>'[1]2018'!AE94+'[1]2019'!AE94+'[1]2020'!AE94</f>
        <v>0</v>
      </c>
      <c r="AF87" s="11">
        <f>'[1]2018'!AF94+'[1]2019'!AF94+'[1]2020'!AF94</f>
        <v>0</v>
      </c>
      <c r="AG87" s="11">
        <f>'[1]2018'!AG94+'[1]2019'!AG94+'[1]2020'!AG94</f>
        <v>0</v>
      </c>
      <c r="AH87" s="11">
        <f>'[1]2018'!AH94+'[1]2019'!AH94+'[1]2020'!AH94</f>
        <v>0</v>
      </c>
      <c r="AI87" s="11">
        <f>'[1]2018'!AI94+'[1]2019'!AI94+'[1]2020'!AI94</f>
        <v>0</v>
      </c>
      <c r="AJ87" s="11">
        <f>'[1]2018'!AJ94+'[1]2019'!AJ94+'[1]2020'!AJ94</f>
        <v>0</v>
      </c>
      <c r="AK87" s="11">
        <f>'[1]2018'!AK94+'[1]2019'!AK94+'[1]2020'!AK94</f>
        <v>0</v>
      </c>
      <c r="AL87" s="11">
        <f>'[1]2018'!AL94+'[1]2019'!AL94+'[1]2020'!AL94</f>
        <v>0</v>
      </c>
      <c r="AM87" s="11">
        <f>'[1]2018'!AM94+'[1]2019'!AM94+'[1]2020'!AM94</f>
        <v>0</v>
      </c>
      <c r="AN87" s="11">
        <f>'[1]2018'!AN94+'[1]2019'!AN94+'[1]2020'!AN94</f>
        <v>0</v>
      </c>
      <c r="AO87" s="11">
        <f>'[1]2018'!AO94+'[1]2019'!AO94+'[1]2020'!AO94</f>
        <v>0</v>
      </c>
      <c r="AP87" s="11">
        <f>'[1]2018'!AP94+'[1]2019'!AP94+'[1]2020'!AP94</f>
        <v>0</v>
      </c>
      <c r="AQ87" s="11">
        <f>'[1]2018'!AQ94+'[1]2019'!AQ94+'[1]2020'!AQ94</f>
        <v>0</v>
      </c>
      <c r="AR87" s="11">
        <f>'[1]2018'!AR94+'[1]2019'!AR94+'[1]2020'!AR94</f>
        <v>0</v>
      </c>
      <c r="AS87" s="11">
        <f>'[1]2018'!AS94+'[1]2019'!AS94+'[1]2020'!AS94</f>
        <v>0</v>
      </c>
      <c r="AT87" s="11">
        <f>'[1]2018'!AT94+'[1]2019'!AT94+'[1]2020'!AT94</f>
        <v>0</v>
      </c>
      <c r="AU87" s="11">
        <f>'[1]2018'!AU94+'[1]2019'!AU94+'[1]2020'!AU94</f>
        <v>0</v>
      </c>
      <c r="AV87" s="11">
        <f>'[1]2018'!AV94+'[1]2019'!AV94+'[1]2020'!AV94</f>
        <v>0</v>
      </c>
      <c r="AW87" s="41">
        <f t="shared" si="12"/>
        <v>0</v>
      </c>
      <c r="AX87" s="14">
        <f t="shared" si="13"/>
        <v>0</v>
      </c>
      <c r="AY87" s="2">
        <f>'[1]2018'!AX94+'[1]2019'!AX94+'[1]2020'!AX94</f>
        <v>0</v>
      </c>
    </row>
    <row r="88" spans="1:136" x14ac:dyDescent="0.25">
      <c r="A88" s="10" t="s">
        <v>165</v>
      </c>
      <c r="B88" s="46">
        <f>'[1]2018'!B95+'[1]2019'!B95+'[1]2020'!B95</f>
        <v>28</v>
      </c>
      <c r="C88" s="46">
        <f>'[1]2018'!C95+'[1]2019'!C95+'[1]2020'!C95</f>
        <v>8</v>
      </c>
      <c r="D88" s="46">
        <f>'[1]2018'!D95+'[1]2019'!D95+'[1]2020'!D95</f>
        <v>75</v>
      </c>
      <c r="E88" s="46">
        <f>'[1]2018'!E95+'[1]2019'!E95+'[1]2020'!E95</f>
        <v>22</v>
      </c>
      <c r="F88" s="46">
        <f>'[1]2018'!F95+'[1]2019'!F95+'[1]2020'!F95</f>
        <v>0</v>
      </c>
      <c r="G88" s="46">
        <f>'[1]2018'!G95+'[1]2019'!G95+'[1]2020'!G95</f>
        <v>0</v>
      </c>
      <c r="H88" s="46">
        <f>'[1]2018'!H95+'[1]2019'!H95+'[1]2020'!H95</f>
        <v>10</v>
      </c>
      <c r="I88" s="46">
        <f>'[1]2018'!I95+'[1]2019'!I95+'[1]2020'!I95</f>
        <v>0</v>
      </c>
      <c r="J88" s="46">
        <f>'[1]2018'!J95+'[1]2019'!J95+'[1]2020'!J95</f>
        <v>8</v>
      </c>
      <c r="K88" s="46">
        <f>'[1]2018'!K95+'[1]2019'!K95+'[1]2020'!K95</f>
        <v>0</v>
      </c>
      <c r="L88" s="46">
        <f>'[1]2018'!L95+'[1]2019'!L95+'[1]2020'!L95</f>
        <v>2</v>
      </c>
      <c r="M88" s="46">
        <f>'[1]2018'!M95+'[1]2019'!M95+'[1]2020'!M95</f>
        <v>7</v>
      </c>
      <c r="N88" s="46">
        <f>'[1]2018'!N95+'[1]2019'!N95+'[1]2020'!N95</f>
        <v>0</v>
      </c>
      <c r="O88" s="46">
        <f>'[1]2018'!O95+'[1]2019'!O95+'[1]2020'!O95</f>
        <v>27</v>
      </c>
      <c r="P88" s="46">
        <f>'[1]2018'!P95+'[1]2019'!P95+'[1]2020'!P95</f>
        <v>5</v>
      </c>
      <c r="Q88" s="46">
        <f>'[1]2018'!Q95+'[1]2019'!Q95+'[1]2020'!Q95</f>
        <v>3</v>
      </c>
      <c r="R88" s="46">
        <f>'[1]2018'!R95+'[1]2019'!R95+'[1]2020'!R95</f>
        <v>0</v>
      </c>
      <c r="S88" s="46">
        <f>'[1]2018'!S95+'[1]2019'!S95+'[1]2020'!S95</f>
        <v>0</v>
      </c>
      <c r="T88" s="46">
        <f>'[1]2018'!T95+'[1]2019'!T95+'[1]2020'!T95</f>
        <v>7</v>
      </c>
      <c r="U88" s="46">
        <f>'[1]2018'!U95+'[1]2019'!U95+'[1]2020'!U95</f>
        <v>1</v>
      </c>
      <c r="V88" s="46">
        <f>'[1]2018'!V95+'[1]2019'!V95+'[1]2020'!V95</f>
        <v>2</v>
      </c>
      <c r="W88" s="46">
        <f>'[1]2018'!W95+'[1]2019'!W95+'[1]2020'!W95</f>
        <v>0</v>
      </c>
      <c r="X88" s="46">
        <f>'[1]2018'!X95+'[1]2019'!X95+'[1]2020'!X95</f>
        <v>3</v>
      </c>
      <c r="Y88" s="41">
        <f t="shared" si="11"/>
        <v>75</v>
      </c>
      <c r="Z88" s="11">
        <f>'[1]2018'!Z95+'[1]2019'!Z95+'[1]2020'!Z95</f>
        <v>23</v>
      </c>
      <c r="AA88" s="11">
        <f>'[1]2018'!AA95+'[1]2019'!AA95+'[1]2020'!AA95</f>
        <v>2</v>
      </c>
      <c r="AB88" s="11">
        <f>'[1]2018'!AB95+'[1]2019'!AB95+'[1]2020'!AB95</f>
        <v>31</v>
      </c>
      <c r="AC88" s="11">
        <f>'[1]2018'!AC95+'[1]2019'!AC95+'[1]2020'!AC95</f>
        <v>4</v>
      </c>
      <c r="AD88" s="11">
        <f>'[1]2018'!AD95+'[1]2019'!AD95+'[1]2020'!AD95</f>
        <v>0</v>
      </c>
      <c r="AE88" s="11">
        <f>'[1]2018'!AE95+'[1]2019'!AE95+'[1]2020'!AE95</f>
        <v>0</v>
      </c>
      <c r="AF88" s="11">
        <f>'[1]2018'!AF95+'[1]2019'!AF95+'[1]2020'!AF95</f>
        <v>8</v>
      </c>
      <c r="AG88" s="11">
        <f>'[1]2018'!AG95+'[1]2019'!AG95+'[1]2020'!AG95</f>
        <v>0</v>
      </c>
      <c r="AH88" s="11">
        <f>'[1]2018'!AH95+'[1]2019'!AH95+'[1]2020'!AH95</f>
        <v>2</v>
      </c>
      <c r="AI88" s="11">
        <f>'[1]2018'!AI95+'[1]2019'!AI95+'[1]2020'!AI95</f>
        <v>0</v>
      </c>
      <c r="AJ88" s="11">
        <f>'[1]2018'!AJ95+'[1]2019'!AJ95+'[1]2020'!AJ95</f>
        <v>0</v>
      </c>
      <c r="AK88" s="11">
        <f>'[1]2018'!AK95+'[1]2019'!AK95+'[1]2020'!AK95</f>
        <v>2</v>
      </c>
      <c r="AL88" s="11">
        <f>'[1]2018'!AL95+'[1]2019'!AL95+'[1]2020'!AL95</f>
        <v>0</v>
      </c>
      <c r="AM88" s="11">
        <f>'[1]2018'!AM95+'[1]2019'!AM95+'[1]2020'!AM95</f>
        <v>14</v>
      </c>
      <c r="AN88" s="11">
        <f>'[1]2018'!AN95+'[1]2019'!AN95+'[1]2020'!AN95</f>
        <v>0</v>
      </c>
      <c r="AO88" s="11">
        <f>'[1]2018'!AO95+'[1]2019'!AO95+'[1]2020'!AO95</f>
        <v>2</v>
      </c>
      <c r="AP88" s="11">
        <f>'[1]2018'!AP95+'[1]2019'!AP95+'[1]2020'!AP95</f>
        <v>0</v>
      </c>
      <c r="AQ88" s="11">
        <f>'[1]2018'!AQ95+'[1]2019'!AQ95+'[1]2020'!AQ95</f>
        <v>0</v>
      </c>
      <c r="AR88" s="11">
        <f>'[1]2018'!AR95+'[1]2019'!AR95+'[1]2020'!AR95</f>
        <v>3</v>
      </c>
      <c r="AS88" s="11">
        <f>'[1]2018'!AS95+'[1]2019'!AS95+'[1]2020'!AS95</f>
        <v>0</v>
      </c>
      <c r="AT88" s="11">
        <f>'[1]2018'!AT95+'[1]2019'!AT95+'[1]2020'!AT95</f>
        <v>0</v>
      </c>
      <c r="AU88" s="11">
        <f>'[1]2018'!AU95+'[1]2019'!AU95+'[1]2020'!AU95</f>
        <v>0</v>
      </c>
      <c r="AV88" s="11">
        <f>'[1]2018'!AV95+'[1]2019'!AV95+'[1]2020'!AV95</f>
        <v>0</v>
      </c>
      <c r="AW88" s="41">
        <f t="shared" si="12"/>
        <v>31</v>
      </c>
      <c r="AX88" s="14">
        <f t="shared" si="13"/>
        <v>4097.3900000000003</v>
      </c>
      <c r="AY88" s="2">
        <f>'[1]2018'!AX95+'[1]2019'!AX95+'[1]2020'!AX95</f>
        <v>12292.17</v>
      </c>
    </row>
    <row r="89" spans="1:136" s="13" customFormat="1" x14ac:dyDescent="0.25">
      <c r="A89" s="10" t="s">
        <v>166</v>
      </c>
      <c r="B89" s="46">
        <f>'[1]2018'!B96+'[1]2019'!B96+'[1]2020'!B96</f>
        <v>27</v>
      </c>
      <c r="C89" s="46">
        <f>'[1]2018'!C96+'[1]2019'!C96+'[1]2020'!C96</f>
        <v>0</v>
      </c>
      <c r="D89" s="46">
        <f>'[1]2018'!D96+'[1]2019'!D96+'[1]2020'!D96</f>
        <v>38</v>
      </c>
      <c r="E89" s="46">
        <f>'[1]2018'!E96+'[1]2019'!E96+'[1]2020'!E96</f>
        <v>0</v>
      </c>
      <c r="F89" s="46">
        <f>'[1]2018'!F96+'[1]2019'!F96+'[1]2020'!F96</f>
        <v>0</v>
      </c>
      <c r="G89" s="46">
        <f>'[1]2018'!G96+'[1]2019'!G96+'[1]2020'!G96</f>
        <v>0</v>
      </c>
      <c r="H89" s="46">
        <f>'[1]2018'!H96+'[1]2019'!H96+'[1]2020'!H96</f>
        <v>0</v>
      </c>
      <c r="I89" s="46">
        <f>'[1]2018'!I96+'[1]2019'!I96+'[1]2020'!I96</f>
        <v>0</v>
      </c>
      <c r="J89" s="46">
        <f>'[1]2018'!J96+'[1]2019'!J96+'[1]2020'!J96</f>
        <v>0</v>
      </c>
      <c r="K89" s="46">
        <f>'[1]2018'!K96+'[1]2019'!K96+'[1]2020'!K96</f>
        <v>0</v>
      </c>
      <c r="L89" s="46">
        <f>'[1]2018'!L96+'[1]2019'!L96+'[1]2020'!L96</f>
        <v>29</v>
      </c>
      <c r="M89" s="46">
        <f>'[1]2018'!M96+'[1]2019'!M96+'[1]2020'!M96</f>
        <v>0</v>
      </c>
      <c r="N89" s="46">
        <f>'[1]2018'!N96+'[1]2019'!N96+'[1]2020'!N96</f>
        <v>0</v>
      </c>
      <c r="O89" s="46">
        <f>'[1]2018'!O96+'[1]2019'!O96+'[1]2020'!O96</f>
        <v>2</v>
      </c>
      <c r="P89" s="46">
        <f>'[1]2018'!P96+'[1]2019'!P96+'[1]2020'!P96</f>
        <v>0</v>
      </c>
      <c r="Q89" s="46">
        <f>'[1]2018'!Q96+'[1]2019'!Q96+'[1]2020'!Q96</f>
        <v>2</v>
      </c>
      <c r="R89" s="46">
        <f>'[1]2018'!R96+'[1]2019'!R96+'[1]2020'!R96</f>
        <v>1</v>
      </c>
      <c r="S89" s="46">
        <f>'[1]2018'!S96+'[1]2019'!S96+'[1]2020'!S96</f>
        <v>0</v>
      </c>
      <c r="T89" s="46">
        <f>'[1]2018'!T96+'[1]2019'!T96+'[1]2020'!T96</f>
        <v>0</v>
      </c>
      <c r="U89" s="46">
        <f>'[1]2018'!U96+'[1]2019'!U96+'[1]2020'!U96</f>
        <v>0</v>
      </c>
      <c r="V89" s="46">
        <f>'[1]2018'!V96+'[1]2019'!V96+'[1]2020'!V96</f>
        <v>0</v>
      </c>
      <c r="W89" s="46">
        <f>'[1]2018'!W96+'[1]2019'!W96+'[1]2020'!W96</f>
        <v>0</v>
      </c>
      <c r="X89" s="46">
        <f>'[1]2018'!X96+'[1]2019'!X96+'[1]2020'!X96</f>
        <v>4</v>
      </c>
      <c r="Y89" s="41">
        <f t="shared" si="11"/>
        <v>38</v>
      </c>
      <c r="Z89" s="11">
        <f>'[1]2018'!Z96+'[1]2019'!Z96+'[1]2020'!Z96</f>
        <v>29</v>
      </c>
      <c r="AA89" s="11">
        <f>'[1]2018'!AA96+'[1]2019'!AA96+'[1]2020'!AA96</f>
        <v>0</v>
      </c>
      <c r="AB89" s="11">
        <f>'[1]2018'!AB96+'[1]2019'!AB96+'[1]2020'!AB96</f>
        <v>19</v>
      </c>
      <c r="AC89" s="11">
        <f>'[1]2018'!AC96+'[1]2019'!AC96+'[1]2020'!AC96</f>
        <v>0</v>
      </c>
      <c r="AD89" s="11">
        <f>'[1]2018'!AD96+'[1]2019'!AD96+'[1]2020'!AD96</f>
        <v>0</v>
      </c>
      <c r="AE89" s="11">
        <f>'[1]2018'!AE96+'[1]2019'!AE96+'[1]2020'!AE96</f>
        <v>0</v>
      </c>
      <c r="AF89" s="11">
        <f>'[1]2018'!AF96+'[1]2019'!AF96+'[1]2020'!AF96</f>
        <v>0</v>
      </c>
      <c r="AG89" s="11">
        <f>'[1]2018'!AG96+'[1]2019'!AG96+'[1]2020'!AG96</f>
        <v>0</v>
      </c>
      <c r="AH89" s="11">
        <f>'[1]2018'!AH96+'[1]2019'!AH96+'[1]2020'!AH96</f>
        <v>0</v>
      </c>
      <c r="AI89" s="11">
        <f>'[1]2018'!AI96+'[1]2019'!AI96+'[1]2020'!AI96</f>
        <v>0</v>
      </c>
      <c r="AJ89" s="11">
        <f>'[1]2018'!AJ96+'[1]2019'!AJ96+'[1]2020'!AJ96</f>
        <v>16</v>
      </c>
      <c r="AK89" s="11">
        <f>'[1]2018'!AK96+'[1]2019'!AK96+'[1]2020'!AK96</f>
        <v>0</v>
      </c>
      <c r="AL89" s="11">
        <f>'[1]2018'!AL96+'[1]2019'!AL96+'[1]2020'!AL96</f>
        <v>0</v>
      </c>
      <c r="AM89" s="11">
        <f>'[1]2018'!AM96+'[1]2019'!AM96+'[1]2020'!AM96</f>
        <v>2</v>
      </c>
      <c r="AN89" s="11">
        <f>'[1]2018'!AN96+'[1]2019'!AN96+'[1]2020'!AN96</f>
        <v>0</v>
      </c>
      <c r="AO89" s="11">
        <f>'[1]2018'!AO96+'[1]2019'!AO96+'[1]2020'!AO96</f>
        <v>0</v>
      </c>
      <c r="AP89" s="11">
        <f>'[1]2018'!AP96+'[1]2019'!AP96+'[1]2020'!AP96</f>
        <v>0</v>
      </c>
      <c r="AQ89" s="11">
        <f>'[1]2018'!AQ96+'[1]2019'!AQ96+'[1]2020'!AQ96</f>
        <v>0</v>
      </c>
      <c r="AR89" s="11">
        <f>'[1]2018'!AR96+'[1]2019'!AR96+'[1]2020'!AR96</f>
        <v>0</v>
      </c>
      <c r="AS89" s="11">
        <f>'[1]2018'!AS96+'[1]2019'!AS96+'[1]2020'!AS96</f>
        <v>0</v>
      </c>
      <c r="AT89" s="11">
        <f>'[1]2018'!AT96+'[1]2019'!AT96+'[1]2020'!AT96</f>
        <v>0</v>
      </c>
      <c r="AU89" s="11">
        <f>'[1]2018'!AU96+'[1]2019'!AU96+'[1]2020'!AU96</f>
        <v>0</v>
      </c>
      <c r="AV89" s="11">
        <f>'[1]2018'!AV96+'[1]2019'!AV96+'[1]2020'!AV96</f>
        <v>1</v>
      </c>
      <c r="AW89" s="41">
        <f t="shared" si="12"/>
        <v>19</v>
      </c>
      <c r="AX89" s="14">
        <f t="shared" si="13"/>
        <v>4854.9690476190472</v>
      </c>
      <c r="AY89" s="2">
        <f>'[1]2018'!AX96+'[1]2019'!AX96+'[1]2020'!AX96</f>
        <v>14564.907142857142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</row>
    <row r="90" spans="1:136" x14ac:dyDescent="0.25">
      <c r="A90" s="10" t="s">
        <v>167</v>
      </c>
      <c r="B90" s="46">
        <f>'[1]2018'!B97+'[1]2019'!B97+'[1]2020'!B97</f>
        <v>11</v>
      </c>
      <c r="C90" s="46">
        <f>'[1]2018'!C97+'[1]2019'!C97+'[1]2020'!C97</f>
        <v>1</v>
      </c>
      <c r="D90" s="46">
        <f>'[1]2018'!D97+'[1]2019'!D97+'[1]2020'!D97</f>
        <v>16</v>
      </c>
      <c r="E90" s="46">
        <f>'[1]2018'!E97+'[1]2019'!E97+'[1]2020'!E97</f>
        <v>1</v>
      </c>
      <c r="F90" s="46">
        <f>'[1]2018'!F97+'[1]2019'!F97+'[1]2020'!F97</f>
        <v>0</v>
      </c>
      <c r="G90" s="46">
        <f>'[1]2018'!G97+'[1]2019'!G97+'[1]2020'!G97</f>
        <v>0</v>
      </c>
      <c r="H90" s="46">
        <f>'[1]2018'!H97+'[1]2019'!H97+'[1]2020'!H97</f>
        <v>0</v>
      </c>
      <c r="I90" s="46">
        <f>'[1]2018'!I97+'[1]2019'!I97+'[1]2020'!I97</f>
        <v>0</v>
      </c>
      <c r="J90" s="46">
        <f>'[1]2018'!J97+'[1]2019'!J97+'[1]2020'!J97</f>
        <v>0</v>
      </c>
      <c r="K90" s="46">
        <f>'[1]2018'!K97+'[1]2019'!K97+'[1]2020'!K97</f>
        <v>0</v>
      </c>
      <c r="L90" s="46">
        <f>'[1]2018'!L97+'[1]2019'!L97+'[1]2020'!L97</f>
        <v>7</v>
      </c>
      <c r="M90" s="46">
        <f>'[1]2018'!M97+'[1]2019'!M97+'[1]2020'!M97</f>
        <v>0</v>
      </c>
      <c r="N90" s="46">
        <f>'[1]2018'!N97+'[1]2019'!N97+'[1]2020'!N97</f>
        <v>2</v>
      </c>
      <c r="O90" s="46">
        <f>'[1]2018'!O97+'[1]2019'!O97+'[1]2020'!O97</f>
        <v>0</v>
      </c>
      <c r="P90" s="46">
        <f>'[1]2018'!P97+'[1]2019'!P97+'[1]2020'!P97</f>
        <v>0</v>
      </c>
      <c r="Q90" s="46">
        <f>'[1]2018'!Q97+'[1]2019'!Q97+'[1]2020'!Q97</f>
        <v>0</v>
      </c>
      <c r="R90" s="46">
        <f>'[1]2018'!R97+'[1]2019'!R97+'[1]2020'!R97</f>
        <v>0</v>
      </c>
      <c r="S90" s="46">
        <f>'[1]2018'!S97+'[1]2019'!S97+'[1]2020'!S97</f>
        <v>6</v>
      </c>
      <c r="T90" s="46">
        <f>'[1]2018'!T97+'[1]2019'!T97+'[1]2020'!T97</f>
        <v>0</v>
      </c>
      <c r="U90" s="46">
        <f>'[1]2018'!U97+'[1]2019'!U97+'[1]2020'!U97</f>
        <v>1</v>
      </c>
      <c r="V90" s="46">
        <f>'[1]2018'!V97+'[1]2019'!V97+'[1]2020'!V97</f>
        <v>0</v>
      </c>
      <c r="W90" s="46">
        <f>'[1]2018'!W97+'[1]2019'!W97+'[1]2020'!W97</f>
        <v>0</v>
      </c>
      <c r="X90" s="46">
        <f>'[1]2018'!X97+'[1]2019'!X97+'[1]2020'!X97</f>
        <v>0</v>
      </c>
      <c r="Y90" s="41">
        <f t="shared" si="11"/>
        <v>16</v>
      </c>
      <c r="Z90" s="11">
        <f>'[1]2018'!Z97+'[1]2019'!Z97+'[1]2020'!Z97</f>
        <v>6</v>
      </c>
      <c r="AA90" s="11">
        <f>'[1]2018'!AA97+'[1]2019'!AA97+'[1]2020'!AA97</f>
        <v>0</v>
      </c>
      <c r="AB90" s="11">
        <f>'[1]2018'!AB97+'[1]2019'!AB97+'[1]2020'!AB97</f>
        <v>9</v>
      </c>
      <c r="AC90" s="11">
        <f>'[1]2018'!AC97+'[1]2019'!AC97+'[1]2020'!AC97</f>
        <v>0</v>
      </c>
      <c r="AD90" s="11">
        <f>'[1]2018'!AD97+'[1]2019'!AD97+'[1]2020'!AD97</f>
        <v>0</v>
      </c>
      <c r="AE90" s="11">
        <f>'[1]2018'!AE97+'[1]2019'!AE97+'[1]2020'!AE97</f>
        <v>0</v>
      </c>
      <c r="AF90" s="11">
        <f>'[1]2018'!AF97+'[1]2019'!AF97+'[1]2020'!AF97</f>
        <v>0</v>
      </c>
      <c r="AG90" s="11">
        <f>'[1]2018'!AG97+'[1]2019'!AG97+'[1]2020'!AG97</f>
        <v>0</v>
      </c>
      <c r="AH90" s="11">
        <f>'[1]2018'!AH97+'[1]2019'!AH97+'[1]2020'!AH97</f>
        <v>0</v>
      </c>
      <c r="AI90" s="11">
        <f>'[1]2018'!AI97+'[1]2019'!AI97+'[1]2020'!AI97</f>
        <v>0</v>
      </c>
      <c r="AJ90" s="11">
        <f>'[1]2018'!AJ97+'[1]2019'!AJ97+'[1]2020'!AJ97</f>
        <v>5</v>
      </c>
      <c r="AK90" s="11">
        <f>'[1]2018'!AK97+'[1]2019'!AK97+'[1]2020'!AK97</f>
        <v>0</v>
      </c>
      <c r="AL90" s="11">
        <f>'[1]2018'!AL97+'[1]2019'!AL97+'[1]2020'!AL97</f>
        <v>2</v>
      </c>
      <c r="AM90" s="11">
        <f>'[1]2018'!AM97+'[1]2019'!AM97+'[1]2020'!AM97</f>
        <v>0</v>
      </c>
      <c r="AN90" s="11">
        <f>'[1]2018'!AN97+'[1]2019'!AN97+'[1]2020'!AN97</f>
        <v>0</v>
      </c>
      <c r="AO90" s="11">
        <f>'[1]2018'!AO97+'[1]2019'!AO97+'[1]2020'!AO97</f>
        <v>0</v>
      </c>
      <c r="AP90" s="11">
        <f>'[1]2018'!AP97+'[1]2019'!AP97+'[1]2020'!AP97</f>
        <v>2</v>
      </c>
      <c r="AQ90" s="11">
        <f>'[1]2018'!AQ97+'[1]2019'!AQ97+'[1]2020'!AQ97</f>
        <v>0</v>
      </c>
      <c r="AR90" s="11">
        <f>'[1]2018'!AR97+'[1]2019'!AR97+'[1]2020'!AR97</f>
        <v>0</v>
      </c>
      <c r="AS90" s="11">
        <f>'[1]2018'!AS97+'[1]2019'!AS97+'[1]2020'!AS97</f>
        <v>0</v>
      </c>
      <c r="AT90" s="11">
        <f>'[1]2018'!AT97+'[1]2019'!AT97+'[1]2020'!AT97</f>
        <v>0</v>
      </c>
      <c r="AU90" s="11">
        <f>'[1]2018'!AU97+'[1]2019'!AU97+'[1]2020'!AU97</f>
        <v>0</v>
      </c>
      <c r="AV90" s="11">
        <f>'[1]2018'!AV97+'[1]2019'!AV97+'[1]2020'!AV97</f>
        <v>0</v>
      </c>
      <c r="AW90" s="41">
        <f t="shared" si="12"/>
        <v>9</v>
      </c>
      <c r="AX90" s="14">
        <f t="shared" si="13"/>
        <v>3665.6666666666665</v>
      </c>
      <c r="AY90" s="2">
        <f>'[1]2018'!AX97+'[1]2019'!AX97+'[1]2020'!AX97</f>
        <v>10997</v>
      </c>
    </row>
    <row r="91" spans="1:136" x14ac:dyDescent="0.25">
      <c r="A91" s="10" t="s">
        <v>168</v>
      </c>
      <c r="B91" s="46">
        <f>'[1]2018'!B98+'[1]2019'!B98+'[1]2020'!B98</f>
        <v>8</v>
      </c>
      <c r="C91" s="46">
        <f>'[1]2018'!C98+'[1]2019'!C98+'[1]2020'!C98</f>
        <v>0</v>
      </c>
      <c r="D91" s="46">
        <f>'[1]2018'!D98+'[1]2019'!D98+'[1]2020'!D98</f>
        <v>27</v>
      </c>
      <c r="E91" s="46">
        <f>'[1]2018'!E98+'[1]2019'!E98+'[1]2020'!E98</f>
        <v>0</v>
      </c>
      <c r="F91" s="46">
        <f>'[1]2018'!F98+'[1]2019'!F98+'[1]2020'!F98</f>
        <v>0</v>
      </c>
      <c r="G91" s="46">
        <f>'[1]2018'!G98+'[1]2019'!G98+'[1]2020'!G98</f>
        <v>0</v>
      </c>
      <c r="H91" s="46">
        <f>'[1]2018'!H98+'[1]2019'!H98+'[1]2020'!H98</f>
        <v>20</v>
      </c>
      <c r="I91" s="46">
        <f>'[1]2018'!I98+'[1]2019'!I98+'[1]2020'!I98</f>
        <v>0</v>
      </c>
      <c r="J91" s="46">
        <f>'[1]2018'!J98+'[1]2019'!J98+'[1]2020'!J98</f>
        <v>0</v>
      </c>
      <c r="K91" s="46">
        <f>'[1]2018'!K98+'[1]2019'!K98+'[1]2020'!K98</f>
        <v>0</v>
      </c>
      <c r="L91" s="46">
        <f>'[1]2018'!L98+'[1]2019'!L98+'[1]2020'!L98</f>
        <v>3</v>
      </c>
      <c r="M91" s="46">
        <f>'[1]2018'!M98+'[1]2019'!M98+'[1]2020'!M98</f>
        <v>4</v>
      </c>
      <c r="N91" s="46">
        <f>'[1]2018'!N98+'[1]2019'!N98+'[1]2020'!N98</f>
        <v>0</v>
      </c>
      <c r="O91" s="46">
        <f>'[1]2018'!O98+'[1]2019'!O98+'[1]2020'!O98</f>
        <v>0</v>
      </c>
      <c r="P91" s="46">
        <f>'[1]2018'!P98+'[1]2019'!P98+'[1]2020'!P98</f>
        <v>0</v>
      </c>
      <c r="Q91" s="46">
        <f>'[1]2018'!Q98+'[1]2019'!Q98+'[1]2020'!Q98</f>
        <v>0</v>
      </c>
      <c r="R91" s="46">
        <f>'[1]2018'!R98+'[1]2019'!R98+'[1]2020'!R98</f>
        <v>0</v>
      </c>
      <c r="S91" s="46">
        <f>'[1]2018'!S98+'[1]2019'!S98+'[1]2020'!S98</f>
        <v>0</v>
      </c>
      <c r="T91" s="46">
        <f>'[1]2018'!T98+'[1]2019'!T98+'[1]2020'!T98</f>
        <v>0</v>
      </c>
      <c r="U91" s="46">
        <f>'[1]2018'!U98+'[1]2019'!U98+'[1]2020'!U98</f>
        <v>0</v>
      </c>
      <c r="V91" s="46">
        <f>'[1]2018'!V98+'[1]2019'!V98+'[1]2020'!V98</f>
        <v>0</v>
      </c>
      <c r="W91" s="46">
        <f>'[1]2018'!W98+'[1]2019'!W98+'[1]2020'!W98</f>
        <v>0</v>
      </c>
      <c r="X91" s="46">
        <f>'[1]2018'!X98+'[1]2019'!X98+'[1]2020'!X98</f>
        <v>0</v>
      </c>
      <c r="Y91" s="41">
        <f t="shared" si="11"/>
        <v>27</v>
      </c>
      <c r="Z91" s="11">
        <f>'[1]2018'!Z98+'[1]2019'!Z98+'[1]2020'!Z98</f>
        <v>8</v>
      </c>
      <c r="AA91" s="11">
        <f>'[1]2018'!AA98+'[1]2019'!AA98+'[1]2020'!AA98</f>
        <v>0</v>
      </c>
      <c r="AB91" s="11">
        <f>'[1]2018'!AB98+'[1]2019'!AB98+'[1]2020'!AB98</f>
        <v>27</v>
      </c>
      <c r="AC91" s="11">
        <f>'[1]2018'!AC98+'[1]2019'!AC98+'[1]2020'!AC98</f>
        <v>0</v>
      </c>
      <c r="AD91" s="11">
        <f>'[1]2018'!AD98+'[1]2019'!AD98+'[1]2020'!AD98</f>
        <v>0</v>
      </c>
      <c r="AE91" s="11">
        <f>'[1]2018'!AE98+'[1]2019'!AE98+'[1]2020'!AE98</f>
        <v>0</v>
      </c>
      <c r="AF91" s="11">
        <f>'[1]2018'!AF98+'[1]2019'!AF98+'[1]2020'!AF98</f>
        <v>20</v>
      </c>
      <c r="AG91" s="11">
        <f>'[1]2018'!AG98+'[1]2019'!AG98+'[1]2020'!AG98</f>
        <v>0</v>
      </c>
      <c r="AH91" s="11">
        <f>'[1]2018'!AH98+'[1]2019'!AH98+'[1]2020'!AH98</f>
        <v>0</v>
      </c>
      <c r="AI91" s="11">
        <f>'[1]2018'!AI98+'[1]2019'!AI98+'[1]2020'!AI98</f>
        <v>0</v>
      </c>
      <c r="AJ91" s="11">
        <f>'[1]2018'!AJ98+'[1]2019'!AJ98+'[1]2020'!AJ98</f>
        <v>3</v>
      </c>
      <c r="AK91" s="11">
        <f>'[1]2018'!AK98+'[1]2019'!AK98+'[1]2020'!AK98</f>
        <v>4</v>
      </c>
      <c r="AL91" s="11">
        <f>'[1]2018'!AL98+'[1]2019'!AL98+'[1]2020'!AL98</f>
        <v>0</v>
      </c>
      <c r="AM91" s="11">
        <f>'[1]2018'!AM98+'[1]2019'!AM98+'[1]2020'!AM98</f>
        <v>0</v>
      </c>
      <c r="AN91" s="11">
        <f>'[1]2018'!AN98+'[1]2019'!AN98+'[1]2020'!AN98</f>
        <v>0</v>
      </c>
      <c r="AO91" s="11">
        <f>'[1]2018'!AO98+'[1]2019'!AO98+'[1]2020'!AO98</f>
        <v>0</v>
      </c>
      <c r="AP91" s="11">
        <f>'[1]2018'!AP98+'[1]2019'!AP98+'[1]2020'!AP98</f>
        <v>0</v>
      </c>
      <c r="AQ91" s="11">
        <f>'[1]2018'!AQ98+'[1]2019'!AQ98+'[1]2020'!AQ98</f>
        <v>0</v>
      </c>
      <c r="AR91" s="11">
        <f>'[1]2018'!AR98+'[1]2019'!AR98+'[1]2020'!AR98</f>
        <v>0</v>
      </c>
      <c r="AS91" s="11">
        <f>'[1]2018'!AS98+'[1]2019'!AS98+'[1]2020'!AS98</f>
        <v>0</v>
      </c>
      <c r="AT91" s="11">
        <f>'[1]2018'!AT98+'[1]2019'!AT98+'[1]2020'!AT98</f>
        <v>0</v>
      </c>
      <c r="AU91" s="11">
        <f>'[1]2018'!AU98+'[1]2019'!AU98+'[1]2020'!AU98</f>
        <v>0</v>
      </c>
      <c r="AV91" s="11">
        <f>'[1]2018'!AV98+'[1]2019'!AV98+'[1]2020'!AV98</f>
        <v>0</v>
      </c>
      <c r="AW91" s="41">
        <f t="shared" si="12"/>
        <v>27</v>
      </c>
      <c r="AX91" s="14">
        <f t="shared" si="13"/>
        <v>2646.2166666666667</v>
      </c>
      <c r="AY91" s="2">
        <f>'[1]2018'!AX98+'[1]2019'!AX98+'[1]2020'!AX98</f>
        <v>7938.65</v>
      </c>
    </row>
    <row r="92" spans="1:136" x14ac:dyDescent="0.25">
      <c r="A92" s="10" t="s">
        <v>169</v>
      </c>
      <c r="B92" s="46">
        <f>'[1]2018'!B99+'[1]2019'!B99+'[1]2020'!B99</f>
        <v>5</v>
      </c>
      <c r="C92" s="46">
        <f>'[1]2018'!C99+'[1]2019'!C99+'[1]2020'!C99</f>
        <v>3</v>
      </c>
      <c r="D92" s="46">
        <f>'[1]2018'!D99+'[1]2019'!D99+'[1]2020'!D99</f>
        <v>96</v>
      </c>
      <c r="E92" s="46">
        <f>'[1]2018'!E99+'[1]2019'!E99+'[1]2020'!E99</f>
        <v>77</v>
      </c>
      <c r="F92" s="46">
        <f>'[1]2018'!F99+'[1]2019'!F99+'[1]2020'!F99</f>
        <v>0</v>
      </c>
      <c r="G92" s="46">
        <f>'[1]2018'!G99+'[1]2019'!G99+'[1]2020'!G99</f>
        <v>0</v>
      </c>
      <c r="H92" s="46">
        <f>'[1]2018'!H99+'[1]2019'!H99+'[1]2020'!H99</f>
        <v>0</v>
      </c>
      <c r="I92" s="46">
        <f>'[1]2018'!I99+'[1]2019'!I99+'[1]2020'!I99</f>
        <v>0</v>
      </c>
      <c r="J92" s="46">
        <f>'[1]2018'!J99+'[1]2019'!J99+'[1]2020'!J99</f>
        <v>0</v>
      </c>
      <c r="K92" s="46">
        <f>'[1]2018'!K99+'[1]2019'!K99+'[1]2020'!K99</f>
        <v>0</v>
      </c>
      <c r="L92" s="46">
        <f>'[1]2018'!L99+'[1]2019'!L99+'[1]2020'!L99</f>
        <v>10</v>
      </c>
      <c r="M92" s="46">
        <f>'[1]2018'!M99+'[1]2019'!M99+'[1]2020'!M99</f>
        <v>0</v>
      </c>
      <c r="N92" s="46">
        <f>'[1]2018'!N99+'[1]2019'!N99+'[1]2020'!N99</f>
        <v>0</v>
      </c>
      <c r="O92" s="46">
        <f>'[1]2018'!O99+'[1]2019'!O99+'[1]2020'!O99</f>
        <v>9</v>
      </c>
      <c r="P92" s="46">
        <f>'[1]2018'!P99+'[1]2019'!P99+'[1]2020'!P99</f>
        <v>0</v>
      </c>
      <c r="Q92" s="46">
        <f>'[1]2018'!Q99+'[1]2019'!Q99+'[1]2020'!Q99</f>
        <v>0</v>
      </c>
      <c r="R92" s="46">
        <f>'[1]2018'!R99+'[1]2019'!R99+'[1]2020'!R99</f>
        <v>0</v>
      </c>
      <c r="S92" s="46">
        <f>'[1]2018'!S99+'[1]2019'!S99+'[1]2020'!S99</f>
        <v>0</v>
      </c>
      <c r="T92" s="46">
        <f>'[1]2018'!T99+'[1]2019'!T99+'[1]2020'!T99</f>
        <v>77</v>
      </c>
      <c r="U92" s="46">
        <f>'[1]2018'!U99+'[1]2019'!U99+'[1]2020'!U99</f>
        <v>0</v>
      </c>
      <c r="V92" s="46">
        <f>'[1]2018'!V99+'[1]2019'!V99+'[1]2020'!V99</f>
        <v>0</v>
      </c>
      <c r="W92" s="46">
        <f>'[1]2018'!W99+'[1]2019'!W99+'[1]2020'!W99</f>
        <v>0</v>
      </c>
      <c r="X92" s="46">
        <f>'[1]2018'!X99+'[1]2019'!X99+'[1]2020'!X99</f>
        <v>0</v>
      </c>
      <c r="Y92" s="41">
        <f t="shared" si="11"/>
        <v>96</v>
      </c>
      <c r="Z92" s="11">
        <f>'[1]2018'!Z99+'[1]2019'!Z99+'[1]2020'!Z99</f>
        <v>4</v>
      </c>
      <c r="AA92" s="11">
        <f>'[1]2018'!AA99+'[1]2019'!AA99+'[1]2020'!AA99</f>
        <v>2</v>
      </c>
      <c r="AB92" s="11">
        <f>'[1]2018'!AB99+'[1]2019'!AB99+'[1]2020'!AB99</f>
        <v>75</v>
      </c>
      <c r="AC92" s="11">
        <f>'[1]2018'!AC99+'[1]2019'!AC99+'[1]2020'!AC99</f>
        <v>58</v>
      </c>
      <c r="AD92" s="11">
        <f>'[1]2018'!AD99+'[1]2019'!AD99+'[1]2020'!AD99</f>
        <v>0</v>
      </c>
      <c r="AE92" s="11">
        <f>'[1]2018'!AE99+'[1]2019'!AE99+'[1]2020'!AE99</f>
        <v>0</v>
      </c>
      <c r="AF92" s="11">
        <f>'[1]2018'!AF99+'[1]2019'!AF99+'[1]2020'!AF99</f>
        <v>0</v>
      </c>
      <c r="AG92" s="11">
        <f>'[1]2018'!AG99+'[1]2019'!AG99+'[1]2020'!AG99</f>
        <v>0</v>
      </c>
      <c r="AH92" s="11">
        <f>'[1]2018'!AH99+'[1]2019'!AH99+'[1]2020'!AH99</f>
        <v>0</v>
      </c>
      <c r="AI92" s="11">
        <f>'[1]2018'!AI99+'[1]2019'!AI99+'[1]2020'!AI99</f>
        <v>0</v>
      </c>
      <c r="AJ92" s="11">
        <f>'[1]2018'!AJ99+'[1]2019'!AJ99+'[1]2020'!AJ99</f>
        <v>9</v>
      </c>
      <c r="AK92" s="11">
        <f>'[1]2018'!AK99+'[1]2019'!AK99+'[1]2020'!AK99</f>
        <v>0</v>
      </c>
      <c r="AL92" s="11">
        <f>'[1]2018'!AL99+'[1]2019'!AL99+'[1]2020'!AL99</f>
        <v>0</v>
      </c>
      <c r="AM92" s="11">
        <f>'[1]2018'!AM99+'[1]2019'!AM99+'[1]2020'!AM99</f>
        <v>8</v>
      </c>
      <c r="AN92" s="11">
        <f>'[1]2018'!AN99+'[1]2019'!AN99+'[1]2020'!AN99</f>
        <v>0</v>
      </c>
      <c r="AO92" s="11">
        <f>'[1]2018'!AO99+'[1]2019'!AO99+'[1]2020'!AO99</f>
        <v>0</v>
      </c>
      <c r="AP92" s="11">
        <f>'[1]2018'!AP99+'[1]2019'!AP99+'[1]2020'!AP99</f>
        <v>0</v>
      </c>
      <c r="AQ92" s="11">
        <f>'[1]2018'!AQ99+'[1]2019'!AQ99+'[1]2020'!AQ99</f>
        <v>0</v>
      </c>
      <c r="AR92" s="11">
        <f>'[1]2018'!AR99+'[1]2019'!AR99+'[1]2020'!AR99</f>
        <v>58</v>
      </c>
      <c r="AS92" s="11">
        <f>'[1]2018'!AS99+'[1]2019'!AS99+'[1]2020'!AS99</f>
        <v>0</v>
      </c>
      <c r="AT92" s="11">
        <f>'[1]2018'!AT99+'[1]2019'!AT99+'[1]2020'!AT99</f>
        <v>0</v>
      </c>
      <c r="AU92" s="11">
        <f>'[1]2018'!AU99+'[1]2019'!AU99+'[1]2020'!AU99</f>
        <v>0</v>
      </c>
      <c r="AV92" s="11">
        <f>'[1]2018'!AV99+'[1]2019'!AV99+'[1]2020'!AV99</f>
        <v>0</v>
      </c>
      <c r="AW92" s="41">
        <f t="shared" si="12"/>
        <v>75</v>
      </c>
      <c r="AX92" s="14">
        <f t="shared" si="13"/>
        <v>406.07499999999999</v>
      </c>
      <c r="AY92" s="2">
        <f>'[1]2018'!AX99+'[1]2019'!AX99+'[1]2020'!AX99</f>
        <v>1218.2249999999999</v>
      </c>
    </row>
    <row r="93" spans="1:136" x14ac:dyDescent="0.25">
      <c r="A93" s="10" t="s">
        <v>170</v>
      </c>
      <c r="B93" s="46">
        <f>'[1]2018'!B100+'[1]2019'!B100+'[1]2020'!B100</f>
        <v>2</v>
      </c>
      <c r="C93" s="46">
        <f>'[1]2018'!C100+'[1]2019'!C100+'[1]2020'!C100</f>
        <v>2</v>
      </c>
      <c r="D93" s="46">
        <f>'[1]2018'!D100+'[1]2019'!D100+'[1]2020'!D100</f>
        <v>2</v>
      </c>
      <c r="E93" s="46">
        <f>'[1]2018'!E100+'[1]2019'!E100+'[1]2020'!E100</f>
        <v>2</v>
      </c>
      <c r="F93" s="46">
        <f>'[1]2018'!F100+'[1]2019'!F100+'[1]2020'!F100</f>
        <v>0</v>
      </c>
      <c r="G93" s="46">
        <f>'[1]2018'!G100+'[1]2019'!G100+'[1]2020'!G100</f>
        <v>0</v>
      </c>
      <c r="H93" s="46">
        <f>'[1]2018'!H100+'[1]2019'!H100+'[1]2020'!H100</f>
        <v>0</v>
      </c>
      <c r="I93" s="46">
        <f>'[1]2018'!I100+'[1]2019'!I100+'[1]2020'!I100</f>
        <v>0</v>
      </c>
      <c r="J93" s="46">
        <f>'[1]2018'!J100+'[1]2019'!J100+'[1]2020'!J100</f>
        <v>0</v>
      </c>
      <c r="K93" s="46">
        <f>'[1]2018'!K100+'[1]2019'!K100+'[1]2020'!K100</f>
        <v>0</v>
      </c>
      <c r="L93" s="46">
        <f>'[1]2018'!L100+'[1]2019'!L100+'[1]2020'!L100</f>
        <v>0</v>
      </c>
      <c r="M93" s="46">
        <f>'[1]2018'!M100+'[1]2019'!M100+'[1]2020'!M100</f>
        <v>0</v>
      </c>
      <c r="N93" s="46">
        <f>'[1]2018'!N100+'[1]2019'!N100+'[1]2020'!N100</f>
        <v>0</v>
      </c>
      <c r="O93" s="46">
        <f>'[1]2018'!O100+'[1]2019'!O100+'[1]2020'!O100</f>
        <v>0</v>
      </c>
      <c r="P93" s="46">
        <f>'[1]2018'!P100+'[1]2019'!P100+'[1]2020'!P100</f>
        <v>0</v>
      </c>
      <c r="Q93" s="46">
        <f>'[1]2018'!Q100+'[1]2019'!Q100+'[1]2020'!Q100</f>
        <v>0</v>
      </c>
      <c r="R93" s="46">
        <f>'[1]2018'!R100+'[1]2019'!R100+'[1]2020'!R100</f>
        <v>0</v>
      </c>
      <c r="S93" s="46">
        <f>'[1]2018'!S100+'[1]2019'!S100+'[1]2020'!S100</f>
        <v>0</v>
      </c>
      <c r="T93" s="46">
        <f>'[1]2018'!T100+'[1]2019'!T100+'[1]2020'!T100</f>
        <v>0</v>
      </c>
      <c r="U93" s="46">
        <f>'[1]2018'!U100+'[1]2019'!U100+'[1]2020'!U100</f>
        <v>2</v>
      </c>
      <c r="V93" s="46">
        <f>'[1]2018'!V100+'[1]2019'!V100+'[1]2020'!V100</f>
        <v>0</v>
      </c>
      <c r="W93" s="46">
        <f>'[1]2018'!W100+'[1]2019'!W100+'[1]2020'!W100</f>
        <v>0</v>
      </c>
      <c r="X93" s="46">
        <f>'[1]2018'!X100+'[1]2019'!X100+'[1]2020'!X100</f>
        <v>0</v>
      </c>
      <c r="Y93" s="41">
        <f t="shared" si="11"/>
        <v>2</v>
      </c>
      <c r="Z93" s="11">
        <f>'[1]2018'!Z100+'[1]2019'!Z100+'[1]2020'!Z100</f>
        <v>2</v>
      </c>
      <c r="AA93" s="11">
        <f>'[1]2018'!AA100+'[1]2019'!AA100+'[1]2020'!AA100</f>
        <v>2</v>
      </c>
      <c r="AB93" s="11">
        <f>'[1]2018'!AB100+'[1]2019'!AB100+'[1]2020'!AB100</f>
        <v>2</v>
      </c>
      <c r="AC93" s="11">
        <f>'[1]2018'!AC100+'[1]2019'!AC100+'[1]2020'!AC100</f>
        <v>2</v>
      </c>
      <c r="AD93" s="11">
        <f>'[1]2018'!AD100+'[1]2019'!AD100+'[1]2020'!AD100</f>
        <v>0</v>
      </c>
      <c r="AE93" s="11">
        <f>'[1]2018'!AE100+'[1]2019'!AE100+'[1]2020'!AE100</f>
        <v>0</v>
      </c>
      <c r="AF93" s="11">
        <f>'[1]2018'!AF100+'[1]2019'!AF100+'[1]2020'!AF100</f>
        <v>0</v>
      </c>
      <c r="AG93" s="11">
        <f>'[1]2018'!AG100+'[1]2019'!AG100+'[1]2020'!AG100</f>
        <v>0</v>
      </c>
      <c r="AH93" s="11">
        <f>'[1]2018'!AH100+'[1]2019'!AH100+'[1]2020'!AH100</f>
        <v>0</v>
      </c>
      <c r="AI93" s="11">
        <f>'[1]2018'!AI100+'[1]2019'!AI100+'[1]2020'!AI100</f>
        <v>0</v>
      </c>
      <c r="AJ93" s="11">
        <f>'[1]2018'!AJ100+'[1]2019'!AJ100+'[1]2020'!AJ100</f>
        <v>0</v>
      </c>
      <c r="AK93" s="11">
        <f>'[1]2018'!AK100+'[1]2019'!AK100+'[1]2020'!AK100</f>
        <v>0</v>
      </c>
      <c r="AL93" s="11">
        <f>'[1]2018'!AL100+'[1]2019'!AL100+'[1]2020'!AL100</f>
        <v>0</v>
      </c>
      <c r="AM93" s="11">
        <f>'[1]2018'!AM100+'[1]2019'!AM100+'[1]2020'!AM100</f>
        <v>0</v>
      </c>
      <c r="AN93" s="11">
        <f>'[1]2018'!AN100+'[1]2019'!AN100+'[1]2020'!AN100</f>
        <v>0</v>
      </c>
      <c r="AO93" s="11">
        <f>'[1]2018'!AO100+'[1]2019'!AO100+'[1]2020'!AO100</f>
        <v>0</v>
      </c>
      <c r="AP93" s="11">
        <f>'[1]2018'!AP100+'[1]2019'!AP100+'[1]2020'!AP100</f>
        <v>0</v>
      </c>
      <c r="AQ93" s="11">
        <f>'[1]2018'!AQ100+'[1]2019'!AQ100+'[1]2020'!AQ100</f>
        <v>0</v>
      </c>
      <c r="AR93" s="11">
        <f>'[1]2018'!AR100+'[1]2019'!AR100+'[1]2020'!AR100</f>
        <v>0</v>
      </c>
      <c r="AS93" s="11">
        <f>'[1]2018'!AS100+'[1]2019'!AS100+'[1]2020'!AS100</f>
        <v>2</v>
      </c>
      <c r="AT93" s="11">
        <f>'[1]2018'!AT100+'[1]2019'!AT100+'[1]2020'!AT100</f>
        <v>0</v>
      </c>
      <c r="AU93" s="11">
        <f>'[1]2018'!AU100+'[1]2019'!AU100+'[1]2020'!AU100</f>
        <v>0</v>
      </c>
      <c r="AV93" s="11">
        <f>'[1]2018'!AV100+'[1]2019'!AV100+'[1]2020'!AV100</f>
        <v>0</v>
      </c>
      <c r="AW93" s="41">
        <f t="shared" si="12"/>
        <v>2</v>
      </c>
      <c r="AX93" s="14">
        <f t="shared" si="13"/>
        <v>473.13333333333338</v>
      </c>
      <c r="AY93" s="2">
        <f>'[1]2018'!AX100+'[1]2019'!AX100+'[1]2020'!AX100</f>
        <v>1419.4</v>
      </c>
    </row>
    <row r="94" spans="1:136" x14ac:dyDescent="0.25">
      <c r="A94" s="40" t="s">
        <v>43</v>
      </c>
      <c r="B94" s="48">
        <f t="shared" ref="B94:X94" si="16">SUM(B95:B177)</f>
        <v>3168</v>
      </c>
      <c r="C94" s="48">
        <f t="shared" si="16"/>
        <v>99</v>
      </c>
      <c r="D94" s="48">
        <f t="shared" si="16"/>
        <v>11995</v>
      </c>
      <c r="E94" s="48">
        <f t="shared" si="16"/>
        <v>278</v>
      </c>
      <c r="F94" s="48">
        <f t="shared" si="16"/>
        <v>34</v>
      </c>
      <c r="G94" s="48">
        <f t="shared" si="16"/>
        <v>34</v>
      </c>
      <c r="H94" s="48">
        <f t="shared" si="16"/>
        <v>6606</v>
      </c>
      <c r="I94" s="48">
        <f t="shared" si="16"/>
        <v>36</v>
      </c>
      <c r="J94" s="48">
        <f t="shared" si="16"/>
        <v>246</v>
      </c>
      <c r="K94" s="48">
        <f t="shared" si="16"/>
        <v>993</v>
      </c>
      <c r="L94" s="48">
        <f t="shared" si="16"/>
        <v>684</v>
      </c>
      <c r="M94" s="48">
        <f t="shared" si="16"/>
        <v>143</v>
      </c>
      <c r="N94" s="48">
        <f t="shared" si="16"/>
        <v>945</v>
      </c>
      <c r="O94" s="48">
        <f t="shared" si="16"/>
        <v>26</v>
      </c>
      <c r="P94" s="48">
        <f t="shared" si="16"/>
        <v>49</v>
      </c>
      <c r="Q94" s="48">
        <f t="shared" si="16"/>
        <v>71</v>
      </c>
      <c r="R94" s="48">
        <f t="shared" si="16"/>
        <v>187</v>
      </c>
      <c r="S94" s="48">
        <f t="shared" si="16"/>
        <v>172</v>
      </c>
      <c r="T94" s="48">
        <f t="shared" si="16"/>
        <v>11</v>
      </c>
      <c r="U94" s="48">
        <f t="shared" si="16"/>
        <v>117</v>
      </c>
      <c r="V94" s="48">
        <f t="shared" si="16"/>
        <v>130</v>
      </c>
      <c r="W94" s="48">
        <f t="shared" si="16"/>
        <v>19</v>
      </c>
      <c r="X94" s="48">
        <f t="shared" si="16"/>
        <v>1492</v>
      </c>
      <c r="Y94" s="41">
        <f t="shared" si="11"/>
        <v>11995</v>
      </c>
      <c r="Z94" s="41">
        <f t="shared" ref="Z94:AV94" si="17">SUM(Z95:Z177)</f>
        <v>2458</v>
      </c>
      <c r="AA94" s="41">
        <f t="shared" si="17"/>
        <v>86</v>
      </c>
      <c r="AB94" s="41">
        <f t="shared" si="17"/>
        <v>8516</v>
      </c>
      <c r="AC94" s="41">
        <f t="shared" si="17"/>
        <v>213</v>
      </c>
      <c r="AD94" s="41">
        <f t="shared" si="17"/>
        <v>52</v>
      </c>
      <c r="AE94" s="41">
        <f t="shared" si="17"/>
        <v>32</v>
      </c>
      <c r="AF94" s="41">
        <f t="shared" si="17"/>
        <v>5131</v>
      </c>
      <c r="AG94" s="41">
        <f t="shared" si="17"/>
        <v>34</v>
      </c>
      <c r="AH94" s="41">
        <f t="shared" si="17"/>
        <v>232</v>
      </c>
      <c r="AI94" s="41">
        <f t="shared" si="17"/>
        <v>652</v>
      </c>
      <c r="AJ94" s="41">
        <f t="shared" si="17"/>
        <v>397</v>
      </c>
      <c r="AK94" s="41">
        <f t="shared" si="17"/>
        <v>111</v>
      </c>
      <c r="AL94" s="41">
        <f t="shared" si="17"/>
        <v>518</v>
      </c>
      <c r="AM94" s="41">
        <f t="shared" si="17"/>
        <v>15</v>
      </c>
      <c r="AN94" s="41">
        <f t="shared" si="17"/>
        <v>109</v>
      </c>
      <c r="AO94" s="41">
        <f t="shared" si="17"/>
        <v>65</v>
      </c>
      <c r="AP94" s="41">
        <f t="shared" si="17"/>
        <v>102</v>
      </c>
      <c r="AQ94" s="41">
        <f t="shared" si="17"/>
        <v>87</v>
      </c>
      <c r="AR94" s="41">
        <f t="shared" si="17"/>
        <v>8</v>
      </c>
      <c r="AS94" s="41">
        <f t="shared" si="17"/>
        <v>82</v>
      </c>
      <c r="AT94" s="41">
        <f t="shared" si="17"/>
        <v>91</v>
      </c>
      <c r="AU94" s="41">
        <f t="shared" si="17"/>
        <v>6</v>
      </c>
      <c r="AV94" s="41">
        <f t="shared" si="17"/>
        <v>792</v>
      </c>
      <c r="AW94" s="41">
        <f t="shared" si="12"/>
        <v>8516</v>
      </c>
      <c r="AX94" s="42">
        <f t="shared" si="13"/>
        <v>2415.9955802959234</v>
      </c>
      <c r="AY94" s="43">
        <f>'[1]2018'!AX101+'[1]2019'!AX101+'[1]2020'!AX101</f>
        <v>7247.9867408877699</v>
      </c>
      <c r="AZ94" s="42">
        <f>AB94*100/D94</f>
        <v>70.996248436848688</v>
      </c>
      <c r="BA94" s="44"/>
      <c r="BB94" s="44"/>
      <c r="BC94" s="44"/>
      <c r="BD94" s="44"/>
      <c r="BE94" s="44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</row>
    <row r="95" spans="1:136" x14ac:dyDescent="0.25">
      <c r="A95" s="10" t="s">
        <v>114</v>
      </c>
      <c r="B95" s="46">
        <v>285</v>
      </c>
      <c r="C95" s="46">
        <f>'[1]2018'!C102+'[1]2019'!C102+'[1]2020'!C102</f>
        <v>13</v>
      </c>
      <c r="D95" s="46">
        <f>'[1]2018'!D102+'[1]2019'!D102+'[1]2020'!D102</f>
        <v>1209</v>
      </c>
      <c r="E95" s="46">
        <f>'[1]2018'!E102+'[1]2019'!E102+'[1]2020'!E102</f>
        <v>70</v>
      </c>
      <c r="F95" s="46">
        <f>'[1]2018'!F102+'[1]2019'!F102+'[1]2020'!F102</f>
        <v>0</v>
      </c>
      <c r="G95" s="46">
        <f>'[1]2018'!G102+'[1]2019'!G102+'[1]2020'!G102</f>
        <v>0</v>
      </c>
      <c r="H95" s="46">
        <f>'[1]2018'!H102+'[1]2019'!H102+'[1]2020'!H102</f>
        <v>84</v>
      </c>
      <c r="I95" s="46">
        <f>'[1]2018'!I102+'[1]2019'!I102+'[1]2020'!I102</f>
        <v>0</v>
      </c>
      <c r="J95" s="46">
        <f>'[1]2018'!J102+'[1]2019'!J102+'[1]2020'!J102</f>
        <v>0</v>
      </c>
      <c r="K95" s="46">
        <f>'[1]2018'!K102+'[1]2019'!K102+'[1]2020'!K102</f>
        <v>38</v>
      </c>
      <c r="L95" s="46">
        <f>'[1]2018'!L102+'[1]2019'!L102+'[1]2020'!L102</f>
        <v>73</v>
      </c>
      <c r="M95" s="46">
        <f>'[1]2018'!M102+'[1]2019'!M102+'[1]2020'!M102</f>
        <v>47</v>
      </c>
      <c r="N95" s="46">
        <f>'[1]2018'!N102+'[1]2019'!N102+'[1]2020'!N102</f>
        <v>750</v>
      </c>
      <c r="O95" s="46">
        <f>'[1]2018'!O102+'[1]2019'!O102+'[1]2020'!O102</f>
        <v>0</v>
      </c>
      <c r="P95" s="46">
        <f>'[1]2018'!P102+'[1]2019'!P102+'[1]2020'!P102</f>
        <v>0</v>
      </c>
      <c r="Q95" s="46">
        <f>'[1]2018'!Q102+'[1]2019'!Q102+'[1]2020'!Q102</f>
        <v>0</v>
      </c>
      <c r="R95" s="46">
        <f>'[1]2018'!R102+'[1]2019'!R102+'[1]2020'!R102</f>
        <v>32</v>
      </c>
      <c r="S95" s="46">
        <f>'[1]2018'!S102+'[1]2019'!S102+'[1]2020'!S102</f>
        <v>38</v>
      </c>
      <c r="T95" s="46">
        <f>'[1]2018'!T102+'[1]2019'!T102+'[1]2020'!T102</f>
        <v>0</v>
      </c>
      <c r="U95" s="46">
        <f>'[1]2018'!U102+'[1]2019'!U102+'[1]2020'!U102</f>
        <v>67</v>
      </c>
      <c r="V95" s="46">
        <f>'[1]2018'!V102+'[1]2019'!V102+'[1]2020'!V102</f>
        <v>54</v>
      </c>
      <c r="W95" s="46">
        <f>'[1]2018'!W102+'[1]2019'!W102+'[1]2020'!W102</f>
        <v>0</v>
      </c>
      <c r="X95" s="46">
        <f>'[1]2018'!X102+'[1]2019'!X102+'[1]2020'!X102</f>
        <v>26</v>
      </c>
      <c r="Y95" s="41">
        <f t="shared" si="11"/>
        <v>1209</v>
      </c>
      <c r="Z95" s="11">
        <f>'[1]2018'!Z102+'[1]2019'!Z102+'[1]2020'!Z102</f>
        <v>157</v>
      </c>
      <c r="AA95" s="11">
        <f>'[1]2018'!AA102+'[1]2019'!AA102+'[1]2020'!AA102</f>
        <v>10</v>
      </c>
      <c r="AB95" s="11">
        <f>'[1]2018'!AB102+'[1]2019'!AB102+'[1]2020'!AB102</f>
        <v>602</v>
      </c>
      <c r="AC95" s="11">
        <f>'[1]2018'!AC102+'[1]2019'!AC102+'[1]2020'!AC102</f>
        <v>37</v>
      </c>
      <c r="AD95" s="11">
        <f>'[1]2018'!AD102+'[1]2019'!AD102+'[1]2020'!AD102</f>
        <v>0</v>
      </c>
      <c r="AE95" s="11">
        <f>'[1]2018'!AE102+'[1]2019'!AE102+'[1]2020'!AE102</f>
        <v>0</v>
      </c>
      <c r="AF95" s="11">
        <f>'[1]2018'!AF102+'[1]2019'!AF102+'[1]2020'!AF102</f>
        <v>53</v>
      </c>
      <c r="AG95" s="11">
        <f>'[1]2018'!AG102+'[1]2019'!AG102+'[1]2020'!AG102</f>
        <v>0</v>
      </c>
      <c r="AH95" s="11">
        <f>'[1]2018'!AH102+'[1]2019'!AH102+'[1]2020'!AH102</f>
        <v>0</v>
      </c>
      <c r="AI95" s="11">
        <f>'[1]2018'!AI102+'[1]2019'!AI102+'[1]2020'!AI102</f>
        <v>27</v>
      </c>
      <c r="AJ95" s="11">
        <f>'[1]2018'!AJ102+'[1]2019'!AJ102+'[1]2020'!AJ102</f>
        <v>11</v>
      </c>
      <c r="AK95" s="11">
        <f>'[1]2018'!AK102+'[1]2019'!AK102+'[1]2020'!AK102</f>
        <v>25</v>
      </c>
      <c r="AL95" s="11">
        <f>'[1]2018'!AL102+'[1]2019'!AL102+'[1]2020'!AL102</f>
        <v>379</v>
      </c>
      <c r="AM95" s="11">
        <f>'[1]2018'!AM102+'[1]2019'!AM102+'[1]2020'!AM102</f>
        <v>0</v>
      </c>
      <c r="AN95" s="11">
        <f>'[1]2018'!AN102+'[1]2019'!AN102+'[1]2020'!AN102</f>
        <v>0</v>
      </c>
      <c r="AO95" s="11">
        <f>'[1]2018'!AO102+'[1]2019'!AO102+'[1]2020'!AO102</f>
        <v>0</v>
      </c>
      <c r="AP95" s="11">
        <f>'[1]2018'!AP102+'[1]2019'!AP102+'[1]2020'!AP102</f>
        <v>0</v>
      </c>
      <c r="AQ95" s="11">
        <f>'[1]2018'!AQ102+'[1]2019'!AQ102+'[1]2020'!AQ102</f>
        <v>32</v>
      </c>
      <c r="AR95" s="11">
        <f>'[1]2018'!AR102+'[1]2019'!AR102+'[1]2020'!AR102</f>
        <v>0</v>
      </c>
      <c r="AS95" s="11">
        <f>'[1]2018'!AS102+'[1]2019'!AS102+'[1]2020'!AS102</f>
        <v>38</v>
      </c>
      <c r="AT95" s="11">
        <f>'[1]2018'!AT102+'[1]2019'!AT102+'[1]2020'!AT102</f>
        <v>27</v>
      </c>
      <c r="AU95" s="11">
        <f>'[1]2018'!AU102+'[1]2019'!AU102+'[1]2020'!AU102</f>
        <v>0</v>
      </c>
      <c r="AV95" s="11">
        <f>'[1]2018'!AV102+'[1]2019'!AV102+'[1]2020'!AV102</f>
        <v>10</v>
      </c>
      <c r="AW95" s="41">
        <f t="shared" si="12"/>
        <v>602</v>
      </c>
      <c r="AX95" s="14">
        <f t="shared" si="13"/>
        <v>2600.2717929292926</v>
      </c>
      <c r="AY95" s="2">
        <f>'[1]2018'!AX102+'[1]2019'!AX102+'[1]2020'!AX102</f>
        <v>7800.8153787878782</v>
      </c>
    </row>
    <row r="96" spans="1:136" s="45" customFormat="1" x14ac:dyDescent="0.25">
      <c r="A96" s="10" t="s">
        <v>101</v>
      </c>
      <c r="B96" s="46">
        <f>'[1]2018'!B103+'[1]2019'!B103+'[1]2020'!B103</f>
        <v>62</v>
      </c>
      <c r="C96" s="46">
        <f>'[1]2018'!C103+'[1]2019'!C103+'[1]2020'!C103</f>
        <v>9</v>
      </c>
      <c r="D96" s="46">
        <f>'[1]2018'!D103+'[1]2019'!D103+'[1]2020'!D103</f>
        <v>238</v>
      </c>
      <c r="E96" s="46">
        <f>'[1]2018'!E103+'[1]2019'!E103+'[1]2020'!E103</f>
        <v>44</v>
      </c>
      <c r="F96" s="46">
        <f>'[1]2018'!F103+'[1]2019'!F103+'[1]2020'!F103</f>
        <v>0</v>
      </c>
      <c r="G96" s="46">
        <f>'[1]2018'!G103+'[1]2019'!G103+'[1]2020'!G103</f>
        <v>0</v>
      </c>
      <c r="H96" s="46">
        <f>'[1]2018'!H103+'[1]2019'!H103+'[1]2020'!H103</f>
        <v>22</v>
      </c>
      <c r="I96" s="46">
        <f>'[1]2018'!I103+'[1]2019'!I103+'[1]2020'!I103</f>
        <v>0</v>
      </c>
      <c r="J96" s="46">
        <f>'[1]2018'!J103+'[1]2019'!J103+'[1]2020'!J103</f>
        <v>0</v>
      </c>
      <c r="K96" s="46">
        <f>'[1]2018'!K103+'[1]2019'!K103+'[1]2020'!K103</f>
        <v>4</v>
      </c>
      <c r="L96" s="46">
        <f>'[1]2018'!L103+'[1]2019'!L103+'[1]2020'!L103</f>
        <v>17</v>
      </c>
      <c r="M96" s="46">
        <f>'[1]2018'!M103+'[1]2019'!M103+'[1]2020'!M103</f>
        <v>0</v>
      </c>
      <c r="N96" s="46">
        <f>'[1]2018'!N103+'[1]2019'!N103+'[1]2020'!N103</f>
        <v>145</v>
      </c>
      <c r="O96" s="46">
        <f>'[1]2018'!O103+'[1]2019'!O103+'[1]2020'!O103</f>
        <v>0</v>
      </c>
      <c r="P96" s="46">
        <f>'[1]2018'!P103+'[1]2019'!P103+'[1]2020'!P103</f>
        <v>0</v>
      </c>
      <c r="Q96" s="46">
        <f>'[1]2018'!Q103+'[1]2019'!Q103+'[1]2020'!Q103</f>
        <v>0</v>
      </c>
      <c r="R96" s="46">
        <f>'[1]2018'!R103+'[1]2019'!R103+'[1]2020'!R103</f>
        <v>0</v>
      </c>
      <c r="S96" s="46">
        <f>'[1]2018'!S103+'[1]2019'!S103+'[1]2020'!S103</f>
        <v>0</v>
      </c>
      <c r="T96" s="46">
        <f>'[1]2018'!T103+'[1]2019'!T103+'[1]2020'!T103</f>
        <v>0</v>
      </c>
      <c r="U96" s="46">
        <f>'[1]2018'!U103+'[1]2019'!U103+'[1]2020'!U103</f>
        <v>2</v>
      </c>
      <c r="V96" s="46">
        <f>'[1]2018'!V103+'[1]2019'!V103+'[1]2020'!V103</f>
        <v>48</v>
      </c>
      <c r="W96" s="46">
        <f>'[1]2018'!W103+'[1]2019'!W103+'[1]2020'!W103</f>
        <v>0</v>
      </c>
      <c r="X96" s="46">
        <f>'[1]2018'!X103+'[1]2019'!X103+'[1]2020'!X103</f>
        <v>0</v>
      </c>
      <c r="Y96" s="41">
        <f t="shared" si="11"/>
        <v>238</v>
      </c>
      <c r="Z96" s="11">
        <f>'[1]2018'!Z103+'[1]2019'!Z103+'[1]2020'!Z103</f>
        <v>85</v>
      </c>
      <c r="AA96" s="11">
        <f>'[1]2018'!AA103+'[1]2019'!AA103+'[1]2020'!AA103</f>
        <v>6</v>
      </c>
      <c r="AB96" s="11">
        <f>'[1]2018'!AB103+'[1]2019'!AB103+'[1]2020'!AB103</f>
        <v>172</v>
      </c>
      <c r="AC96" s="11">
        <f>'[1]2018'!AC103+'[1]2019'!AC103+'[1]2020'!AC103</f>
        <v>32</v>
      </c>
      <c r="AD96" s="11">
        <f>'[1]2018'!AD103+'[1]2019'!AD103+'[1]2020'!AD103</f>
        <v>0</v>
      </c>
      <c r="AE96" s="11">
        <f>'[1]2018'!AE103+'[1]2019'!AE103+'[1]2020'!AE103</f>
        <v>0</v>
      </c>
      <c r="AF96" s="11">
        <f>'[1]2018'!AF103+'[1]2019'!AF103+'[1]2020'!AF103</f>
        <v>10</v>
      </c>
      <c r="AG96" s="11">
        <f>'[1]2018'!AG103+'[1]2019'!AG103+'[1]2020'!AG103</f>
        <v>0</v>
      </c>
      <c r="AH96" s="11">
        <f>'[1]2018'!AH103+'[1]2019'!AH103+'[1]2020'!AH103</f>
        <v>0</v>
      </c>
      <c r="AI96" s="11">
        <f>'[1]2018'!AI103+'[1]2019'!AI103+'[1]2020'!AI103</f>
        <v>3</v>
      </c>
      <c r="AJ96" s="11">
        <f>'[1]2018'!AJ103+'[1]2019'!AJ103+'[1]2020'!AJ103</f>
        <v>17</v>
      </c>
      <c r="AK96" s="11">
        <f>'[1]2018'!AK103+'[1]2019'!AK103+'[1]2020'!AK103</f>
        <v>0</v>
      </c>
      <c r="AL96" s="11">
        <f>'[1]2018'!AL103+'[1]2019'!AL103+'[1]2020'!AL103</f>
        <v>104</v>
      </c>
      <c r="AM96" s="11">
        <f>'[1]2018'!AM103+'[1]2019'!AM103+'[1]2020'!AM103</f>
        <v>0</v>
      </c>
      <c r="AN96" s="11">
        <f>'[1]2018'!AN103+'[1]2019'!AN103+'[1]2020'!AN103</f>
        <v>0</v>
      </c>
      <c r="AO96" s="11">
        <f>'[1]2018'!AO103+'[1]2019'!AO103+'[1]2020'!AO103</f>
        <v>0</v>
      </c>
      <c r="AP96" s="11">
        <f>'[1]2018'!AP103+'[1]2019'!AP103+'[1]2020'!AP103</f>
        <v>0</v>
      </c>
      <c r="AQ96" s="11">
        <f>'[1]2018'!AQ103+'[1]2019'!AQ103+'[1]2020'!AQ103</f>
        <v>0</v>
      </c>
      <c r="AR96" s="11">
        <f>'[1]2018'!AR103+'[1]2019'!AR103+'[1]2020'!AR103</f>
        <v>0</v>
      </c>
      <c r="AS96" s="11">
        <f>'[1]2018'!AS103+'[1]2019'!AS103+'[1]2020'!AS103</f>
        <v>2</v>
      </c>
      <c r="AT96" s="11">
        <f>'[1]2018'!AT103+'[1]2019'!AT103+'[1]2020'!AT103</f>
        <v>36</v>
      </c>
      <c r="AU96" s="11">
        <f>'[1]2018'!AU103+'[1]2019'!AU103+'[1]2020'!AU103</f>
        <v>0</v>
      </c>
      <c r="AV96" s="11">
        <f>'[1]2018'!AV103+'[1]2019'!AV103+'[1]2020'!AV103</f>
        <v>0</v>
      </c>
      <c r="AW96" s="41">
        <f t="shared" si="12"/>
        <v>172</v>
      </c>
      <c r="AX96" s="14">
        <f t="shared" si="13"/>
        <v>1890.2436601307188</v>
      </c>
      <c r="AY96" s="2">
        <f>'[1]2018'!AX103+'[1]2019'!AX103+'[1]2020'!AX103</f>
        <v>5670.7309803921562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</row>
    <row r="97" spans="1:136" x14ac:dyDescent="0.25">
      <c r="A97" s="10" t="s">
        <v>102</v>
      </c>
      <c r="B97" s="46">
        <f>'[1]2018'!B104+'[1]2019'!B104+'[1]2020'!B104</f>
        <v>10</v>
      </c>
      <c r="C97" s="46">
        <f>'[1]2018'!C104+'[1]2019'!C104+'[1]2020'!C104</f>
        <v>0</v>
      </c>
      <c r="D97" s="46">
        <f>'[1]2018'!D104+'[1]2019'!D104+'[1]2020'!D104</f>
        <v>31</v>
      </c>
      <c r="E97" s="46">
        <f>'[1]2018'!E104+'[1]2019'!E104+'[1]2020'!E104</f>
        <v>0</v>
      </c>
      <c r="F97" s="46">
        <f>'[1]2018'!F104+'[1]2019'!F104+'[1]2020'!F104</f>
        <v>0</v>
      </c>
      <c r="G97" s="46">
        <f>'[1]2018'!G104+'[1]2019'!G104+'[1]2020'!G104</f>
        <v>0</v>
      </c>
      <c r="H97" s="46">
        <f>'[1]2018'!H104+'[1]2019'!H104+'[1]2020'!H104</f>
        <v>0</v>
      </c>
      <c r="I97" s="46">
        <f>'[1]2018'!I104+'[1]2019'!I104+'[1]2020'!I104</f>
        <v>0</v>
      </c>
      <c r="J97" s="46">
        <f>'[1]2018'!J104+'[1]2019'!J104+'[1]2020'!J104</f>
        <v>0</v>
      </c>
      <c r="K97" s="46">
        <f>'[1]2018'!K104+'[1]2019'!K104+'[1]2020'!K104</f>
        <v>4</v>
      </c>
      <c r="L97" s="46">
        <f>'[1]2018'!L104+'[1]2019'!L104+'[1]2020'!L104</f>
        <v>0</v>
      </c>
      <c r="M97" s="46">
        <f>'[1]2018'!M104+'[1]2019'!M104+'[1]2020'!M104</f>
        <v>0</v>
      </c>
      <c r="N97" s="46">
        <f>'[1]2018'!N104+'[1]2019'!N104+'[1]2020'!N104</f>
        <v>22</v>
      </c>
      <c r="O97" s="46">
        <f>'[1]2018'!O104+'[1]2019'!O104+'[1]2020'!O104</f>
        <v>0</v>
      </c>
      <c r="P97" s="46">
        <f>'[1]2018'!P104+'[1]2019'!P104+'[1]2020'!P104</f>
        <v>0</v>
      </c>
      <c r="Q97" s="46">
        <f>'[1]2018'!Q104+'[1]2019'!Q104+'[1]2020'!Q104</f>
        <v>0</v>
      </c>
      <c r="R97" s="46">
        <f>'[1]2018'!R104+'[1]2019'!R104+'[1]2020'!R104</f>
        <v>0</v>
      </c>
      <c r="S97" s="46">
        <f>'[1]2018'!S104+'[1]2019'!S104+'[1]2020'!S104</f>
        <v>0</v>
      </c>
      <c r="T97" s="46">
        <f>'[1]2018'!T104+'[1]2019'!T104+'[1]2020'!T104</f>
        <v>0</v>
      </c>
      <c r="U97" s="46">
        <f>'[1]2018'!U104+'[1]2019'!U104+'[1]2020'!U104</f>
        <v>0</v>
      </c>
      <c r="V97" s="46">
        <f>'[1]2018'!V104+'[1]2019'!V104+'[1]2020'!V104</f>
        <v>0</v>
      </c>
      <c r="W97" s="46">
        <f>'[1]2018'!W104+'[1]2019'!W104+'[1]2020'!W104</f>
        <v>0</v>
      </c>
      <c r="X97" s="46">
        <f>'[1]2018'!X104+'[1]2019'!X104+'[1]2020'!X104</f>
        <v>5</v>
      </c>
      <c r="Y97" s="41">
        <f t="shared" si="11"/>
        <v>31</v>
      </c>
      <c r="Z97" s="11">
        <f>'[1]2018'!Z104+'[1]2019'!Z104+'[1]2020'!Z104</f>
        <v>7</v>
      </c>
      <c r="AA97" s="11">
        <f>'[1]2018'!AA104+'[1]2019'!AA104+'[1]2020'!AA104</f>
        <v>0</v>
      </c>
      <c r="AB97" s="11">
        <f>'[1]2018'!AB104+'[1]2019'!AB104+'[1]2020'!AB104</f>
        <v>19</v>
      </c>
      <c r="AC97" s="11">
        <f>'[1]2018'!AC104+'[1]2019'!AC104+'[1]2020'!AC104</f>
        <v>0</v>
      </c>
      <c r="AD97" s="11">
        <f>'[1]2018'!AD104+'[1]2019'!AD104+'[1]2020'!AD104</f>
        <v>0</v>
      </c>
      <c r="AE97" s="11">
        <f>'[1]2018'!AE104+'[1]2019'!AE104+'[1]2020'!AE104</f>
        <v>0</v>
      </c>
      <c r="AF97" s="11">
        <f>'[1]2018'!AF104+'[1]2019'!AF104+'[1]2020'!AF104</f>
        <v>0</v>
      </c>
      <c r="AG97" s="11">
        <f>'[1]2018'!AG104+'[1]2019'!AG104+'[1]2020'!AG104</f>
        <v>0</v>
      </c>
      <c r="AH97" s="11">
        <f>'[1]2018'!AH104+'[1]2019'!AH104+'[1]2020'!AH104</f>
        <v>0</v>
      </c>
      <c r="AI97" s="11">
        <f>'[1]2018'!AI104+'[1]2019'!AI104+'[1]2020'!AI104</f>
        <v>2</v>
      </c>
      <c r="AJ97" s="11">
        <f>'[1]2018'!AJ104+'[1]2019'!AJ104+'[1]2020'!AJ104</f>
        <v>0</v>
      </c>
      <c r="AK97" s="11">
        <f>'[1]2018'!AK104+'[1]2019'!AK104+'[1]2020'!AK104</f>
        <v>0</v>
      </c>
      <c r="AL97" s="11">
        <f>'[1]2018'!AL104+'[1]2019'!AL104+'[1]2020'!AL104</f>
        <v>12</v>
      </c>
      <c r="AM97" s="11">
        <f>'[1]2018'!AM104+'[1]2019'!AM104+'[1]2020'!AM104</f>
        <v>0</v>
      </c>
      <c r="AN97" s="11">
        <f>'[1]2018'!AN104+'[1]2019'!AN104+'[1]2020'!AN104</f>
        <v>0</v>
      </c>
      <c r="AO97" s="11">
        <f>'[1]2018'!AO104+'[1]2019'!AO104+'[1]2020'!AO104</f>
        <v>0</v>
      </c>
      <c r="AP97" s="11">
        <f>'[1]2018'!AP104+'[1]2019'!AP104+'[1]2020'!AP104</f>
        <v>0</v>
      </c>
      <c r="AQ97" s="11">
        <f>'[1]2018'!AQ104+'[1]2019'!AQ104+'[1]2020'!AQ104</f>
        <v>0</v>
      </c>
      <c r="AR97" s="11">
        <f>'[1]2018'!AR104+'[1]2019'!AR104+'[1]2020'!AR104</f>
        <v>0</v>
      </c>
      <c r="AS97" s="11">
        <f>'[1]2018'!AS104+'[1]2019'!AS104+'[1]2020'!AS104</f>
        <v>0</v>
      </c>
      <c r="AT97" s="11">
        <f>'[1]2018'!AT104+'[1]2019'!AT104+'[1]2020'!AT104</f>
        <v>0</v>
      </c>
      <c r="AU97" s="11">
        <f>'[1]2018'!AU104+'[1]2019'!AU104+'[1]2020'!AU104</f>
        <v>0</v>
      </c>
      <c r="AV97" s="11">
        <f>'[1]2018'!AV104+'[1]2019'!AV104+'[1]2020'!AV104</f>
        <v>5</v>
      </c>
      <c r="AW97" s="41">
        <f t="shared" si="12"/>
        <v>19</v>
      </c>
      <c r="AX97" s="14">
        <f t="shared" si="13"/>
        <v>973.33333333333337</v>
      </c>
      <c r="AY97" s="2">
        <f>'[1]2018'!AX104+'[1]2019'!AX104+'[1]2020'!AX104</f>
        <v>2920</v>
      </c>
    </row>
    <row r="98" spans="1:136" x14ac:dyDescent="0.25">
      <c r="A98" s="10" t="s">
        <v>179</v>
      </c>
      <c r="B98" s="46">
        <f>'[1]2018'!B105+'[1]2019'!B105+'[1]2020'!B105</f>
        <v>2</v>
      </c>
      <c r="C98" s="46">
        <f>'[1]2018'!C105+'[1]2019'!C105+'[1]2020'!C105</f>
        <v>0</v>
      </c>
      <c r="D98" s="46">
        <f>'[1]2018'!D105+'[1]2019'!D105+'[1]2020'!D105</f>
        <v>10</v>
      </c>
      <c r="E98" s="46">
        <f>'[1]2018'!E105+'[1]2019'!E105+'[1]2020'!E105</f>
        <v>0</v>
      </c>
      <c r="F98" s="46">
        <f>'[1]2018'!F105+'[1]2019'!F105+'[1]2020'!F105</f>
        <v>0</v>
      </c>
      <c r="G98" s="46">
        <f>'[1]2018'!G105+'[1]2019'!G105+'[1]2020'!G105</f>
        <v>0</v>
      </c>
      <c r="H98" s="46">
        <f>'[1]2018'!H105+'[1]2019'!H105+'[1]2020'!H105</f>
        <v>0</v>
      </c>
      <c r="I98" s="46">
        <f>'[1]2018'!I105+'[1]2019'!I105+'[1]2020'!I105</f>
        <v>0</v>
      </c>
      <c r="J98" s="46">
        <f>'[1]2018'!J105+'[1]2019'!J105+'[1]2020'!J105</f>
        <v>0</v>
      </c>
      <c r="K98" s="46">
        <f>'[1]2018'!K105+'[1]2019'!K105+'[1]2020'!K105</f>
        <v>0</v>
      </c>
      <c r="L98" s="46">
        <f>'[1]2018'!L105+'[1]2019'!L105+'[1]2020'!L105</f>
        <v>0</v>
      </c>
      <c r="M98" s="46">
        <f>'[1]2018'!M105+'[1]2019'!M105+'[1]2020'!M105</f>
        <v>0</v>
      </c>
      <c r="N98" s="46">
        <f>'[1]2018'!N105+'[1]2019'!N105+'[1]2020'!N105</f>
        <v>0</v>
      </c>
      <c r="O98" s="46">
        <f>'[1]2018'!O105+'[1]2019'!O105+'[1]2020'!O105</f>
        <v>0</v>
      </c>
      <c r="P98" s="46">
        <f>'[1]2018'!P105+'[1]2019'!P105+'[1]2020'!P105</f>
        <v>0</v>
      </c>
      <c r="Q98" s="46">
        <f>'[1]2018'!Q105+'[1]2019'!Q105+'[1]2020'!Q105</f>
        <v>0</v>
      </c>
      <c r="R98" s="46">
        <f>'[1]2018'!R105+'[1]2019'!R105+'[1]2020'!R105</f>
        <v>0</v>
      </c>
      <c r="S98" s="46">
        <f>'[1]2018'!S105+'[1]2019'!S105+'[1]2020'!S105</f>
        <v>0</v>
      </c>
      <c r="T98" s="46">
        <f>'[1]2018'!T105+'[1]2019'!T105+'[1]2020'!T105</f>
        <v>0</v>
      </c>
      <c r="U98" s="46">
        <f>'[1]2018'!U105+'[1]2019'!U105+'[1]2020'!U105</f>
        <v>0</v>
      </c>
      <c r="V98" s="46">
        <f>'[1]2018'!V105+'[1]2019'!V105+'[1]2020'!V105</f>
        <v>0</v>
      </c>
      <c r="W98" s="46">
        <f>'[1]2018'!W105+'[1]2019'!W105+'[1]2020'!W105</f>
        <v>10</v>
      </c>
      <c r="X98" s="46">
        <f>'[1]2018'!X105+'[1]2019'!X105+'[1]2020'!X105</f>
        <v>0</v>
      </c>
      <c r="Y98" s="41">
        <f t="shared" si="11"/>
        <v>10</v>
      </c>
      <c r="Z98" s="11">
        <f>'[1]2018'!Z105+'[1]2019'!Z105+'[1]2020'!Z105</f>
        <v>0</v>
      </c>
      <c r="AA98" s="11">
        <f>'[1]2018'!AA105+'[1]2019'!AA105+'[1]2020'!AA105</f>
        <v>0</v>
      </c>
      <c r="AB98" s="11">
        <f>'[1]2018'!AB105+'[1]2019'!AB105+'[1]2020'!AB105</f>
        <v>0</v>
      </c>
      <c r="AC98" s="11">
        <f>'[1]2018'!AC105+'[1]2019'!AC105+'[1]2020'!AC105</f>
        <v>0</v>
      </c>
      <c r="AD98" s="11">
        <f>'[1]2018'!AD105+'[1]2019'!AD105+'[1]2020'!AD105</f>
        <v>0</v>
      </c>
      <c r="AE98" s="11">
        <f>'[1]2018'!AE105+'[1]2019'!AE105+'[1]2020'!AE105</f>
        <v>0</v>
      </c>
      <c r="AF98" s="11">
        <f>'[1]2018'!AF105+'[1]2019'!AF105+'[1]2020'!AF105</f>
        <v>0</v>
      </c>
      <c r="AG98" s="11">
        <f>'[1]2018'!AG105+'[1]2019'!AG105+'[1]2020'!AG105</f>
        <v>0</v>
      </c>
      <c r="AH98" s="11">
        <f>'[1]2018'!AH105+'[1]2019'!AH105+'[1]2020'!AH105</f>
        <v>0</v>
      </c>
      <c r="AI98" s="11">
        <f>'[1]2018'!AI105+'[1]2019'!AI105+'[1]2020'!AI105</f>
        <v>0</v>
      </c>
      <c r="AJ98" s="11">
        <f>'[1]2018'!AJ105+'[1]2019'!AJ105+'[1]2020'!AJ105</f>
        <v>0</v>
      </c>
      <c r="AK98" s="11">
        <f>'[1]2018'!AK105+'[1]2019'!AK105+'[1]2020'!AK105</f>
        <v>0</v>
      </c>
      <c r="AL98" s="11">
        <f>'[1]2018'!AL105+'[1]2019'!AL105+'[1]2020'!AL105</f>
        <v>0</v>
      </c>
      <c r="AM98" s="11">
        <f>'[1]2018'!AM105+'[1]2019'!AM105+'[1]2020'!AM105</f>
        <v>0</v>
      </c>
      <c r="AN98" s="11">
        <f>'[1]2018'!AN105+'[1]2019'!AN105+'[1]2020'!AN105</f>
        <v>0</v>
      </c>
      <c r="AO98" s="11">
        <f>'[1]2018'!AO105+'[1]2019'!AO105+'[1]2020'!AO105</f>
        <v>0</v>
      </c>
      <c r="AP98" s="11">
        <f>'[1]2018'!AP105+'[1]2019'!AP105+'[1]2020'!AP105</f>
        <v>0</v>
      </c>
      <c r="AQ98" s="11">
        <f>'[1]2018'!AQ105+'[1]2019'!AQ105+'[1]2020'!AQ105</f>
        <v>0</v>
      </c>
      <c r="AR98" s="11">
        <f>'[1]2018'!AR105+'[1]2019'!AR105+'[1]2020'!AR105</f>
        <v>0</v>
      </c>
      <c r="AS98" s="11">
        <f>'[1]2018'!AS105+'[1]2019'!AS105+'[1]2020'!AS105</f>
        <v>0</v>
      </c>
      <c r="AT98" s="11">
        <f>'[1]2018'!AT105+'[1]2019'!AT105+'[1]2020'!AT105</f>
        <v>0</v>
      </c>
      <c r="AU98" s="11">
        <f>'[1]2018'!AU105+'[1]2019'!AU105+'[1]2020'!AU105</f>
        <v>0</v>
      </c>
      <c r="AV98" s="11">
        <f>'[1]2018'!AV105+'[1]2019'!AV105+'[1]2020'!AV105</f>
        <v>0</v>
      </c>
      <c r="AW98" s="41">
        <f t="shared" si="12"/>
        <v>0</v>
      </c>
      <c r="AX98" s="14">
        <f t="shared" si="13"/>
        <v>0</v>
      </c>
      <c r="AY98" s="2">
        <f>'[1]2018'!AX105+'[1]2019'!AX105+'[1]2020'!AX105</f>
        <v>0</v>
      </c>
    </row>
    <row r="99" spans="1:136" x14ac:dyDescent="0.25">
      <c r="A99" s="10" t="s">
        <v>180</v>
      </c>
      <c r="B99" s="46">
        <f>'[1]2018'!B107+'[1]2019'!B107+'[1]2020'!B107</f>
        <v>34</v>
      </c>
      <c r="C99" s="46">
        <f>'[1]2018'!C107+'[1]2019'!C107+'[1]2020'!C107</f>
        <v>1</v>
      </c>
      <c r="D99" s="46">
        <f>'[1]2018'!D107+'[1]2019'!D107+'[1]2020'!D107</f>
        <v>103</v>
      </c>
      <c r="E99" s="46">
        <f>'[1]2018'!E107+'[1]2019'!E107+'[1]2020'!E107</f>
        <v>1</v>
      </c>
      <c r="F99" s="46">
        <f>'[1]2018'!F107+'[1]2019'!F107+'[1]2020'!F107</f>
        <v>0</v>
      </c>
      <c r="G99" s="46">
        <f>'[1]2018'!G107+'[1]2019'!G107+'[1]2020'!G107</f>
        <v>0</v>
      </c>
      <c r="H99" s="46">
        <f>'[1]2018'!H107+'[1]2019'!H107+'[1]2020'!H107</f>
        <v>28</v>
      </c>
      <c r="I99" s="46">
        <f>'[1]2018'!I107+'[1]2019'!I107+'[1]2020'!I107</f>
        <v>0</v>
      </c>
      <c r="J99" s="46">
        <f>'[1]2018'!J107+'[1]2019'!J107+'[1]2020'!J107</f>
        <v>0</v>
      </c>
      <c r="K99" s="46">
        <f>'[1]2018'!K107+'[1]2019'!K107+'[1]2020'!K107</f>
        <v>63</v>
      </c>
      <c r="L99" s="46">
        <f>'[1]2018'!L107+'[1]2019'!L107+'[1]2020'!L107</f>
        <v>9</v>
      </c>
      <c r="M99" s="46">
        <f>'[1]2018'!M107+'[1]2019'!M107+'[1]2020'!M107</f>
        <v>0</v>
      </c>
      <c r="N99" s="46">
        <f>'[1]2018'!N107+'[1]2019'!N107+'[1]2020'!N107</f>
        <v>0</v>
      </c>
      <c r="O99" s="46">
        <f>'[1]2018'!O107+'[1]2019'!O107+'[1]2020'!O107</f>
        <v>0</v>
      </c>
      <c r="P99" s="46">
        <f>'[1]2018'!P107+'[1]2019'!P107+'[1]2020'!P107</f>
        <v>0</v>
      </c>
      <c r="Q99" s="46">
        <f>'[1]2018'!Q107+'[1]2019'!Q107+'[1]2020'!Q107</f>
        <v>0</v>
      </c>
      <c r="R99" s="46">
        <f>'[1]2018'!R107+'[1]2019'!R107+'[1]2020'!R107</f>
        <v>1</v>
      </c>
      <c r="S99" s="46">
        <f>'[1]2018'!S107+'[1]2019'!S107+'[1]2020'!S107</f>
        <v>1</v>
      </c>
      <c r="T99" s="46">
        <f>'[1]2018'!T107+'[1]2019'!T107+'[1]2020'!T107</f>
        <v>0</v>
      </c>
      <c r="U99" s="46">
        <f>'[1]2018'!U107+'[1]2019'!U107+'[1]2020'!U107</f>
        <v>0</v>
      </c>
      <c r="V99" s="46">
        <f>'[1]2018'!V107+'[1]2019'!V107+'[1]2020'!V107</f>
        <v>0</v>
      </c>
      <c r="W99" s="46">
        <f>'[1]2018'!W107+'[1]2019'!W107+'[1]2020'!W107</f>
        <v>0</v>
      </c>
      <c r="X99" s="46">
        <f>'[1]2018'!X107+'[1]2019'!X107+'[1]2020'!X107</f>
        <v>1</v>
      </c>
      <c r="Y99" s="41">
        <f t="shared" si="11"/>
        <v>103</v>
      </c>
      <c r="Z99" s="11">
        <f>'[1]2018'!Z107+'[1]2019'!Z107+'[1]2020'!Z107</f>
        <v>52</v>
      </c>
      <c r="AA99" s="11">
        <f>'[1]2018'!AA107+'[1]2019'!AA107+'[1]2020'!AA107</f>
        <v>0</v>
      </c>
      <c r="AB99" s="11">
        <f>'[1]2018'!AB107+'[1]2019'!AB107+'[1]2020'!AB107</f>
        <v>70</v>
      </c>
      <c r="AC99" s="11">
        <f>'[1]2018'!AC107+'[1]2019'!AC107+'[1]2020'!AC107</f>
        <v>0</v>
      </c>
      <c r="AD99" s="11">
        <f>'[1]2018'!AD107+'[1]2019'!AD107+'[1]2020'!AD107</f>
        <v>0</v>
      </c>
      <c r="AE99" s="11">
        <f>'[1]2018'!AE107+'[1]2019'!AE107+'[1]2020'!AE107</f>
        <v>0</v>
      </c>
      <c r="AF99" s="11">
        <f>'[1]2018'!AF107+'[1]2019'!AF107+'[1]2020'!AF107</f>
        <v>22</v>
      </c>
      <c r="AG99" s="11">
        <f>'[1]2018'!AG107+'[1]2019'!AG107+'[1]2020'!AG107</f>
        <v>0</v>
      </c>
      <c r="AH99" s="11">
        <f>'[1]2018'!AH107+'[1]2019'!AH107+'[1]2020'!AH107</f>
        <v>2</v>
      </c>
      <c r="AI99" s="11">
        <f>'[1]2018'!AI107+'[1]2019'!AI107+'[1]2020'!AI107</f>
        <v>46</v>
      </c>
      <c r="AJ99" s="11">
        <f>'[1]2018'!AJ107+'[1]2019'!AJ107+'[1]2020'!AJ107</f>
        <v>0</v>
      </c>
      <c r="AK99" s="11">
        <f>'[1]2018'!AK107+'[1]2019'!AK107+'[1]2020'!AK107</f>
        <v>0</v>
      </c>
      <c r="AL99" s="11">
        <f>'[1]2018'!AL107+'[1]2019'!AL107+'[1]2020'!AL107</f>
        <v>0</v>
      </c>
      <c r="AM99" s="11">
        <f>'[1]2018'!AM107+'[1]2019'!AM107+'[1]2020'!AM107</f>
        <v>0</v>
      </c>
      <c r="AN99" s="11">
        <f>'[1]2018'!AN107+'[1]2019'!AN107+'[1]2020'!AN107</f>
        <v>0</v>
      </c>
      <c r="AO99" s="11">
        <f>'[1]2018'!AO107+'[1]2019'!AO107+'[1]2020'!AO107</f>
        <v>0</v>
      </c>
      <c r="AP99" s="11">
        <f>'[1]2018'!AP107+'[1]2019'!AP107+'[1]2020'!AP107</f>
        <v>0</v>
      </c>
      <c r="AQ99" s="11">
        <f>'[1]2018'!AQ107+'[1]2019'!AQ107+'[1]2020'!AQ107</f>
        <v>0</v>
      </c>
      <c r="AR99" s="11">
        <f>'[1]2018'!AR107+'[1]2019'!AR107+'[1]2020'!AR107</f>
        <v>0</v>
      </c>
      <c r="AS99" s="11">
        <f>'[1]2018'!AS107+'[1]2019'!AS107+'[1]2020'!AS107</f>
        <v>0</v>
      </c>
      <c r="AT99" s="11">
        <f>'[1]2018'!AT107+'[1]2019'!AT107+'[1]2020'!AT107</f>
        <v>0</v>
      </c>
      <c r="AU99" s="11">
        <f>'[1]2018'!AU107+'[1]2019'!AU107+'[1]2020'!AU107</f>
        <v>0</v>
      </c>
      <c r="AV99" s="11">
        <f>'[1]2018'!AV107+'[1]2019'!AV107+'[1]2020'!AV107</f>
        <v>0</v>
      </c>
      <c r="AW99" s="41">
        <f t="shared" si="12"/>
        <v>70</v>
      </c>
      <c r="AX99" s="14">
        <f t="shared" si="13"/>
        <v>2505.7858974358974</v>
      </c>
      <c r="AY99" s="2">
        <f>'[1]2018'!AX107+'[1]2019'!AX107+'[1]2020'!AX107</f>
        <v>7517.3576923076926</v>
      </c>
    </row>
    <row r="100" spans="1:136" x14ac:dyDescent="0.25">
      <c r="A100" s="10" t="s">
        <v>181</v>
      </c>
      <c r="B100" s="46">
        <f>'[1]2018'!B108+'[1]2019'!B108+'[1]2020'!B108</f>
        <v>5</v>
      </c>
      <c r="C100" s="46">
        <f>'[1]2018'!C108+'[1]2019'!C108+'[1]2020'!C108</f>
        <v>2</v>
      </c>
      <c r="D100" s="46">
        <f>'[1]2018'!D108+'[1]2019'!D108+'[1]2020'!D108</f>
        <v>5</v>
      </c>
      <c r="E100" s="46">
        <f>'[1]2018'!E108+'[1]2019'!E108+'[1]2020'!E108</f>
        <v>2</v>
      </c>
      <c r="F100" s="46">
        <f>'[1]2018'!F108+'[1]2019'!F108+'[1]2020'!F108</f>
        <v>0</v>
      </c>
      <c r="G100" s="46">
        <f>'[1]2018'!G108+'[1]2019'!G108+'[1]2020'!G108</f>
        <v>0</v>
      </c>
      <c r="H100" s="46">
        <f>'[1]2018'!H108+'[1]2019'!H108+'[1]2020'!H108</f>
        <v>1</v>
      </c>
      <c r="I100" s="46">
        <f>'[1]2018'!I108+'[1]2019'!I108+'[1]2020'!I108</f>
        <v>0</v>
      </c>
      <c r="J100" s="46">
        <f>'[1]2018'!J108+'[1]2019'!J108+'[1]2020'!J108</f>
        <v>0</v>
      </c>
      <c r="K100" s="46">
        <f>'[1]2018'!K108+'[1]2019'!K108+'[1]2020'!K108</f>
        <v>1</v>
      </c>
      <c r="L100" s="46">
        <f>'[1]2018'!L108+'[1]2019'!L108+'[1]2020'!L108</f>
        <v>0</v>
      </c>
      <c r="M100" s="46">
        <f>'[1]2018'!M108+'[1]2019'!M108+'[1]2020'!M108</f>
        <v>0</v>
      </c>
      <c r="N100" s="46">
        <f>'[1]2018'!N108+'[1]2019'!N108+'[1]2020'!N108</f>
        <v>0</v>
      </c>
      <c r="O100" s="46">
        <f>'[1]2018'!O108+'[1]2019'!O108+'[1]2020'!O108</f>
        <v>0</v>
      </c>
      <c r="P100" s="46">
        <f>'[1]2018'!P108+'[1]2019'!P108+'[1]2020'!P108</f>
        <v>0</v>
      </c>
      <c r="Q100" s="46">
        <f>'[1]2018'!Q108+'[1]2019'!Q108+'[1]2020'!Q108</f>
        <v>0</v>
      </c>
      <c r="R100" s="46">
        <f>'[1]2018'!R108+'[1]2019'!R108+'[1]2020'!R108</f>
        <v>0</v>
      </c>
      <c r="S100" s="46">
        <f>'[1]2018'!S108+'[1]2019'!S108+'[1]2020'!S108</f>
        <v>0</v>
      </c>
      <c r="T100" s="46">
        <f>'[1]2018'!T108+'[1]2019'!T108+'[1]2020'!T108</f>
        <v>2</v>
      </c>
      <c r="U100" s="46">
        <f>'[1]2018'!U108+'[1]2019'!U108+'[1]2020'!U108</f>
        <v>0</v>
      </c>
      <c r="V100" s="46">
        <f>'[1]2018'!V108+'[1]2019'!V108+'[1]2020'!V108</f>
        <v>0</v>
      </c>
      <c r="W100" s="46">
        <f>'[1]2018'!W108+'[1]2019'!W108+'[1]2020'!W108</f>
        <v>0</v>
      </c>
      <c r="X100" s="46">
        <f>'[1]2018'!X108+'[1]2019'!X108+'[1]2020'!X108</f>
        <v>1</v>
      </c>
      <c r="Y100" s="41">
        <f t="shared" si="11"/>
        <v>5</v>
      </c>
      <c r="Z100" s="11">
        <f>'[1]2018'!Z108+'[1]2019'!Z108+'[1]2020'!Z108</f>
        <v>3</v>
      </c>
      <c r="AA100" s="11">
        <f>'[1]2018'!AA108+'[1]2019'!AA108+'[1]2020'!AA108</f>
        <v>2</v>
      </c>
      <c r="AB100" s="11">
        <f>'[1]2018'!AB108+'[1]2019'!AB108+'[1]2020'!AB108</f>
        <v>3</v>
      </c>
      <c r="AC100" s="11">
        <f>'[1]2018'!AC108+'[1]2019'!AC108+'[1]2020'!AC108</f>
        <v>2</v>
      </c>
      <c r="AD100" s="11">
        <f>'[1]2018'!AD108+'[1]2019'!AD108+'[1]2020'!AD108</f>
        <v>0</v>
      </c>
      <c r="AE100" s="11">
        <f>'[1]2018'!AE108+'[1]2019'!AE108+'[1]2020'!AE108</f>
        <v>0</v>
      </c>
      <c r="AF100" s="11">
        <f>'[1]2018'!AF108+'[1]2019'!AF108+'[1]2020'!AF108</f>
        <v>1</v>
      </c>
      <c r="AG100" s="11">
        <f>'[1]2018'!AG108+'[1]2019'!AG108+'[1]2020'!AG108</f>
        <v>0</v>
      </c>
      <c r="AH100" s="11">
        <f>'[1]2018'!AH108+'[1]2019'!AH108+'[1]2020'!AH108</f>
        <v>0</v>
      </c>
      <c r="AI100" s="11">
        <f>'[1]2018'!AI108+'[1]2019'!AI108+'[1]2020'!AI108</f>
        <v>0</v>
      </c>
      <c r="AJ100" s="11">
        <f>'[1]2018'!AJ108+'[1]2019'!AJ108+'[1]2020'!AJ108</f>
        <v>0</v>
      </c>
      <c r="AK100" s="11">
        <f>'[1]2018'!AK108+'[1]2019'!AK108+'[1]2020'!AK108</f>
        <v>0</v>
      </c>
      <c r="AL100" s="11">
        <f>'[1]2018'!AL108+'[1]2019'!AL108+'[1]2020'!AL108</f>
        <v>0</v>
      </c>
      <c r="AM100" s="11">
        <f>'[1]2018'!AM108+'[1]2019'!AM108+'[1]2020'!AM108</f>
        <v>0</v>
      </c>
      <c r="AN100" s="11">
        <f>'[1]2018'!AN108+'[1]2019'!AN108+'[1]2020'!AN108</f>
        <v>0</v>
      </c>
      <c r="AO100" s="11">
        <f>'[1]2018'!AO108+'[1]2019'!AO108+'[1]2020'!AO108</f>
        <v>0</v>
      </c>
      <c r="AP100" s="11">
        <f>'[1]2018'!AP108+'[1]2019'!AP108+'[1]2020'!AP108</f>
        <v>0</v>
      </c>
      <c r="AQ100" s="11">
        <f>'[1]2018'!AQ108+'[1]2019'!AQ108+'[1]2020'!AQ108</f>
        <v>0</v>
      </c>
      <c r="AR100" s="11">
        <f>'[1]2018'!AR108+'[1]2019'!AR108+'[1]2020'!AR108</f>
        <v>2</v>
      </c>
      <c r="AS100" s="11">
        <f>'[1]2018'!AS108+'[1]2019'!AS108+'[1]2020'!AS108</f>
        <v>0</v>
      </c>
      <c r="AT100" s="11">
        <f>'[1]2018'!AT108+'[1]2019'!AT108+'[1]2020'!AT108</f>
        <v>0</v>
      </c>
      <c r="AU100" s="11">
        <f>'[1]2018'!AU108+'[1]2019'!AU108+'[1]2020'!AU108</f>
        <v>0</v>
      </c>
      <c r="AV100" s="11">
        <f>'[1]2018'!AV108+'[1]2019'!AV108+'[1]2020'!AV108</f>
        <v>0</v>
      </c>
      <c r="AW100" s="41">
        <f t="shared" si="12"/>
        <v>3</v>
      </c>
      <c r="AX100" s="14">
        <f t="shared" si="13"/>
        <v>1765.3333333333333</v>
      </c>
      <c r="AY100" s="2">
        <f>'[1]2018'!AX108+'[1]2019'!AX108+'[1]2020'!AX108</f>
        <v>5296</v>
      </c>
    </row>
    <row r="101" spans="1:136" x14ac:dyDescent="0.25">
      <c r="A101" s="10" t="s">
        <v>182</v>
      </c>
      <c r="B101" s="46">
        <f>'[1]2018'!B109+'[1]2019'!B109+'[1]2020'!B109</f>
        <v>30</v>
      </c>
      <c r="C101" s="46">
        <f>'[1]2018'!C109+'[1]2019'!C109+'[1]2020'!C109</f>
        <v>0</v>
      </c>
      <c r="D101" s="46">
        <f>'[1]2018'!D109+'[1]2019'!D109+'[1]2020'!D109</f>
        <v>77</v>
      </c>
      <c r="E101" s="46">
        <f>'[1]2018'!E109+'[1]2019'!E109+'[1]2020'!E109</f>
        <v>0</v>
      </c>
      <c r="F101" s="46">
        <f>'[1]2018'!F109+'[1]2019'!F109+'[1]2020'!F109</f>
        <v>0</v>
      </c>
      <c r="G101" s="46">
        <f>'[1]2018'!G109+'[1]2019'!G109+'[1]2020'!G109</f>
        <v>0</v>
      </c>
      <c r="H101" s="46">
        <f>'[1]2018'!H109+'[1]2019'!H109+'[1]2020'!H109</f>
        <v>59</v>
      </c>
      <c r="I101" s="46">
        <f>'[1]2018'!I109+'[1]2019'!I109+'[1]2020'!I109</f>
        <v>0</v>
      </c>
      <c r="J101" s="46">
        <f>'[1]2018'!J109+'[1]2019'!J109+'[1]2020'!J109</f>
        <v>0</v>
      </c>
      <c r="K101" s="46">
        <f>'[1]2018'!K109+'[1]2019'!K109+'[1]2020'!K109</f>
        <v>0</v>
      </c>
      <c r="L101" s="46">
        <f>'[1]2018'!L109+'[1]2019'!L109+'[1]2020'!L109</f>
        <v>0</v>
      </c>
      <c r="M101" s="46">
        <f>'[1]2018'!M109+'[1]2019'!M109+'[1]2020'!M109</f>
        <v>0</v>
      </c>
      <c r="N101" s="46">
        <f>'[1]2018'!N109+'[1]2019'!N109+'[1]2020'!N109</f>
        <v>0</v>
      </c>
      <c r="O101" s="46">
        <f>'[1]2018'!O109+'[1]2019'!O109+'[1]2020'!O109</f>
        <v>0</v>
      </c>
      <c r="P101" s="46">
        <f>'[1]2018'!P109+'[1]2019'!P109+'[1]2020'!P109</f>
        <v>0</v>
      </c>
      <c r="Q101" s="46">
        <f>'[1]2018'!Q109+'[1]2019'!Q109+'[1]2020'!Q109</f>
        <v>8</v>
      </c>
      <c r="R101" s="46">
        <f>'[1]2018'!R109+'[1]2019'!R109+'[1]2020'!R109</f>
        <v>10</v>
      </c>
      <c r="S101" s="46">
        <f>'[1]2018'!S109+'[1]2019'!S109+'[1]2020'!S109</f>
        <v>0</v>
      </c>
      <c r="T101" s="46">
        <f>'[1]2018'!T109+'[1]2019'!T109+'[1]2020'!T109</f>
        <v>0</v>
      </c>
      <c r="U101" s="46">
        <f>'[1]2018'!U109+'[1]2019'!U109+'[1]2020'!U109</f>
        <v>0</v>
      </c>
      <c r="V101" s="46">
        <f>'[1]2018'!V109+'[1]2019'!V109+'[1]2020'!V109</f>
        <v>0</v>
      </c>
      <c r="W101" s="46">
        <f>'[1]2018'!W109+'[1]2019'!W109+'[1]2020'!W109</f>
        <v>0</v>
      </c>
      <c r="X101" s="46">
        <f>'[1]2018'!X109+'[1]2019'!X109+'[1]2020'!X109</f>
        <v>0</v>
      </c>
      <c r="Y101" s="41">
        <f t="shared" si="11"/>
        <v>77</v>
      </c>
      <c r="Z101" s="11">
        <f>'[1]2018'!Z109+'[1]2019'!Z109+'[1]2020'!Z109</f>
        <v>16</v>
      </c>
      <c r="AA101" s="11">
        <f>'[1]2018'!AA109+'[1]2019'!AA109+'[1]2020'!AA109</f>
        <v>0</v>
      </c>
      <c r="AB101" s="11">
        <f>'[1]2018'!AB109+'[1]2019'!AB109+'[1]2020'!AB109</f>
        <v>40</v>
      </c>
      <c r="AC101" s="11">
        <f>'[1]2018'!AC109+'[1]2019'!AC109+'[1]2020'!AC109</f>
        <v>0</v>
      </c>
      <c r="AD101" s="11">
        <f>'[1]2018'!AD109+'[1]2019'!AD109+'[1]2020'!AD109</f>
        <v>0</v>
      </c>
      <c r="AE101" s="11">
        <f>'[1]2018'!AE109+'[1]2019'!AE109+'[1]2020'!AE109</f>
        <v>0</v>
      </c>
      <c r="AF101" s="11">
        <f>'[1]2018'!AF109+'[1]2019'!AF109+'[1]2020'!AF109</f>
        <v>26</v>
      </c>
      <c r="AG101" s="11">
        <f>'[1]2018'!AG109+'[1]2019'!AG109+'[1]2020'!AG109</f>
        <v>0</v>
      </c>
      <c r="AH101" s="11">
        <f>'[1]2018'!AH109+'[1]2019'!AH109+'[1]2020'!AH109</f>
        <v>0</v>
      </c>
      <c r="AI101" s="11">
        <f>'[1]2018'!AI109+'[1]2019'!AI109+'[1]2020'!AI109</f>
        <v>0</v>
      </c>
      <c r="AJ101" s="11">
        <f>'[1]2018'!AJ109+'[1]2019'!AJ109+'[1]2020'!AJ109</f>
        <v>0</v>
      </c>
      <c r="AK101" s="11">
        <f>'[1]2018'!AK109+'[1]2019'!AK109+'[1]2020'!AK109</f>
        <v>0</v>
      </c>
      <c r="AL101" s="11">
        <f>'[1]2018'!AL109+'[1]2019'!AL109+'[1]2020'!AL109</f>
        <v>0</v>
      </c>
      <c r="AM101" s="11">
        <f>'[1]2018'!AM109+'[1]2019'!AM109+'[1]2020'!AM109</f>
        <v>0</v>
      </c>
      <c r="AN101" s="11">
        <f>'[1]2018'!AN109+'[1]2019'!AN109+'[1]2020'!AN109</f>
        <v>0</v>
      </c>
      <c r="AO101" s="11">
        <f>'[1]2018'!AO109+'[1]2019'!AO109+'[1]2020'!AO109</f>
        <v>8</v>
      </c>
      <c r="AP101" s="11">
        <f>'[1]2018'!AP109+'[1]2019'!AP109+'[1]2020'!AP109</f>
        <v>6</v>
      </c>
      <c r="AQ101" s="11">
        <f>'[1]2018'!AQ109+'[1]2019'!AQ109+'[1]2020'!AQ109</f>
        <v>0</v>
      </c>
      <c r="AR101" s="11">
        <f>'[1]2018'!AR109+'[1]2019'!AR109+'[1]2020'!AR109</f>
        <v>0</v>
      </c>
      <c r="AS101" s="11">
        <f>'[1]2018'!AS109+'[1]2019'!AS109+'[1]2020'!AS109</f>
        <v>0</v>
      </c>
      <c r="AT101" s="11">
        <f>'[1]2018'!AT109+'[1]2019'!AT109+'[1]2020'!AT109</f>
        <v>0</v>
      </c>
      <c r="AU101" s="11">
        <f>'[1]2018'!AU109+'[1]2019'!AU109+'[1]2020'!AU109</f>
        <v>0</v>
      </c>
      <c r="AV101" s="11">
        <f>'[1]2018'!AV109+'[1]2019'!AV109+'[1]2020'!AV109</f>
        <v>0</v>
      </c>
      <c r="AW101" s="41">
        <f t="shared" si="12"/>
        <v>40</v>
      </c>
      <c r="AX101" s="14">
        <f t="shared" si="13"/>
        <v>1684.12</v>
      </c>
      <c r="AY101" s="2">
        <f>'[1]2018'!AX109+'[1]2019'!AX109+'[1]2020'!AX109</f>
        <v>5052.3599999999997</v>
      </c>
    </row>
    <row r="102" spans="1:136" x14ac:dyDescent="0.25">
      <c r="A102" s="10" t="s">
        <v>183</v>
      </c>
      <c r="B102" s="46">
        <f>'[1]2018'!B110+'[1]2019'!B110+'[1]2020'!B110</f>
        <v>6</v>
      </c>
      <c r="C102" s="46">
        <f>'[1]2018'!C110+'[1]2019'!C110+'[1]2020'!C110</f>
        <v>0</v>
      </c>
      <c r="D102" s="46">
        <f>'[1]2018'!D110+'[1]2019'!D110+'[1]2020'!D110</f>
        <v>30</v>
      </c>
      <c r="E102" s="46">
        <f>'[1]2018'!E110+'[1]2019'!E110+'[1]2020'!E110</f>
        <v>0</v>
      </c>
      <c r="F102" s="46">
        <f>'[1]2018'!F110+'[1]2019'!F110+'[1]2020'!F110</f>
        <v>0</v>
      </c>
      <c r="G102" s="46">
        <f>'[1]2018'!G110+'[1]2019'!G110+'[1]2020'!G110</f>
        <v>0</v>
      </c>
      <c r="H102" s="46">
        <f>'[1]2018'!H110+'[1]2019'!H110+'[1]2020'!H110</f>
        <v>27</v>
      </c>
      <c r="I102" s="46">
        <f>'[1]2018'!I110+'[1]2019'!I110+'[1]2020'!I110</f>
        <v>0</v>
      </c>
      <c r="J102" s="46">
        <f>'[1]2018'!J110+'[1]2019'!J110+'[1]2020'!J110</f>
        <v>0</v>
      </c>
      <c r="K102" s="46">
        <f>'[1]2018'!K110+'[1]2019'!K110+'[1]2020'!K110</f>
        <v>3</v>
      </c>
      <c r="L102" s="46">
        <f>'[1]2018'!L110+'[1]2019'!L110+'[1]2020'!L110</f>
        <v>0</v>
      </c>
      <c r="M102" s="46">
        <f>'[1]2018'!M110+'[1]2019'!M110+'[1]2020'!M110</f>
        <v>0</v>
      </c>
      <c r="N102" s="46">
        <f>'[1]2018'!N110+'[1]2019'!N110+'[1]2020'!N110</f>
        <v>0</v>
      </c>
      <c r="O102" s="46">
        <f>'[1]2018'!O110+'[1]2019'!O110+'[1]2020'!O110</f>
        <v>0</v>
      </c>
      <c r="P102" s="46">
        <f>'[1]2018'!P110+'[1]2019'!P110+'[1]2020'!P110</f>
        <v>0</v>
      </c>
      <c r="Q102" s="46">
        <f>'[1]2018'!Q110+'[1]2019'!Q110+'[1]2020'!Q110</f>
        <v>0</v>
      </c>
      <c r="R102" s="46">
        <f>'[1]2018'!R110+'[1]2019'!R110+'[1]2020'!R110</f>
        <v>0</v>
      </c>
      <c r="S102" s="46">
        <f>'[1]2018'!S110+'[1]2019'!S110+'[1]2020'!S110</f>
        <v>0</v>
      </c>
      <c r="T102" s="46">
        <f>'[1]2018'!T110+'[1]2019'!T110+'[1]2020'!T110</f>
        <v>0</v>
      </c>
      <c r="U102" s="46">
        <f>'[1]2018'!U110+'[1]2019'!U110+'[1]2020'!U110</f>
        <v>0</v>
      </c>
      <c r="V102" s="46">
        <f>'[1]2018'!V110+'[1]2019'!V110+'[1]2020'!V110</f>
        <v>0</v>
      </c>
      <c r="W102" s="46">
        <f>'[1]2018'!W110+'[1]2019'!W110+'[1]2020'!W110</f>
        <v>0</v>
      </c>
      <c r="X102" s="46">
        <f>'[1]2018'!X110+'[1]2019'!X110+'[1]2020'!X110</f>
        <v>0</v>
      </c>
      <c r="Y102" s="41">
        <f t="shared" si="11"/>
        <v>30</v>
      </c>
      <c r="Z102" s="11">
        <f>'[1]2018'!Z110+'[1]2019'!Z110+'[1]2020'!Z110</f>
        <v>4</v>
      </c>
      <c r="AA102" s="11">
        <f>'[1]2018'!AA110+'[1]2019'!AA110+'[1]2020'!AA110</f>
        <v>0</v>
      </c>
      <c r="AB102" s="11">
        <f>'[1]2018'!AB110+'[1]2019'!AB110+'[1]2020'!AB110</f>
        <v>10</v>
      </c>
      <c r="AC102" s="11">
        <f>'[1]2018'!AC110+'[1]2019'!AC110+'[1]2020'!AC110</f>
        <v>0</v>
      </c>
      <c r="AD102" s="11">
        <f>'[1]2018'!AD110+'[1]2019'!AD110+'[1]2020'!AD110</f>
        <v>0</v>
      </c>
      <c r="AE102" s="11">
        <f>'[1]2018'!AE110+'[1]2019'!AE110+'[1]2020'!AE110</f>
        <v>0</v>
      </c>
      <c r="AF102" s="11">
        <f>'[1]2018'!AF110+'[1]2019'!AF110+'[1]2020'!AF110</f>
        <v>8</v>
      </c>
      <c r="AG102" s="11">
        <f>'[1]2018'!AG110+'[1]2019'!AG110+'[1]2020'!AG110</f>
        <v>0</v>
      </c>
      <c r="AH102" s="11">
        <f>'[1]2018'!AH110+'[1]2019'!AH110+'[1]2020'!AH110</f>
        <v>0</v>
      </c>
      <c r="AI102" s="11">
        <f>'[1]2018'!AI110+'[1]2019'!AI110+'[1]2020'!AI110</f>
        <v>2</v>
      </c>
      <c r="AJ102" s="11">
        <f>'[1]2018'!AJ110+'[1]2019'!AJ110+'[1]2020'!AJ110</f>
        <v>0</v>
      </c>
      <c r="AK102" s="11">
        <f>'[1]2018'!AK110+'[1]2019'!AK110+'[1]2020'!AK110</f>
        <v>0</v>
      </c>
      <c r="AL102" s="11">
        <f>'[1]2018'!AL110+'[1]2019'!AL110+'[1]2020'!AL110</f>
        <v>0</v>
      </c>
      <c r="AM102" s="11">
        <f>'[1]2018'!AM110+'[1]2019'!AM110+'[1]2020'!AM110</f>
        <v>0</v>
      </c>
      <c r="AN102" s="11">
        <f>'[1]2018'!AN110+'[1]2019'!AN110+'[1]2020'!AN110</f>
        <v>0</v>
      </c>
      <c r="AO102" s="11">
        <f>'[1]2018'!AO110+'[1]2019'!AO110+'[1]2020'!AO110</f>
        <v>0</v>
      </c>
      <c r="AP102" s="11">
        <f>'[1]2018'!AP110+'[1]2019'!AP110+'[1]2020'!AP110</f>
        <v>0</v>
      </c>
      <c r="AQ102" s="11">
        <f>'[1]2018'!AQ110+'[1]2019'!AQ110+'[1]2020'!AQ110</f>
        <v>0</v>
      </c>
      <c r="AR102" s="11">
        <f>'[1]2018'!AR110+'[1]2019'!AR110+'[1]2020'!AR110</f>
        <v>0</v>
      </c>
      <c r="AS102" s="11">
        <f>'[1]2018'!AS110+'[1]2019'!AS110+'[1]2020'!AS110</f>
        <v>0</v>
      </c>
      <c r="AT102" s="11">
        <f>'[1]2018'!AT110+'[1]2019'!AT110+'[1]2020'!AT110</f>
        <v>0</v>
      </c>
      <c r="AU102" s="11">
        <f>'[1]2018'!AU110+'[1]2019'!AU110+'[1]2020'!AU110</f>
        <v>0</v>
      </c>
      <c r="AV102" s="11">
        <f>'[1]2018'!AV110+'[1]2019'!AV110+'[1]2020'!AV110</f>
        <v>0</v>
      </c>
      <c r="AW102" s="41">
        <f t="shared" si="12"/>
        <v>10</v>
      </c>
      <c r="AX102" s="14">
        <f t="shared" si="13"/>
        <v>793.66666666666663</v>
      </c>
      <c r="AY102" s="2">
        <f>'[1]2018'!AX110+'[1]2019'!AX110+'[1]2020'!AX110</f>
        <v>2381</v>
      </c>
    </row>
    <row r="103" spans="1:136" x14ac:dyDescent="0.25">
      <c r="A103" s="10" t="s">
        <v>184</v>
      </c>
      <c r="B103" s="46">
        <f>'[1]2018'!B111+'[1]2019'!B111+'[1]2020'!B111</f>
        <v>1</v>
      </c>
      <c r="C103" s="46">
        <f>'[1]2018'!C111+'[1]2019'!C111+'[1]2020'!C111</f>
        <v>0</v>
      </c>
      <c r="D103" s="46">
        <f>'[1]2018'!D111+'[1]2019'!D111+'[1]2020'!D111</f>
        <v>4</v>
      </c>
      <c r="E103" s="46">
        <f>'[1]2018'!E111+'[1]2019'!E111+'[1]2020'!E111</f>
        <v>0</v>
      </c>
      <c r="F103" s="46">
        <f>'[1]2018'!F111+'[1]2019'!F111+'[1]2020'!F111</f>
        <v>0</v>
      </c>
      <c r="G103" s="46">
        <f>'[1]2018'!G111+'[1]2019'!G111+'[1]2020'!G111</f>
        <v>0</v>
      </c>
      <c r="H103" s="46">
        <f>'[1]2018'!H111+'[1]2019'!H111+'[1]2020'!H111</f>
        <v>0</v>
      </c>
      <c r="I103" s="46">
        <f>'[1]2018'!I111+'[1]2019'!I111+'[1]2020'!I111</f>
        <v>0</v>
      </c>
      <c r="J103" s="46">
        <f>'[1]2018'!J111+'[1]2019'!J111+'[1]2020'!J111</f>
        <v>0</v>
      </c>
      <c r="K103" s="46">
        <f>'[1]2018'!K111+'[1]2019'!K111+'[1]2020'!K111</f>
        <v>0</v>
      </c>
      <c r="L103" s="46">
        <f>'[1]2018'!L111+'[1]2019'!L111+'[1]2020'!L111</f>
        <v>4</v>
      </c>
      <c r="M103" s="46">
        <f>'[1]2018'!M111+'[1]2019'!M111+'[1]2020'!M111</f>
        <v>0</v>
      </c>
      <c r="N103" s="46">
        <f>'[1]2018'!N111+'[1]2019'!N111+'[1]2020'!N111</f>
        <v>0</v>
      </c>
      <c r="O103" s="46">
        <f>'[1]2018'!O111+'[1]2019'!O111+'[1]2020'!O111</f>
        <v>0</v>
      </c>
      <c r="P103" s="46">
        <f>'[1]2018'!P111+'[1]2019'!P111+'[1]2020'!P111</f>
        <v>0</v>
      </c>
      <c r="Q103" s="46">
        <f>'[1]2018'!Q111+'[1]2019'!Q111+'[1]2020'!Q111</f>
        <v>0</v>
      </c>
      <c r="R103" s="46">
        <f>'[1]2018'!R111+'[1]2019'!R111+'[1]2020'!R111</f>
        <v>0</v>
      </c>
      <c r="S103" s="46">
        <f>'[1]2018'!S111+'[1]2019'!S111+'[1]2020'!S111</f>
        <v>0</v>
      </c>
      <c r="T103" s="46">
        <f>'[1]2018'!T111+'[1]2019'!T111+'[1]2020'!T111</f>
        <v>0</v>
      </c>
      <c r="U103" s="46">
        <f>'[1]2018'!U111+'[1]2019'!U111+'[1]2020'!U111</f>
        <v>0</v>
      </c>
      <c r="V103" s="46">
        <f>'[1]2018'!V111+'[1]2019'!V111+'[1]2020'!V111</f>
        <v>0</v>
      </c>
      <c r="W103" s="46">
        <f>'[1]2018'!W111+'[1]2019'!W111+'[1]2020'!W111</f>
        <v>0</v>
      </c>
      <c r="X103" s="46">
        <f>'[1]2018'!X111+'[1]2019'!X111+'[1]2020'!X111</f>
        <v>0</v>
      </c>
      <c r="Y103" s="41">
        <f t="shared" si="11"/>
        <v>4</v>
      </c>
      <c r="Z103" s="11">
        <f>'[1]2018'!Z111+'[1]2019'!Z111+'[1]2020'!Z111</f>
        <v>1</v>
      </c>
      <c r="AA103" s="11">
        <f>'[1]2018'!AA111+'[1]2019'!AA111+'[1]2020'!AA111</f>
        <v>0</v>
      </c>
      <c r="AB103" s="11">
        <f>'[1]2018'!AB111+'[1]2019'!AB111+'[1]2020'!AB111</f>
        <v>4</v>
      </c>
      <c r="AC103" s="11">
        <f>'[1]2018'!AC111+'[1]2019'!AC111+'[1]2020'!AC111</f>
        <v>0</v>
      </c>
      <c r="AD103" s="11">
        <f>'[1]2018'!AD111+'[1]2019'!AD111+'[1]2020'!AD111</f>
        <v>0</v>
      </c>
      <c r="AE103" s="11">
        <f>'[1]2018'!AE111+'[1]2019'!AE111+'[1]2020'!AE111</f>
        <v>0</v>
      </c>
      <c r="AF103" s="11">
        <f>'[1]2018'!AF111+'[1]2019'!AF111+'[1]2020'!AF111</f>
        <v>0</v>
      </c>
      <c r="AG103" s="11">
        <f>'[1]2018'!AG111+'[1]2019'!AG111+'[1]2020'!AG111</f>
        <v>0</v>
      </c>
      <c r="AH103" s="11">
        <f>'[1]2018'!AH111+'[1]2019'!AH111+'[1]2020'!AH111</f>
        <v>0</v>
      </c>
      <c r="AI103" s="11">
        <f>'[1]2018'!AI111+'[1]2019'!AI111+'[1]2020'!AI111</f>
        <v>0</v>
      </c>
      <c r="AJ103" s="11">
        <f>'[1]2018'!AJ111+'[1]2019'!AJ111+'[1]2020'!AJ111</f>
        <v>4</v>
      </c>
      <c r="AK103" s="11">
        <f>'[1]2018'!AK111+'[1]2019'!AK111+'[1]2020'!AK111</f>
        <v>0</v>
      </c>
      <c r="AL103" s="11">
        <f>'[1]2018'!AL111+'[1]2019'!AL111+'[1]2020'!AL111</f>
        <v>0</v>
      </c>
      <c r="AM103" s="11">
        <f>'[1]2018'!AM111+'[1]2019'!AM111+'[1]2020'!AM111</f>
        <v>0</v>
      </c>
      <c r="AN103" s="11">
        <f>'[1]2018'!AN111+'[1]2019'!AN111+'[1]2020'!AN111</f>
        <v>0</v>
      </c>
      <c r="AO103" s="11">
        <f>'[1]2018'!AO111+'[1]2019'!AO111+'[1]2020'!AO111</f>
        <v>0</v>
      </c>
      <c r="AP103" s="11">
        <f>'[1]2018'!AP111+'[1]2019'!AP111+'[1]2020'!AP111</f>
        <v>0</v>
      </c>
      <c r="AQ103" s="11">
        <f>'[1]2018'!AQ111+'[1]2019'!AQ111+'[1]2020'!AQ111</f>
        <v>0</v>
      </c>
      <c r="AR103" s="11">
        <f>'[1]2018'!AR111+'[1]2019'!AR111+'[1]2020'!AR111</f>
        <v>0</v>
      </c>
      <c r="AS103" s="11">
        <f>'[1]2018'!AS111+'[1]2019'!AS111+'[1]2020'!AS111</f>
        <v>0</v>
      </c>
      <c r="AT103" s="11">
        <f>'[1]2018'!AT111+'[1]2019'!AT111+'[1]2020'!AT111</f>
        <v>0</v>
      </c>
      <c r="AU103" s="11">
        <f>'[1]2018'!AU111+'[1]2019'!AU111+'[1]2020'!AU111</f>
        <v>0</v>
      </c>
      <c r="AV103" s="11">
        <f>'[1]2018'!AV111+'[1]2019'!AV111+'[1]2020'!AV111</f>
        <v>0</v>
      </c>
      <c r="AW103" s="41">
        <f t="shared" si="12"/>
        <v>4</v>
      </c>
      <c r="AX103" s="14">
        <f t="shared" si="13"/>
        <v>216.66666666666666</v>
      </c>
      <c r="AY103" s="2">
        <f>'[1]2018'!AX111+'[1]2019'!AX111+'[1]2020'!AX111</f>
        <v>650</v>
      </c>
    </row>
    <row r="104" spans="1:136" x14ac:dyDescent="0.25">
      <c r="A104" s="10" t="s">
        <v>185</v>
      </c>
      <c r="B104" s="46">
        <f>'[1]2018'!B112+'[1]2019'!B112+'[1]2020'!B112</f>
        <v>130</v>
      </c>
      <c r="C104" s="46">
        <f>'[1]2018'!C112+'[1]2019'!C112+'[1]2020'!C112</f>
        <v>6</v>
      </c>
      <c r="D104" s="46">
        <f>'[1]2018'!D112+'[1]2019'!D112+'[1]2020'!D112</f>
        <v>249</v>
      </c>
      <c r="E104" s="46">
        <f>'[1]2018'!E112+'[1]2019'!E112+'[1]2020'!E112</f>
        <v>7</v>
      </c>
      <c r="F104" s="46">
        <f>'[1]2018'!F112+'[1]2019'!F112+'[1]2020'!F112</f>
        <v>0</v>
      </c>
      <c r="G104" s="46">
        <f>'[1]2018'!G112+'[1]2019'!G112+'[1]2020'!G112</f>
        <v>21</v>
      </c>
      <c r="H104" s="46">
        <f>'[1]2018'!H112+'[1]2019'!H112+'[1]2020'!H112</f>
        <v>76</v>
      </c>
      <c r="I104" s="46">
        <f>'[1]2018'!I112+'[1]2019'!I112+'[1]2020'!I112</f>
        <v>0</v>
      </c>
      <c r="J104" s="46">
        <f>'[1]2018'!J112+'[1]2019'!J112+'[1]2020'!J112</f>
        <v>8</v>
      </c>
      <c r="K104" s="46">
        <f>'[1]2018'!K112+'[1]2019'!K112+'[1]2020'!K112</f>
        <v>97</v>
      </c>
      <c r="L104" s="46">
        <f>'[1]2018'!L112+'[1]2019'!L112+'[1]2020'!L112</f>
        <v>22</v>
      </c>
      <c r="M104" s="46">
        <f>'[1]2018'!M112+'[1]2019'!M112+'[1]2020'!M112</f>
        <v>10</v>
      </c>
      <c r="N104" s="46">
        <f>'[1]2018'!N112+'[1]2019'!N112+'[1]2020'!N112</f>
        <v>0</v>
      </c>
      <c r="O104" s="46">
        <f>'[1]2018'!O112+'[1]2019'!O112+'[1]2020'!O112</f>
        <v>2</v>
      </c>
      <c r="P104" s="46">
        <f>'[1]2018'!P112+'[1]2019'!P112+'[1]2020'!P112</f>
        <v>1</v>
      </c>
      <c r="Q104" s="46">
        <f>'[1]2018'!Q112+'[1]2019'!Q112+'[1]2020'!Q112</f>
        <v>0</v>
      </c>
      <c r="R104" s="46">
        <f>'[1]2018'!R112+'[1]2019'!R112+'[1]2020'!R112</f>
        <v>1</v>
      </c>
      <c r="S104" s="46">
        <f>'[1]2018'!S112+'[1]2019'!S112+'[1]2020'!S112</f>
        <v>8</v>
      </c>
      <c r="T104" s="46">
        <f>'[1]2018'!T112+'[1]2019'!T112+'[1]2020'!T112</f>
        <v>2</v>
      </c>
      <c r="U104" s="46">
        <f>'[1]2018'!U112+'[1]2019'!U112+'[1]2020'!U112</f>
        <v>0</v>
      </c>
      <c r="V104" s="46">
        <f>'[1]2018'!V112+'[1]2019'!V112+'[1]2020'!V112</f>
        <v>0</v>
      </c>
      <c r="W104" s="46">
        <f>'[1]2018'!W112+'[1]2019'!W112+'[1]2020'!W112</f>
        <v>0</v>
      </c>
      <c r="X104" s="46">
        <f>'[1]2018'!X112+'[1]2019'!X112+'[1]2020'!X112</f>
        <v>1</v>
      </c>
      <c r="Y104" s="41">
        <f t="shared" si="11"/>
        <v>249</v>
      </c>
      <c r="Z104" s="11">
        <f>'[1]2018'!Z112+'[1]2019'!Z112+'[1]2020'!Z112</f>
        <v>97</v>
      </c>
      <c r="AA104" s="11">
        <f>'[1]2018'!AA112+'[1]2019'!AA112+'[1]2020'!AA112</f>
        <v>5</v>
      </c>
      <c r="AB104" s="11">
        <f>'[1]2018'!AB112+'[1]2019'!AB112+'[1]2020'!AB112</f>
        <v>183</v>
      </c>
      <c r="AC104" s="11">
        <f>'[1]2018'!AC112+'[1]2019'!AC112+'[1]2020'!AC112</f>
        <v>6</v>
      </c>
      <c r="AD104" s="11">
        <f>'[1]2018'!AD112+'[1]2019'!AD112+'[1]2020'!AD112</f>
        <v>0</v>
      </c>
      <c r="AE104" s="11">
        <f>'[1]2018'!AE112+'[1]2019'!AE112+'[1]2020'!AE112</f>
        <v>18</v>
      </c>
      <c r="AF104" s="11">
        <f>'[1]2018'!AF112+'[1]2019'!AF112+'[1]2020'!AF112</f>
        <v>59</v>
      </c>
      <c r="AG104" s="11">
        <f>'[1]2018'!AG112+'[1]2019'!AG112+'[1]2020'!AG112</f>
        <v>0</v>
      </c>
      <c r="AH104" s="11">
        <f>'[1]2018'!AH112+'[1]2019'!AH112+'[1]2020'!AH112</f>
        <v>7</v>
      </c>
      <c r="AI104" s="11">
        <f>'[1]2018'!AI112+'[1]2019'!AI112+'[1]2020'!AI112</f>
        <v>63</v>
      </c>
      <c r="AJ104" s="11">
        <f>'[1]2018'!AJ112+'[1]2019'!AJ112+'[1]2020'!AJ112</f>
        <v>13</v>
      </c>
      <c r="AK104" s="11">
        <f>'[1]2018'!AK112+'[1]2019'!AK112+'[1]2020'!AK112</f>
        <v>10</v>
      </c>
      <c r="AL104" s="11">
        <f>'[1]2018'!AL112+'[1]2019'!AL112+'[1]2020'!AL112</f>
        <v>0</v>
      </c>
      <c r="AM104" s="11">
        <f>'[1]2018'!AM112+'[1]2019'!AM112+'[1]2020'!AM112</f>
        <v>2</v>
      </c>
      <c r="AN104" s="11">
        <f>'[1]2018'!AN112+'[1]2019'!AN112+'[1]2020'!AN112</f>
        <v>1</v>
      </c>
      <c r="AO104" s="11">
        <f>'[1]2018'!AO112+'[1]2019'!AO112+'[1]2020'!AO112</f>
        <v>0</v>
      </c>
      <c r="AP104" s="11">
        <f>'[1]2018'!AP112+'[1]2019'!AP112+'[1]2020'!AP112</f>
        <v>1</v>
      </c>
      <c r="AQ104" s="11">
        <f>'[1]2018'!AQ112+'[1]2019'!AQ112+'[1]2020'!AQ112</f>
        <v>7</v>
      </c>
      <c r="AR104" s="11">
        <f>'[1]2018'!AR112+'[1]2019'!AR112+'[1]2020'!AR112</f>
        <v>2</v>
      </c>
      <c r="AS104" s="11">
        <f>'[1]2018'!AS112+'[1]2019'!AS112+'[1]2020'!AS112</f>
        <v>0</v>
      </c>
      <c r="AT104" s="11">
        <f>'[1]2018'!AT112+'[1]2019'!AT112+'[1]2020'!AT112</f>
        <v>0</v>
      </c>
      <c r="AU104" s="11">
        <f>'[1]2018'!AU112+'[1]2019'!AU112+'[1]2020'!AU112</f>
        <v>0</v>
      </c>
      <c r="AV104" s="11">
        <f>'[1]2018'!AV112+'[1]2019'!AV112+'[1]2020'!AV112</f>
        <v>0</v>
      </c>
      <c r="AW104" s="41">
        <f t="shared" si="12"/>
        <v>183</v>
      </c>
      <c r="AX104" s="14">
        <f t="shared" si="13"/>
        <v>1913.7669088319089</v>
      </c>
      <c r="AY104" s="2">
        <f>'[1]2018'!AX112+'[1]2019'!AX112+'[1]2020'!AX112</f>
        <v>5741.3007264957268</v>
      </c>
    </row>
    <row r="105" spans="1:136" s="45" customFormat="1" x14ac:dyDescent="0.25">
      <c r="A105" s="10" t="s">
        <v>186</v>
      </c>
      <c r="B105" s="46">
        <f>'[1]2018'!B113+'[1]2019'!B113+'[1]2020'!B113</f>
        <v>7</v>
      </c>
      <c r="C105" s="46">
        <f>'[1]2018'!C113+'[1]2019'!C113+'[1]2020'!C113</f>
        <v>0</v>
      </c>
      <c r="D105" s="46">
        <f>'[1]2018'!D113+'[1]2019'!D113+'[1]2020'!D113</f>
        <v>76</v>
      </c>
      <c r="E105" s="46">
        <f>'[1]2018'!E113+'[1]2019'!E113+'[1]2020'!E113</f>
        <v>0</v>
      </c>
      <c r="F105" s="46">
        <f>'[1]2018'!F113+'[1]2019'!F113+'[1]2020'!F113</f>
        <v>0</v>
      </c>
      <c r="G105" s="46">
        <f>'[1]2018'!G113+'[1]2019'!G113+'[1]2020'!G113</f>
        <v>0</v>
      </c>
      <c r="H105" s="46">
        <f>'[1]2018'!H113+'[1]2019'!H113+'[1]2020'!H113</f>
        <v>73</v>
      </c>
      <c r="I105" s="46">
        <f>'[1]2018'!I113+'[1]2019'!I113+'[1]2020'!I113</f>
        <v>0</v>
      </c>
      <c r="J105" s="46">
        <f>'[1]2018'!J113+'[1]2019'!J113+'[1]2020'!J113</f>
        <v>2</v>
      </c>
      <c r="K105" s="46">
        <f>'[1]2018'!K113+'[1]2019'!K113+'[1]2020'!K113</f>
        <v>1</v>
      </c>
      <c r="L105" s="46">
        <f>'[1]2018'!L113+'[1]2019'!L113+'[1]2020'!L113</f>
        <v>0</v>
      </c>
      <c r="M105" s="46">
        <f>'[1]2018'!M113+'[1]2019'!M113+'[1]2020'!M113</f>
        <v>0</v>
      </c>
      <c r="N105" s="46">
        <f>'[1]2018'!N113+'[1]2019'!N113+'[1]2020'!N113</f>
        <v>0</v>
      </c>
      <c r="O105" s="46">
        <f>'[1]2018'!O113+'[1]2019'!O113+'[1]2020'!O113</f>
        <v>0</v>
      </c>
      <c r="P105" s="46">
        <f>'[1]2018'!P113+'[1]2019'!P113+'[1]2020'!P113</f>
        <v>0</v>
      </c>
      <c r="Q105" s="46">
        <f>'[1]2018'!Q113+'[1]2019'!Q113+'[1]2020'!Q113</f>
        <v>0</v>
      </c>
      <c r="R105" s="46">
        <f>'[1]2018'!R113+'[1]2019'!R113+'[1]2020'!R113</f>
        <v>0</v>
      </c>
      <c r="S105" s="46">
        <f>'[1]2018'!S113+'[1]2019'!S113+'[1]2020'!S113</f>
        <v>0</v>
      </c>
      <c r="T105" s="46">
        <f>'[1]2018'!T113+'[1]2019'!T113+'[1]2020'!T113</f>
        <v>0</v>
      </c>
      <c r="U105" s="46">
        <f>'[1]2018'!U113+'[1]2019'!U113+'[1]2020'!U113</f>
        <v>0</v>
      </c>
      <c r="V105" s="46">
        <f>'[1]2018'!V113+'[1]2019'!V113+'[1]2020'!V113</f>
        <v>0</v>
      </c>
      <c r="W105" s="46">
        <f>'[1]2018'!W113+'[1]2019'!W113+'[1]2020'!W113</f>
        <v>0</v>
      </c>
      <c r="X105" s="46">
        <f>'[1]2018'!X113+'[1]2019'!X113+'[1]2020'!X113</f>
        <v>0</v>
      </c>
      <c r="Y105" s="41">
        <f t="shared" si="11"/>
        <v>76</v>
      </c>
      <c r="Z105" s="11">
        <f>'[1]2018'!Z113+'[1]2019'!Z113+'[1]2020'!Z113</f>
        <v>6</v>
      </c>
      <c r="AA105" s="11">
        <f>'[1]2018'!AA113+'[1]2019'!AA113+'[1]2020'!AA113</f>
        <v>0</v>
      </c>
      <c r="AB105" s="11">
        <f>'[1]2018'!AB113+'[1]2019'!AB113+'[1]2020'!AB113</f>
        <v>74</v>
      </c>
      <c r="AC105" s="11">
        <f>'[1]2018'!AC113+'[1]2019'!AC113+'[1]2020'!AC113</f>
        <v>0</v>
      </c>
      <c r="AD105" s="11">
        <f>'[1]2018'!AD113+'[1]2019'!AD113+'[1]2020'!AD113</f>
        <v>0</v>
      </c>
      <c r="AE105" s="11">
        <f>'[1]2018'!AE113+'[1]2019'!AE113+'[1]2020'!AE113</f>
        <v>0</v>
      </c>
      <c r="AF105" s="11">
        <f>'[1]2018'!AF113+'[1]2019'!AF113+'[1]2020'!AF113</f>
        <v>72</v>
      </c>
      <c r="AG105" s="11">
        <f>'[1]2018'!AG113+'[1]2019'!AG113+'[1]2020'!AG113</f>
        <v>0</v>
      </c>
      <c r="AH105" s="11">
        <f>'[1]2018'!AH113+'[1]2019'!AH113+'[1]2020'!AH113</f>
        <v>2</v>
      </c>
      <c r="AI105" s="11">
        <f>'[1]2018'!AI113+'[1]2019'!AI113+'[1]2020'!AI113</f>
        <v>0</v>
      </c>
      <c r="AJ105" s="11">
        <f>'[1]2018'!AJ113+'[1]2019'!AJ113+'[1]2020'!AJ113</f>
        <v>0</v>
      </c>
      <c r="AK105" s="11">
        <f>'[1]2018'!AK113+'[1]2019'!AK113+'[1]2020'!AK113</f>
        <v>0</v>
      </c>
      <c r="AL105" s="11">
        <f>'[1]2018'!AL113+'[1]2019'!AL113+'[1]2020'!AL113</f>
        <v>0</v>
      </c>
      <c r="AM105" s="11">
        <f>'[1]2018'!AM113+'[1]2019'!AM113+'[1]2020'!AM113</f>
        <v>0</v>
      </c>
      <c r="AN105" s="11">
        <f>'[1]2018'!AN113+'[1]2019'!AN113+'[1]2020'!AN113</f>
        <v>0</v>
      </c>
      <c r="AO105" s="11">
        <f>'[1]2018'!AO113+'[1]2019'!AO113+'[1]2020'!AO113</f>
        <v>0</v>
      </c>
      <c r="AP105" s="11">
        <f>'[1]2018'!AP113+'[1]2019'!AP113+'[1]2020'!AP113</f>
        <v>0</v>
      </c>
      <c r="AQ105" s="11">
        <f>'[1]2018'!AQ113+'[1]2019'!AQ113+'[1]2020'!AQ113</f>
        <v>0</v>
      </c>
      <c r="AR105" s="11">
        <f>'[1]2018'!AR113+'[1]2019'!AR113+'[1]2020'!AR113</f>
        <v>0</v>
      </c>
      <c r="AS105" s="11">
        <f>'[1]2018'!AS113+'[1]2019'!AS113+'[1]2020'!AS113</f>
        <v>0</v>
      </c>
      <c r="AT105" s="11">
        <f>'[1]2018'!AT113+'[1]2019'!AT113+'[1]2020'!AT113</f>
        <v>0</v>
      </c>
      <c r="AU105" s="11">
        <f>'[1]2018'!AU113+'[1]2019'!AU113+'[1]2020'!AU113</f>
        <v>0</v>
      </c>
      <c r="AV105" s="11">
        <f>'[1]2018'!AV113+'[1]2019'!AV113+'[1]2020'!AV113</f>
        <v>0</v>
      </c>
      <c r="AW105" s="41">
        <f t="shared" si="12"/>
        <v>74</v>
      </c>
      <c r="AX105" s="14">
        <f t="shared" si="13"/>
        <v>599.70333333333326</v>
      </c>
      <c r="AY105" s="2">
        <f>'[1]2018'!AX113+'[1]2019'!AX113+'[1]2020'!AX113</f>
        <v>1799.11</v>
      </c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</row>
    <row r="106" spans="1:136" x14ac:dyDescent="0.25">
      <c r="A106" s="10" t="s">
        <v>187</v>
      </c>
      <c r="B106" s="46">
        <f>'[1]2018'!B114+'[1]2019'!B114+'[1]2020'!B114</f>
        <v>1</v>
      </c>
      <c r="C106" s="46">
        <f>'[1]2018'!C114+'[1]2019'!C114+'[1]2020'!C114</f>
        <v>1</v>
      </c>
      <c r="D106" s="46">
        <f>'[1]2018'!D114+'[1]2019'!D114+'[1]2020'!D114</f>
        <v>1</v>
      </c>
      <c r="E106" s="46">
        <f>'[1]2018'!E114+'[1]2019'!E114+'[1]2020'!E114</f>
        <v>1</v>
      </c>
      <c r="F106" s="46">
        <f>'[1]2018'!F114+'[1]2019'!F114+'[1]2020'!F114</f>
        <v>0</v>
      </c>
      <c r="G106" s="46">
        <f>'[1]2018'!G114+'[1]2019'!G114+'[1]2020'!G114</f>
        <v>0</v>
      </c>
      <c r="H106" s="46">
        <f>'[1]2018'!H114+'[1]2019'!H114+'[1]2020'!H114</f>
        <v>0</v>
      </c>
      <c r="I106" s="46">
        <f>'[1]2018'!I114+'[1]2019'!I114+'[1]2020'!I114</f>
        <v>0</v>
      </c>
      <c r="J106" s="46">
        <f>'[1]2018'!J114+'[1]2019'!J114+'[1]2020'!J114</f>
        <v>0</v>
      </c>
      <c r="K106" s="46">
        <f>'[1]2018'!K114+'[1]2019'!K114+'[1]2020'!K114</f>
        <v>0</v>
      </c>
      <c r="L106" s="46">
        <f>'[1]2018'!L114+'[1]2019'!L114+'[1]2020'!L114</f>
        <v>0</v>
      </c>
      <c r="M106" s="46">
        <f>'[1]2018'!M114+'[1]2019'!M114+'[1]2020'!M114</f>
        <v>1</v>
      </c>
      <c r="N106" s="46">
        <f>'[1]2018'!N114+'[1]2019'!N114+'[1]2020'!N114</f>
        <v>0</v>
      </c>
      <c r="O106" s="46">
        <f>'[1]2018'!O114+'[1]2019'!O114+'[1]2020'!O114</f>
        <v>0</v>
      </c>
      <c r="P106" s="46">
        <f>'[1]2018'!P114+'[1]2019'!P114+'[1]2020'!P114</f>
        <v>0</v>
      </c>
      <c r="Q106" s="46">
        <f>'[1]2018'!Q114+'[1]2019'!Q114+'[1]2020'!Q114</f>
        <v>0</v>
      </c>
      <c r="R106" s="46">
        <f>'[1]2018'!R114+'[1]2019'!R114+'[1]2020'!R114</f>
        <v>0</v>
      </c>
      <c r="S106" s="46">
        <f>'[1]2018'!S114+'[1]2019'!S114+'[1]2020'!S114</f>
        <v>0</v>
      </c>
      <c r="T106" s="46">
        <f>'[1]2018'!T114+'[1]2019'!T114+'[1]2020'!T114</f>
        <v>0</v>
      </c>
      <c r="U106" s="46">
        <f>'[1]2018'!U114+'[1]2019'!U114+'[1]2020'!U114</f>
        <v>0</v>
      </c>
      <c r="V106" s="46">
        <f>'[1]2018'!V114+'[1]2019'!V114+'[1]2020'!V114</f>
        <v>0</v>
      </c>
      <c r="W106" s="46">
        <f>'[1]2018'!W114+'[1]2019'!W114+'[1]2020'!W114</f>
        <v>0</v>
      </c>
      <c r="X106" s="46">
        <f>'[1]2018'!X114+'[1]2019'!X114+'[1]2020'!X114</f>
        <v>0</v>
      </c>
      <c r="Y106" s="41">
        <f t="shared" si="11"/>
        <v>1</v>
      </c>
      <c r="Z106" s="11">
        <f>'[1]2018'!Z114+'[1]2019'!Z114+'[1]2020'!Z114</f>
        <v>0</v>
      </c>
      <c r="AA106" s="11">
        <f>'[1]2018'!AA114+'[1]2019'!AA114+'[1]2020'!AA114</f>
        <v>0</v>
      </c>
      <c r="AB106" s="11">
        <f>'[1]2018'!AB114+'[1]2019'!AB114+'[1]2020'!AB114</f>
        <v>0</v>
      </c>
      <c r="AC106" s="11">
        <f>'[1]2018'!AC114+'[1]2019'!AC114+'[1]2020'!AC114</f>
        <v>0</v>
      </c>
      <c r="AD106" s="11">
        <f>'[1]2018'!AD114+'[1]2019'!AD114+'[1]2020'!AD114</f>
        <v>0</v>
      </c>
      <c r="AE106" s="11">
        <f>'[1]2018'!AE114+'[1]2019'!AE114+'[1]2020'!AE114</f>
        <v>0</v>
      </c>
      <c r="AF106" s="11">
        <f>'[1]2018'!AF114+'[1]2019'!AF114+'[1]2020'!AF114</f>
        <v>0</v>
      </c>
      <c r="AG106" s="11">
        <f>'[1]2018'!AG114+'[1]2019'!AG114+'[1]2020'!AG114</f>
        <v>0</v>
      </c>
      <c r="AH106" s="11">
        <f>'[1]2018'!AH114+'[1]2019'!AH114+'[1]2020'!AH114</f>
        <v>0</v>
      </c>
      <c r="AI106" s="11">
        <f>'[1]2018'!AI114+'[1]2019'!AI114+'[1]2020'!AI114</f>
        <v>0</v>
      </c>
      <c r="AJ106" s="11">
        <f>'[1]2018'!AJ114+'[1]2019'!AJ114+'[1]2020'!AJ114</f>
        <v>0</v>
      </c>
      <c r="AK106" s="11">
        <f>'[1]2018'!AK114+'[1]2019'!AK114+'[1]2020'!AK114</f>
        <v>0</v>
      </c>
      <c r="AL106" s="11">
        <f>'[1]2018'!AL114+'[1]2019'!AL114+'[1]2020'!AL114</f>
        <v>0</v>
      </c>
      <c r="AM106" s="11">
        <f>'[1]2018'!AM114+'[1]2019'!AM114+'[1]2020'!AM114</f>
        <v>0</v>
      </c>
      <c r="AN106" s="11">
        <f>'[1]2018'!AN114+'[1]2019'!AN114+'[1]2020'!AN114</f>
        <v>0</v>
      </c>
      <c r="AO106" s="11">
        <f>'[1]2018'!AO114+'[1]2019'!AO114+'[1]2020'!AO114</f>
        <v>0</v>
      </c>
      <c r="AP106" s="11">
        <f>'[1]2018'!AP114+'[1]2019'!AP114+'[1]2020'!AP114</f>
        <v>0</v>
      </c>
      <c r="AQ106" s="11">
        <f>'[1]2018'!AQ114+'[1]2019'!AQ114+'[1]2020'!AQ114</f>
        <v>0</v>
      </c>
      <c r="AR106" s="11">
        <f>'[1]2018'!AR114+'[1]2019'!AR114+'[1]2020'!AR114</f>
        <v>0</v>
      </c>
      <c r="AS106" s="11">
        <f>'[1]2018'!AS114+'[1]2019'!AS114+'[1]2020'!AS114</f>
        <v>0</v>
      </c>
      <c r="AT106" s="11">
        <f>'[1]2018'!AT114+'[1]2019'!AT114+'[1]2020'!AT114</f>
        <v>0</v>
      </c>
      <c r="AU106" s="11">
        <f>'[1]2018'!AU114+'[1]2019'!AU114+'[1]2020'!AU114</f>
        <v>0</v>
      </c>
      <c r="AV106" s="11">
        <f>'[1]2018'!AV114+'[1]2019'!AV114+'[1]2020'!AV114</f>
        <v>0</v>
      </c>
      <c r="AW106" s="41">
        <f t="shared" si="12"/>
        <v>0</v>
      </c>
      <c r="AX106" s="14">
        <f t="shared" si="13"/>
        <v>0</v>
      </c>
      <c r="AY106" s="2">
        <f>'[1]2018'!AX114+'[1]2019'!AX114+'[1]2020'!AX114</f>
        <v>0</v>
      </c>
    </row>
    <row r="107" spans="1:136" x14ac:dyDescent="0.25">
      <c r="A107" s="10" t="s">
        <v>188</v>
      </c>
      <c r="B107" s="46">
        <f>'[1]2018'!B115+'[1]2019'!B115+'[1]2020'!B115</f>
        <v>422</v>
      </c>
      <c r="C107" s="46">
        <f>'[1]2018'!C115+'[1]2019'!C115+'[1]2020'!C115</f>
        <v>2</v>
      </c>
      <c r="D107" s="46">
        <f>'[1]2018'!D115+'[1]2019'!D115+'[1]2020'!D115</f>
        <v>652</v>
      </c>
      <c r="E107" s="46">
        <f>'[1]2018'!E115+'[1]2019'!E115+'[1]2020'!E115</f>
        <v>2</v>
      </c>
      <c r="F107" s="46">
        <f>'[1]2018'!F115+'[1]2019'!F115+'[1]2020'!F115</f>
        <v>0</v>
      </c>
      <c r="G107" s="46">
        <f>'[1]2018'!G115+'[1]2019'!G115+'[1]2020'!G115</f>
        <v>0</v>
      </c>
      <c r="H107" s="46">
        <f>'[1]2018'!H115+'[1]2019'!H115+'[1]2020'!H115</f>
        <v>0</v>
      </c>
      <c r="I107" s="46">
        <f>'[1]2018'!I115+'[1]2019'!I115+'[1]2020'!I115</f>
        <v>0</v>
      </c>
      <c r="J107" s="46">
        <f>'[1]2018'!J115+'[1]2019'!J115+'[1]2020'!J115</f>
        <v>0</v>
      </c>
      <c r="K107" s="46">
        <f>'[1]2018'!K115+'[1]2019'!K115+'[1]2020'!K115</f>
        <v>9</v>
      </c>
      <c r="L107" s="46">
        <f>'[1]2018'!L115+'[1]2019'!L115+'[1]2020'!L115</f>
        <v>14</v>
      </c>
      <c r="M107" s="46">
        <f>'[1]2018'!M115+'[1]2019'!M115+'[1]2020'!M115</f>
        <v>7</v>
      </c>
      <c r="N107" s="46">
        <f>'[1]2018'!N115+'[1]2019'!N115+'[1]2020'!N115</f>
        <v>4</v>
      </c>
      <c r="O107" s="46">
        <f>'[1]2018'!O115+'[1]2019'!O115+'[1]2020'!O115</f>
        <v>0</v>
      </c>
      <c r="P107" s="46">
        <f>'[1]2018'!P115+'[1]2019'!P115+'[1]2020'!P115</f>
        <v>0</v>
      </c>
      <c r="Q107" s="46">
        <f>'[1]2018'!Q115+'[1]2019'!Q115+'[1]2020'!Q115</f>
        <v>0</v>
      </c>
      <c r="R107" s="46">
        <f>'[1]2018'!R115+'[1]2019'!R115+'[1]2020'!R115</f>
        <v>5</v>
      </c>
      <c r="S107" s="46">
        <f>'[1]2018'!S115+'[1]2019'!S115+'[1]2020'!S115</f>
        <v>1</v>
      </c>
      <c r="T107" s="46">
        <f>'[1]2018'!T115+'[1]2019'!T115+'[1]2020'!T115</f>
        <v>0</v>
      </c>
      <c r="U107" s="46">
        <f>'[1]2018'!U115+'[1]2019'!U115+'[1]2020'!U115</f>
        <v>3</v>
      </c>
      <c r="V107" s="46">
        <f>'[1]2018'!V115+'[1]2019'!V115+'[1]2020'!V115</f>
        <v>12</v>
      </c>
      <c r="W107" s="46">
        <f>'[1]2018'!W115+'[1]2019'!W115+'[1]2020'!W115</f>
        <v>2</v>
      </c>
      <c r="X107" s="46">
        <f>'[1]2018'!X115+'[1]2019'!X115+'[1]2020'!X115</f>
        <v>595</v>
      </c>
      <c r="Y107" s="41">
        <f t="shared" si="11"/>
        <v>652</v>
      </c>
      <c r="Z107" s="11">
        <f>'[1]2018'!Z115+'[1]2019'!Z115+'[1]2020'!Z115</f>
        <v>271</v>
      </c>
      <c r="AA107" s="11">
        <f>'[1]2018'!AA115+'[1]2019'!AA115+'[1]2020'!AA115</f>
        <v>2</v>
      </c>
      <c r="AB107" s="11">
        <f>'[1]2018'!AB115+'[1]2019'!AB115+'[1]2020'!AB115</f>
        <v>344</v>
      </c>
      <c r="AC107" s="11">
        <f>'[1]2018'!AC115+'[1]2019'!AC115+'[1]2020'!AC115</f>
        <v>2</v>
      </c>
      <c r="AD107" s="11">
        <f>'[1]2018'!AD115+'[1]2019'!AD115+'[1]2020'!AD115</f>
        <v>0</v>
      </c>
      <c r="AE107" s="11">
        <f>'[1]2018'!AE115+'[1]2019'!AE115+'[1]2020'!AE115</f>
        <v>0</v>
      </c>
      <c r="AF107" s="11">
        <f>'[1]2018'!AF115+'[1]2019'!AF115+'[1]2020'!AF115</f>
        <v>0</v>
      </c>
      <c r="AG107" s="11">
        <f>'[1]2018'!AG115+'[1]2019'!AG115+'[1]2020'!AG115</f>
        <v>0</v>
      </c>
      <c r="AH107" s="11">
        <f>'[1]2018'!AH115+'[1]2019'!AH115+'[1]2020'!AH115</f>
        <v>0</v>
      </c>
      <c r="AI107" s="11">
        <f>'[1]2018'!AI115+'[1]2019'!AI115+'[1]2020'!AI115</f>
        <v>5</v>
      </c>
      <c r="AJ107" s="11">
        <f>'[1]2018'!AJ115+'[1]2019'!AJ115+'[1]2020'!AJ115</f>
        <v>6</v>
      </c>
      <c r="AK107" s="11">
        <f>'[1]2018'!AK115+'[1]2019'!AK115+'[1]2020'!AK115</f>
        <v>0</v>
      </c>
      <c r="AL107" s="11">
        <f>'[1]2018'!AL115+'[1]2019'!AL115+'[1]2020'!AL115</f>
        <v>2</v>
      </c>
      <c r="AM107" s="11">
        <f>'[1]2018'!AM115+'[1]2019'!AM115+'[1]2020'!AM115</f>
        <v>0</v>
      </c>
      <c r="AN107" s="11">
        <f>'[1]2018'!AN115+'[1]2019'!AN115+'[1]2020'!AN115</f>
        <v>0</v>
      </c>
      <c r="AO107" s="11">
        <f>'[1]2018'!AO115+'[1]2019'!AO115+'[1]2020'!AO115</f>
        <v>0</v>
      </c>
      <c r="AP107" s="11">
        <f>'[1]2018'!AP115+'[1]2019'!AP115+'[1]2020'!AP115</f>
        <v>2</v>
      </c>
      <c r="AQ107" s="11">
        <f>'[1]2018'!AQ115+'[1]2019'!AQ115+'[1]2020'!AQ115</f>
        <v>0</v>
      </c>
      <c r="AR107" s="11">
        <f>'[1]2018'!AR115+'[1]2019'!AR115+'[1]2020'!AR115</f>
        <v>0</v>
      </c>
      <c r="AS107" s="11">
        <f>'[1]2018'!AS115+'[1]2019'!AS115+'[1]2020'!AS115</f>
        <v>2</v>
      </c>
      <c r="AT107" s="11">
        <f>'[1]2018'!AT115+'[1]2019'!AT115+'[1]2020'!AT115</f>
        <v>13</v>
      </c>
      <c r="AU107" s="11">
        <f>'[1]2018'!AU115+'[1]2019'!AU115+'[1]2020'!AU115</f>
        <v>0</v>
      </c>
      <c r="AV107" s="11">
        <f>'[1]2018'!AV115+'[1]2019'!AV115+'[1]2020'!AV115</f>
        <v>314</v>
      </c>
      <c r="AW107" s="41">
        <f t="shared" si="12"/>
        <v>344</v>
      </c>
      <c r="AX107" s="14">
        <f t="shared" si="13"/>
        <v>3840.0639012345678</v>
      </c>
      <c r="AY107" s="2">
        <f>'[1]2018'!AX115+'[1]2019'!AX115+'[1]2020'!AX115</f>
        <v>11520.191703703704</v>
      </c>
    </row>
    <row r="108" spans="1:136" x14ac:dyDescent="0.25">
      <c r="A108" s="10" t="s">
        <v>189</v>
      </c>
      <c r="B108" s="46">
        <f>'[1]2018'!B116+'[1]2019'!B116+'[1]2020'!B116</f>
        <v>107</v>
      </c>
      <c r="C108" s="46">
        <f>'[1]2018'!C116+'[1]2019'!C116+'[1]2020'!C116</f>
        <v>5</v>
      </c>
      <c r="D108" s="46">
        <f>'[1]2018'!D116+'[1]2019'!D116+'[1]2020'!D116</f>
        <v>1119</v>
      </c>
      <c r="E108" s="46">
        <f>'[1]2018'!E116+'[1]2019'!E116+'[1]2020'!E116</f>
        <v>30</v>
      </c>
      <c r="F108" s="46">
        <f>'[1]2018'!F116+'[1]2019'!F116+'[1]2020'!F116</f>
        <v>0</v>
      </c>
      <c r="G108" s="46">
        <f>'[1]2018'!G116+'[1]2019'!G116+'[1]2020'!G116</f>
        <v>0</v>
      </c>
      <c r="H108" s="46">
        <f>'[1]2018'!H116+'[1]2019'!H116+'[1]2020'!H116</f>
        <v>983</v>
      </c>
      <c r="I108" s="46">
        <f>'[1]2018'!I116+'[1]2019'!I116+'[1]2020'!I116</f>
        <v>0</v>
      </c>
      <c r="J108" s="46">
        <f>'[1]2018'!J116+'[1]2019'!J116+'[1]2020'!J116</f>
        <v>10</v>
      </c>
      <c r="K108" s="46">
        <f>'[1]2018'!K116+'[1]2019'!K116+'[1]2020'!K116</f>
        <v>20</v>
      </c>
      <c r="L108" s="46">
        <f>'[1]2018'!L116+'[1]2019'!L116+'[1]2020'!L116</f>
        <v>25</v>
      </c>
      <c r="M108" s="46">
        <f>'[1]2018'!M116+'[1]2019'!M116+'[1]2020'!M116</f>
        <v>18</v>
      </c>
      <c r="N108" s="46">
        <f>'[1]2018'!N116+'[1]2019'!N116+'[1]2020'!N116</f>
        <v>0</v>
      </c>
      <c r="O108" s="46">
        <f>'[1]2018'!O116+'[1]2019'!O116+'[1]2020'!O116</f>
        <v>1</v>
      </c>
      <c r="P108" s="46">
        <f>'[1]2018'!P116+'[1]2019'!P116+'[1]2020'!P116</f>
        <v>0</v>
      </c>
      <c r="Q108" s="46">
        <f>'[1]2018'!Q116+'[1]2019'!Q116+'[1]2020'!Q116</f>
        <v>4</v>
      </c>
      <c r="R108" s="46">
        <f>'[1]2018'!R116+'[1]2019'!R116+'[1]2020'!R116</f>
        <v>1</v>
      </c>
      <c r="S108" s="46">
        <f>'[1]2018'!S116+'[1]2019'!S116+'[1]2020'!S116</f>
        <v>57</v>
      </c>
      <c r="T108" s="46">
        <f>'[1]2018'!T116+'[1]2019'!T116+'[1]2020'!T116</f>
        <v>0</v>
      </c>
      <c r="U108" s="46">
        <f>'[1]2018'!U116+'[1]2019'!U116+'[1]2020'!U116</f>
        <v>0</v>
      </c>
      <c r="V108" s="46">
        <f>'[1]2018'!V116+'[1]2019'!V116+'[1]2020'!V116</f>
        <v>0</v>
      </c>
      <c r="W108" s="46">
        <f>'[1]2018'!W116+'[1]2019'!W116+'[1]2020'!W116</f>
        <v>0</v>
      </c>
      <c r="X108" s="46">
        <f>'[1]2018'!X116+'[1]2019'!X116+'[1]2020'!X116</f>
        <v>0</v>
      </c>
      <c r="Y108" s="41">
        <f t="shared" si="11"/>
        <v>1119</v>
      </c>
      <c r="Z108" s="11">
        <f>'[1]2018'!Z116+'[1]2019'!Z116+'[1]2020'!Z116</f>
        <v>88</v>
      </c>
      <c r="AA108" s="11">
        <f>'[1]2018'!AA116+'[1]2019'!AA116+'[1]2020'!AA116</f>
        <v>4</v>
      </c>
      <c r="AB108" s="11">
        <f>'[1]2018'!AB116+'[1]2019'!AB116+'[1]2020'!AB116</f>
        <v>790</v>
      </c>
      <c r="AC108" s="11">
        <f>'[1]2018'!AC116+'[1]2019'!AC116+'[1]2020'!AC116</f>
        <v>20</v>
      </c>
      <c r="AD108" s="11">
        <f>'[1]2018'!AD116+'[1]2019'!AD116+'[1]2020'!AD116</f>
        <v>0</v>
      </c>
      <c r="AE108" s="11">
        <f>'[1]2018'!AE116+'[1]2019'!AE116+'[1]2020'!AE116</f>
        <v>0</v>
      </c>
      <c r="AF108" s="11">
        <f>'[1]2018'!AF116+'[1]2019'!AF116+'[1]2020'!AF116</f>
        <v>717</v>
      </c>
      <c r="AG108" s="11">
        <f>'[1]2018'!AG116+'[1]2019'!AG116+'[1]2020'!AG116</f>
        <v>0</v>
      </c>
      <c r="AH108" s="11">
        <f>'[1]2018'!AH116+'[1]2019'!AH116+'[1]2020'!AH116</f>
        <v>12</v>
      </c>
      <c r="AI108" s="11">
        <f>'[1]2018'!AI116+'[1]2019'!AI116+'[1]2020'!AI116</f>
        <v>17</v>
      </c>
      <c r="AJ108" s="11">
        <f>'[1]2018'!AJ116+'[1]2019'!AJ116+'[1]2020'!AJ116</f>
        <v>20</v>
      </c>
      <c r="AK108" s="11">
        <f>'[1]2018'!AK116+'[1]2019'!AK116+'[1]2020'!AK116</f>
        <v>12</v>
      </c>
      <c r="AL108" s="11">
        <f>'[1]2018'!AL116+'[1]2019'!AL116+'[1]2020'!AL116</f>
        <v>0</v>
      </c>
      <c r="AM108" s="11">
        <f>'[1]2018'!AM116+'[1]2019'!AM116+'[1]2020'!AM116</f>
        <v>1</v>
      </c>
      <c r="AN108" s="11">
        <f>'[1]2018'!AN116+'[1]2019'!AN116+'[1]2020'!AN116</f>
        <v>0</v>
      </c>
      <c r="AO108" s="11">
        <f>'[1]2018'!AO116+'[1]2019'!AO116+'[1]2020'!AO116</f>
        <v>4</v>
      </c>
      <c r="AP108" s="11">
        <f>'[1]2018'!AP116+'[1]2019'!AP116+'[1]2020'!AP116</f>
        <v>1</v>
      </c>
      <c r="AQ108" s="11">
        <f>'[1]2018'!AQ116+'[1]2019'!AQ116+'[1]2020'!AQ116</f>
        <v>6</v>
      </c>
      <c r="AR108" s="11">
        <f>'[1]2018'!AR116+'[1]2019'!AR116+'[1]2020'!AR116</f>
        <v>0</v>
      </c>
      <c r="AS108" s="11">
        <f>'[1]2018'!AS116+'[1]2019'!AS116+'[1]2020'!AS116</f>
        <v>0</v>
      </c>
      <c r="AT108" s="11">
        <f>'[1]2018'!AT116+'[1]2019'!AT116+'[1]2020'!AT116</f>
        <v>0</v>
      </c>
      <c r="AU108" s="11">
        <f>'[1]2018'!AU116+'[1]2019'!AU116+'[1]2020'!AU116</f>
        <v>0</v>
      </c>
      <c r="AV108" s="11">
        <f>'[1]2018'!AV116+'[1]2019'!AV116+'[1]2020'!AV116</f>
        <v>0</v>
      </c>
      <c r="AW108" s="41">
        <f t="shared" si="12"/>
        <v>790</v>
      </c>
      <c r="AX108" s="14">
        <f t="shared" si="13"/>
        <v>675.32937370600405</v>
      </c>
      <c r="AY108" s="2">
        <f>'[1]2018'!AX116+'[1]2019'!AX116+'[1]2020'!AX116</f>
        <v>2025.9881211180123</v>
      </c>
    </row>
    <row r="109" spans="1:136" x14ac:dyDescent="0.25">
      <c r="A109" s="10" t="s">
        <v>190</v>
      </c>
      <c r="B109" s="46">
        <f>'[1]2018'!B117+'[1]2019'!B117+'[1]2020'!B117</f>
        <v>427</v>
      </c>
      <c r="C109" s="46">
        <f>'[1]2018'!C117+'[1]2019'!C117+'[1]2020'!C117</f>
        <v>1</v>
      </c>
      <c r="D109" s="46">
        <f>'[1]2018'!D117+'[1]2019'!D117+'[1]2020'!D117</f>
        <v>855</v>
      </c>
      <c r="E109" s="46">
        <f>'[1]2018'!E117+'[1]2019'!E117+'[1]2020'!E117</f>
        <v>4</v>
      </c>
      <c r="F109" s="46">
        <f>'[1]2018'!F117+'[1]2019'!F117+'[1]2020'!F117</f>
        <v>0</v>
      </c>
      <c r="G109" s="46">
        <f>'[1]2018'!G117+'[1]2019'!G117+'[1]2020'!G117</f>
        <v>0</v>
      </c>
      <c r="H109" s="46">
        <f>'[1]2018'!H117+'[1]2019'!H117+'[1]2020'!H117</f>
        <v>1</v>
      </c>
      <c r="I109" s="46">
        <f>'[1]2018'!I117+'[1]2019'!I117+'[1]2020'!I117</f>
        <v>0</v>
      </c>
      <c r="J109" s="46">
        <f>'[1]2018'!J117+'[1]2019'!J117+'[1]2020'!J117</f>
        <v>0</v>
      </c>
      <c r="K109" s="46">
        <f>'[1]2018'!K117+'[1]2019'!K117+'[1]2020'!K117</f>
        <v>10</v>
      </c>
      <c r="L109" s="46">
        <f>'[1]2018'!L117+'[1]2019'!L117+'[1]2020'!L117</f>
        <v>14</v>
      </c>
      <c r="M109" s="46">
        <f>'[1]2018'!M117+'[1]2019'!M117+'[1]2020'!M117</f>
        <v>1</v>
      </c>
      <c r="N109" s="46">
        <f>'[1]2018'!N117+'[1]2019'!N117+'[1]2020'!N117</f>
        <v>0</v>
      </c>
      <c r="O109" s="46">
        <f>'[1]2018'!O117+'[1]2019'!O117+'[1]2020'!O117</f>
        <v>4</v>
      </c>
      <c r="P109" s="46">
        <f>'[1]2018'!P117+'[1]2019'!P117+'[1]2020'!P117</f>
        <v>0</v>
      </c>
      <c r="Q109" s="46">
        <f>'[1]2018'!Q117+'[1]2019'!Q117+'[1]2020'!Q117</f>
        <v>1</v>
      </c>
      <c r="R109" s="46">
        <f>'[1]2018'!R117+'[1]2019'!R117+'[1]2020'!R117</f>
        <v>0</v>
      </c>
      <c r="S109" s="46">
        <f>'[1]2018'!S117+'[1]2019'!S117+'[1]2020'!S117</f>
        <v>0</v>
      </c>
      <c r="T109" s="46">
        <f>'[1]2018'!T117+'[1]2019'!T117+'[1]2020'!T117</f>
        <v>0</v>
      </c>
      <c r="U109" s="46">
        <f>'[1]2018'!U117+'[1]2019'!U117+'[1]2020'!U117</f>
        <v>9</v>
      </c>
      <c r="V109" s="46">
        <f>'[1]2018'!V117+'[1]2019'!V117+'[1]2020'!V117</f>
        <v>0</v>
      </c>
      <c r="W109" s="46">
        <f>'[1]2018'!W117+'[1]2019'!W117+'[1]2020'!W117</f>
        <v>2</v>
      </c>
      <c r="X109" s="46">
        <f>'[1]2018'!X117+'[1]2019'!X117+'[1]2020'!X117</f>
        <v>813</v>
      </c>
      <c r="Y109" s="41">
        <f t="shared" si="11"/>
        <v>855</v>
      </c>
      <c r="Z109" s="11">
        <f>'[1]2018'!Z117+'[1]2019'!Z117+'[1]2020'!Z117</f>
        <v>297</v>
      </c>
      <c r="AA109" s="11">
        <f>'[1]2018'!AA117+'[1]2019'!AA117+'[1]2020'!AA117</f>
        <v>1</v>
      </c>
      <c r="AB109" s="11">
        <f>'[1]2018'!AB117+'[1]2019'!AB117+'[1]2020'!AB117</f>
        <v>477</v>
      </c>
      <c r="AC109" s="11">
        <f>'[1]2018'!AC117+'[1]2019'!AC117+'[1]2020'!AC117</f>
        <v>4</v>
      </c>
      <c r="AD109" s="11">
        <f>'[1]2018'!AD117+'[1]2019'!AD117+'[1]2020'!AD117</f>
        <v>0</v>
      </c>
      <c r="AE109" s="11">
        <f>'[1]2018'!AE117+'[1]2019'!AE117+'[1]2020'!AE117</f>
        <v>0</v>
      </c>
      <c r="AF109" s="11">
        <f>'[1]2018'!AF117+'[1]2019'!AF117+'[1]2020'!AF117</f>
        <v>3</v>
      </c>
      <c r="AG109" s="11">
        <f>'[1]2018'!AG117+'[1]2019'!AG117+'[1]2020'!AG117</f>
        <v>0</v>
      </c>
      <c r="AH109" s="11">
        <f>'[1]2018'!AH117+'[1]2019'!AH117+'[1]2020'!AH117</f>
        <v>0</v>
      </c>
      <c r="AI109" s="11">
        <f>'[1]2018'!AI117+'[1]2019'!AI117+'[1]2020'!AI117</f>
        <v>8</v>
      </c>
      <c r="AJ109" s="11">
        <f>'[1]2018'!AJ117+'[1]2019'!AJ117+'[1]2020'!AJ117</f>
        <v>7</v>
      </c>
      <c r="AK109" s="11">
        <f>'[1]2018'!AK117+'[1]2019'!AK117+'[1]2020'!AK117</f>
        <v>0</v>
      </c>
      <c r="AL109" s="11">
        <f>'[1]2018'!AL117+'[1]2019'!AL117+'[1]2020'!AL117</f>
        <v>0</v>
      </c>
      <c r="AM109" s="11">
        <f>'[1]2018'!AM117+'[1]2019'!AM117+'[1]2020'!AM117</f>
        <v>2</v>
      </c>
      <c r="AN109" s="11">
        <f>'[1]2018'!AN117+'[1]2019'!AN117+'[1]2020'!AN117</f>
        <v>0</v>
      </c>
      <c r="AO109" s="11">
        <f>'[1]2018'!AO117+'[1]2019'!AO117+'[1]2020'!AO117</f>
        <v>1</v>
      </c>
      <c r="AP109" s="11">
        <f>'[1]2018'!AP117+'[1]2019'!AP117+'[1]2020'!AP117</f>
        <v>0</v>
      </c>
      <c r="AQ109" s="11">
        <f>'[1]2018'!AQ117+'[1]2019'!AQ117+'[1]2020'!AQ117</f>
        <v>0</v>
      </c>
      <c r="AR109" s="11">
        <f>'[1]2018'!AR117+'[1]2019'!AR117+'[1]2020'!AR117</f>
        <v>0</v>
      </c>
      <c r="AS109" s="11">
        <f>'[1]2018'!AS117+'[1]2019'!AS117+'[1]2020'!AS117</f>
        <v>5</v>
      </c>
      <c r="AT109" s="11">
        <f>'[1]2018'!AT117+'[1]2019'!AT117+'[1]2020'!AT117</f>
        <v>0</v>
      </c>
      <c r="AU109" s="11">
        <f>'[1]2018'!AU117+'[1]2019'!AU117+'[1]2020'!AU117</f>
        <v>1</v>
      </c>
      <c r="AV109" s="11">
        <f>'[1]2018'!AV117+'[1]2019'!AV117+'[1]2020'!AV117</f>
        <v>450</v>
      </c>
      <c r="AW109" s="41">
        <f t="shared" si="12"/>
        <v>477</v>
      </c>
      <c r="AX109" s="14">
        <f t="shared" si="13"/>
        <v>3832.4223893372459</v>
      </c>
      <c r="AY109" s="2">
        <f>'[1]2018'!AX117+'[1]2019'!AX117+'[1]2020'!AX117</f>
        <v>11497.267168011738</v>
      </c>
    </row>
    <row r="110" spans="1:136" x14ac:dyDescent="0.25">
      <c r="A110" s="10" t="s">
        <v>191</v>
      </c>
      <c r="B110" s="46">
        <f>'[1]2018'!B118+'[1]2019'!B118+'[1]2020'!B118</f>
        <v>28</v>
      </c>
      <c r="C110" s="46">
        <f>'[1]2018'!C118+'[1]2019'!C118+'[1]2020'!C118</f>
        <v>8</v>
      </c>
      <c r="D110" s="46">
        <f>'[1]2018'!D118+'[1]2019'!D118+'[1]2020'!D118</f>
        <v>35</v>
      </c>
      <c r="E110" s="46">
        <f>'[1]2018'!E118+'[1]2019'!E118+'[1]2020'!E118</f>
        <v>8</v>
      </c>
      <c r="F110" s="46">
        <f>'[1]2018'!F118+'[1]2019'!F118+'[1]2020'!F118</f>
        <v>0</v>
      </c>
      <c r="G110" s="46">
        <f>'[1]2018'!G118+'[1]2019'!G118+'[1]2020'!G118</f>
        <v>1</v>
      </c>
      <c r="H110" s="46">
        <f>'[1]2018'!H118+'[1]2019'!H118+'[1]2020'!H118</f>
        <v>0</v>
      </c>
      <c r="I110" s="46">
        <f>'[1]2018'!I118+'[1]2019'!I118+'[1]2020'!I118</f>
        <v>0</v>
      </c>
      <c r="J110" s="46">
        <f>'[1]2018'!J118+'[1]2019'!J118+'[1]2020'!J118</f>
        <v>0</v>
      </c>
      <c r="K110" s="46">
        <f>'[1]2018'!K118+'[1]2019'!K118+'[1]2020'!K118</f>
        <v>34</v>
      </c>
      <c r="L110" s="46">
        <f>'[1]2018'!L118+'[1]2019'!L118+'[1]2020'!L118</f>
        <v>0</v>
      </c>
      <c r="M110" s="46">
        <f>'[1]2018'!M118+'[1]2019'!M118+'[1]2020'!M118</f>
        <v>0</v>
      </c>
      <c r="N110" s="46">
        <f>'[1]2018'!N118+'[1]2019'!N118+'[1]2020'!N118</f>
        <v>0</v>
      </c>
      <c r="O110" s="46">
        <f>'[1]2018'!O118+'[1]2019'!O118+'[1]2020'!O118</f>
        <v>0</v>
      </c>
      <c r="P110" s="46">
        <f>'[1]2018'!P118+'[1]2019'!P118+'[1]2020'!P118</f>
        <v>0</v>
      </c>
      <c r="Q110" s="46">
        <f>'[1]2018'!Q118+'[1]2019'!Q118+'[1]2020'!Q118</f>
        <v>0</v>
      </c>
      <c r="R110" s="46">
        <f>'[1]2018'!R118+'[1]2019'!R118+'[1]2020'!R118</f>
        <v>0</v>
      </c>
      <c r="S110" s="46">
        <f>'[1]2018'!S118+'[1]2019'!S118+'[1]2020'!S118</f>
        <v>0</v>
      </c>
      <c r="T110" s="46">
        <f>'[1]2018'!T118+'[1]2019'!T118+'[1]2020'!T118</f>
        <v>0</v>
      </c>
      <c r="U110" s="46">
        <f>'[1]2018'!U118+'[1]2019'!U118+'[1]2020'!U118</f>
        <v>0</v>
      </c>
      <c r="V110" s="46">
        <f>'[1]2018'!V118+'[1]2019'!V118+'[1]2020'!V118</f>
        <v>0</v>
      </c>
      <c r="W110" s="46">
        <f>'[1]2018'!W118+'[1]2019'!W118+'[1]2020'!W118</f>
        <v>0</v>
      </c>
      <c r="X110" s="46">
        <f>'[1]2018'!X118+'[1]2019'!X118+'[1]2020'!X118</f>
        <v>0</v>
      </c>
      <c r="Y110" s="41">
        <f t="shared" si="11"/>
        <v>35</v>
      </c>
      <c r="Z110" s="11">
        <f>'[1]2018'!Z118+'[1]2019'!Z118+'[1]2020'!Z118</f>
        <v>16</v>
      </c>
      <c r="AA110" s="11">
        <f>'[1]2018'!AA118+'[1]2019'!AA118+'[1]2020'!AA118</f>
        <v>5</v>
      </c>
      <c r="AB110" s="11">
        <f>'[1]2018'!AB118+'[1]2019'!AB118+'[1]2020'!AB118</f>
        <v>24</v>
      </c>
      <c r="AC110" s="11">
        <f>'[1]2018'!AC118+'[1]2019'!AC118+'[1]2020'!AC118</f>
        <v>5</v>
      </c>
      <c r="AD110" s="11">
        <f>'[1]2018'!AD118+'[1]2019'!AD118+'[1]2020'!AD118</f>
        <v>0</v>
      </c>
      <c r="AE110" s="11">
        <f>'[1]2018'!AE118+'[1]2019'!AE118+'[1]2020'!AE118</f>
        <v>1</v>
      </c>
      <c r="AF110" s="11">
        <f>'[1]2018'!AF118+'[1]2019'!AF118+'[1]2020'!AF118</f>
        <v>0</v>
      </c>
      <c r="AG110" s="11">
        <f>'[1]2018'!AG118+'[1]2019'!AG118+'[1]2020'!AG118</f>
        <v>0</v>
      </c>
      <c r="AH110" s="11">
        <f>'[1]2018'!AH118+'[1]2019'!AH118+'[1]2020'!AH118</f>
        <v>0</v>
      </c>
      <c r="AI110" s="11">
        <f>'[1]2018'!AI118+'[1]2019'!AI118+'[1]2020'!AI118</f>
        <v>23</v>
      </c>
      <c r="AJ110" s="11">
        <f>'[1]2018'!AJ118+'[1]2019'!AJ118+'[1]2020'!AJ118</f>
        <v>0</v>
      </c>
      <c r="AK110" s="11">
        <f>'[1]2018'!AK118+'[1]2019'!AK118+'[1]2020'!AK118</f>
        <v>0</v>
      </c>
      <c r="AL110" s="11">
        <f>'[1]2018'!AL118+'[1]2019'!AL118+'[1]2020'!AL118</f>
        <v>0</v>
      </c>
      <c r="AM110" s="11">
        <f>'[1]2018'!AM118+'[1]2019'!AM118+'[1]2020'!AM118</f>
        <v>0</v>
      </c>
      <c r="AN110" s="11">
        <f>'[1]2018'!AN118+'[1]2019'!AN118+'[1]2020'!AN118</f>
        <v>0</v>
      </c>
      <c r="AO110" s="11">
        <f>'[1]2018'!AO118+'[1]2019'!AO118+'[1]2020'!AO118</f>
        <v>0</v>
      </c>
      <c r="AP110" s="11">
        <f>'[1]2018'!AP118+'[1]2019'!AP118+'[1]2020'!AP118</f>
        <v>0</v>
      </c>
      <c r="AQ110" s="11">
        <f>'[1]2018'!AQ118+'[1]2019'!AQ118+'[1]2020'!AQ118</f>
        <v>0</v>
      </c>
      <c r="AR110" s="11">
        <f>'[1]2018'!AR118+'[1]2019'!AR118+'[1]2020'!AR118</f>
        <v>0</v>
      </c>
      <c r="AS110" s="11">
        <f>'[1]2018'!AS118+'[1]2019'!AS118+'[1]2020'!AS118</f>
        <v>0</v>
      </c>
      <c r="AT110" s="11">
        <f>'[1]2018'!AT118+'[1]2019'!AT118+'[1]2020'!AT118</f>
        <v>0</v>
      </c>
      <c r="AU110" s="11">
        <f>'[1]2018'!AU118+'[1]2019'!AU118+'[1]2020'!AU118</f>
        <v>0</v>
      </c>
      <c r="AV110" s="11">
        <f>'[1]2018'!AV118+'[1]2019'!AV118+'[1]2020'!AV118</f>
        <v>0</v>
      </c>
      <c r="AW110" s="41">
        <f t="shared" si="12"/>
        <v>24</v>
      </c>
      <c r="AX110" s="14">
        <f t="shared" si="13"/>
        <v>1964.7911111111109</v>
      </c>
      <c r="AY110" s="2">
        <f>'[1]2018'!AX118+'[1]2019'!AX118+'[1]2020'!AX118</f>
        <v>5894.373333333333</v>
      </c>
    </row>
    <row r="111" spans="1:136" x14ac:dyDescent="0.25">
      <c r="A111" s="10" t="s">
        <v>192</v>
      </c>
      <c r="B111" s="46">
        <f>'[1]2018'!B119+'[1]2019'!B119+'[1]2020'!B119</f>
        <v>7</v>
      </c>
      <c r="C111" s="46">
        <f>'[1]2018'!C119+'[1]2019'!C119+'[1]2020'!C119</f>
        <v>0</v>
      </c>
      <c r="D111" s="46">
        <f>'[1]2018'!D119+'[1]2019'!D119+'[1]2020'!D119</f>
        <v>30</v>
      </c>
      <c r="E111" s="46">
        <f>'[1]2018'!E119+'[1]2019'!E119+'[1]2020'!E119</f>
        <v>0</v>
      </c>
      <c r="F111" s="46">
        <f>'[1]2018'!F119+'[1]2019'!F119+'[1]2020'!F119</f>
        <v>0</v>
      </c>
      <c r="G111" s="46">
        <f>'[1]2018'!G119+'[1]2019'!G119+'[1]2020'!G119</f>
        <v>0</v>
      </c>
      <c r="H111" s="46">
        <f>'[1]2018'!H119+'[1]2019'!H119+'[1]2020'!H119</f>
        <v>26</v>
      </c>
      <c r="I111" s="46">
        <f>'[1]2018'!I119+'[1]2019'!I119+'[1]2020'!I119</f>
        <v>0</v>
      </c>
      <c r="J111" s="46">
        <f>'[1]2018'!J119+'[1]2019'!J119+'[1]2020'!J119</f>
        <v>0</v>
      </c>
      <c r="K111" s="46">
        <f>'[1]2018'!K119+'[1]2019'!K119+'[1]2020'!K119</f>
        <v>1</v>
      </c>
      <c r="L111" s="46">
        <f>'[1]2018'!L119+'[1]2019'!L119+'[1]2020'!L119</f>
        <v>0</v>
      </c>
      <c r="M111" s="46">
        <f>'[1]2018'!M119+'[1]2019'!M119+'[1]2020'!M119</f>
        <v>0</v>
      </c>
      <c r="N111" s="46">
        <f>'[1]2018'!N119+'[1]2019'!N119+'[1]2020'!N119</f>
        <v>0</v>
      </c>
      <c r="O111" s="46">
        <f>'[1]2018'!O119+'[1]2019'!O119+'[1]2020'!O119</f>
        <v>0</v>
      </c>
      <c r="P111" s="46">
        <f>'[1]2018'!P119+'[1]2019'!P119+'[1]2020'!P119</f>
        <v>0</v>
      </c>
      <c r="Q111" s="46">
        <f>'[1]2018'!Q119+'[1]2019'!Q119+'[1]2020'!Q119</f>
        <v>0</v>
      </c>
      <c r="R111" s="46">
        <f>'[1]2018'!R119+'[1]2019'!R119+'[1]2020'!R119</f>
        <v>0</v>
      </c>
      <c r="S111" s="46">
        <f>'[1]2018'!S119+'[1]2019'!S119+'[1]2020'!S119</f>
        <v>0</v>
      </c>
      <c r="T111" s="46">
        <f>'[1]2018'!T119+'[1]2019'!T119+'[1]2020'!T119</f>
        <v>0</v>
      </c>
      <c r="U111" s="46">
        <f>'[1]2018'!U119+'[1]2019'!U119+'[1]2020'!U119</f>
        <v>0</v>
      </c>
      <c r="V111" s="46">
        <f>'[1]2018'!V119+'[1]2019'!V119+'[1]2020'!V119</f>
        <v>0</v>
      </c>
      <c r="W111" s="46">
        <f>'[1]2018'!W119+'[1]2019'!W119+'[1]2020'!W119</f>
        <v>0</v>
      </c>
      <c r="X111" s="46">
        <f>'[1]2018'!X119+'[1]2019'!X119+'[1]2020'!X119</f>
        <v>3</v>
      </c>
      <c r="Y111" s="41">
        <f t="shared" si="11"/>
        <v>30</v>
      </c>
      <c r="Z111" s="11">
        <f>'[1]2018'!Z119+'[1]2019'!Z119+'[1]2020'!Z119</f>
        <v>6</v>
      </c>
      <c r="AA111" s="11">
        <f>'[1]2018'!AA119+'[1]2019'!AA119+'[1]2020'!AA119</f>
        <v>0</v>
      </c>
      <c r="AB111" s="11">
        <f>'[1]2018'!AB119+'[1]2019'!AB119+'[1]2020'!AB119</f>
        <v>26</v>
      </c>
      <c r="AC111" s="11">
        <f>'[1]2018'!AC119+'[1]2019'!AC119+'[1]2020'!AC119</f>
        <v>0</v>
      </c>
      <c r="AD111" s="11">
        <f>'[1]2018'!AD119+'[1]2019'!AD119+'[1]2020'!AD119</f>
        <v>0</v>
      </c>
      <c r="AE111" s="11">
        <f>'[1]2018'!AE119+'[1]2019'!AE119+'[1]2020'!AE119</f>
        <v>0</v>
      </c>
      <c r="AF111" s="11">
        <f>'[1]2018'!AF119+'[1]2019'!AF119+'[1]2020'!AF119</f>
        <v>23</v>
      </c>
      <c r="AG111" s="11">
        <f>'[1]2018'!AG119+'[1]2019'!AG119+'[1]2020'!AG119</f>
        <v>0</v>
      </c>
      <c r="AH111" s="11">
        <f>'[1]2018'!AH119+'[1]2019'!AH119+'[1]2020'!AH119</f>
        <v>0</v>
      </c>
      <c r="AI111" s="11">
        <f>'[1]2018'!AI119+'[1]2019'!AI119+'[1]2020'!AI119</f>
        <v>0</v>
      </c>
      <c r="AJ111" s="11">
        <f>'[1]2018'!AJ119+'[1]2019'!AJ119+'[1]2020'!AJ119</f>
        <v>0</v>
      </c>
      <c r="AK111" s="11">
        <f>'[1]2018'!AK119+'[1]2019'!AK119+'[1]2020'!AK119</f>
        <v>0</v>
      </c>
      <c r="AL111" s="11">
        <f>'[1]2018'!AL119+'[1]2019'!AL119+'[1]2020'!AL119</f>
        <v>0</v>
      </c>
      <c r="AM111" s="11">
        <f>'[1]2018'!AM119+'[1]2019'!AM119+'[1]2020'!AM119</f>
        <v>0</v>
      </c>
      <c r="AN111" s="11">
        <f>'[1]2018'!AN119+'[1]2019'!AN119+'[1]2020'!AN119</f>
        <v>0</v>
      </c>
      <c r="AO111" s="11">
        <f>'[1]2018'!AO119+'[1]2019'!AO119+'[1]2020'!AO119</f>
        <v>0</v>
      </c>
      <c r="AP111" s="11">
        <f>'[1]2018'!AP119+'[1]2019'!AP119+'[1]2020'!AP119</f>
        <v>0</v>
      </c>
      <c r="AQ111" s="11">
        <f>'[1]2018'!AQ119+'[1]2019'!AQ119+'[1]2020'!AQ119</f>
        <v>0</v>
      </c>
      <c r="AR111" s="11">
        <f>'[1]2018'!AR119+'[1]2019'!AR119+'[1]2020'!AR119</f>
        <v>0</v>
      </c>
      <c r="AS111" s="11">
        <f>'[1]2018'!AS119+'[1]2019'!AS119+'[1]2020'!AS119</f>
        <v>0</v>
      </c>
      <c r="AT111" s="11">
        <f>'[1]2018'!AT119+'[1]2019'!AT119+'[1]2020'!AT119</f>
        <v>0</v>
      </c>
      <c r="AU111" s="11">
        <f>'[1]2018'!AU119+'[1]2019'!AU119+'[1]2020'!AU119</f>
        <v>0</v>
      </c>
      <c r="AV111" s="11">
        <f>'[1]2018'!AV119+'[1]2019'!AV119+'[1]2020'!AV119</f>
        <v>3</v>
      </c>
      <c r="AW111" s="41">
        <f t="shared" si="12"/>
        <v>26</v>
      </c>
      <c r="AX111" s="14">
        <f t="shared" si="13"/>
        <v>3764.6</v>
      </c>
      <c r="AY111" s="2">
        <f>'[1]2018'!AX119+'[1]2019'!AX119+'[1]2020'!AX119</f>
        <v>11293.8</v>
      </c>
    </row>
    <row r="112" spans="1:136" x14ac:dyDescent="0.25">
      <c r="A112" s="10" t="s">
        <v>193</v>
      </c>
      <c r="B112" s="46">
        <f>'[1]2018'!B120+'[1]2019'!B120+'[1]2020'!B120</f>
        <v>30</v>
      </c>
      <c r="C112" s="46">
        <f>'[1]2018'!C120+'[1]2019'!C120+'[1]2020'!C120</f>
        <v>2</v>
      </c>
      <c r="D112" s="46">
        <f>'[1]2018'!D120+'[1]2019'!D120+'[1]2020'!D120</f>
        <v>210</v>
      </c>
      <c r="E112" s="46">
        <f>'[1]2018'!E120+'[1]2019'!E120+'[1]2020'!E120</f>
        <v>5</v>
      </c>
      <c r="F112" s="46">
        <f>'[1]2018'!F120+'[1]2019'!F120+'[1]2020'!F120</f>
        <v>0</v>
      </c>
      <c r="G112" s="46">
        <f>'[1]2018'!G120+'[1]2019'!G120+'[1]2020'!G120</f>
        <v>3</v>
      </c>
      <c r="H112" s="46">
        <f>'[1]2018'!H120+'[1]2019'!H120+'[1]2020'!H120</f>
        <v>174</v>
      </c>
      <c r="I112" s="46">
        <f>'[1]2018'!I120+'[1]2019'!I120+'[1]2020'!I120</f>
        <v>0</v>
      </c>
      <c r="J112" s="46">
        <f>'[1]2018'!J120+'[1]2019'!J120+'[1]2020'!J120</f>
        <v>13</v>
      </c>
      <c r="K112" s="46">
        <f>'[1]2018'!K120+'[1]2019'!K120+'[1]2020'!K120</f>
        <v>11</v>
      </c>
      <c r="L112" s="46">
        <f>'[1]2018'!L120+'[1]2019'!L120+'[1]2020'!L120</f>
        <v>3</v>
      </c>
      <c r="M112" s="46">
        <f>'[1]2018'!M120+'[1]2019'!M120+'[1]2020'!M120</f>
        <v>1</v>
      </c>
      <c r="N112" s="46">
        <f>'[1]2018'!N120+'[1]2019'!N120+'[1]2020'!N120</f>
        <v>0</v>
      </c>
      <c r="O112" s="46">
        <f>'[1]2018'!O120+'[1]2019'!O120+'[1]2020'!O120</f>
        <v>0</v>
      </c>
      <c r="P112" s="46">
        <f>'[1]2018'!P120+'[1]2019'!P120+'[1]2020'!P120</f>
        <v>0</v>
      </c>
      <c r="Q112" s="46">
        <f>'[1]2018'!Q120+'[1]2019'!Q120+'[1]2020'!Q120</f>
        <v>0</v>
      </c>
      <c r="R112" s="46">
        <f>'[1]2018'!R120+'[1]2019'!R120+'[1]2020'!R120</f>
        <v>5</v>
      </c>
      <c r="S112" s="46">
        <f>'[1]2018'!S120+'[1]2019'!S120+'[1]2020'!S120</f>
        <v>0</v>
      </c>
      <c r="T112" s="46">
        <f>'[1]2018'!T120+'[1]2019'!T120+'[1]2020'!T120</f>
        <v>0</v>
      </c>
      <c r="U112" s="46">
        <f>'[1]2018'!U120+'[1]2019'!U120+'[1]2020'!U120</f>
        <v>0</v>
      </c>
      <c r="V112" s="46">
        <f>'[1]2018'!V120+'[1]2019'!V120+'[1]2020'!V120</f>
        <v>0</v>
      </c>
      <c r="W112" s="46">
        <f>'[1]2018'!W120+'[1]2019'!W120+'[1]2020'!W120</f>
        <v>0</v>
      </c>
      <c r="X112" s="46">
        <f>'[1]2018'!X120+'[1]2019'!X120+'[1]2020'!X120</f>
        <v>0</v>
      </c>
      <c r="Y112" s="41">
        <f t="shared" si="11"/>
        <v>210</v>
      </c>
      <c r="Z112" s="11">
        <f>'[1]2018'!Z120+'[1]2019'!Z120+'[1]2020'!Z120</f>
        <v>35</v>
      </c>
      <c r="AA112" s="11">
        <f>'[1]2018'!AA120+'[1]2019'!AA120+'[1]2020'!AA120</f>
        <v>2</v>
      </c>
      <c r="AB112" s="11">
        <f>'[1]2018'!AB120+'[1]2019'!AB120+'[1]2020'!AB120</f>
        <v>169</v>
      </c>
      <c r="AC112" s="11">
        <f>'[1]2018'!AC120+'[1]2019'!AC120+'[1]2020'!AC120</f>
        <v>5</v>
      </c>
      <c r="AD112" s="11">
        <f>'[1]2018'!AD120+'[1]2019'!AD120+'[1]2020'!AD120</f>
        <v>0</v>
      </c>
      <c r="AE112" s="11">
        <f>'[1]2018'!AE120+'[1]2019'!AE120+'[1]2020'!AE120</f>
        <v>1</v>
      </c>
      <c r="AF112" s="11">
        <f>'[1]2018'!AF120+'[1]2019'!AF120+'[1]2020'!AF120</f>
        <v>147</v>
      </c>
      <c r="AG112" s="11">
        <f>'[1]2018'!AG120+'[1]2019'!AG120+'[1]2020'!AG120</f>
        <v>0</v>
      </c>
      <c r="AH112" s="11">
        <f>'[1]2018'!AH120+'[1]2019'!AH120+'[1]2020'!AH120</f>
        <v>12</v>
      </c>
      <c r="AI112" s="11">
        <f>'[1]2018'!AI120+'[1]2019'!AI120+'[1]2020'!AI120</f>
        <v>6</v>
      </c>
      <c r="AJ112" s="11">
        <f>'[1]2018'!AJ120+'[1]2019'!AJ120+'[1]2020'!AJ120</f>
        <v>1</v>
      </c>
      <c r="AK112" s="11">
        <f>'[1]2018'!AK120+'[1]2019'!AK120+'[1]2020'!AK120</f>
        <v>0</v>
      </c>
      <c r="AL112" s="11">
        <f>'[1]2018'!AL120+'[1]2019'!AL120+'[1]2020'!AL120</f>
        <v>0</v>
      </c>
      <c r="AM112" s="11">
        <f>'[1]2018'!AM120+'[1]2019'!AM120+'[1]2020'!AM120</f>
        <v>0</v>
      </c>
      <c r="AN112" s="11">
        <f>'[1]2018'!AN120+'[1]2019'!AN120+'[1]2020'!AN120</f>
        <v>0</v>
      </c>
      <c r="AO112" s="11">
        <f>'[1]2018'!AO120+'[1]2019'!AO120+'[1]2020'!AO120</f>
        <v>0</v>
      </c>
      <c r="AP112" s="11">
        <f>'[1]2018'!AP120+'[1]2019'!AP120+'[1]2020'!AP120</f>
        <v>2</v>
      </c>
      <c r="AQ112" s="11">
        <f>'[1]2018'!AQ120+'[1]2019'!AQ120+'[1]2020'!AQ120</f>
        <v>0</v>
      </c>
      <c r="AR112" s="11">
        <f>'[1]2018'!AR120+'[1]2019'!AR120+'[1]2020'!AR120</f>
        <v>0</v>
      </c>
      <c r="AS112" s="11">
        <f>'[1]2018'!AS120+'[1]2019'!AS120+'[1]2020'!AS120</f>
        <v>0</v>
      </c>
      <c r="AT112" s="11">
        <f>'[1]2018'!AT120+'[1]2019'!AT120+'[1]2020'!AT120</f>
        <v>0</v>
      </c>
      <c r="AU112" s="11">
        <f>'[1]2018'!AU120+'[1]2019'!AU120+'[1]2020'!AU120</f>
        <v>0</v>
      </c>
      <c r="AV112" s="11">
        <f>'[1]2018'!AV120+'[1]2019'!AV120+'[1]2020'!AV120</f>
        <v>0</v>
      </c>
      <c r="AW112" s="41">
        <f t="shared" si="12"/>
        <v>169</v>
      </c>
      <c r="AX112" s="14">
        <f t="shared" si="13"/>
        <v>736.43043650793652</v>
      </c>
      <c r="AY112" s="2">
        <f>'[1]2018'!AX120+'[1]2019'!AX120+'[1]2020'!AX120</f>
        <v>2209.2913095238096</v>
      </c>
    </row>
    <row r="113" spans="1:51" x14ac:dyDescent="0.25">
      <c r="A113" s="10" t="s">
        <v>194</v>
      </c>
      <c r="B113" s="46">
        <f>'[1]2018'!B122+'[1]2019'!B122+'[1]2020'!B122</f>
        <v>647</v>
      </c>
      <c r="C113" s="46">
        <f>'[1]2018'!C122+'[1]2019'!C122+'[1]2020'!C122</f>
        <v>4</v>
      </c>
      <c r="D113" s="46">
        <f>'[1]2018'!D122+'[1]2019'!D122+'[1]2020'!D122</f>
        <v>3303</v>
      </c>
      <c r="E113" s="46">
        <f>'[1]2018'!E122+'[1]2019'!E122+'[1]2020'!E122</f>
        <v>3</v>
      </c>
      <c r="F113" s="46">
        <f>'[1]2018'!F122+'[1]2019'!F122+'[1]2020'!F122</f>
        <v>16</v>
      </c>
      <c r="G113" s="46">
        <f>'[1]2018'!G122+'[1]2019'!G122+'[1]2020'!G122</f>
        <v>5</v>
      </c>
      <c r="H113" s="46">
        <f>'[1]2018'!H122+'[1]2019'!H122+'[1]2020'!H122</f>
        <v>2830</v>
      </c>
      <c r="I113" s="46">
        <f>'[1]2018'!I122+'[1]2019'!I122+'[1]2020'!I122</f>
        <v>18</v>
      </c>
      <c r="J113" s="46">
        <f>'[1]2018'!J122+'[1]2019'!J122+'[1]2020'!J122</f>
        <v>6</v>
      </c>
      <c r="K113" s="46">
        <f>'[1]2018'!K122+'[1]2019'!K122+'[1]2020'!K122</f>
        <v>317</v>
      </c>
      <c r="L113" s="46">
        <f>'[1]2018'!L122+'[1]2019'!L122+'[1]2020'!L122</f>
        <v>51</v>
      </c>
      <c r="M113" s="46">
        <f>'[1]2018'!M122+'[1]2019'!M122+'[1]2020'!M122</f>
        <v>7</v>
      </c>
      <c r="N113" s="46">
        <f>'[1]2018'!N122+'[1]2019'!N122+'[1]2020'!N122</f>
        <v>0</v>
      </c>
      <c r="O113" s="46">
        <f>'[1]2018'!O122+'[1]2019'!O122+'[1]2020'!O122</f>
        <v>0</v>
      </c>
      <c r="P113" s="46">
        <f>'[1]2018'!P122+'[1]2019'!P122+'[1]2020'!P122</f>
        <v>4</v>
      </c>
      <c r="Q113" s="46">
        <f>'[1]2018'!Q122+'[1]2019'!Q122+'[1]2020'!Q122</f>
        <v>0</v>
      </c>
      <c r="R113" s="46">
        <f>'[1]2018'!R122+'[1]2019'!R122+'[1]2020'!R122</f>
        <v>13</v>
      </c>
      <c r="S113" s="46">
        <f>'[1]2018'!S122+'[1]2019'!S122+'[1]2020'!S122</f>
        <v>18</v>
      </c>
      <c r="T113" s="46">
        <f>'[1]2018'!T122+'[1]2019'!T122+'[1]2020'!T122</f>
        <v>0</v>
      </c>
      <c r="U113" s="46">
        <f>'[1]2018'!U122+'[1]2019'!U122+'[1]2020'!U122</f>
        <v>6</v>
      </c>
      <c r="V113" s="46">
        <f>'[1]2018'!V122+'[1]2019'!V122+'[1]2020'!V122</f>
        <v>2</v>
      </c>
      <c r="W113" s="46">
        <f>'[1]2018'!W122+'[1]2019'!W122+'[1]2020'!W122</f>
        <v>0</v>
      </c>
      <c r="X113" s="46">
        <f>'[1]2018'!X122+'[1]2019'!X122+'[1]2020'!X122</f>
        <v>10</v>
      </c>
      <c r="Y113" s="41">
        <f t="shared" si="11"/>
        <v>3303</v>
      </c>
      <c r="Z113" s="11">
        <f>'[1]2018'!Z122+'[1]2019'!Z122+'[1]2020'!Z122</f>
        <v>596</v>
      </c>
      <c r="AA113" s="11">
        <f>'[1]2018'!AA122+'[1]2019'!AA122+'[1]2020'!AA122</f>
        <v>3</v>
      </c>
      <c r="AB113" s="11">
        <f>'[1]2018'!AB122+'[1]2019'!AB122+'[1]2020'!AB122</f>
        <v>2609</v>
      </c>
      <c r="AC113" s="11">
        <f>'[1]2018'!AC122+'[1]2019'!AC122+'[1]2020'!AC122</f>
        <v>4</v>
      </c>
      <c r="AD113" s="11">
        <f>'[1]2018'!AD122+'[1]2019'!AD122+'[1]2020'!AD122</f>
        <v>16</v>
      </c>
      <c r="AE113" s="11">
        <f>'[1]2018'!AE122+'[1]2019'!AE122+'[1]2020'!AE122</f>
        <v>4</v>
      </c>
      <c r="AF113" s="11">
        <f>'[1]2018'!AF122+'[1]2019'!AF122+'[1]2020'!AF122</f>
        <v>2300</v>
      </c>
      <c r="AG113" s="11">
        <f>'[1]2018'!AG122+'[1]2019'!AG122+'[1]2020'!AG122</f>
        <v>15</v>
      </c>
      <c r="AH113" s="11">
        <f>'[1]2018'!AH122+'[1]2019'!AH122+'[1]2020'!AH122</f>
        <v>9</v>
      </c>
      <c r="AI113" s="11">
        <f>'[1]2018'!AI122+'[1]2019'!AI122+'[1]2020'!AI122</f>
        <v>216</v>
      </c>
      <c r="AJ113" s="11">
        <f>'[1]2018'!AJ122+'[1]2019'!AJ122+'[1]2020'!AJ122</f>
        <v>18</v>
      </c>
      <c r="AK113" s="11">
        <f>'[1]2018'!AK122+'[1]2019'!AK122+'[1]2020'!AK122</f>
        <v>6</v>
      </c>
      <c r="AL113" s="11">
        <f>'[1]2018'!AL122+'[1]2019'!AL122+'[1]2020'!AL122</f>
        <v>0</v>
      </c>
      <c r="AM113" s="11">
        <f>'[1]2018'!AM122+'[1]2019'!AM122+'[1]2020'!AM122</f>
        <v>0</v>
      </c>
      <c r="AN113" s="11">
        <f>'[1]2018'!AN122+'[1]2019'!AN122+'[1]2020'!AN122</f>
        <v>0</v>
      </c>
      <c r="AO113" s="11">
        <f>'[1]2018'!AO122+'[1]2019'!AO122+'[1]2020'!AO122</f>
        <v>0</v>
      </c>
      <c r="AP113" s="11">
        <f>'[1]2018'!AP122+'[1]2019'!AP122+'[1]2020'!AP122</f>
        <v>11</v>
      </c>
      <c r="AQ113" s="11">
        <f>'[1]2018'!AQ122+'[1]2019'!AQ122+'[1]2020'!AQ122</f>
        <v>3</v>
      </c>
      <c r="AR113" s="11">
        <f>'[1]2018'!AR122+'[1]2019'!AR122+'[1]2020'!AR122</f>
        <v>0</v>
      </c>
      <c r="AS113" s="11">
        <f>'[1]2018'!AS122+'[1]2019'!AS122+'[1]2020'!AS122</f>
        <v>9</v>
      </c>
      <c r="AT113" s="11">
        <f>'[1]2018'!AT122+'[1]2019'!AT122+'[1]2020'!AT122</f>
        <v>2</v>
      </c>
      <c r="AU113" s="11">
        <f>'[1]2018'!AU122+'[1]2019'!AU122+'[1]2020'!AU122</f>
        <v>0</v>
      </c>
      <c r="AV113" s="11">
        <f>'[1]2018'!AV122+'[1]2019'!AV122+'[1]2020'!AV122</f>
        <v>0</v>
      </c>
      <c r="AW113" s="41">
        <f t="shared" si="12"/>
        <v>2609</v>
      </c>
      <c r="AX113" s="14">
        <f t="shared" si="13"/>
        <v>1687.647104899931</v>
      </c>
      <c r="AY113" s="2">
        <f>'[1]2018'!AX122+'[1]2019'!AX122+'[1]2020'!AX122</f>
        <v>5062.9413146997931</v>
      </c>
    </row>
    <row r="114" spans="1:51" x14ac:dyDescent="0.25">
      <c r="A114" s="10" t="s">
        <v>195</v>
      </c>
      <c r="B114" s="46">
        <f>'[1]2018'!B123+'[1]2019'!B123+'[1]2020'!B123</f>
        <v>5</v>
      </c>
      <c r="C114" s="46">
        <f>'[1]2018'!C123+'[1]2019'!C123+'[1]2020'!C123</f>
        <v>0</v>
      </c>
      <c r="D114" s="46">
        <f>'[1]2018'!D123+'[1]2019'!D123+'[1]2020'!D123</f>
        <v>15</v>
      </c>
      <c r="E114" s="46">
        <f>'[1]2018'!E123+'[1]2019'!E123+'[1]2020'!E123</f>
        <v>0</v>
      </c>
      <c r="F114" s="46">
        <f>'[1]2018'!F123+'[1]2019'!F123+'[1]2020'!F123</f>
        <v>0</v>
      </c>
      <c r="G114" s="46">
        <f>'[1]2018'!G123+'[1]2019'!G123+'[1]2020'!G123</f>
        <v>0</v>
      </c>
      <c r="H114" s="46">
        <f>'[1]2018'!H123+'[1]2019'!H123+'[1]2020'!H123</f>
        <v>15</v>
      </c>
      <c r="I114" s="46">
        <f>'[1]2018'!I123+'[1]2019'!I123+'[1]2020'!I123</f>
        <v>0</v>
      </c>
      <c r="J114" s="46">
        <f>'[1]2018'!J123+'[1]2019'!J123+'[1]2020'!J123</f>
        <v>0</v>
      </c>
      <c r="K114" s="46">
        <f>'[1]2018'!K123+'[1]2019'!K123+'[1]2020'!K123</f>
        <v>0</v>
      </c>
      <c r="L114" s="46">
        <f>'[1]2018'!L123+'[1]2019'!L123+'[1]2020'!L123</f>
        <v>0</v>
      </c>
      <c r="M114" s="46">
        <f>'[1]2018'!M123+'[1]2019'!M123+'[1]2020'!M123</f>
        <v>0</v>
      </c>
      <c r="N114" s="46">
        <f>'[1]2018'!N123+'[1]2019'!N123+'[1]2020'!N123</f>
        <v>0</v>
      </c>
      <c r="O114" s="46">
        <f>'[1]2018'!O123+'[1]2019'!O123+'[1]2020'!O123</f>
        <v>0</v>
      </c>
      <c r="P114" s="46">
        <f>'[1]2018'!P123+'[1]2019'!P123+'[1]2020'!P123</f>
        <v>0</v>
      </c>
      <c r="Q114" s="46">
        <f>'[1]2018'!Q123+'[1]2019'!Q123+'[1]2020'!Q123</f>
        <v>0</v>
      </c>
      <c r="R114" s="46">
        <f>'[1]2018'!R123+'[1]2019'!R123+'[1]2020'!R123</f>
        <v>0</v>
      </c>
      <c r="S114" s="46">
        <f>'[1]2018'!S123+'[1]2019'!S123+'[1]2020'!S123</f>
        <v>0</v>
      </c>
      <c r="T114" s="46">
        <f>'[1]2018'!T123+'[1]2019'!T123+'[1]2020'!T123</f>
        <v>0</v>
      </c>
      <c r="U114" s="46">
        <f>'[1]2018'!U123+'[1]2019'!U123+'[1]2020'!U123</f>
        <v>0</v>
      </c>
      <c r="V114" s="46">
        <f>'[1]2018'!V123+'[1]2019'!V123+'[1]2020'!V123</f>
        <v>0</v>
      </c>
      <c r="W114" s="46">
        <f>'[1]2018'!W123+'[1]2019'!W123+'[1]2020'!W123</f>
        <v>0</v>
      </c>
      <c r="X114" s="46">
        <f>'[1]2018'!X123+'[1]2019'!X123+'[1]2020'!X123</f>
        <v>0</v>
      </c>
      <c r="Y114" s="41">
        <f t="shared" si="11"/>
        <v>15</v>
      </c>
      <c r="Z114" s="11">
        <f>'[1]2018'!Z123+'[1]2019'!Z123+'[1]2020'!Z123</f>
        <v>1</v>
      </c>
      <c r="AA114" s="11">
        <f>'[1]2018'!AA123+'[1]2019'!AA123+'[1]2020'!AA123</f>
        <v>0</v>
      </c>
      <c r="AB114" s="11">
        <f>'[1]2018'!AB123+'[1]2019'!AB123+'[1]2020'!AB123</f>
        <v>2</v>
      </c>
      <c r="AC114" s="11">
        <f>'[1]2018'!AC123+'[1]2019'!AC123+'[1]2020'!AC123</f>
        <v>0</v>
      </c>
      <c r="AD114" s="11">
        <f>'[1]2018'!AD123+'[1]2019'!AD123+'[1]2020'!AD123</f>
        <v>0</v>
      </c>
      <c r="AE114" s="11">
        <f>'[1]2018'!AE123+'[1]2019'!AE123+'[1]2020'!AE123</f>
        <v>0</v>
      </c>
      <c r="AF114" s="11">
        <f>'[1]2018'!AF123+'[1]2019'!AF123+'[1]2020'!AF123</f>
        <v>2</v>
      </c>
      <c r="AG114" s="11">
        <f>'[1]2018'!AG123+'[1]2019'!AG123+'[1]2020'!AG123</f>
        <v>0</v>
      </c>
      <c r="AH114" s="11">
        <f>'[1]2018'!AH123+'[1]2019'!AH123+'[1]2020'!AH123</f>
        <v>0</v>
      </c>
      <c r="AI114" s="11">
        <f>'[1]2018'!AI123+'[1]2019'!AI123+'[1]2020'!AI123</f>
        <v>0</v>
      </c>
      <c r="AJ114" s="11">
        <f>'[1]2018'!AJ123+'[1]2019'!AJ123+'[1]2020'!AJ123</f>
        <v>0</v>
      </c>
      <c r="AK114" s="11">
        <f>'[1]2018'!AK123+'[1]2019'!AK123+'[1]2020'!AK123</f>
        <v>0</v>
      </c>
      <c r="AL114" s="11">
        <f>'[1]2018'!AL123+'[1]2019'!AL123+'[1]2020'!AL123</f>
        <v>0</v>
      </c>
      <c r="AM114" s="11">
        <f>'[1]2018'!AM123+'[1]2019'!AM123+'[1]2020'!AM123</f>
        <v>0</v>
      </c>
      <c r="AN114" s="11">
        <f>'[1]2018'!AN123+'[1]2019'!AN123+'[1]2020'!AN123</f>
        <v>0</v>
      </c>
      <c r="AO114" s="11">
        <f>'[1]2018'!AO123+'[1]2019'!AO123+'[1]2020'!AO123</f>
        <v>0</v>
      </c>
      <c r="AP114" s="11">
        <f>'[1]2018'!AP123+'[1]2019'!AP123+'[1]2020'!AP123</f>
        <v>0</v>
      </c>
      <c r="AQ114" s="11">
        <f>'[1]2018'!AQ123+'[1]2019'!AQ123+'[1]2020'!AQ123</f>
        <v>0</v>
      </c>
      <c r="AR114" s="11">
        <f>'[1]2018'!AR123+'[1]2019'!AR123+'[1]2020'!AR123</f>
        <v>0</v>
      </c>
      <c r="AS114" s="11">
        <f>'[1]2018'!AS123+'[1]2019'!AS123+'[1]2020'!AS123</f>
        <v>0</v>
      </c>
      <c r="AT114" s="11">
        <f>'[1]2018'!AT123+'[1]2019'!AT123+'[1]2020'!AT123</f>
        <v>0</v>
      </c>
      <c r="AU114" s="11">
        <f>'[1]2018'!AU123+'[1]2019'!AU123+'[1]2020'!AU123</f>
        <v>0</v>
      </c>
      <c r="AV114" s="11">
        <f>'[1]2018'!AV123+'[1]2019'!AV123+'[1]2020'!AV123</f>
        <v>0</v>
      </c>
      <c r="AW114" s="41">
        <f t="shared" si="12"/>
        <v>2</v>
      </c>
      <c r="AX114" s="14">
        <f t="shared" si="13"/>
        <v>1546.6666666666667</v>
      </c>
      <c r="AY114" s="2">
        <f>'[1]2018'!AX123+'[1]2019'!AX123+'[1]2020'!AX123</f>
        <v>4640</v>
      </c>
    </row>
    <row r="115" spans="1:51" x14ac:dyDescent="0.25">
      <c r="A115" s="10" t="s">
        <v>196</v>
      </c>
      <c r="B115" s="46">
        <f>'[1]2018'!B124+'[1]2019'!B124+'[1]2020'!B124</f>
        <v>53</v>
      </c>
      <c r="C115" s="46">
        <f>'[1]2018'!C124+'[1]2019'!C124+'[1]2020'!C124</f>
        <v>0</v>
      </c>
      <c r="D115" s="46">
        <f>'[1]2018'!D124+'[1]2019'!D124+'[1]2020'!D124</f>
        <v>158</v>
      </c>
      <c r="E115" s="46">
        <f>'[1]2018'!E124+'[1]2019'!E124+'[1]2020'!E124</f>
        <v>0</v>
      </c>
      <c r="F115" s="46">
        <f>'[1]2018'!F124+'[1]2019'!F124+'[1]2020'!F124</f>
        <v>0</v>
      </c>
      <c r="G115" s="46">
        <f>'[1]2018'!G124+'[1]2019'!G124+'[1]2020'!G124</f>
        <v>0</v>
      </c>
      <c r="H115" s="46">
        <f>'[1]2018'!H124+'[1]2019'!H124+'[1]2020'!H124</f>
        <v>148</v>
      </c>
      <c r="I115" s="46">
        <f>'[1]2018'!I124+'[1]2019'!I124+'[1]2020'!I124</f>
        <v>0</v>
      </c>
      <c r="J115" s="46">
        <f>'[1]2018'!J124+'[1]2019'!J124+'[1]2020'!J124</f>
        <v>8</v>
      </c>
      <c r="K115" s="46">
        <f>'[1]2018'!K124+'[1]2019'!K124+'[1]2020'!K124</f>
        <v>1</v>
      </c>
      <c r="L115" s="46">
        <f>'[1]2018'!L124+'[1]2019'!L124+'[1]2020'!L124</f>
        <v>0</v>
      </c>
      <c r="M115" s="46">
        <f>'[1]2018'!M124+'[1]2019'!M124+'[1]2020'!M124</f>
        <v>0</v>
      </c>
      <c r="N115" s="46">
        <f>'[1]2018'!N124+'[1]2019'!N124+'[1]2020'!N124</f>
        <v>0</v>
      </c>
      <c r="O115" s="46">
        <f>'[1]2018'!O124+'[1]2019'!O124+'[1]2020'!O124</f>
        <v>0</v>
      </c>
      <c r="P115" s="46">
        <f>'[1]2018'!P124+'[1]2019'!P124+'[1]2020'!P124</f>
        <v>0</v>
      </c>
      <c r="Q115" s="46">
        <f>'[1]2018'!Q124+'[1]2019'!Q124+'[1]2020'!Q124</f>
        <v>0</v>
      </c>
      <c r="R115" s="46">
        <f>'[1]2018'!R124+'[1]2019'!R124+'[1]2020'!R124</f>
        <v>1</v>
      </c>
      <c r="S115" s="46">
        <f>'[1]2018'!S124+'[1]2019'!S124+'[1]2020'!S124</f>
        <v>0</v>
      </c>
      <c r="T115" s="46">
        <f>'[1]2018'!T124+'[1]2019'!T124+'[1]2020'!T124</f>
        <v>0</v>
      </c>
      <c r="U115" s="46">
        <f>'[1]2018'!U124+'[1]2019'!U124+'[1]2020'!U124</f>
        <v>0</v>
      </c>
      <c r="V115" s="46">
        <f>'[1]2018'!V124+'[1]2019'!V124+'[1]2020'!V124</f>
        <v>0</v>
      </c>
      <c r="W115" s="46">
        <f>'[1]2018'!W124+'[1]2019'!W124+'[1]2020'!W124</f>
        <v>0</v>
      </c>
      <c r="X115" s="46">
        <f>'[1]2018'!X124+'[1]2019'!X124+'[1]2020'!X124</f>
        <v>0</v>
      </c>
      <c r="Y115" s="41">
        <f t="shared" si="11"/>
        <v>158</v>
      </c>
      <c r="Z115" s="11">
        <f>'[1]2018'!Z124+'[1]2019'!Z124+'[1]2020'!Z124</f>
        <v>26</v>
      </c>
      <c r="AA115" s="11">
        <f>'[1]2018'!AA124+'[1]2019'!AA124+'[1]2020'!AA124</f>
        <v>0</v>
      </c>
      <c r="AB115" s="11">
        <f>'[1]2018'!AB124+'[1]2019'!AB124+'[1]2020'!AB124</f>
        <v>115</v>
      </c>
      <c r="AC115" s="11">
        <f>'[1]2018'!AC124+'[1]2019'!AC124+'[1]2020'!AC124</f>
        <v>0</v>
      </c>
      <c r="AD115" s="11">
        <f>'[1]2018'!AD124+'[1]2019'!AD124+'[1]2020'!AD124</f>
        <v>0</v>
      </c>
      <c r="AE115" s="11">
        <f>'[1]2018'!AE124+'[1]2019'!AE124+'[1]2020'!AE124</f>
        <v>0</v>
      </c>
      <c r="AF115" s="11">
        <f>'[1]2018'!AF124+'[1]2019'!AF124+'[1]2020'!AF124</f>
        <v>99</v>
      </c>
      <c r="AG115" s="11">
        <f>'[1]2018'!AG124+'[1]2019'!AG124+'[1]2020'!AG124</f>
        <v>0</v>
      </c>
      <c r="AH115" s="11">
        <f>'[1]2018'!AH124+'[1]2019'!AH124+'[1]2020'!AH124</f>
        <v>6</v>
      </c>
      <c r="AI115" s="11">
        <f>'[1]2018'!AI124+'[1]2019'!AI124+'[1]2020'!AI124</f>
        <v>8</v>
      </c>
      <c r="AJ115" s="11">
        <f>'[1]2018'!AJ124+'[1]2019'!AJ124+'[1]2020'!AJ124</f>
        <v>0</v>
      </c>
      <c r="AK115" s="11">
        <f>'[1]2018'!AK124+'[1]2019'!AK124+'[1]2020'!AK124</f>
        <v>0</v>
      </c>
      <c r="AL115" s="11">
        <f>'[1]2018'!AL124+'[1]2019'!AL124+'[1]2020'!AL124</f>
        <v>0</v>
      </c>
      <c r="AM115" s="11">
        <f>'[1]2018'!AM124+'[1]2019'!AM124+'[1]2020'!AM124</f>
        <v>0</v>
      </c>
      <c r="AN115" s="11">
        <f>'[1]2018'!AN124+'[1]2019'!AN124+'[1]2020'!AN124</f>
        <v>0</v>
      </c>
      <c r="AO115" s="11">
        <f>'[1]2018'!AO124+'[1]2019'!AO124+'[1]2020'!AO124</f>
        <v>0</v>
      </c>
      <c r="AP115" s="11">
        <f>'[1]2018'!AP124+'[1]2019'!AP124+'[1]2020'!AP124</f>
        <v>2</v>
      </c>
      <c r="AQ115" s="11">
        <f>'[1]2018'!AQ124+'[1]2019'!AQ124+'[1]2020'!AQ124</f>
        <v>0</v>
      </c>
      <c r="AR115" s="11">
        <f>'[1]2018'!AR124+'[1]2019'!AR124+'[1]2020'!AR124</f>
        <v>0</v>
      </c>
      <c r="AS115" s="11">
        <f>'[1]2018'!AS124+'[1]2019'!AS124+'[1]2020'!AS124</f>
        <v>0</v>
      </c>
      <c r="AT115" s="11">
        <f>'[1]2018'!AT124+'[1]2019'!AT124+'[1]2020'!AT124</f>
        <v>0</v>
      </c>
      <c r="AU115" s="11">
        <f>'[1]2018'!AU124+'[1]2019'!AU124+'[1]2020'!AU124</f>
        <v>0</v>
      </c>
      <c r="AV115" s="11">
        <f>'[1]2018'!AV124+'[1]2019'!AV124+'[1]2020'!AV124</f>
        <v>0</v>
      </c>
      <c r="AW115" s="41">
        <f t="shared" si="12"/>
        <v>115</v>
      </c>
      <c r="AX115" s="14">
        <f t="shared" si="13"/>
        <v>1630.8055555555557</v>
      </c>
      <c r="AY115" s="2">
        <f>'[1]2018'!AX124+'[1]2019'!AX124+'[1]2020'!AX124</f>
        <v>4892.416666666667</v>
      </c>
    </row>
    <row r="116" spans="1:51" x14ac:dyDescent="0.25">
      <c r="A116" s="10" t="s">
        <v>197</v>
      </c>
      <c r="B116" s="46">
        <f>'[1]2018'!B125+'[1]2019'!B125+'[1]2020'!B125</f>
        <v>5</v>
      </c>
      <c r="C116" s="46">
        <f>'[1]2018'!C125+'[1]2019'!C125+'[1]2020'!C125</f>
        <v>3</v>
      </c>
      <c r="D116" s="46">
        <f>'[1]2018'!D125+'[1]2019'!D125+'[1]2020'!D125</f>
        <v>5</v>
      </c>
      <c r="E116" s="46">
        <f>'[1]2018'!E125+'[1]2019'!E125+'[1]2020'!E125</f>
        <v>3</v>
      </c>
      <c r="F116" s="46">
        <f>'[1]2018'!F125+'[1]2019'!F125+'[1]2020'!F125</f>
        <v>0</v>
      </c>
      <c r="G116" s="46">
        <f>'[1]2018'!G125+'[1]2019'!G125+'[1]2020'!G125</f>
        <v>0</v>
      </c>
      <c r="H116" s="46">
        <f>'[1]2018'!H125+'[1]2019'!H125+'[1]2020'!H125</f>
        <v>0</v>
      </c>
      <c r="I116" s="46">
        <f>'[1]2018'!I125+'[1]2019'!I125+'[1]2020'!I125</f>
        <v>0</v>
      </c>
      <c r="J116" s="46">
        <f>'[1]2018'!J125+'[1]2019'!J125+'[1]2020'!J125</f>
        <v>0</v>
      </c>
      <c r="K116" s="46">
        <f>'[1]2018'!K125+'[1]2019'!K125+'[1]2020'!K125</f>
        <v>0</v>
      </c>
      <c r="L116" s="46">
        <f>'[1]2018'!L125+'[1]2019'!L125+'[1]2020'!L125</f>
        <v>0</v>
      </c>
      <c r="M116" s="46">
        <f>'[1]2018'!M125+'[1]2019'!M125+'[1]2020'!M125</f>
        <v>2</v>
      </c>
      <c r="N116" s="46">
        <f>'[1]2018'!N125+'[1]2019'!N125+'[1]2020'!N125</f>
        <v>0</v>
      </c>
      <c r="O116" s="46">
        <f>'[1]2018'!O125+'[1]2019'!O125+'[1]2020'!O125</f>
        <v>0</v>
      </c>
      <c r="P116" s="46">
        <f>'[1]2018'!P125+'[1]2019'!P125+'[1]2020'!P125</f>
        <v>0</v>
      </c>
      <c r="Q116" s="46">
        <f>'[1]2018'!Q125+'[1]2019'!Q125+'[1]2020'!Q125</f>
        <v>0</v>
      </c>
      <c r="R116" s="46">
        <f>'[1]2018'!R125+'[1]2019'!R125+'[1]2020'!R125</f>
        <v>2</v>
      </c>
      <c r="S116" s="46">
        <f>'[1]2018'!S125+'[1]2019'!S125+'[1]2020'!S125</f>
        <v>1</v>
      </c>
      <c r="T116" s="46">
        <f>'[1]2018'!T125+'[1]2019'!T125+'[1]2020'!T125</f>
        <v>0</v>
      </c>
      <c r="U116" s="46">
        <f>'[1]2018'!U125+'[1]2019'!U125+'[1]2020'!U125</f>
        <v>0</v>
      </c>
      <c r="V116" s="46">
        <f>'[1]2018'!V125+'[1]2019'!V125+'[1]2020'!V125</f>
        <v>0</v>
      </c>
      <c r="W116" s="46">
        <f>'[1]2018'!W125+'[1]2019'!W125+'[1]2020'!W125</f>
        <v>0</v>
      </c>
      <c r="X116" s="46">
        <f>'[1]2018'!X125+'[1]2019'!X125+'[1]2020'!X125</f>
        <v>0</v>
      </c>
      <c r="Y116" s="41">
        <f t="shared" si="11"/>
        <v>5</v>
      </c>
      <c r="Z116" s="11">
        <f>'[1]2018'!Z125+'[1]2019'!Z125+'[1]2020'!Z125</f>
        <v>5</v>
      </c>
      <c r="AA116" s="11">
        <f>'[1]2018'!AA125+'[1]2019'!AA125+'[1]2020'!AA125</f>
        <v>3</v>
      </c>
      <c r="AB116" s="11">
        <f>'[1]2018'!AB125+'[1]2019'!AB125+'[1]2020'!AB125</f>
        <v>5</v>
      </c>
      <c r="AC116" s="11">
        <f>'[1]2018'!AC125+'[1]2019'!AC125+'[1]2020'!AC125</f>
        <v>3</v>
      </c>
      <c r="AD116" s="11">
        <f>'[1]2018'!AD125+'[1]2019'!AD125+'[1]2020'!AD125</f>
        <v>0</v>
      </c>
      <c r="AE116" s="11">
        <f>'[1]2018'!AE125+'[1]2019'!AE125+'[1]2020'!AE125</f>
        <v>0</v>
      </c>
      <c r="AF116" s="11">
        <f>'[1]2018'!AF125+'[1]2019'!AF125+'[1]2020'!AF125</f>
        <v>0</v>
      </c>
      <c r="AG116" s="11">
        <f>'[1]2018'!AG125+'[1]2019'!AG125+'[1]2020'!AG125</f>
        <v>0</v>
      </c>
      <c r="AH116" s="11">
        <f>'[1]2018'!AH125+'[1]2019'!AH125+'[1]2020'!AH125</f>
        <v>0</v>
      </c>
      <c r="AI116" s="11">
        <f>'[1]2018'!AI125+'[1]2019'!AI125+'[1]2020'!AI125</f>
        <v>0</v>
      </c>
      <c r="AJ116" s="11">
        <f>'[1]2018'!AJ125+'[1]2019'!AJ125+'[1]2020'!AJ125</f>
        <v>0</v>
      </c>
      <c r="AK116" s="11">
        <f>'[1]2018'!AK125+'[1]2019'!AK125+'[1]2020'!AK125</f>
        <v>2</v>
      </c>
      <c r="AL116" s="11">
        <f>'[1]2018'!AL125+'[1]2019'!AL125+'[1]2020'!AL125</f>
        <v>0</v>
      </c>
      <c r="AM116" s="11">
        <f>'[1]2018'!AM125+'[1]2019'!AM125+'[1]2020'!AM125</f>
        <v>0</v>
      </c>
      <c r="AN116" s="11">
        <f>'[1]2018'!AN125+'[1]2019'!AN125+'[1]2020'!AN125</f>
        <v>0</v>
      </c>
      <c r="AO116" s="11">
        <f>'[1]2018'!AO125+'[1]2019'!AO125+'[1]2020'!AO125</f>
        <v>0</v>
      </c>
      <c r="AP116" s="11">
        <f>'[1]2018'!AP125+'[1]2019'!AP125+'[1]2020'!AP125</f>
        <v>2</v>
      </c>
      <c r="AQ116" s="11">
        <f>'[1]2018'!AQ125+'[1]2019'!AQ125+'[1]2020'!AQ125</f>
        <v>1</v>
      </c>
      <c r="AR116" s="11">
        <f>'[1]2018'!AR125+'[1]2019'!AR125+'[1]2020'!AR125</f>
        <v>0</v>
      </c>
      <c r="AS116" s="11">
        <f>'[1]2018'!AS125+'[1]2019'!AS125+'[1]2020'!AS125</f>
        <v>0</v>
      </c>
      <c r="AT116" s="11">
        <f>'[1]2018'!AT125+'[1]2019'!AT125+'[1]2020'!AT125</f>
        <v>0</v>
      </c>
      <c r="AU116" s="11">
        <f>'[1]2018'!AU125+'[1]2019'!AU125+'[1]2020'!AU125</f>
        <v>0</v>
      </c>
      <c r="AV116" s="11">
        <f>'[1]2018'!AV125+'[1]2019'!AV125+'[1]2020'!AV125</f>
        <v>0</v>
      </c>
      <c r="AW116" s="41">
        <f t="shared" si="12"/>
        <v>5</v>
      </c>
      <c r="AX116" s="14">
        <f t="shared" si="13"/>
        <v>1945</v>
      </c>
      <c r="AY116" s="2">
        <f>'[1]2018'!AX125+'[1]2019'!AX125+'[1]2020'!AX125</f>
        <v>5835</v>
      </c>
    </row>
    <row r="117" spans="1:51" x14ac:dyDescent="0.25">
      <c r="A117" s="10" t="s">
        <v>198</v>
      </c>
      <c r="B117" s="46">
        <f>'[1]2018'!B126+'[1]2019'!B126+'[1]2020'!B126</f>
        <v>137</v>
      </c>
      <c r="C117" s="46">
        <f>'[1]2018'!C126+'[1]2019'!C126+'[1]2020'!C126</f>
        <v>3</v>
      </c>
      <c r="D117" s="46">
        <f>'[1]2018'!D126+'[1]2019'!D126+'[1]2020'!D126</f>
        <v>321</v>
      </c>
      <c r="E117" s="46">
        <f>'[1]2018'!E126+'[1]2019'!E126+'[1]2020'!E126</f>
        <v>13</v>
      </c>
      <c r="F117" s="46">
        <f>'[1]2018'!F126+'[1]2019'!F126+'[1]2020'!F126</f>
        <v>0</v>
      </c>
      <c r="G117" s="46">
        <f>'[1]2018'!G126+'[1]2019'!G126+'[1]2020'!G126</f>
        <v>0</v>
      </c>
      <c r="H117" s="46">
        <f>'[1]2018'!H126+'[1]2019'!H126+'[1]2020'!H126</f>
        <v>11</v>
      </c>
      <c r="I117" s="46">
        <f>'[1]2018'!I126+'[1]2019'!I126+'[1]2020'!I126</f>
        <v>0</v>
      </c>
      <c r="J117" s="46">
        <f>'[1]2018'!J126+'[1]2019'!J126+'[1]2020'!J126</f>
        <v>3</v>
      </c>
      <c r="K117" s="46">
        <f>'[1]2018'!K126+'[1]2019'!K126+'[1]2020'!K126</f>
        <v>8</v>
      </c>
      <c r="L117" s="46">
        <f>'[1]2018'!L126+'[1]2019'!L126+'[1]2020'!L126</f>
        <v>267</v>
      </c>
      <c r="M117" s="46">
        <f>'[1]2018'!M126+'[1]2019'!M126+'[1]2020'!M126</f>
        <v>10</v>
      </c>
      <c r="N117" s="46">
        <f>'[1]2018'!N126+'[1]2019'!N126+'[1]2020'!N126</f>
        <v>0</v>
      </c>
      <c r="O117" s="46">
        <f>'[1]2018'!O126+'[1]2019'!O126+'[1]2020'!O126</f>
        <v>0</v>
      </c>
      <c r="P117" s="46">
        <f>'[1]2018'!P126+'[1]2019'!P126+'[1]2020'!P126</f>
        <v>0</v>
      </c>
      <c r="Q117" s="46">
        <f>'[1]2018'!Q126+'[1]2019'!Q126+'[1]2020'!Q126</f>
        <v>0</v>
      </c>
      <c r="R117" s="46">
        <f>'[1]2018'!R126+'[1]2019'!R126+'[1]2020'!R126</f>
        <v>6</v>
      </c>
      <c r="S117" s="46">
        <f>'[1]2018'!S126+'[1]2019'!S126+'[1]2020'!S126</f>
        <v>0</v>
      </c>
      <c r="T117" s="46">
        <f>'[1]2018'!T126+'[1]2019'!T126+'[1]2020'!T126</f>
        <v>0</v>
      </c>
      <c r="U117" s="46">
        <f>'[1]2018'!U126+'[1]2019'!U126+'[1]2020'!U126</f>
        <v>16</v>
      </c>
      <c r="V117" s="46">
        <f>'[1]2018'!V126+'[1]2019'!V126+'[1]2020'!V126</f>
        <v>0</v>
      </c>
      <c r="W117" s="46">
        <f>'[1]2018'!W126+'[1]2019'!W126+'[1]2020'!W126</f>
        <v>0</v>
      </c>
      <c r="X117" s="46">
        <f>'[1]2018'!X126+'[1]2019'!X126+'[1]2020'!X126</f>
        <v>0</v>
      </c>
      <c r="Y117" s="41">
        <f t="shared" si="11"/>
        <v>321</v>
      </c>
      <c r="Z117" s="11">
        <f>'[1]2018'!Z126+'[1]2019'!Z126+'[1]2020'!Z126</f>
        <v>107</v>
      </c>
      <c r="AA117" s="11">
        <f>'[1]2018'!AA126+'[1]2019'!AA126+'[1]2020'!AA126</f>
        <v>3</v>
      </c>
      <c r="AB117" s="11">
        <f>'[1]2018'!AB126+'[1]2019'!AB126+'[1]2020'!AB126</f>
        <v>234</v>
      </c>
      <c r="AC117" s="11">
        <f>'[1]2018'!AC126+'[1]2019'!AC126+'[1]2020'!AC126</f>
        <v>13</v>
      </c>
      <c r="AD117" s="11">
        <f>'[1]2018'!AD126+'[1]2019'!AD126+'[1]2020'!AD126</f>
        <v>0</v>
      </c>
      <c r="AE117" s="11">
        <f>'[1]2018'!AE126+'[1]2019'!AE126+'[1]2020'!AE126</f>
        <v>0</v>
      </c>
      <c r="AF117" s="11">
        <f>'[1]2018'!AF126+'[1]2019'!AF126+'[1]2020'!AF126</f>
        <v>0</v>
      </c>
      <c r="AG117" s="11">
        <f>'[1]2018'!AG126+'[1]2019'!AG126+'[1]2020'!AG126</f>
        <v>0</v>
      </c>
      <c r="AH117" s="11">
        <f>'[1]2018'!AH126+'[1]2019'!AH126+'[1]2020'!AH126</f>
        <v>5</v>
      </c>
      <c r="AI117" s="11">
        <f>'[1]2018'!AI126+'[1]2019'!AI126+'[1]2020'!AI126</f>
        <v>7</v>
      </c>
      <c r="AJ117" s="11">
        <f>'[1]2018'!AJ126+'[1]2019'!AJ126+'[1]2020'!AJ126</f>
        <v>194</v>
      </c>
      <c r="AK117" s="11">
        <f>'[1]2018'!AK126+'[1]2019'!AK126+'[1]2020'!AK126</f>
        <v>11</v>
      </c>
      <c r="AL117" s="11">
        <f>'[1]2018'!AL126+'[1]2019'!AL126+'[1]2020'!AL126</f>
        <v>0</v>
      </c>
      <c r="AM117" s="11">
        <f>'[1]2018'!AM126+'[1]2019'!AM126+'[1]2020'!AM126</f>
        <v>0</v>
      </c>
      <c r="AN117" s="11">
        <f>'[1]2018'!AN126+'[1]2019'!AN126+'[1]2020'!AN126</f>
        <v>0</v>
      </c>
      <c r="AO117" s="11">
        <f>'[1]2018'!AO126+'[1]2019'!AO126+'[1]2020'!AO126</f>
        <v>0</v>
      </c>
      <c r="AP117" s="11">
        <f>'[1]2018'!AP126+'[1]2019'!AP126+'[1]2020'!AP126</f>
        <v>2</v>
      </c>
      <c r="AQ117" s="11">
        <f>'[1]2018'!AQ126+'[1]2019'!AQ126+'[1]2020'!AQ126</f>
        <v>0</v>
      </c>
      <c r="AR117" s="11">
        <f>'[1]2018'!AR126+'[1]2019'!AR126+'[1]2020'!AR126</f>
        <v>4</v>
      </c>
      <c r="AS117" s="11">
        <f>'[1]2018'!AS126+'[1]2019'!AS126+'[1]2020'!AS126</f>
        <v>11</v>
      </c>
      <c r="AT117" s="11">
        <f>'[1]2018'!AT126+'[1]2019'!AT126+'[1]2020'!AT126</f>
        <v>0</v>
      </c>
      <c r="AU117" s="11">
        <f>'[1]2018'!AU126+'[1]2019'!AU126+'[1]2020'!AU126</f>
        <v>0</v>
      </c>
      <c r="AV117" s="11">
        <f>'[1]2018'!AV126+'[1]2019'!AV126+'[1]2020'!AV126</f>
        <v>0</v>
      </c>
      <c r="AW117" s="41">
        <f t="shared" si="12"/>
        <v>234</v>
      </c>
      <c r="AX117" s="14">
        <f t="shared" si="13"/>
        <v>2813.0397592592599</v>
      </c>
      <c r="AY117" s="2">
        <f>'[1]2018'!AX126+'[1]2019'!AX126+'[1]2020'!AX126</f>
        <v>8439.1192777777796</v>
      </c>
    </row>
    <row r="118" spans="1:51" x14ac:dyDescent="0.25">
      <c r="A118" s="10" t="s">
        <v>199</v>
      </c>
      <c r="B118" s="46">
        <f>'[1]2018'!B127+'[1]2019'!B127+'[1]2020'!B127</f>
        <v>6</v>
      </c>
      <c r="C118" s="46">
        <f>'[1]2018'!C127+'[1]2019'!C127+'[1]2020'!C127</f>
        <v>2</v>
      </c>
      <c r="D118" s="46">
        <f>'[1]2018'!D127+'[1]2019'!D127+'[1]2020'!D127</f>
        <v>12</v>
      </c>
      <c r="E118" s="46">
        <f>'[1]2018'!E127+'[1]2019'!E127+'[1]2020'!E127</f>
        <v>5</v>
      </c>
      <c r="F118" s="46">
        <f>'[1]2018'!F127+'[1]2019'!F127+'[1]2020'!F127</f>
        <v>0</v>
      </c>
      <c r="G118" s="46">
        <f>'[1]2018'!G127+'[1]2019'!G127+'[1]2020'!G127</f>
        <v>0</v>
      </c>
      <c r="H118" s="46">
        <f>'[1]2018'!H127+'[1]2019'!H127+'[1]2020'!H127</f>
        <v>5</v>
      </c>
      <c r="I118" s="46">
        <f>'[1]2018'!I127+'[1]2019'!I127+'[1]2020'!I127</f>
        <v>0</v>
      </c>
      <c r="J118" s="46">
        <f>'[1]2018'!J127+'[1]2019'!J127+'[1]2020'!J127</f>
        <v>0</v>
      </c>
      <c r="K118" s="46">
        <f>'[1]2018'!K127+'[1]2019'!K127+'[1]2020'!K127</f>
        <v>2</v>
      </c>
      <c r="L118" s="46">
        <f>'[1]2018'!L127+'[1]2019'!L127+'[1]2020'!L127</f>
        <v>0</v>
      </c>
      <c r="M118" s="46">
        <f>'[1]2018'!M127+'[1]2019'!M127+'[1]2020'!M127</f>
        <v>0</v>
      </c>
      <c r="N118" s="46">
        <f>'[1]2018'!N127+'[1]2019'!N127+'[1]2020'!N127</f>
        <v>0</v>
      </c>
      <c r="O118" s="46">
        <f>'[1]2018'!O127+'[1]2019'!O127+'[1]2020'!O127</f>
        <v>0</v>
      </c>
      <c r="P118" s="46">
        <f>'[1]2018'!P127+'[1]2019'!P127+'[1]2020'!P127</f>
        <v>0</v>
      </c>
      <c r="Q118" s="46">
        <f>'[1]2018'!Q127+'[1]2019'!Q127+'[1]2020'!Q127</f>
        <v>0</v>
      </c>
      <c r="R118" s="46">
        <f>'[1]2018'!R127+'[1]2019'!R127+'[1]2020'!R127</f>
        <v>0</v>
      </c>
      <c r="S118" s="46">
        <f>'[1]2018'!S127+'[1]2019'!S127+'[1]2020'!S127</f>
        <v>0</v>
      </c>
      <c r="T118" s="46">
        <f>'[1]2018'!T127+'[1]2019'!T127+'[1]2020'!T127</f>
        <v>0</v>
      </c>
      <c r="U118" s="46">
        <f>'[1]2018'!U127+'[1]2019'!U127+'[1]2020'!U127</f>
        <v>0</v>
      </c>
      <c r="V118" s="46">
        <f>'[1]2018'!V127+'[1]2019'!V127+'[1]2020'!V127</f>
        <v>4</v>
      </c>
      <c r="W118" s="46">
        <f>'[1]2018'!W127+'[1]2019'!W127+'[1]2020'!W127</f>
        <v>0</v>
      </c>
      <c r="X118" s="46">
        <f>'[1]2018'!X127+'[1]2019'!X127+'[1]2020'!X127</f>
        <v>1</v>
      </c>
      <c r="Y118" s="41">
        <f t="shared" si="11"/>
        <v>12</v>
      </c>
      <c r="Z118" s="11">
        <f>'[1]2018'!Z127+'[1]2019'!Z127+'[1]2020'!Z127</f>
        <v>3</v>
      </c>
      <c r="AA118" s="11">
        <f>'[1]2018'!AA127+'[1]2019'!AA127+'[1]2020'!AA127</f>
        <v>2</v>
      </c>
      <c r="AB118" s="11">
        <f>'[1]2018'!AB127+'[1]2019'!AB127+'[1]2020'!AB127</f>
        <v>9</v>
      </c>
      <c r="AC118" s="11">
        <f>'[1]2018'!AC127+'[1]2019'!AC127+'[1]2020'!AC127</f>
        <v>5</v>
      </c>
      <c r="AD118" s="11">
        <f>'[1]2018'!AD127+'[1]2019'!AD127+'[1]2020'!AD127</f>
        <v>0</v>
      </c>
      <c r="AE118" s="11">
        <f>'[1]2018'!AE127+'[1]2019'!AE127+'[1]2020'!AE127</f>
        <v>0</v>
      </c>
      <c r="AF118" s="11">
        <f>'[1]2018'!AF127+'[1]2019'!AF127+'[1]2020'!AF127</f>
        <v>4</v>
      </c>
      <c r="AG118" s="11">
        <f>'[1]2018'!AG127+'[1]2019'!AG127+'[1]2020'!AG127</f>
        <v>0</v>
      </c>
      <c r="AH118" s="11">
        <f>'[1]2018'!AH127+'[1]2019'!AH127+'[1]2020'!AH127</f>
        <v>0</v>
      </c>
      <c r="AI118" s="11">
        <f>'[1]2018'!AI127+'[1]2019'!AI127+'[1]2020'!AI127</f>
        <v>0</v>
      </c>
      <c r="AJ118" s="11">
        <f>'[1]2018'!AJ127+'[1]2019'!AJ127+'[1]2020'!AJ127</f>
        <v>0</v>
      </c>
      <c r="AK118" s="11">
        <f>'[1]2018'!AK127+'[1]2019'!AK127+'[1]2020'!AK127</f>
        <v>0</v>
      </c>
      <c r="AL118" s="11">
        <f>'[1]2018'!AL127+'[1]2019'!AL127+'[1]2020'!AL127</f>
        <v>0</v>
      </c>
      <c r="AM118" s="11">
        <f>'[1]2018'!AM127+'[1]2019'!AM127+'[1]2020'!AM127</f>
        <v>0</v>
      </c>
      <c r="AN118" s="11">
        <f>'[1]2018'!AN127+'[1]2019'!AN127+'[1]2020'!AN127</f>
        <v>0</v>
      </c>
      <c r="AO118" s="11">
        <f>'[1]2018'!AO127+'[1]2019'!AO127+'[1]2020'!AO127</f>
        <v>0</v>
      </c>
      <c r="AP118" s="11">
        <f>'[1]2018'!AP127+'[1]2019'!AP127+'[1]2020'!AP127</f>
        <v>0</v>
      </c>
      <c r="AQ118" s="11">
        <f>'[1]2018'!AQ127+'[1]2019'!AQ127+'[1]2020'!AQ127</f>
        <v>0</v>
      </c>
      <c r="AR118" s="11">
        <f>'[1]2018'!AR127+'[1]2019'!AR127+'[1]2020'!AR127</f>
        <v>0</v>
      </c>
      <c r="AS118" s="11">
        <f>'[1]2018'!AS127+'[1]2019'!AS127+'[1]2020'!AS127</f>
        <v>0</v>
      </c>
      <c r="AT118" s="11">
        <f>'[1]2018'!AT127+'[1]2019'!AT127+'[1]2020'!AT127</f>
        <v>4</v>
      </c>
      <c r="AU118" s="11">
        <f>'[1]2018'!AU127+'[1]2019'!AU127+'[1]2020'!AU127</f>
        <v>0</v>
      </c>
      <c r="AV118" s="11">
        <f>'[1]2018'!AV127+'[1]2019'!AV127+'[1]2020'!AV127</f>
        <v>1</v>
      </c>
      <c r="AW118" s="41">
        <f t="shared" si="12"/>
        <v>9</v>
      </c>
      <c r="AX118" s="14">
        <f t="shared" si="13"/>
        <v>2382.5250000000001</v>
      </c>
      <c r="AY118" s="2">
        <f>'[1]2018'!AX127+'[1]2019'!AX127+'[1]2020'!AX127</f>
        <v>7147.5749999999998</v>
      </c>
    </row>
    <row r="119" spans="1:51" x14ac:dyDescent="0.25">
      <c r="A119" s="10" t="s">
        <v>200</v>
      </c>
      <c r="B119" s="46">
        <f>'[1]2018'!B128+'[1]2019'!B128+'[1]2020'!B128</f>
        <v>14</v>
      </c>
      <c r="C119" s="46">
        <f>'[1]2018'!C128+'[1]2019'!C128+'[1]2020'!C128</f>
        <v>0</v>
      </c>
      <c r="D119" s="46">
        <f>'[1]2018'!D128+'[1]2019'!D128+'[1]2020'!D128</f>
        <v>101</v>
      </c>
      <c r="E119" s="46">
        <f>'[1]2018'!E128+'[1]2019'!E128+'[1]2020'!E128</f>
        <v>0</v>
      </c>
      <c r="F119" s="46">
        <f>'[1]2018'!F128+'[1]2019'!F128+'[1]2020'!F128</f>
        <v>0</v>
      </c>
      <c r="G119" s="46">
        <f>'[1]2018'!G128+'[1]2019'!G128+'[1]2020'!G128</f>
        <v>0</v>
      </c>
      <c r="H119" s="46">
        <f>'[1]2018'!H128+'[1]2019'!H128+'[1]2020'!H128</f>
        <v>0</v>
      </c>
      <c r="I119" s="46">
        <f>'[1]2018'!I128+'[1]2019'!I128+'[1]2020'!I128</f>
        <v>0</v>
      </c>
      <c r="J119" s="46">
        <f>'[1]2018'!J128+'[1]2019'!J128+'[1]2020'!J128</f>
        <v>0</v>
      </c>
      <c r="K119" s="46">
        <f>'[1]2018'!K128+'[1]2019'!K128+'[1]2020'!K128</f>
        <v>62</v>
      </c>
      <c r="L119" s="46">
        <f>'[1]2018'!L128+'[1]2019'!L128+'[1]2020'!L128</f>
        <v>0</v>
      </c>
      <c r="M119" s="46">
        <f>'[1]2018'!M128+'[1]2019'!M128+'[1]2020'!M128</f>
        <v>0</v>
      </c>
      <c r="N119" s="46">
        <f>'[1]2018'!N128+'[1]2019'!N128+'[1]2020'!N128</f>
        <v>0</v>
      </c>
      <c r="O119" s="46">
        <f>'[1]2018'!O128+'[1]2019'!O128+'[1]2020'!O128</f>
        <v>0</v>
      </c>
      <c r="P119" s="46">
        <f>'[1]2018'!P128+'[1]2019'!P128+'[1]2020'!P128</f>
        <v>39</v>
      </c>
      <c r="Q119" s="46">
        <f>'[1]2018'!Q128+'[1]2019'!Q128+'[1]2020'!Q128</f>
        <v>0</v>
      </c>
      <c r="R119" s="46">
        <f>'[1]2018'!R128+'[1]2019'!R128+'[1]2020'!R128</f>
        <v>0</v>
      </c>
      <c r="S119" s="46">
        <f>'[1]2018'!S128+'[1]2019'!S128+'[1]2020'!S128</f>
        <v>0</v>
      </c>
      <c r="T119" s="46">
        <f>'[1]2018'!T128+'[1]2019'!T128+'[1]2020'!T128</f>
        <v>0</v>
      </c>
      <c r="U119" s="46">
        <f>'[1]2018'!U128+'[1]2019'!U128+'[1]2020'!U128</f>
        <v>0</v>
      </c>
      <c r="V119" s="46">
        <f>'[1]2018'!V128+'[1]2019'!V128+'[1]2020'!V128</f>
        <v>0</v>
      </c>
      <c r="W119" s="46">
        <f>'[1]2018'!W128+'[1]2019'!W128+'[1]2020'!W128</f>
        <v>0</v>
      </c>
      <c r="X119" s="46">
        <f>'[1]2018'!X128+'[1]2019'!X128+'[1]2020'!X128</f>
        <v>0</v>
      </c>
      <c r="Y119" s="41">
        <f t="shared" si="11"/>
        <v>101</v>
      </c>
      <c r="Z119" s="11">
        <f>'[1]2018'!Z128+'[1]2019'!Z128+'[1]2020'!Z128</f>
        <v>12</v>
      </c>
      <c r="AA119" s="11">
        <f>'[1]2018'!AA128+'[1]2019'!AA128+'[1]2020'!AA128</f>
        <v>0</v>
      </c>
      <c r="AB119" s="11">
        <f>'[1]2018'!AB128+'[1]2019'!AB128+'[1]2020'!AB128</f>
        <v>104</v>
      </c>
      <c r="AC119" s="11">
        <f>'[1]2018'!AC128+'[1]2019'!AC128+'[1]2020'!AC128</f>
        <v>0</v>
      </c>
      <c r="AD119" s="11">
        <f>'[1]2018'!AD128+'[1]2019'!AD128+'[1]2020'!AD128</f>
        <v>0</v>
      </c>
      <c r="AE119" s="11">
        <f>'[1]2018'!AE128+'[1]2019'!AE128+'[1]2020'!AE128</f>
        <v>0</v>
      </c>
      <c r="AF119" s="11">
        <f>'[1]2018'!AF128+'[1]2019'!AF128+'[1]2020'!AF128</f>
        <v>0</v>
      </c>
      <c r="AG119" s="11">
        <f>'[1]2018'!AG128+'[1]2019'!AG128+'[1]2020'!AG128</f>
        <v>0</v>
      </c>
      <c r="AH119" s="11">
        <f>'[1]2018'!AH128+'[1]2019'!AH128+'[1]2020'!AH128</f>
        <v>0</v>
      </c>
      <c r="AI119" s="11">
        <f>'[1]2018'!AI128+'[1]2019'!AI128+'[1]2020'!AI128</f>
        <v>0</v>
      </c>
      <c r="AJ119" s="11">
        <f>'[1]2018'!AJ128+'[1]2019'!AJ128+'[1]2020'!AJ128</f>
        <v>0</v>
      </c>
      <c r="AK119" s="11">
        <f>'[1]2018'!AK128+'[1]2019'!AK128+'[1]2020'!AK128</f>
        <v>0</v>
      </c>
      <c r="AL119" s="11">
        <f>'[1]2018'!AL128+'[1]2019'!AL128+'[1]2020'!AL128</f>
        <v>0</v>
      </c>
      <c r="AM119" s="11">
        <f>'[1]2018'!AM128+'[1]2019'!AM128+'[1]2020'!AM128</f>
        <v>0</v>
      </c>
      <c r="AN119" s="11">
        <f>'[1]2018'!AN128+'[1]2019'!AN128+'[1]2020'!AN128</f>
        <v>104</v>
      </c>
      <c r="AO119" s="11">
        <f>'[1]2018'!AO128+'[1]2019'!AO128+'[1]2020'!AO128</f>
        <v>0</v>
      </c>
      <c r="AP119" s="11">
        <f>'[1]2018'!AP128+'[1]2019'!AP128+'[1]2020'!AP128</f>
        <v>0</v>
      </c>
      <c r="AQ119" s="11">
        <f>'[1]2018'!AQ128+'[1]2019'!AQ128+'[1]2020'!AQ128</f>
        <v>0</v>
      </c>
      <c r="AR119" s="11">
        <f>'[1]2018'!AR128+'[1]2019'!AR128+'[1]2020'!AR128</f>
        <v>0</v>
      </c>
      <c r="AS119" s="11">
        <f>'[1]2018'!AS128+'[1]2019'!AS128+'[1]2020'!AS128</f>
        <v>0</v>
      </c>
      <c r="AT119" s="11">
        <f>'[1]2018'!AT128+'[1]2019'!AT128+'[1]2020'!AT128</f>
        <v>0</v>
      </c>
      <c r="AU119" s="11">
        <f>'[1]2018'!AU128+'[1]2019'!AU128+'[1]2020'!AU128</f>
        <v>0</v>
      </c>
      <c r="AV119" s="11">
        <f>'[1]2018'!AV128+'[1]2019'!AV128+'[1]2020'!AV128</f>
        <v>0</v>
      </c>
      <c r="AW119" s="41">
        <f t="shared" si="12"/>
        <v>104</v>
      </c>
      <c r="AX119" s="14">
        <f t="shared" si="13"/>
        <v>70.606666666666669</v>
      </c>
      <c r="AY119" s="2">
        <f>'[1]2018'!AX128+'[1]2019'!AX128+'[1]2020'!AX128</f>
        <v>211.82</v>
      </c>
    </row>
    <row r="120" spans="1:51" x14ac:dyDescent="0.25">
      <c r="A120" s="10" t="s">
        <v>201</v>
      </c>
      <c r="B120" s="46">
        <f>'[1]2018'!B129+'[1]2019'!B129+'[1]2020'!B129</f>
        <v>29</v>
      </c>
      <c r="C120" s="46">
        <f>'[1]2018'!C129+'[1]2019'!C129+'[1]2020'!C129</f>
        <v>7</v>
      </c>
      <c r="D120" s="46">
        <f>'[1]2018'!D129+'[1]2019'!D129+'[1]2020'!D129</f>
        <v>159</v>
      </c>
      <c r="E120" s="46">
        <f>'[1]2018'!E129+'[1]2019'!E129+'[1]2020'!E129</f>
        <v>26</v>
      </c>
      <c r="F120" s="46">
        <f>'[1]2018'!F129+'[1]2019'!F129+'[1]2020'!F129</f>
        <v>0</v>
      </c>
      <c r="G120" s="46">
        <f>'[1]2018'!G129+'[1]2019'!G129+'[1]2020'!G129</f>
        <v>0</v>
      </c>
      <c r="H120" s="46">
        <f>'[1]2018'!H129+'[1]2019'!H129+'[1]2020'!H129</f>
        <v>103</v>
      </c>
      <c r="I120" s="46">
        <f>'[1]2018'!I129+'[1]2019'!I129+'[1]2020'!I129</f>
        <v>0</v>
      </c>
      <c r="J120" s="46">
        <f>'[1]2018'!J129+'[1]2019'!J129+'[1]2020'!J129</f>
        <v>18</v>
      </c>
      <c r="K120" s="46">
        <f>'[1]2018'!K129+'[1]2019'!K129+'[1]2020'!K129</f>
        <v>19</v>
      </c>
      <c r="L120" s="46">
        <f>'[1]2018'!L129+'[1]2019'!L129+'[1]2020'!L129</f>
        <v>11</v>
      </c>
      <c r="M120" s="46">
        <f>'[1]2018'!M129+'[1]2019'!M129+'[1]2020'!M129</f>
        <v>0</v>
      </c>
      <c r="N120" s="46">
        <f>'[1]2018'!N129+'[1]2019'!N129+'[1]2020'!N129</f>
        <v>1</v>
      </c>
      <c r="O120" s="46">
        <f>'[1]2018'!O129+'[1]2019'!O129+'[1]2020'!O129</f>
        <v>2</v>
      </c>
      <c r="P120" s="46">
        <f>'[1]2018'!P129+'[1]2019'!P129+'[1]2020'!P129</f>
        <v>0</v>
      </c>
      <c r="Q120" s="46">
        <f>'[1]2018'!Q129+'[1]2019'!Q129+'[1]2020'!Q129</f>
        <v>0</v>
      </c>
      <c r="R120" s="46">
        <f>'[1]2018'!R129+'[1]2019'!R129+'[1]2020'!R129</f>
        <v>0</v>
      </c>
      <c r="S120" s="46">
        <f>'[1]2018'!S129+'[1]2019'!S129+'[1]2020'!S129</f>
        <v>0</v>
      </c>
      <c r="T120" s="46">
        <f>'[1]2018'!T129+'[1]2019'!T129+'[1]2020'!T129</f>
        <v>0</v>
      </c>
      <c r="U120" s="46">
        <f>'[1]2018'!U129+'[1]2019'!U129+'[1]2020'!U129</f>
        <v>0</v>
      </c>
      <c r="V120" s="46">
        <f>'[1]2018'!V129+'[1]2019'!V129+'[1]2020'!V129</f>
        <v>5</v>
      </c>
      <c r="W120" s="46">
        <f>'[1]2018'!W129+'[1]2019'!W129+'[1]2020'!W129</f>
        <v>0</v>
      </c>
      <c r="X120" s="46">
        <f>'[1]2018'!X129+'[1]2019'!X129+'[1]2020'!X129</f>
        <v>0</v>
      </c>
      <c r="Y120" s="41">
        <f t="shared" si="11"/>
        <v>159</v>
      </c>
      <c r="Z120" s="11">
        <f>'[1]2018'!Z129+'[1]2019'!Z129+'[1]2020'!Z129</f>
        <v>34</v>
      </c>
      <c r="AA120" s="11">
        <f>'[1]2018'!AA129+'[1]2019'!AA129+'[1]2020'!AA129</f>
        <v>16</v>
      </c>
      <c r="AB120" s="11">
        <f>'[1]2018'!AB129+'[1]2019'!AB129+'[1]2020'!AB129</f>
        <v>131</v>
      </c>
      <c r="AC120" s="11">
        <f>'[1]2018'!AC129+'[1]2019'!AC129+'[1]2020'!AC129</f>
        <v>25</v>
      </c>
      <c r="AD120" s="11">
        <f>'[1]2018'!AD129+'[1]2019'!AD129+'[1]2020'!AD129</f>
        <v>15</v>
      </c>
      <c r="AE120" s="11">
        <f>'[1]2018'!AE129+'[1]2019'!AE129+'[1]2020'!AE129</f>
        <v>0</v>
      </c>
      <c r="AF120" s="11">
        <f>'[1]2018'!AF129+'[1]2019'!AF129+'[1]2020'!AF129</f>
        <v>66</v>
      </c>
      <c r="AG120" s="11">
        <f>'[1]2018'!AG129+'[1]2019'!AG129+'[1]2020'!AG129</f>
        <v>0</v>
      </c>
      <c r="AH120" s="11">
        <f>'[1]2018'!AH129+'[1]2019'!AH129+'[1]2020'!AH129</f>
        <v>21</v>
      </c>
      <c r="AI120" s="11">
        <f>'[1]2018'!AI129+'[1]2019'!AI129+'[1]2020'!AI129</f>
        <v>17</v>
      </c>
      <c r="AJ120" s="11">
        <f>'[1]2018'!AJ129+'[1]2019'!AJ129+'[1]2020'!AJ129</f>
        <v>7</v>
      </c>
      <c r="AK120" s="11">
        <f>'[1]2018'!AK129+'[1]2019'!AK129+'[1]2020'!AK129</f>
        <v>0</v>
      </c>
      <c r="AL120" s="11">
        <f>'[1]2018'!AL129+'[1]2019'!AL129+'[1]2020'!AL129</f>
        <v>0</v>
      </c>
      <c r="AM120" s="11">
        <f>'[1]2018'!AM129+'[1]2019'!AM129+'[1]2020'!AM129</f>
        <v>0</v>
      </c>
      <c r="AN120" s="11">
        <f>'[1]2018'!AN129+'[1]2019'!AN129+'[1]2020'!AN129</f>
        <v>0</v>
      </c>
      <c r="AO120" s="11">
        <f>'[1]2018'!AO129+'[1]2019'!AO129+'[1]2020'!AO129</f>
        <v>0</v>
      </c>
      <c r="AP120" s="11">
        <f>'[1]2018'!AP129+'[1]2019'!AP129+'[1]2020'!AP129</f>
        <v>0</v>
      </c>
      <c r="AQ120" s="11">
        <f>'[1]2018'!AQ129+'[1]2019'!AQ129+'[1]2020'!AQ129</f>
        <v>0</v>
      </c>
      <c r="AR120" s="11">
        <f>'[1]2018'!AR129+'[1]2019'!AR129+'[1]2020'!AR129</f>
        <v>0</v>
      </c>
      <c r="AS120" s="11">
        <f>'[1]2018'!AS129+'[1]2019'!AS129+'[1]2020'!AS129</f>
        <v>0</v>
      </c>
      <c r="AT120" s="11">
        <f>'[1]2018'!AT129+'[1]2019'!AT129+'[1]2020'!AT129</f>
        <v>5</v>
      </c>
      <c r="AU120" s="11">
        <f>'[1]2018'!AU129+'[1]2019'!AU129+'[1]2020'!AU129</f>
        <v>0</v>
      </c>
      <c r="AV120" s="11">
        <f>'[1]2018'!AV129+'[1]2019'!AV129+'[1]2020'!AV129</f>
        <v>0</v>
      </c>
      <c r="AW120" s="41">
        <f t="shared" si="12"/>
        <v>131</v>
      </c>
      <c r="AX120" s="14">
        <f t="shared" si="13"/>
        <v>2373.6655555555558</v>
      </c>
      <c r="AY120" s="2">
        <f>'[1]2018'!AX129+'[1]2019'!AX129+'[1]2020'!AX129</f>
        <v>7120.9966666666669</v>
      </c>
    </row>
    <row r="121" spans="1:51" x14ac:dyDescent="0.25">
      <c r="A121" s="10" t="s">
        <v>202</v>
      </c>
      <c r="B121" s="46">
        <f>'[1]2018'!B130+'[1]2019'!B130+'[1]2020'!B130</f>
        <v>5</v>
      </c>
      <c r="C121" s="46">
        <f>'[1]2018'!C130+'[1]2019'!C130+'[1]2020'!C130</f>
        <v>0</v>
      </c>
      <c r="D121" s="46">
        <f>'[1]2018'!D130+'[1]2019'!D130+'[1]2020'!D130</f>
        <v>7</v>
      </c>
      <c r="E121" s="46">
        <f>'[1]2018'!E130+'[1]2019'!E130+'[1]2020'!E130</f>
        <v>0</v>
      </c>
      <c r="F121" s="46">
        <f>'[1]2018'!F130+'[1]2019'!F130+'[1]2020'!F130</f>
        <v>0</v>
      </c>
      <c r="G121" s="46">
        <f>'[1]2018'!G130+'[1]2019'!G130+'[1]2020'!G130</f>
        <v>0</v>
      </c>
      <c r="H121" s="46">
        <f>'[1]2018'!H130+'[1]2019'!H130+'[1]2020'!H130</f>
        <v>1</v>
      </c>
      <c r="I121" s="46">
        <f>'[1]2018'!I130+'[1]2019'!I130+'[1]2020'!I130</f>
        <v>0</v>
      </c>
      <c r="J121" s="46">
        <f>'[1]2018'!J130+'[1]2019'!J130+'[1]2020'!J130</f>
        <v>0</v>
      </c>
      <c r="K121" s="46">
        <f>'[1]2018'!K130+'[1]2019'!K130+'[1]2020'!K130</f>
        <v>0</v>
      </c>
      <c r="L121" s="46">
        <f>'[1]2018'!L130+'[1]2019'!L130+'[1]2020'!L130</f>
        <v>4</v>
      </c>
      <c r="M121" s="46">
        <f>'[1]2018'!M130+'[1]2019'!M130+'[1]2020'!M130</f>
        <v>0</v>
      </c>
      <c r="N121" s="46">
        <f>'[1]2018'!N130+'[1]2019'!N130+'[1]2020'!N130</f>
        <v>0</v>
      </c>
      <c r="O121" s="46">
        <f>'[1]2018'!O130+'[1]2019'!O130+'[1]2020'!O130</f>
        <v>0</v>
      </c>
      <c r="P121" s="46">
        <f>'[1]2018'!P130+'[1]2019'!P130+'[1]2020'!P130</f>
        <v>0</v>
      </c>
      <c r="Q121" s="46">
        <f>'[1]2018'!Q130+'[1]2019'!Q130+'[1]2020'!Q130</f>
        <v>0</v>
      </c>
      <c r="R121" s="46">
        <f>'[1]2018'!R130+'[1]2019'!R130+'[1]2020'!R130</f>
        <v>2</v>
      </c>
      <c r="S121" s="46">
        <f>'[1]2018'!S130+'[1]2019'!S130+'[1]2020'!S130</f>
        <v>0</v>
      </c>
      <c r="T121" s="46">
        <f>'[1]2018'!T130+'[1]2019'!T130+'[1]2020'!T130</f>
        <v>0</v>
      </c>
      <c r="U121" s="46">
        <f>'[1]2018'!U130+'[1]2019'!U130+'[1]2020'!U130</f>
        <v>0</v>
      </c>
      <c r="V121" s="46">
        <f>'[1]2018'!V130+'[1]2019'!V130+'[1]2020'!V130</f>
        <v>0</v>
      </c>
      <c r="W121" s="46">
        <f>'[1]2018'!W130+'[1]2019'!W130+'[1]2020'!W130</f>
        <v>0</v>
      </c>
      <c r="X121" s="46">
        <f>'[1]2018'!X130+'[1]2019'!X130+'[1]2020'!X130</f>
        <v>0</v>
      </c>
      <c r="Y121" s="41">
        <f t="shared" si="11"/>
        <v>7</v>
      </c>
      <c r="Z121" s="11">
        <f>'[1]2018'!Z130+'[1]2019'!Z130+'[1]2020'!Z130</f>
        <v>3</v>
      </c>
      <c r="AA121" s="11">
        <f>'[1]2018'!AA130+'[1]2019'!AA130+'[1]2020'!AA130</f>
        <v>0</v>
      </c>
      <c r="AB121" s="11">
        <f>'[1]2018'!AB130+'[1]2019'!AB130+'[1]2020'!AB130</f>
        <v>4</v>
      </c>
      <c r="AC121" s="11">
        <f>'[1]2018'!AC130+'[1]2019'!AC130+'[1]2020'!AC130</f>
        <v>0</v>
      </c>
      <c r="AD121" s="11">
        <f>'[1]2018'!AD130+'[1]2019'!AD130+'[1]2020'!AD130</f>
        <v>0</v>
      </c>
      <c r="AE121" s="11">
        <f>'[1]2018'!AE130+'[1]2019'!AE130+'[1]2020'!AE130</f>
        <v>0</v>
      </c>
      <c r="AF121" s="11">
        <f>'[1]2018'!AF130+'[1]2019'!AF130+'[1]2020'!AF130</f>
        <v>1</v>
      </c>
      <c r="AG121" s="11">
        <f>'[1]2018'!AG130+'[1]2019'!AG130+'[1]2020'!AG130</f>
        <v>0</v>
      </c>
      <c r="AH121" s="11">
        <f>'[1]2018'!AH130+'[1]2019'!AH130+'[1]2020'!AH130</f>
        <v>0</v>
      </c>
      <c r="AI121" s="11">
        <f>'[1]2018'!AI130+'[1]2019'!AI130+'[1]2020'!AI130</f>
        <v>0</v>
      </c>
      <c r="AJ121" s="11">
        <f>'[1]2018'!AJ130+'[1]2019'!AJ130+'[1]2020'!AJ130</f>
        <v>1</v>
      </c>
      <c r="AK121" s="11">
        <f>'[1]2018'!AK130+'[1]2019'!AK130+'[1]2020'!AK130</f>
        <v>0</v>
      </c>
      <c r="AL121" s="11">
        <f>'[1]2018'!AL130+'[1]2019'!AL130+'[1]2020'!AL130</f>
        <v>0</v>
      </c>
      <c r="AM121" s="11">
        <f>'[1]2018'!AM130+'[1]2019'!AM130+'[1]2020'!AM130</f>
        <v>0</v>
      </c>
      <c r="AN121" s="11">
        <f>'[1]2018'!AN130+'[1]2019'!AN130+'[1]2020'!AN130</f>
        <v>0</v>
      </c>
      <c r="AO121" s="11">
        <f>'[1]2018'!AO130+'[1]2019'!AO130+'[1]2020'!AO130</f>
        <v>0</v>
      </c>
      <c r="AP121" s="11">
        <f>'[1]2018'!AP130+'[1]2019'!AP130+'[1]2020'!AP130</f>
        <v>2</v>
      </c>
      <c r="AQ121" s="11">
        <f>'[1]2018'!AQ130+'[1]2019'!AQ130+'[1]2020'!AQ130</f>
        <v>0</v>
      </c>
      <c r="AR121" s="11">
        <f>'[1]2018'!AR130+'[1]2019'!AR130+'[1]2020'!AR130</f>
        <v>0</v>
      </c>
      <c r="AS121" s="11">
        <f>'[1]2018'!AS130+'[1]2019'!AS130+'[1]2020'!AS130</f>
        <v>0</v>
      </c>
      <c r="AT121" s="11">
        <f>'[1]2018'!AT130+'[1]2019'!AT130+'[1]2020'!AT130</f>
        <v>0</v>
      </c>
      <c r="AU121" s="11">
        <f>'[1]2018'!AU130+'[1]2019'!AU130+'[1]2020'!AU130</f>
        <v>0</v>
      </c>
      <c r="AV121" s="11">
        <f>'[1]2018'!AV130+'[1]2019'!AV130+'[1]2020'!AV130</f>
        <v>0</v>
      </c>
      <c r="AW121" s="41">
        <f t="shared" si="12"/>
        <v>4</v>
      </c>
      <c r="AX121" s="14">
        <f t="shared" si="13"/>
        <v>2225.3333333333335</v>
      </c>
      <c r="AY121" s="2">
        <f>'[1]2018'!AX130+'[1]2019'!AX130+'[1]2020'!AX130</f>
        <v>6676</v>
      </c>
    </row>
    <row r="122" spans="1:51" x14ac:dyDescent="0.25">
      <c r="A122" s="10" t="s">
        <v>203</v>
      </c>
      <c r="B122" s="46">
        <f>'[1]2018'!B131+'[1]2019'!B131+'[1]2020'!B131</f>
        <v>11</v>
      </c>
      <c r="C122" s="46">
        <f>'[1]2018'!C131+'[1]2019'!C131+'[1]2020'!C131</f>
        <v>0</v>
      </c>
      <c r="D122" s="46">
        <f>'[1]2018'!D131+'[1]2019'!D131+'[1]2020'!D131</f>
        <v>61</v>
      </c>
      <c r="E122" s="46">
        <f>'[1]2018'!E131+'[1]2019'!E131+'[1]2020'!E131</f>
        <v>0</v>
      </c>
      <c r="F122" s="46">
        <f>'[1]2018'!F131+'[1]2019'!F131+'[1]2020'!F131</f>
        <v>0</v>
      </c>
      <c r="G122" s="46">
        <f>'[1]2018'!G131+'[1]2019'!G131+'[1]2020'!G131</f>
        <v>0</v>
      </c>
      <c r="H122" s="46">
        <f>'[1]2018'!H131+'[1]2019'!H131+'[1]2020'!H131</f>
        <v>61</v>
      </c>
      <c r="I122" s="46">
        <f>'[1]2018'!I131+'[1]2019'!I131+'[1]2020'!I131</f>
        <v>0</v>
      </c>
      <c r="J122" s="46">
        <f>'[1]2018'!J131+'[1]2019'!J131+'[1]2020'!J131</f>
        <v>0</v>
      </c>
      <c r="K122" s="46">
        <f>'[1]2018'!K131+'[1]2019'!K131+'[1]2020'!K131</f>
        <v>0</v>
      </c>
      <c r="L122" s="46">
        <f>'[1]2018'!L131+'[1]2019'!L131+'[1]2020'!L131</f>
        <v>0</v>
      </c>
      <c r="M122" s="46">
        <f>'[1]2018'!M131+'[1]2019'!M131+'[1]2020'!M131</f>
        <v>0</v>
      </c>
      <c r="N122" s="46">
        <f>'[1]2018'!N131+'[1]2019'!N131+'[1]2020'!N131</f>
        <v>0</v>
      </c>
      <c r="O122" s="46">
        <f>'[1]2018'!O131+'[1]2019'!O131+'[1]2020'!O131</f>
        <v>0</v>
      </c>
      <c r="P122" s="46">
        <f>'[1]2018'!P131+'[1]2019'!P131+'[1]2020'!P131</f>
        <v>0</v>
      </c>
      <c r="Q122" s="46">
        <f>'[1]2018'!Q131+'[1]2019'!Q131+'[1]2020'!Q131</f>
        <v>0</v>
      </c>
      <c r="R122" s="46">
        <f>'[1]2018'!R131+'[1]2019'!R131+'[1]2020'!R131</f>
        <v>0</v>
      </c>
      <c r="S122" s="46">
        <f>'[1]2018'!S131+'[1]2019'!S131+'[1]2020'!S131</f>
        <v>0</v>
      </c>
      <c r="T122" s="46">
        <f>'[1]2018'!T131+'[1]2019'!T131+'[1]2020'!T131</f>
        <v>0</v>
      </c>
      <c r="U122" s="46">
        <f>'[1]2018'!U131+'[1]2019'!U131+'[1]2020'!U131</f>
        <v>0</v>
      </c>
      <c r="V122" s="46">
        <f>'[1]2018'!V131+'[1]2019'!V131+'[1]2020'!V131</f>
        <v>0</v>
      </c>
      <c r="W122" s="46">
        <f>'[1]2018'!W131+'[1]2019'!W131+'[1]2020'!W131</f>
        <v>0</v>
      </c>
      <c r="X122" s="46">
        <f>'[1]2018'!X131+'[1]2019'!X131+'[1]2020'!X131</f>
        <v>0</v>
      </c>
      <c r="Y122" s="41">
        <f t="shared" si="11"/>
        <v>61</v>
      </c>
      <c r="Z122" s="11">
        <f>'[1]2018'!Z131+'[1]2019'!Z131+'[1]2020'!Z131</f>
        <v>9</v>
      </c>
      <c r="AA122" s="11">
        <f>'[1]2018'!AA131+'[1]2019'!AA131+'[1]2020'!AA131</f>
        <v>0</v>
      </c>
      <c r="AB122" s="11">
        <f>'[1]2018'!AB131+'[1]2019'!AB131+'[1]2020'!AB131</f>
        <v>50</v>
      </c>
      <c r="AC122" s="11">
        <f>'[1]2018'!AC131+'[1]2019'!AC131+'[1]2020'!AC131</f>
        <v>0</v>
      </c>
      <c r="AD122" s="11">
        <f>'[1]2018'!AD131+'[1]2019'!AD131+'[1]2020'!AD131</f>
        <v>0</v>
      </c>
      <c r="AE122" s="11">
        <f>'[1]2018'!AE131+'[1]2019'!AE131+'[1]2020'!AE131</f>
        <v>0</v>
      </c>
      <c r="AF122" s="11">
        <f>'[1]2018'!AF131+'[1]2019'!AF131+'[1]2020'!AF131</f>
        <v>50</v>
      </c>
      <c r="AG122" s="11">
        <f>'[1]2018'!AG131+'[1]2019'!AG131+'[1]2020'!AG131</f>
        <v>0</v>
      </c>
      <c r="AH122" s="11">
        <f>'[1]2018'!AH131+'[1]2019'!AH131+'[1]2020'!AH131</f>
        <v>0</v>
      </c>
      <c r="AI122" s="11">
        <f>'[1]2018'!AI131+'[1]2019'!AI131+'[1]2020'!AI131</f>
        <v>0</v>
      </c>
      <c r="AJ122" s="11">
        <f>'[1]2018'!AJ131+'[1]2019'!AJ131+'[1]2020'!AJ131</f>
        <v>0</v>
      </c>
      <c r="AK122" s="11">
        <f>'[1]2018'!AK131+'[1]2019'!AK131+'[1]2020'!AK131</f>
        <v>0</v>
      </c>
      <c r="AL122" s="11">
        <f>'[1]2018'!AL131+'[1]2019'!AL131+'[1]2020'!AL131</f>
        <v>0</v>
      </c>
      <c r="AM122" s="11">
        <f>'[1]2018'!AM131+'[1]2019'!AM131+'[1]2020'!AM131</f>
        <v>0</v>
      </c>
      <c r="AN122" s="11">
        <f>'[1]2018'!AN131+'[1]2019'!AN131+'[1]2020'!AN131</f>
        <v>0</v>
      </c>
      <c r="AO122" s="11">
        <f>'[1]2018'!AO131+'[1]2019'!AO131+'[1]2020'!AO131</f>
        <v>0</v>
      </c>
      <c r="AP122" s="11">
        <f>'[1]2018'!AP131+'[1]2019'!AP131+'[1]2020'!AP131</f>
        <v>0</v>
      </c>
      <c r="AQ122" s="11">
        <f>'[1]2018'!AQ131+'[1]2019'!AQ131+'[1]2020'!AQ131</f>
        <v>0</v>
      </c>
      <c r="AR122" s="11">
        <f>'[1]2018'!AR131+'[1]2019'!AR131+'[1]2020'!AR131</f>
        <v>0</v>
      </c>
      <c r="AS122" s="11">
        <f>'[1]2018'!AS131+'[1]2019'!AS131+'[1]2020'!AS131</f>
        <v>0</v>
      </c>
      <c r="AT122" s="11">
        <f>'[1]2018'!AT131+'[1]2019'!AT131+'[1]2020'!AT131</f>
        <v>0</v>
      </c>
      <c r="AU122" s="11">
        <f>'[1]2018'!AU131+'[1]2019'!AU131+'[1]2020'!AU131</f>
        <v>0</v>
      </c>
      <c r="AV122" s="11">
        <f>'[1]2018'!AV131+'[1]2019'!AV131+'[1]2020'!AV131</f>
        <v>0</v>
      </c>
      <c r="AW122" s="41">
        <f t="shared" si="12"/>
        <v>50</v>
      </c>
      <c r="AX122" s="14">
        <f t="shared" si="13"/>
        <v>1415.1679999999999</v>
      </c>
      <c r="AY122" s="2">
        <f>'[1]2018'!AX131+'[1]2019'!AX131+'[1]2020'!AX131</f>
        <v>4245.5039999999999</v>
      </c>
    </row>
    <row r="123" spans="1:51" x14ac:dyDescent="0.25">
      <c r="A123" s="10" t="s">
        <v>204</v>
      </c>
      <c r="B123" s="46">
        <f>'[1]2018'!B132+'[1]2019'!B132+'[1]2020'!B132</f>
        <v>4</v>
      </c>
      <c r="C123" s="46">
        <f>'[1]2018'!C132+'[1]2019'!C132+'[1]2020'!C132</f>
        <v>0</v>
      </c>
      <c r="D123" s="46">
        <f>'[1]2018'!D132+'[1]2019'!D132+'[1]2020'!D132</f>
        <v>9</v>
      </c>
      <c r="E123" s="46">
        <f>'[1]2018'!E132+'[1]2019'!E132+'[1]2020'!E132</f>
        <v>0</v>
      </c>
      <c r="F123" s="46">
        <f>'[1]2018'!F132+'[1]2019'!F132+'[1]2020'!F132</f>
        <v>0</v>
      </c>
      <c r="G123" s="46">
        <f>'[1]2018'!G132+'[1]2019'!G132+'[1]2020'!G132</f>
        <v>0</v>
      </c>
      <c r="H123" s="46">
        <f>'[1]2018'!H132+'[1]2019'!H132+'[1]2020'!H132</f>
        <v>3</v>
      </c>
      <c r="I123" s="46">
        <f>'[1]2018'!I132+'[1]2019'!I132+'[1]2020'!I132</f>
        <v>0</v>
      </c>
      <c r="J123" s="46">
        <f>'[1]2018'!J132+'[1]2019'!J132+'[1]2020'!J132</f>
        <v>0</v>
      </c>
      <c r="K123" s="46">
        <f>'[1]2018'!K132+'[1]2019'!K132+'[1]2020'!K132</f>
        <v>6</v>
      </c>
      <c r="L123" s="46">
        <f>'[1]2018'!L132+'[1]2019'!L132+'[1]2020'!L132</f>
        <v>0</v>
      </c>
      <c r="M123" s="46">
        <f>'[1]2018'!M132+'[1]2019'!M132+'[1]2020'!M132</f>
        <v>0</v>
      </c>
      <c r="N123" s="46">
        <f>'[1]2018'!N132+'[1]2019'!N132+'[1]2020'!N132</f>
        <v>0</v>
      </c>
      <c r="O123" s="46">
        <f>'[1]2018'!O132+'[1]2019'!O132+'[1]2020'!O132</f>
        <v>0</v>
      </c>
      <c r="P123" s="46">
        <f>'[1]2018'!P132+'[1]2019'!P132+'[1]2020'!P132</f>
        <v>0</v>
      </c>
      <c r="Q123" s="46">
        <f>'[1]2018'!Q132+'[1]2019'!Q132+'[1]2020'!Q132</f>
        <v>0</v>
      </c>
      <c r="R123" s="46">
        <f>'[1]2018'!R132+'[1]2019'!R132+'[1]2020'!R132</f>
        <v>0</v>
      </c>
      <c r="S123" s="46">
        <f>'[1]2018'!S132+'[1]2019'!S132+'[1]2020'!S132</f>
        <v>0</v>
      </c>
      <c r="T123" s="46">
        <f>'[1]2018'!T132+'[1]2019'!T132+'[1]2020'!T132</f>
        <v>0</v>
      </c>
      <c r="U123" s="46">
        <f>'[1]2018'!U132+'[1]2019'!U132+'[1]2020'!U132</f>
        <v>0</v>
      </c>
      <c r="V123" s="46">
        <f>'[1]2018'!V132+'[1]2019'!V132+'[1]2020'!V132</f>
        <v>0</v>
      </c>
      <c r="W123" s="46">
        <f>'[1]2018'!W132+'[1]2019'!W132+'[1]2020'!W132</f>
        <v>0</v>
      </c>
      <c r="X123" s="46">
        <f>'[1]2018'!X132+'[1]2019'!X132+'[1]2020'!X132</f>
        <v>0</v>
      </c>
      <c r="Y123" s="41">
        <f t="shared" si="11"/>
        <v>9</v>
      </c>
      <c r="Z123" s="11">
        <f>'[1]2018'!Z132+'[1]2019'!Z132+'[1]2020'!Z132</f>
        <v>4</v>
      </c>
      <c r="AA123" s="11">
        <f>'[1]2018'!AA132+'[1]2019'!AA132+'[1]2020'!AA132</f>
        <v>0</v>
      </c>
      <c r="AB123" s="11">
        <f>'[1]2018'!AB132+'[1]2019'!AB132+'[1]2020'!AB132</f>
        <v>9</v>
      </c>
      <c r="AC123" s="11">
        <f>'[1]2018'!AC132+'[1]2019'!AC132+'[1]2020'!AC132</f>
        <v>0</v>
      </c>
      <c r="AD123" s="11">
        <f>'[1]2018'!AD132+'[1]2019'!AD132+'[1]2020'!AD132</f>
        <v>0</v>
      </c>
      <c r="AE123" s="11">
        <f>'[1]2018'!AE132+'[1]2019'!AE132+'[1]2020'!AE132</f>
        <v>0</v>
      </c>
      <c r="AF123" s="11">
        <f>'[1]2018'!AF132+'[1]2019'!AF132+'[1]2020'!AF132</f>
        <v>3</v>
      </c>
      <c r="AG123" s="11">
        <f>'[1]2018'!AG132+'[1]2019'!AG132+'[1]2020'!AG132</f>
        <v>0</v>
      </c>
      <c r="AH123" s="11">
        <f>'[1]2018'!AH132+'[1]2019'!AH132+'[1]2020'!AH132</f>
        <v>0</v>
      </c>
      <c r="AI123" s="11">
        <f>'[1]2018'!AI132+'[1]2019'!AI132+'[1]2020'!AI132</f>
        <v>6</v>
      </c>
      <c r="AJ123" s="11">
        <f>'[1]2018'!AJ132+'[1]2019'!AJ132+'[1]2020'!AJ132</f>
        <v>0</v>
      </c>
      <c r="AK123" s="11">
        <f>'[1]2018'!AK132+'[1]2019'!AK132+'[1]2020'!AK132</f>
        <v>0</v>
      </c>
      <c r="AL123" s="11">
        <f>'[1]2018'!AL132+'[1]2019'!AL132+'[1]2020'!AL132</f>
        <v>0</v>
      </c>
      <c r="AM123" s="11">
        <f>'[1]2018'!AM132+'[1]2019'!AM132+'[1]2020'!AM132</f>
        <v>0</v>
      </c>
      <c r="AN123" s="11">
        <f>'[1]2018'!AN132+'[1]2019'!AN132+'[1]2020'!AN132</f>
        <v>0</v>
      </c>
      <c r="AO123" s="11">
        <f>'[1]2018'!AO132+'[1]2019'!AO132+'[1]2020'!AO132</f>
        <v>0</v>
      </c>
      <c r="AP123" s="11">
        <f>'[1]2018'!AP132+'[1]2019'!AP132+'[1]2020'!AP132</f>
        <v>0</v>
      </c>
      <c r="AQ123" s="11">
        <f>'[1]2018'!AQ132+'[1]2019'!AQ132+'[1]2020'!AQ132</f>
        <v>0</v>
      </c>
      <c r="AR123" s="11">
        <f>'[1]2018'!AR132+'[1]2019'!AR132+'[1]2020'!AR132</f>
        <v>0</v>
      </c>
      <c r="AS123" s="11">
        <f>'[1]2018'!AS132+'[1]2019'!AS132+'[1]2020'!AS132</f>
        <v>0</v>
      </c>
      <c r="AT123" s="11">
        <f>'[1]2018'!AT132+'[1]2019'!AT132+'[1]2020'!AT132</f>
        <v>0</v>
      </c>
      <c r="AU123" s="11">
        <f>'[1]2018'!AU132+'[1]2019'!AU132+'[1]2020'!AU132</f>
        <v>0</v>
      </c>
      <c r="AV123" s="11">
        <f>'[1]2018'!AV132+'[1]2019'!AV132+'[1]2020'!AV132</f>
        <v>0</v>
      </c>
      <c r="AW123" s="41">
        <f t="shared" si="12"/>
        <v>9</v>
      </c>
      <c r="AX123" s="14">
        <f t="shared" si="13"/>
        <v>304.43333333333334</v>
      </c>
      <c r="AY123" s="2">
        <f>'[1]2018'!AX132+'[1]2019'!AX132+'[1]2020'!AX132</f>
        <v>913.3</v>
      </c>
    </row>
    <row r="124" spans="1:51" x14ac:dyDescent="0.25">
      <c r="A124" s="10" t="s">
        <v>205</v>
      </c>
      <c r="B124" s="46">
        <f>'[1]2018'!B133+'[1]2019'!B133+'[1]2020'!B133</f>
        <v>21</v>
      </c>
      <c r="C124" s="46">
        <f>'[1]2018'!C133+'[1]2019'!C133+'[1]2020'!C133</f>
        <v>0</v>
      </c>
      <c r="D124" s="46">
        <f>'[1]2018'!D133+'[1]2019'!D133+'[1]2020'!D133</f>
        <v>118</v>
      </c>
      <c r="E124" s="46">
        <f>'[1]2018'!E133+'[1]2019'!E133+'[1]2020'!E133</f>
        <v>0</v>
      </c>
      <c r="F124" s="46">
        <f>'[1]2018'!F133+'[1]2019'!F133+'[1]2020'!F133</f>
        <v>0</v>
      </c>
      <c r="G124" s="46">
        <f>'[1]2018'!G133+'[1]2019'!G133+'[1]2020'!G133</f>
        <v>0</v>
      </c>
      <c r="H124" s="46">
        <f>'[1]2018'!H133+'[1]2019'!H133+'[1]2020'!H133</f>
        <v>110</v>
      </c>
      <c r="I124" s="46">
        <f>'[1]2018'!I133+'[1]2019'!I133+'[1]2020'!I133</f>
        <v>0</v>
      </c>
      <c r="J124" s="46">
        <f>'[1]2018'!J133+'[1]2019'!J133+'[1]2020'!J133</f>
        <v>0</v>
      </c>
      <c r="K124" s="46">
        <f>'[1]2018'!K133+'[1]2019'!K133+'[1]2020'!K133</f>
        <v>0</v>
      </c>
      <c r="L124" s="46">
        <f>'[1]2018'!L133+'[1]2019'!L133+'[1]2020'!L133</f>
        <v>0</v>
      </c>
      <c r="M124" s="46">
        <f>'[1]2018'!M133+'[1]2019'!M133+'[1]2020'!M133</f>
        <v>0</v>
      </c>
      <c r="N124" s="46">
        <f>'[1]2018'!N133+'[1]2019'!N133+'[1]2020'!N133</f>
        <v>0</v>
      </c>
      <c r="O124" s="46">
        <f>'[1]2018'!O133+'[1]2019'!O133+'[1]2020'!O133</f>
        <v>0</v>
      </c>
      <c r="P124" s="46">
        <f>'[1]2018'!P133+'[1]2019'!P133+'[1]2020'!P133</f>
        <v>0</v>
      </c>
      <c r="Q124" s="46">
        <f>'[1]2018'!Q133+'[1]2019'!Q133+'[1]2020'!Q133</f>
        <v>0</v>
      </c>
      <c r="R124" s="46">
        <f>'[1]2018'!R133+'[1]2019'!R133+'[1]2020'!R133</f>
        <v>8</v>
      </c>
      <c r="S124" s="46">
        <f>'[1]2018'!S133+'[1]2019'!S133+'[1]2020'!S133</f>
        <v>0</v>
      </c>
      <c r="T124" s="46">
        <f>'[1]2018'!T133+'[1]2019'!T133+'[1]2020'!T133</f>
        <v>0</v>
      </c>
      <c r="U124" s="46">
        <f>'[1]2018'!U133+'[1]2019'!U133+'[1]2020'!U133</f>
        <v>0</v>
      </c>
      <c r="V124" s="46">
        <f>'[1]2018'!V133+'[1]2019'!V133+'[1]2020'!V133</f>
        <v>0</v>
      </c>
      <c r="W124" s="46">
        <f>'[1]2018'!W133+'[1]2019'!W133+'[1]2020'!W133</f>
        <v>0</v>
      </c>
      <c r="X124" s="46">
        <f>'[1]2018'!X133+'[1]2019'!X133+'[1]2020'!X133</f>
        <v>0</v>
      </c>
      <c r="Y124" s="41">
        <f t="shared" si="11"/>
        <v>118</v>
      </c>
      <c r="Z124" s="11">
        <f>'[1]2018'!Z133+'[1]2019'!Z133+'[1]2020'!Z133</f>
        <v>20</v>
      </c>
      <c r="AA124" s="11">
        <f>'[1]2018'!AA133+'[1]2019'!AA133+'[1]2020'!AA133</f>
        <v>0</v>
      </c>
      <c r="AB124" s="11">
        <f>'[1]2018'!AB133+'[1]2019'!AB133+'[1]2020'!AB133</f>
        <v>89</v>
      </c>
      <c r="AC124" s="11">
        <f>'[1]2018'!AC133+'[1]2019'!AC133+'[1]2020'!AC133</f>
        <v>0</v>
      </c>
      <c r="AD124" s="11">
        <f>'[1]2018'!AD133+'[1]2019'!AD133+'[1]2020'!AD133</f>
        <v>0</v>
      </c>
      <c r="AE124" s="11">
        <f>'[1]2018'!AE133+'[1]2019'!AE133+'[1]2020'!AE133</f>
        <v>0</v>
      </c>
      <c r="AF124" s="11">
        <f>'[1]2018'!AF133+'[1]2019'!AF133+'[1]2020'!AF133</f>
        <v>83</v>
      </c>
      <c r="AG124" s="11">
        <f>'[1]2018'!AG133+'[1]2019'!AG133+'[1]2020'!AG133</f>
        <v>0</v>
      </c>
      <c r="AH124" s="11">
        <f>'[1]2018'!AH133+'[1]2019'!AH133+'[1]2020'!AH133</f>
        <v>0</v>
      </c>
      <c r="AI124" s="11">
        <f>'[1]2018'!AI133+'[1]2019'!AI133+'[1]2020'!AI133</f>
        <v>0</v>
      </c>
      <c r="AJ124" s="11">
        <f>'[1]2018'!AJ133+'[1]2019'!AJ133+'[1]2020'!AJ133</f>
        <v>0</v>
      </c>
      <c r="AK124" s="11">
        <f>'[1]2018'!AK133+'[1]2019'!AK133+'[1]2020'!AK133</f>
        <v>0</v>
      </c>
      <c r="AL124" s="11">
        <f>'[1]2018'!AL133+'[1]2019'!AL133+'[1]2020'!AL133</f>
        <v>0</v>
      </c>
      <c r="AM124" s="11">
        <f>'[1]2018'!AM133+'[1]2019'!AM133+'[1]2020'!AM133</f>
        <v>0</v>
      </c>
      <c r="AN124" s="11">
        <f>'[1]2018'!AN133+'[1]2019'!AN133+'[1]2020'!AN133</f>
        <v>0</v>
      </c>
      <c r="AO124" s="11">
        <f>'[1]2018'!AO133+'[1]2019'!AO133+'[1]2020'!AO133</f>
        <v>0</v>
      </c>
      <c r="AP124" s="11">
        <f>'[1]2018'!AP133+'[1]2019'!AP133+'[1]2020'!AP133</f>
        <v>6</v>
      </c>
      <c r="AQ124" s="11">
        <f>'[1]2018'!AQ133+'[1]2019'!AQ133+'[1]2020'!AQ133</f>
        <v>0</v>
      </c>
      <c r="AR124" s="11">
        <f>'[1]2018'!AR133+'[1]2019'!AR133+'[1]2020'!AR133</f>
        <v>0</v>
      </c>
      <c r="AS124" s="11">
        <f>'[1]2018'!AS133+'[1]2019'!AS133+'[1]2020'!AS133</f>
        <v>0</v>
      </c>
      <c r="AT124" s="11">
        <f>'[1]2018'!AT133+'[1]2019'!AT133+'[1]2020'!AT133</f>
        <v>0</v>
      </c>
      <c r="AU124" s="11">
        <f>'[1]2018'!AU133+'[1]2019'!AU133+'[1]2020'!AU133</f>
        <v>0</v>
      </c>
      <c r="AV124" s="11">
        <f>'[1]2018'!AV133+'[1]2019'!AV133+'[1]2020'!AV133</f>
        <v>0</v>
      </c>
      <c r="AW124" s="41">
        <f t="shared" si="12"/>
        <v>89</v>
      </c>
      <c r="AX124" s="14">
        <f t="shared" si="13"/>
        <v>2330.5160606060604</v>
      </c>
      <c r="AY124" s="2">
        <f>'[1]2018'!AX133+'[1]2019'!AX133+'[1]2020'!AX133</f>
        <v>6991.5481818181815</v>
      </c>
    </row>
    <row r="125" spans="1:51" x14ac:dyDescent="0.25">
      <c r="A125" s="10" t="s">
        <v>206</v>
      </c>
      <c r="B125" s="46">
        <f>'[1]2018'!B134+'[1]2019'!B134+'[1]2020'!B134</f>
        <v>6</v>
      </c>
      <c r="C125" s="46">
        <f>'[1]2018'!C134+'[1]2019'!C134+'[1]2020'!C134</f>
        <v>0</v>
      </c>
      <c r="D125" s="46">
        <f>'[1]2018'!D134+'[1]2019'!D134+'[1]2020'!D134</f>
        <v>37</v>
      </c>
      <c r="E125" s="46">
        <f>'[1]2018'!E134+'[1]2019'!E134+'[1]2020'!E134</f>
        <v>0</v>
      </c>
      <c r="F125" s="46">
        <f>'[1]2018'!F134+'[1]2019'!F134+'[1]2020'!F134</f>
        <v>0</v>
      </c>
      <c r="G125" s="46">
        <f>'[1]2018'!G134+'[1]2019'!G134+'[1]2020'!G134</f>
        <v>0</v>
      </c>
      <c r="H125" s="46">
        <f>'[1]2018'!H134+'[1]2019'!H134+'[1]2020'!H134</f>
        <v>36</v>
      </c>
      <c r="I125" s="46">
        <f>'[1]2018'!I134+'[1]2019'!I134+'[1]2020'!I134</f>
        <v>0</v>
      </c>
      <c r="J125" s="46">
        <f>'[1]2018'!J134+'[1]2019'!J134+'[1]2020'!J134</f>
        <v>0</v>
      </c>
      <c r="K125" s="46">
        <f>'[1]2018'!K134+'[1]2019'!K134+'[1]2020'!K134</f>
        <v>0</v>
      </c>
      <c r="L125" s="46">
        <f>'[1]2018'!L134+'[1]2019'!L134+'[1]2020'!L134</f>
        <v>0</v>
      </c>
      <c r="M125" s="46">
        <f>'[1]2018'!M134+'[1]2019'!M134+'[1]2020'!M134</f>
        <v>0</v>
      </c>
      <c r="N125" s="46">
        <f>'[1]2018'!N134+'[1]2019'!N134+'[1]2020'!N134</f>
        <v>0</v>
      </c>
      <c r="O125" s="46">
        <f>'[1]2018'!O134+'[1]2019'!O134+'[1]2020'!O134</f>
        <v>0</v>
      </c>
      <c r="P125" s="46">
        <f>'[1]2018'!P134+'[1]2019'!P134+'[1]2020'!P134</f>
        <v>0</v>
      </c>
      <c r="Q125" s="46">
        <f>'[1]2018'!Q134+'[1]2019'!Q134+'[1]2020'!Q134</f>
        <v>0</v>
      </c>
      <c r="R125" s="46">
        <f>'[1]2018'!R134+'[1]2019'!R134+'[1]2020'!R134</f>
        <v>1</v>
      </c>
      <c r="S125" s="46">
        <f>'[1]2018'!S134+'[1]2019'!S134+'[1]2020'!S134</f>
        <v>0</v>
      </c>
      <c r="T125" s="46">
        <f>'[1]2018'!T134+'[1]2019'!T134+'[1]2020'!T134</f>
        <v>0</v>
      </c>
      <c r="U125" s="46">
        <f>'[1]2018'!U134+'[1]2019'!U134+'[1]2020'!U134</f>
        <v>0</v>
      </c>
      <c r="V125" s="46">
        <f>'[1]2018'!V134+'[1]2019'!V134+'[1]2020'!V134</f>
        <v>0</v>
      </c>
      <c r="W125" s="46">
        <f>'[1]2018'!W134+'[1]2019'!W134+'[1]2020'!W134</f>
        <v>0</v>
      </c>
      <c r="X125" s="46">
        <f>'[1]2018'!X134+'[1]2019'!X134+'[1]2020'!X134</f>
        <v>0</v>
      </c>
      <c r="Y125" s="41">
        <f t="shared" ref="Y125:Y187" si="18">SUM(F125:X125)</f>
        <v>37</v>
      </c>
      <c r="Z125" s="11">
        <f>'[1]2018'!Z134+'[1]2019'!Z134+'[1]2020'!Z134</f>
        <v>5</v>
      </c>
      <c r="AA125" s="11">
        <f>'[1]2018'!AA134+'[1]2019'!AA134+'[1]2020'!AA134</f>
        <v>0</v>
      </c>
      <c r="AB125" s="11">
        <f>'[1]2018'!AB134+'[1]2019'!AB134+'[1]2020'!AB134</f>
        <v>29</v>
      </c>
      <c r="AC125" s="11">
        <f>'[1]2018'!AC134+'[1]2019'!AC134+'[1]2020'!AC134</f>
        <v>0</v>
      </c>
      <c r="AD125" s="11">
        <f>'[1]2018'!AD134+'[1]2019'!AD134+'[1]2020'!AD134</f>
        <v>0</v>
      </c>
      <c r="AE125" s="11">
        <f>'[1]2018'!AE134+'[1]2019'!AE134+'[1]2020'!AE134</f>
        <v>0</v>
      </c>
      <c r="AF125" s="11">
        <f>'[1]2018'!AF134+'[1]2019'!AF134+'[1]2020'!AF134</f>
        <v>28</v>
      </c>
      <c r="AG125" s="11">
        <f>'[1]2018'!AG134+'[1]2019'!AG134+'[1]2020'!AG134</f>
        <v>0</v>
      </c>
      <c r="AH125" s="11">
        <f>'[1]2018'!AH134+'[1]2019'!AH134+'[1]2020'!AH134</f>
        <v>0</v>
      </c>
      <c r="AI125" s="11">
        <f>'[1]2018'!AI134+'[1]2019'!AI134+'[1]2020'!AI134</f>
        <v>0</v>
      </c>
      <c r="AJ125" s="11">
        <f>'[1]2018'!AJ134+'[1]2019'!AJ134+'[1]2020'!AJ134</f>
        <v>0</v>
      </c>
      <c r="AK125" s="11">
        <f>'[1]2018'!AK134+'[1]2019'!AK134+'[1]2020'!AK134</f>
        <v>1</v>
      </c>
      <c r="AL125" s="11">
        <f>'[1]2018'!AL134+'[1]2019'!AL134+'[1]2020'!AL134</f>
        <v>0</v>
      </c>
      <c r="AM125" s="11">
        <f>'[1]2018'!AM134+'[1]2019'!AM134+'[1]2020'!AM134</f>
        <v>0</v>
      </c>
      <c r="AN125" s="11">
        <f>'[1]2018'!AN134+'[1]2019'!AN134+'[1]2020'!AN134</f>
        <v>0</v>
      </c>
      <c r="AO125" s="11">
        <f>'[1]2018'!AO134+'[1]2019'!AO134+'[1]2020'!AO134</f>
        <v>0</v>
      </c>
      <c r="AP125" s="11">
        <f>'[1]2018'!AP134+'[1]2019'!AP134+'[1]2020'!AP134</f>
        <v>0</v>
      </c>
      <c r="AQ125" s="11">
        <f>'[1]2018'!AQ134+'[1]2019'!AQ134+'[1]2020'!AQ134</f>
        <v>0</v>
      </c>
      <c r="AR125" s="11">
        <f>'[1]2018'!AR134+'[1]2019'!AR134+'[1]2020'!AR134</f>
        <v>0</v>
      </c>
      <c r="AS125" s="11">
        <f>'[1]2018'!AS134+'[1]2019'!AS134+'[1]2020'!AS134</f>
        <v>0</v>
      </c>
      <c r="AT125" s="11">
        <f>'[1]2018'!AT134+'[1]2019'!AT134+'[1]2020'!AT134</f>
        <v>0</v>
      </c>
      <c r="AU125" s="11">
        <f>'[1]2018'!AU134+'[1]2019'!AU134+'[1]2020'!AU134</f>
        <v>0</v>
      </c>
      <c r="AV125" s="11">
        <f>'[1]2018'!AV134+'[1]2019'!AV134+'[1]2020'!AV134</f>
        <v>0</v>
      </c>
      <c r="AW125" s="41">
        <f t="shared" ref="AW125:AW187" si="19">SUM(AD125:AV125)</f>
        <v>29</v>
      </c>
      <c r="AX125" s="14">
        <f t="shared" ref="AX125:AX187" si="20">AY125/3</f>
        <v>2035.2666666666667</v>
      </c>
      <c r="AY125" s="2">
        <f>'[1]2018'!AX134+'[1]2019'!AX134+'[1]2020'!AX134</f>
        <v>6105.8</v>
      </c>
    </row>
    <row r="126" spans="1:51" x14ac:dyDescent="0.25">
      <c r="A126" s="10" t="s">
        <v>207</v>
      </c>
      <c r="B126" s="46">
        <f>'[1]2018'!B135+'[1]2019'!B135+'[1]2020'!B135</f>
        <v>0</v>
      </c>
      <c r="C126" s="46">
        <f>'[1]2018'!C135+'[1]2019'!C135+'[1]2020'!C135</f>
        <v>0</v>
      </c>
      <c r="D126" s="46">
        <f>'[1]2018'!D135+'[1]2019'!D135+'[1]2020'!D135</f>
        <v>0</v>
      </c>
      <c r="E126" s="46">
        <f>'[1]2018'!E135+'[1]2019'!E135+'[1]2020'!E135</f>
        <v>0</v>
      </c>
      <c r="F126" s="46">
        <f>'[1]2018'!F135+'[1]2019'!F135+'[1]2020'!F135</f>
        <v>0</v>
      </c>
      <c r="G126" s="46">
        <f>'[1]2018'!G135+'[1]2019'!G135+'[1]2020'!G135</f>
        <v>0</v>
      </c>
      <c r="H126" s="46">
        <f>'[1]2018'!H135+'[1]2019'!H135+'[1]2020'!H135</f>
        <v>0</v>
      </c>
      <c r="I126" s="46">
        <f>'[1]2018'!I135+'[1]2019'!I135+'[1]2020'!I135</f>
        <v>0</v>
      </c>
      <c r="J126" s="46">
        <f>'[1]2018'!J135+'[1]2019'!J135+'[1]2020'!J135</f>
        <v>0</v>
      </c>
      <c r="K126" s="46">
        <f>'[1]2018'!K135+'[1]2019'!K135+'[1]2020'!K135</f>
        <v>0</v>
      </c>
      <c r="L126" s="46">
        <f>'[1]2018'!L135+'[1]2019'!L135+'[1]2020'!L135</f>
        <v>0</v>
      </c>
      <c r="M126" s="46">
        <f>'[1]2018'!M135+'[1]2019'!M135+'[1]2020'!M135</f>
        <v>0</v>
      </c>
      <c r="N126" s="46">
        <f>'[1]2018'!N135+'[1]2019'!N135+'[1]2020'!N135</f>
        <v>0</v>
      </c>
      <c r="O126" s="46">
        <f>'[1]2018'!O135+'[1]2019'!O135+'[1]2020'!O135</f>
        <v>0</v>
      </c>
      <c r="P126" s="46">
        <f>'[1]2018'!P135+'[1]2019'!P135+'[1]2020'!P135</f>
        <v>0</v>
      </c>
      <c r="Q126" s="46">
        <f>'[1]2018'!Q135+'[1]2019'!Q135+'[1]2020'!Q135</f>
        <v>0</v>
      </c>
      <c r="R126" s="46">
        <f>'[1]2018'!R135+'[1]2019'!R135+'[1]2020'!R135</f>
        <v>0</v>
      </c>
      <c r="S126" s="46">
        <f>'[1]2018'!S135+'[1]2019'!S135+'[1]2020'!S135</f>
        <v>0</v>
      </c>
      <c r="T126" s="46">
        <f>'[1]2018'!T135+'[1]2019'!T135+'[1]2020'!T135</f>
        <v>0</v>
      </c>
      <c r="U126" s="46">
        <f>'[1]2018'!U135+'[1]2019'!U135+'[1]2020'!U135</f>
        <v>0</v>
      </c>
      <c r="V126" s="46">
        <f>'[1]2018'!V135+'[1]2019'!V135+'[1]2020'!V135</f>
        <v>0</v>
      </c>
      <c r="W126" s="46">
        <f>'[1]2018'!W135+'[1]2019'!W135+'[1]2020'!W135</f>
        <v>0</v>
      </c>
      <c r="X126" s="46">
        <f>'[1]2018'!X135+'[1]2019'!X135+'[1]2020'!X135</f>
        <v>0</v>
      </c>
      <c r="Y126" s="41">
        <f t="shared" si="18"/>
        <v>0</v>
      </c>
      <c r="Z126" s="11">
        <f>'[1]2018'!Z135+'[1]2019'!Z135+'[1]2020'!Z135</f>
        <v>0</v>
      </c>
      <c r="AA126" s="11">
        <f>'[1]2018'!AA135+'[1]2019'!AA135+'[1]2020'!AA135</f>
        <v>0</v>
      </c>
      <c r="AB126" s="11">
        <f>'[1]2018'!AB135+'[1]2019'!AB135+'[1]2020'!AB135</f>
        <v>0</v>
      </c>
      <c r="AC126" s="11">
        <f>'[1]2018'!AC135+'[1]2019'!AC135+'[1]2020'!AC135</f>
        <v>0</v>
      </c>
      <c r="AD126" s="11">
        <f>'[1]2018'!AD135+'[1]2019'!AD135+'[1]2020'!AD135</f>
        <v>0</v>
      </c>
      <c r="AE126" s="11">
        <f>'[1]2018'!AE135+'[1]2019'!AE135+'[1]2020'!AE135</f>
        <v>0</v>
      </c>
      <c r="AF126" s="11">
        <f>'[1]2018'!AF135+'[1]2019'!AF135+'[1]2020'!AF135</f>
        <v>0</v>
      </c>
      <c r="AG126" s="11">
        <f>'[1]2018'!AG135+'[1]2019'!AG135+'[1]2020'!AG135</f>
        <v>0</v>
      </c>
      <c r="AH126" s="11">
        <f>'[1]2018'!AH135+'[1]2019'!AH135+'[1]2020'!AH135</f>
        <v>0</v>
      </c>
      <c r="AI126" s="11">
        <f>'[1]2018'!AI135+'[1]2019'!AI135+'[1]2020'!AI135</f>
        <v>0</v>
      </c>
      <c r="AJ126" s="11">
        <f>'[1]2018'!AJ135+'[1]2019'!AJ135+'[1]2020'!AJ135</f>
        <v>0</v>
      </c>
      <c r="AK126" s="11">
        <f>'[1]2018'!AK135+'[1]2019'!AK135+'[1]2020'!AK135</f>
        <v>0</v>
      </c>
      <c r="AL126" s="11">
        <f>'[1]2018'!AL135+'[1]2019'!AL135+'[1]2020'!AL135</f>
        <v>0</v>
      </c>
      <c r="AM126" s="11">
        <f>'[1]2018'!AM135+'[1]2019'!AM135+'[1]2020'!AM135</f>
        <v>0</v>
      </c>
      <c r="AN126" s="11">
        <f>'[1]2018'!AN135+'[1]2019'!AN135+'[1]2020'!AN135</f>
        <v>0</v>
      </c>
      <c r="AO126" s="11">
        <f>'[1]2018'!AO135+'[1]2019'!AO135+'[1]2020'!AO135</f>
        <v>0</v>
      </c>
      <c r="AP126" s="11">
        <f>'[1]2018'!AP135+'[1]2019'!AP135+'[1]2020'!AP135</f>
        <v>0</v>
      </c>
      <c r="AQ126" s="11">
        <f>'[1]2018'!AQ135+'[1]2019'!AQ135+'[1]2020'!AQ135</f>
        <v>0</v>
      </c>
      <c r="AR126" s="11">
        <f>'[1]2018'!AR135+'[1]2019'!AR135+'[1]2020'!AR135</f>
        <v>0</v>
      </c>
      <c r="AS126" s="11">
        <f>'[1]2018'!AS135+'[1]2019'!AS135+'[1]2020'!AS135</f>
        <v>0</v>
      </c>
      <c r="AT126" s="11">
        <f>'[1]2018'!AT135+'[1]2019'!AT135+'[1]2020'!AT135</f>
        <v>0</v>
      </c>
      <c r="AU126" s="11">
        <f>'[1]2018'!AU135+'[1]2019'!AU135+'[1]2020'!AU135</f>
        <v>0</v>
      </c>
      <c r="AV126" s="11">
        <f>'[1]2018'!AV135+'[1]2019'!AV135+'[1]2020'!AV135</f>
        <v>0</v>
      </c>
      <c r="AW126" s="41">
        <f t="shared" si="19"/>
        <v>0</v>
      </c>
      <c r="AX126" s="14">
        <f t="shared" si="20"/>
        <v>0</v>
      </c>
      <c r="AY126" s="2">
        <f>'[1]2018'!AX135+'[1]2019'!AX135+'[1]2020'!AX135</f>
        <v>0</v>
      </c>
    </row>
    <row r="127" spans="1:51" x14ac:dyDescent="0.25">
      <c r="A127" s="10" t="s">
        <v>208</v>
      </c>
      <c r="B127" s="46">
        <f>'[1]2018'!B136+'[1]2019'!B136+'[1]2020'!B136</f>
        <v>6</v>
      </c>
      <c r="C127" s="46">
        <f>'[1]2018'!C136+'[1]2019'!C136+'[1]2020'!C136</f>
        <v>0</v>
      </c>
      <c r="D127" s="46">
        <f>'[1]2018'!D136+'[1]2019'!D136+'[1]2020'!D136</f>
        <v>35</v>
      </c>
      <c r="E127" s="46">
        <f>'[1]2018'!E136+'[1]2019'!E136+'[1]2020'!E136</f>
        <v>0</v>
      </c>
      <c r="F127" s="46">
        <f>'[1]2018'!F136+'[1]2019'!F136+'[1]2020'!F136</f>
        <v>0</v>
      </c>
      <c r="G127" s="46">
        <f>'[1]2018'!G136+'[1]2019'!G136+'[1]2020'!G136</f>
        <v>0</v>
      </c>
      <c r="H127" s="46">
        <f>'[1]2018'!H136+'[1]2019'!H136+'[1]2020'!H136</f>
        <v>34</v>
      </c>
      <c r="I127" s="46">
        <f>'[1]2018'!I136+'[1]2019'!I136+'[1]2020'!I136</f>
        <v>0</v>
      </c>
      <c r="J127" s="46">
        <f>'[1]2018'!J136+'[1]2019'!J136+'[1]2020'!J136</f>
        <v>0</v>
      </c>
      <c r="K127" s="46">
        <f>'[1]2018'!K136+'[1]2019'!K136+'[1]2020'!K136</f>
        <v>0</v>
      </c>
      <c r="L127" s="46">
        <f>'[1]2018'!L136+'[1]2019'!L136+'[1]2020'!L136</f>
        <v>0</v>
      </c>
      <c r="M127" s="46">
        <f>'[1]2018'!M136+'[1]2019'!M136+'[1]2020'!M136</f>
        <v>0</v>
      </c>
      <c r="N127" s="46">
        <f>'[1]2018'!N136+'[1]2019'!N136+'[1]2020'!N136</f>
        <v>0</v>
      </c>
      <c r="O127" s="46">
        <f>'[1]2018'!O136+'[1]2019'!O136+'[1]2020'!O136</f>
        <v>0</v>
      </c>
      <c r="P127" s="46">
        <f>'[1]2018'!P136+'[1]2019'!P136+'[1]2020'!P136</f>
        <v>0</v>
      </c>
      <c r="Q127" s="46">
        <f>'[1]2018'!Q136+'[1]2019'!Q136+'[1]2020'!Q136</f>
        <v>0</v>
      </c>
      <c r="R127" s="46">
        <f>'[1]2018'!R136+'[1]2019'!R136+'[1]2020'!R136</f>
        <v>1</v>
      </c>
      <c r="S127" s="46">
        <f>'[1]2018'!S136+'[1]2019'!S136+'[1]2020'!S136</f>
        <v>0</v>
      </c>
      <c r="T127" s="46">
        <f>'[1]2018'!T136+'[1]2019'!T136+'[1]2020'!T136</f>
        <v>0</v>
      </c>
      <c r="U127" s="46">
        <f>'[1]2018'!U136+'[1]2019'!U136+'[1]2020'!U136</f>
        <v>0</v>
      </c>
      <c r="V127" s="46">
        <f>'[1]2018'!V136+'[1]2019'!V136+'[1]2020'!V136</f>
        <v>0</v>
      </c>
      <c r="W127" s="46">
        <f>'[1]2018'!W136+'[1]2019'!W136+'[1]2020'!W136</f>
        <v>0</v>
      </c>
      <c r="X127" s="46">
        <f>'[1]2018'!X136+'[1]2019'!X136+'[1]2020'!X136</f>
        <v>0</v>
      </c>
      <c r="Y127" s="41">
        <f t="shared" si="18"/>
        <v>35</v>
      </c>
      <c r="Z127" s="11">
        <f>'[1]2018'!Z136+'[1]2019'!Z136+'[1]2020'!Z136</f>
        <v>2</v>
      </c>
      <c r="AA127" s="11">
        <f>'[1]2018'!AA136+'[1]2019'!AA136+'[1]2020'!AA136</f>
        <v>0</v>
      </c>
      <c r="AB127" s="11">
        <f>'[1]2018'!AB136+'[1]2019'!AB136+'[1]2020'!AB136</f>
        <v>14</v>
      </c>
      <c r="AC127" s="11">
        <f>'[1]2018'!AC136+'[1]2019'!AC136+'[1]2020'!AC136</f>
        <v>0</v>
      </c>
      <c r="AD127" s="11">
        <f>'[1]2018'!AD136+'[1]2019'!AD136+'[1]2020'!AD136</f>
        <v>0</v>
      </c>
      <c r="AE127" s="11">
        <f>'[1]2018'!AE136+'[1]2019'!AE136+'[1]2020'!AE136</f>
        <v>0</v>
      </c>
      <c r="AF127" s="11">
        <f>'[1]2018'!AF136+'[1]2019'!AF136+'[1]2020'!AF136</f>
        <v>13</v>
      </c>
      <c r="AG127" s="11">
        <f>'[1]2018'!AG136+'[1]2019'!AG136+'[1]2020'!AG136</f>
        <v>0</v>
      </c>
      <c r="AH127" s="11">
        <f>'[1]2018'!AH136+'[1]2019'!AH136+'[1]2020'!AH136</f>
        <v>0</v>
      </c>
      <c r="AI127" s="11">
        <f>'[1]2018'!AI136+'[1]2019'!AI136+'[1]2020'!AI136</f>
        <v>0</v>
      </c>
      <c r="AJ127" s="11">
        <f>'[1]2018'!AJ136+'[1]2019'!AJ136+'[1]2020'!AJ136</f>
        <v>0</v>
      </c>
      <c r="AK127" s="11">
        <f>'[1]2018'!AK136+'[1]2019'!AK136+'[1]2020'!AK136</f>
        <v>0</v>
      </c>
      <c r="AL127" s="11">
        <f>'[1]2018'!AL136+'[1]2019'!AL136+'[1]2020'!AL136</f>
        <v>0</v>
      </c>
      <c r="AM127" s="11">
        <f>'[1]2018'!AM136+'[1]2019'!AM136+'[1]2020'!AM136</f>
        <v>0</v>
      </c>
      <c r="AN127" s="11">
        <f>'[1]2018'!AN136+'[1]2019'!AN136+'[1]2020'!AN136</f>
        <v>0</v>
      </c>
      <c r="AO127" s="11">
        <f>'[1]2018'!AO136+'[1]2019'!AO136+'[1]2020'!AO136</f>
        <v>0</v>
      </c>
      <c r="AP127" s="11">
        <f>'[1]2018'!AP136+'[1]2019'!AP136+'[1]2020'!AP136</f>
        <v>1</v>
      </c>
      <c r="AQ127" s="11">
        <f>'[1]2018'!AQ136+'[1]2019'!AQ136+'[1]2020'!AQ136</f>
        <v>0</v>
      </c>
      <c r="AR127" s="11">
        <f>'[1]2018'!AR136+'[1]2019'!AR136+'[1]2020'!AR136</f>
        <v>0</v>
      </c>
      <c r="AS127" s="11">
        <f>'[1]2018'!AS136+'[1]2019'!AS136+'[1]2020'!AS136</f>
        <v>0</v>
      </c>
      <c r="AT127" s="11">
        <f>'[1]2018'!AT136+'[1]2019'!AT136+'[1]2020'!AT136</f>
        <v>0</v>
      </c>
      <c r="AU127" s="11">
        <f>'[1]2018'!AU136+'[1]2019'!AU136+'[1]2020'!AU136</f>
        <v>0</v>
      </c>
      <c r="AV127" s="11">
        <f>'[1]2018'!AV136+'[1]2019'!AV136+'[1]2020'!AV136</f>
        <v>0</v>
      </c>
      <c r="AW127" s="41">
        <f t="shared" si="19"/>
        <v>14</v>
      </c>
      <c r="AX127" s="14">
        <f t="shared" si="20"/>
        <v>1934.9333333333334</v>
      </c>
      <c r="AY127" s="2">
        <f>'[1]2018'!AX136+'[1]2019'!AX136+'[1]2020'!AX136</f>
        <v>5804.8</v>
      </c>
    </row>
    <row r="128" spans="1:51" x14ac:dyDescent="0.25">
      <c r="A128" s="10" t="s">
        <v>209</v>
      </c>
      <c r="B128" s="46">
        <f>'[1]2018'!B137+'[1]2019'!B137+'[1]2020'!B137</f>
        <v>55</v>
      </c>
      <c r="C128" s="46">
        <f>'[1]2018'!C137+'[1]2019'!C137+'[1]2020'!C137</f>
        <v>1</v>
      </c>
      <c r="D128" s="46">
        <f>'[1]2018'!D137+'[1]2019'!D137+'[1]2020'!D137</f>
        <v>737</v>
      </c>
      <c r="E128" s="46">
        <f>'[1]2018'!E137+'[1]2019'!E137+'[1]2020'!E137</f>
        <v>2</v>
      </c>
      <c r="F128" s="46">
        <f>'[1]2018'!F137+'[1]2019'!F137+'[1]2020'!F137</f>
        <v>0</v>
      </c>
      <c r="G128" s="46">
        <f>'[1]2018'!G137+'[1]2019'!G137+'[1]2020'!G137</f>
        <v>0</v>
      </c>
      <c r="H128" s="46">
        <f>'[1]2018'!H137+'[1]2019'!H137+'[1]2020'!H137</f>
        <v>724</v>
      </c>
      <c r="I128" s="46">
        <f>'[1]2018'!I137+'[1]2019'!I137+'[1]2020'!I137</f>
        <v>0</v>
      </c>
      <c r="J128" s="46">
        <f>'[1]2018'!J137+'[1]2019'!J137+'[1]2020'!J137</f>
        <v>2</v>
      </c>
      <c r="K128" s="46">
        <f>'[1]2018'!K137+'[1]2019'!K137+'[1]2020'!K137</f>
        <v>3</v>
      </c>
      <c r="L128" s="46">
        <f>'[1]2018'!L137+'[1]2019'!L137+'[1]2020'!L137</f>
        <v>7</v>
      </c>
      <c r="M128" s="46">
        <f>'[1]2018'!M137+'[1]2019'!M137+'[1]2020'!M137</f>
        <v>1</v>
      </c>
      <c r="N128" s="46">
        <f>'[1]2018'!N137+'[1]2019'!N137+'[1]2020'!N137</f>
        <v>0</v>
      </c>
      <c r="O128" s="46">
        <f>'[1]2018'!O137+'[1]2019'!O137+'[1]2020'!O137</f>
        <v>0</v>
      </c>
      <c r="P128" s="46">
        <f>'[1]2018'!P137+'[1]2019'!P137+'[1]2020'!P137</f>
        <v>0</v>
      </c>
      <c r="Q128" s="46">
        <f>'[1]2018'!Q137+'[1]2019'!Q137+'[1]2020'!Q137</f>
        <v>0</v>
      </c>
      <c r="R128" s="46">
        <f>'[1]2018'!R137+'[1]2019'!R137+'[1]2020'!R137</f>
        <v>0</v>
      </c>
      <c r="S128" s="46">
        <f>'[1]2018'!S137+'[1]2019'!S137+'[1]2020'!S137</f>
        <v>0</v>
      </c>
      <c r="T128" s="46">
        <f>'[1]2018'!T137+'[1]2019'!T137+'[1]2020'!T137</f>
        <v>0</v>
      </c>
      <c r="U128" s="46">
        <f>'[1]2018'!U137+'[1]2019'!U137+'[1]2020'!U137</f>
        <v>0</v>
      </c>
      <c r="V128" s="46">
        <f>'[1]2018'!V137+'[1]2019'!V137+'[1]2020'!V137</f>
        <v>0</v>
      </c>
      <c r="W128" s="46">
        <f>'[1]2018'!W137+'[1]2019'!W137+'[1]2020'!W137</f>
        <v>0</v>
      </c>
      <c r="X128" s="46">
        <f>'[1]2018'!X137+'[1]2019'!X137+'[1]2020'!X137</f>
        <v>0</v>
      </c>
      <c r="Y128" s="41">
        <f t="shared" si="18"/>
        <v>737</v>
      </c>
      <c r="Z128" s="11">
        <f>'[1]2018'!Z137+'[1]2019'!Z137+'[1]2020'!Z137</f>
        <v>44</v>
      </c>
      <c r="AA128" s="11">
        <f>'[1]2018'!AA137+'[1]2019'!AA137+'[1]2020'!AA137</f>
        <v>0</v>
      </c>
      <c r="AB128" s="11">
        <f>'[1]2018'!AB137+'[1]2019'!AB137+'[1]2020'!AB137</f>
        <v>637</v>
      </c>
      <c r="AC128" s="11">
        <f>'[1]2018'!AC137+'[1]2019'!AC137+'[1]2020'!AC137</f>
        <v>0</v>
      </c>
      <c r="AD128" s="11">
        <f>'[1]2018'!AD137+'[1]2019'!AD137+'[1]2020'!AD137</f>
        <v>0</v>
      </c>
      <c r="AE128" s="11">
        <f>'[1]2018'!AE137+'[1]2019'!AE137+'[1]2020'!AE137</f>
        <v>0</v>
      </c>
      <c r="AF128" s="11">
        <f>'[1]2018'!AF137+'[1]2019'!AF137+'[1]2020'!AF137</f>
        <v>633</v>
      </c>
      <c r="AG128" s="11">
        <f>'[1]2018'!AG137+'[1]2019'!AG137+'[1]2020'!AG137</f>
        <v>0</v>
      </c>
      <c r="AH128" s="11">
        <f>'[1]2018'!AH137+'[1]2019'!AH137+'[1]2020'!AH137</f>
        <v>0</v>
      </c>
      <c r="AI128" s="11">
        <f>'[1]2018'!AI137+'[1]2019'!AI137+'[1]2020'!AI137</f>
        <v>0</v>
      </c>
      <c r="AJ128" s="11">
        <f>'[1]2018'!AJ137+'[1]2019'!AJ137+'[1]2020'!AJ137</f>
        <v>3</v>
      </c>
      <c r="AK128" s="11">
        <f>'[1]2018'!AK137+'[1]2019'!AK137+'[1]2020'!AK137</f>
        <v>1</v>
      </c>
      <c r="AL128" s="11">
        <f>'[1]2018'!AL137+'[1]2019'!AL137+'[1]2020'!AL137</f>
        <v>0</v>
      </c>
      <c r="AM128" s="11">
        <f>'[1]2018'!AM137+'[1]2019'!AM137+'[1]2020'!AM137</f>
        <v>0</v>
      </c>
      <c r="AN128" s="11">
        <f>'[1]2018'!AN137+'[1]2019'!AN137+'[1]2020'!AN137</f>
        <v>0</v>
      </c>
      <c r="AO128" s="11">
        <f>'[1]2018'!AO137+'[1]2019'!AO137+'[1]2020'!AO137</f>
        <v>0</v>
      </c>
      <c r="AP128" s="11">
        <f>'[1]2018'!AP137+'[1]2019'!AP137+'[1]2020'!AP137</f>
        <v>0</v>
      </c>
      <c r="AQ128" s="11">
        <f>'[1]2018'!AQ137+'[1]2019'!AQ137+'[1]2020'!AQ137</f>
        <v>0</v>
      </c>
      <c r="AR128" s="11">
        <f>'[1]2018'!AR137+'[1]2019'!AR137+'[1]2020'!AR137</f>
        <v>0</v>
      </c>
      <c r="AS128" s="11">
        <f>'[1]2018'!AS137+'[1]2019'!AS137+'[1]2020'!AS137</f>
        <v>0</v>
      </c>
      <c r="AT128" s="11">
        <f>'[1]2018'!AT137+'[1]2019'!AT137+'[1]2020'!AT137</f>
        <v>0</v>
      </c>
      <c r="AU128" s="11">
        <f>'[1]2018'!AU137+'[1]2019'!AU137+'[1]2020'!AU137</f>
        <v>0</v>
      </c>
      <c r="AV128" s="11">
        <f>'[1]2018'!AV137+'[1]2019'!AV137+'[1]2020'!AV137</f>
        <v>0</v>
      </c>
      <c r="AW128" s="41">
        <f t="shared" si="19"/>
        <v>637</v>
      </c>
      <c r="AX128" s="14">
        <f t="shared" si="20"/>
        <v>568.52943181818171</v>
      </c>
      <c r="AY128" s="2">
        <f>'[1]2018'!AX137+'[1]2019'!AX137+'[1]2020'!AX137</f>
        <v>1705.5882954545452</v>
      </c>
    </row>
    <row r="129" spans="1:51" x14ac:dyDescent="0.25">
      <c r="A129" s="10" t="s">
        <v>210</v>
      </c>
      <c r="B129" s="46">
        <f>'[1]2018'!B138+'[1]2019'!B138+'[1]2020'!B138</f>
        <v>3</v>
      </c>
      <c r="C129" s="46">
        <f>'[1]2018'!C138+'[1]2019'!C138+'[1]2020'!C138</f>
        <v>0</v>
      </c>
      <c r="D129" s="46">
        <f>'[1]2018'!D138+'[1]2019'!D138+'[1]2020'!D138</f>
        <v>20</v>
      </c>
      <c r="E129" s="46">
        <f>'[1]2018'!E138+'[1]2019'!E138+'[1]2020'!E138</f>
        <v>0</v>
      </c>
      <c r="F129" s="46">
        <f>'[1]2018'!F138+'[1]2019'!F138+'[1]2020'!F138</f>
        <v>0</v>
      </c>
      <c r="G129" s="46">
        <f>'[1]2018'!G138+'[1]2019'!G138+'[1]2020'!G138</f>
        <v>0</v>
      </c>
      <c r="H129" s="46">
        <f>'[1]2018'!H138+'[1]2019'!H138+'[1]2020'!H138</f>
        <v>15</v>
      </c>
      <c r="I129" s="46">
        <f>'[1]2018'!I138+'[1]2019'!I138+'[1]2020'!I138</f>
        <v>0</v>
      </c>
      <c r="J129" s="46">
        <f>'[1]2018'!J138+'[1]2019'!J138+'[1]2020'!J138</f>
        <v>2</v>
      </c>
      <c r="K129" s="46">
        <f>'[1]2018'!K138+'[1]2019'!K138+'[1]2020'!K138</f>
        <v>0</v>
      </c>
      <c r="L129" s="46">
        <f>'[1]2018'!L138+'[1]2019'!L138+'[1]2020'!L138</f>
        <v>3</v>
      </c>
      <c r="M129" s="46">
        <f>'[1]2018'!M138+'[1]2019'!M138+'[1]2020'!M138</f>
        <v>0</v>
      </c>
      <c r="N129" s="46">
        <f>'[1]2018'!N138+'[1]2019'!N138+'[1]2020'!N138</f>
        <v>0</v>
      </c>
      <c r="O129" s="46">
        <f>'[1]2018'!O138+'[1]2019'!O138+'[1]2020'!O138</f>
        <v>0</v>
      </c>
      <c r="P129" s="46">
        <f>'[1]2018'!P138+'[1]2019'!P138+'[1]2020'!P138</f>
        <v>0</v>
      </c>
      <c r="Q129" s="46">
        <f>'[1]2018'!Q138+'[1]2019'!Q138+'[1]2020'!Q138</f>
        <v>0</v>
      </c>
      <c r="R129" s="46">
        <f>'[1]2018'!R138+'[1]2019'!R138+'[1]2020'!R138</f>
        <v>0</v>
      </c>
      <c r="S129" s="46">
        <f>'[1]2018'!S138+'[1]2019'!S138+'[1]2020'!S138</f>
        <v>0</v>
      </c>
      <c r="T129" s="46">
        <f>'[1]2018'!T138+'[1]2019'!T138+'[1]2020'!T138</f>
        <v>0</v>
      </c>
      <c r="U129" s="46">
        <f>'[1]2018'!U138+'[1]2019'!U138+'[1]2020'!U138</f>
        <v>0</v>
      </c>
      <c r="V129" s="46">
        <f>'[1]2018'!V138+'[1]2019'!V138+'[1]2020'!V138</f>
        <v>0</v>
      </c>
      <c r="W129" s="46">
        <f>'[1]2018'!W138+'[1]2019'!W138+'[1]2020'!W138</f>
        <v>0</v>
      </c>
      <c r="X129" s="46">
        <f>'[1]2018'!X138+'[1]2019'!X138+'[1]2020'!X138</f>
        <v>0</v>
      </c>
      <c r="Y129" s="41">
        <f t="shared" si="18"/>
        <v>20</v>
      </c>
      <c r="Z129" s="11">
        <f>'[1]2018'!Z138+'[1]2019'!Z138+'[1]2020'!Z138</f>
        <v>3</v>
      </c>
      <c r="AA129" s="11">
        <f>'[1]2018'!AA138+'[1]2019'!AA138+'[1]2020'!AA138</f>
        <v>0</v>
      </c>
      <c r="AB129" s="11">
        <f>'[1]2018'!AB138+'[1]2019'!AB138+'[1]2020'!AB138</f>
        <v>19</v>
      </c>
      <c r="AC129" s="11">
        <f>'[1]2018'!AC138+'[1]2019'!AC138+'[1]2020'!AC138</f>
        <v>0</v>
      </c>
      <c r="AD129" s="11">
        <f>'[1]2018'!AD138+'[1]2019'!AD138+'[1]2020'!AD138</f>
        <v>0</v>
      </c>
      <c r="AE129" s="11">
        <f>'[1]2018'!AE138+'[1]2019'!AE138+'[1]2020'!AE138</f>
        <v>0</v>
      </c>
      <c r="AF129" s="11">
        <f>'[1]2018'!AF138+'[1]2019'!AF138+'[1]2020'!AF138</f>
        <v>14</v>
      </c>
      <c r="AG129" s="11">
        <f>'[1]2018'!AG138+'[1]2019'!AG138+'[1]2020'!AG138</f>
        <v>0</v>
      </c>
      <c r="AH129" s="11">
        <f>'[1]2018'!AH138+'[1]2019'!AH138+'[1]2020'!AH138</f>
        <v>2</v>
      </c>
      <c r="AI129" s="11">
        <f>'[1]2018'!AI138+'[1]2019'!AI138+'[1]2020'!AI138</f>
        <v>0</v>
      </c>
      <c r="AJ129" s="11">
        <f>'[1]2018'!AJ138+'[1]2019'!AJ138+'[1]2020'!AJ138</f>
        <v>3</v>
      </c>
      <c r="AK129" s="11">
        <f>'[1]2018'!AK138+'[1]2019'!AK138+'[1]2020'!AK138</f>
        <v>0</v>
      </c>
      <c r="AL129" s="11">
        <f>'[1]2018'!AL138+'[1]2019'!AL138+'[1]2020'!AL138</f>
        <v>0</v>
      </c>
      <c r="AM129" s="11">
        <f>'[1]2018'!AM138+'[1]2019'!AM138+'[1]2020'!AM138</f>
        <v>0</v>
      </c>
      <c r="AN129" s="11">
        <f>'[1]2018'!AN138+'[1]2019'!AN138+'[1]2020'!AN138</f>
        <v>0</v>
      </c>
      <c r="AO129" s="11">
        <f>'[1]2018'!AO138+'[1]2019'!AO138+'[1]2020'!AO138</f>
        <v>0</v>
      </c>
      <c r="AP129" s="11">
        <f>'[1]2018'!AP138+'[1]2019'!AP138+'[1]2020'!AP138</f>
        <v>0</v>
      </c>
      <c r="AQ129" s="11">
        <f>'[1]2018'!AQ138+'[1]2019'!AQ138+'[1]2020'!AQ138</f>
        <v>0</v>
      </c>
      <c r="AR129" s="11">
        <f>'[1]2018'!AR138+'[1]2019'!AR138+'[1]2020'!AR138</f>
        <v>0</v>
      </c>
      <c r="AS129" s="11">
        <f>'[1]2018'!AS138+'[1]2019'!AS138+'[1]2020'!AS138</f>
        <v>0</v>
      </c>
      <c r="AT129" s="11">
        <f>'[1]2018'!AT138+'[1]2019'!AT138+'[1]2020'!AT138</f>
        <v>0</v>
      </c>
      <c r="AU129" s="11">
        <f>'[1]2018'!AU138+'[1]2019'!AU138+'[1]2020'!AU138</f>
        <v>0</v>
      </c>
      <c r="AV129" s="11">
        <f>'[1]2018'!AV138+'[1]2019'!AV138+'[1]2020'!AV138</f>
        <v>0</v>
      </c>
      <c r="AW129" s="41">
        <f t="shared" si="19"/>
        <v>19</v>
      </c>
      <c r="AX129" s="14">
        <f t="shared" si="20"/>
        <v>440</v>
      </c>
      <c r="AY129" s="2">
        <f>'[1]2018'!AX138+'[1]2019'!AX138+'[1]2020'!AX138</f>
        <v>1320</v>
      </c>
    </row>
    <row r="130" spans="1:51" x14ac:dyDescent="0.25">
      <c r="A130" s="10" t="s">
        <v>211</v>
      </c>
      <c r="B130" s="46">
        <f>'[1]2018'!B139+'[1]2019'!B139+'[1]2020'!B139</f>
        <v>12</v>
      </c>
      <c r="C130" s="46">
        <f>'[1]2018'!C139+'[1]2019'!C139+'[1]2020'!C139</f>
        <v>0</v>
      </c>
      <c r="D130" s="46">
        <f>'[1]2018'!D139+'[1]2019'!D139+'[1]2020'!D139</f>
        <v>52</v>
      </c>
      <c r="E130" s="46">
        <f>'[1]2018'!E139+'[1]2019'!E139+'[1]2020'!E139</f>
        <v>0</v>
      </c>
      <c r="F130" s="46">
        <f>'[1]2018'!F139+'[1]2019'!F139+'[1]2020'!F139</f>
        <v>0</v>
      </c>
      <c r="G130" s="46">
        <f>'[1]2018'!G139+'[1]2019'!G139+'[1]2020'!G139</f>
        <v>3</v>
      </c>
      <c r="H130" s="46">
        <f>'[1]2018'!H139+'[1]2019'!H139+'[1]2020'!H139</f>
        <v>46</v>
      </c>
      <c r="I130" s="46">
        <f>'[1]2018'!I139+'[1]2019'!I139+'[1]2020'!I139</f>
        <v>0</v>
      </c>
      <c r="J130" s="46">
        <f>'[1]2018'!J139+'[1]2019'!J139+'[1]2020'!J139</f>
        <v>0</v>
      </c>
      <c r="K130" s="46">
        <f>'[1]2018'!K139+'[1]2019'!K139+'[1]2020'!K139</f>
        <v>3</v>
      </c>
      <c r="L130" s="46">
        <f>'[1]2018'!L139+'[1]2019'!L139+'[1]2020'!L139</f>
        <v>0</v>
      </c>
      <c r="M130" s="46">
        <f>'[1]2018'!M139+'[1]2019'!M139+'[1]2020'!M139</f>
        <v>0</v>
      </c>
      <c r="N130" s="46">
        <f>'[1]2018'!N139+'[1]2019'!N139+'[1]2020'!N139</f>
        <v>0</v>
      </c>
      <c r="O130" s="46">
        <f>'[1]2018'!O139+'[1]2019'!O139+'[1]2020'!O139</f>
        <v>0</v>
      </c>
      <c r="P130" s="46">
        <f>'[1]2018'!P139+'[1]2019'!P139+'[1]2020'!P139</f>
        <v>0</v>
      </c>
      <c r="Q130" s="46">
        <f>'[1]2018'!Q139+'[1]2019'!Q139+'[1]2020'!Q139</f>
        <v>0</v>
      </c>
      <c r="R130" s="46">
        <f>'[1]2018'!R139+'[1]2019'!R139+'[1]2020'!R139</f>
        <v>0</v>
      </c>
      <c r="S130" s="46">
        <f>'[1]2018'!S139+'[1]2019'!S139+'[1]2020'!S139</f>
        <v>0</v>
      </c>
      <c r="T130" s="46">
        <f>'[1]2018'!T139+'[1]2019'!T139+'[1]2020'!T139</f>
        <v>0</v>
      </c>
      <c r="U130" s="46">
        <f>'[1]2018'!U139+'[1]2019'!U139+'[1]2020'!U139</f>
        <v>0</v>
      </c>
      <c r="V130" s="46">
        <f>'[1]2018'!V139+'[1]2019'!V139+'[1]2020'!V139</f>
        <v>0</v>
      </c>
      <c r="W130" s="46">
        <f>'[1]2018'!W139+'[1]2019'!W139+'[1]2020'!W139</f>
        <v>0</v>
      </c>
      <c r="X130" s="46">
        <f>'[1]2018'!X139+'[1]2019'!X139+'[1]2020'!X139</f>
        <v>0</v>
      </c>
      <c r="Y130" s="41">
        <f t="shared" si="18"/>
        <v>52</v>
      </c>
      <c r="Z130" s="11">
        <f>'[1]2018'!Z139+'[1]2019'!Z139+'[1]2020'!Z139</f>
        <v>11</v>
      </c>
      <c r="AA130" s="11">
        <f>'[1]2018'!AA139+'[1]2019'!AA139+'[1]2020'!AA139</f>
        <v>0</v>
      </c>
      <c r="AB130" s="11">
        <f>'[1]2018'!AB139+'[1]2019'!AB139+'[1]2020'!AB139</f>
        <v>37</v>
      </c>
      <c r="AC130" s="11">
        <f>'[1]2018'!AC139+'[1]2019'!AC139+'[1]2020'!AC139</f>
        <v>0</v>
      </c>
      <c r="AD130" s="11">
        <f>'[1]2018'!AD139+'[1]2019'!AD139+'[1]2020'!AD139</f>
        <v>0</v>
      </c>
      <c r="AE130" s="11">
        <f>'[1]2018'!AE139+'[1]2019'!AE139+'[1]2020'!AE139</f>
        <v>3</v>
      </c>
      <c r="AF130" s="11">
        <f>'[1]2018'!AF139+'[1]2019'!AF139+'[1]2020'!AF139</f>
        <v>31</v>
      </c>
      <c r="AG130" s="11">
        <f>'[1]2018'!AG139+'[1]2019'!AG139+'[1]2020'!AG139</f>
        <v>0</v>
      </c>
      <c r="AH130" s="11">
        <f>'[1]2018'!AH139+'[1]2019'!AH139+'[1]2020'!AH139</f>
        <v>0</v>
      </c>
      <c r="AI130" s="11">
        <f>'[1]2018'!AI139+'[1]2019'!AI139+'[1]2020'!AI139</f>
        <v>3</v>
      </c>
      <c r="AJ130" s="11">
        <f>'[1]2018'!AJ139+'[1]2019'!AJ139+'[1]2020'!AJ139</f>
        <v>0</v>
      </c>
      <c r="AK130" s="11">
        <f>'[1]2018'!AK139+'[1]2019'!AK139+'[1]2020'!AK139</f>
        <v>0</v>
      </c>
      <c r="AL130" s="11">
        <f>'[1]2018'!AL139+'[1]2019'!AL139+'[1]2020'!AL139</f>
        <v>0</v>
      </c>
      <c r="AM130" s="11">
        <f>'[1]2018'!AM139+'[1]2019'!AM139+'[1]2020'!AM139</f>
        <v>0</v>
      </c>
      <c r="AN130" s="11">
        <f>'[1]2018'!AN139+'[1]2019'!AN139+'[1]2020'!AN139</f>
        <v>0</v>
      </c>
      <c r="AO130" s="11">
        <f>'[1]2018'!AO139+'[1]2019'!AO139+'[1]2020'!AO139</f>
        <v>0</v>
      </c>
      <c r="AP130" s="11">
        <f>'[1]2018'!AP139+'[1]2019'!AP139+'[1]2020'!AP139</f>
        <v>0</v>
      </c>
      <c r="AQ130" s="11">
        <f>'[1]2018'!AQ139+'[1]2019'!AQ139+'[1]2020'!AQ139</f>
        <v>0</v>
      </c>
      <c r="AR130" s="11">
        <f>'[1]2018'!AR139+'[1]2019'!AR139+'[1]2020'!AR139</f>
        <v>0</v>
      </c>
      <c r="AS130" s="11">
        <f>'[1]2018'!AS139+'[1]2019'!AS139+'[1]2020'!AS139</f>
        <v>0</v>
      </c>
      <c r="AT130" s="11">
        <f>'[1]2018'!AT139+'[1]2019'!AT139+'[1]2020'!AT139</f>
        <v>0</v>
      </c>
      <c r="AU130" s="11">
        <f>'[1]2018'!AU139+'[1]2019'!AU139+'[1]2020'!AU139</f>
        <v>0</v>
      </c>
      <c r="AV130" s="11">
        <f>'[1]2018'!AV139+'[1]2019'!AV139+'[1]2020'!AV139</f>
        <v>0</v>
      </c>
      <c r="AW130" s="41">
        <f t="shared" si="19"/>
        <v>37</v>
      </c>
      <c r="AX130" s="14">
        <f t="shared" si="20"/>
        <v>1615.3977777777775</v>
      </c>
      <c r="AY130" s="2">
        <f>'[1]2018'!AX139+'[1]2019'!AX139+'[1]2020'!AX139</f>
        <v>4846.1933333333327</v>
      </c>
    </row>
    <row r="131" spans="1:51" x14ac:dyDescent="0.25">
      <c r="A131" s="10" t="s">
        <v>212</v>
      </c>
      <c r="B131" s="46">
        <f>'[1]2018'!B140+'[1]2019'!B140+'[1]2020'!B140</f>
        <v>29</v>
      </c>
      <c r="C131" s="46">
        <f>'[1]2018'!C140+'[1]2019'!C140+'[1]2020'!C140</f>
        <v>5</v>
      </c>
      <c r="D131" s="46">
        <f>'[1]2018'!D140+'[1]2019'!D140+'[1]2020'!D140</f>
        <v>110</v>
      </c>
      <c r="E131" s="46">
        <f>'[1]2018'!E140+'[1]2019'!E140+'[1]2020'!E140</f>
        <v>6</v>
      </c>
      <c r="F131" s="46">
        <f>'[1]2018'!F140+'[1]2019'!F140+'[1]2020'!F140</f>
        <v>10</v>
      </c>
      <c r="G131" s="46">
        <f>'[1]2018'!G140+'[1]2019'!G140+'[1]2020'!G140</f>
        <v>1</v>
      </c>
      <c r="H131" s="46">
        <f>'[1]2018'!H140+'[1]2019'!H140+'[1]2020'!H140</f>
        <v>43</v>
      </c>
      <c r="I131" s="46">
        <f>'[1]2018'!I140+'[1]2019'!I140+'[1]2020'!I140</f>
        <v>15</v>
      </c>
      <c r="J131" s="46">
        <f>'[1]2018'!J140+'[1]2019'!J140+'[1]2020'!J140</f>
        <v>25</v>
      </c>
      <c r="K131" s="46">
        <f>'[1]2018'!K140+'[1]2019'!K140+'[1]2020'!K140</f>
        <v>10</v>
      </c>
      <c r="L131" s="46">
        <f>'[1]2018'!L140+'[1]2019'!L140+'[1]2020'!L140</f>
        <v>4</v>
      </c>
      <c r="M131" s="46">
        <f>'[1]2018'!M140+'[1]2019'!M140+'[1]2020'!M140</f>
        <v>0</v>
      </c>
      <c r="N131" s="46">
        <f>'[1]2018'!N140+'[1]2019'!N140+'[1]2020'!N140</f>
        <v>0</v>
      </c>
      <c r="O131" s="46">
        <f>'[1]2018'!O140+'[1]2019'!O140+'[1]2020'!O140</f>
        <v>0</v>
      </c>
      <c r="P131" s="46">
        <f>'[1]2018'!P140+'[1]2019'!P140+'[1]2020'!P140</f>
        <v>0</v>
      </c>
      <c r="Q131" s="46">
        <f>'[1]2018'!Q140+'[1]2019'!Q140+'[1]2020'!Q140</f>
        <v>2</v>
      </c>
      <c r="R131" s="46">
        <f>'[1]2018'!R140+'[1]2019'!R140+'[1]2020'!R140</f>
        <v>0</v>
      </c>
      <c r="S131" s="46">
        <f>'[1]2018'!S140+'[1]2019'!S140+'[1]2020'!S140</f>
        <v>0</v>
      </c>
      <c r="T131" s="46">
        <f>'[1]2018'!T140+'[1]2019'!T140+'[1]2020'!T140</f>
        <v>0</v>
      </c>
      <c r="U131" s="46">
        <f>'[1]2018'!U140+'[1]2019'!U140+'[1]2020'!U140</f>
        <v>0</v>
      </c>
      <c r="V131" s="46">
        <f>'[1]2018'!V140+'[1]2019'!V140+'[1]2020'!V140</f>
        <v>0</v>
      </c>
      <c r="W131" s="46">
        <f>'[1]2018'!W140+'[1]2019'!W140+'[1]2020'!W140</f>
        <v>0</v>
      </c>
      <c r="X131" s="46">
        <f>'[1]2018'!X140+'[1]2019'!X140+'[1]2020'!X140</f>
        <v>0</v>
      </c>
      <c r="Y131" s="41">
        <f t="shared" si="18"/>
        <v>110</v>
      </c>
      <c r="Z131" s="11">
        <f>'[1]2018'!Z140+'[1]2019'!Z140+'[1]2020'!Z140</f>
        <v>35</v>
      </c>
      <c r="AA131" s="11">
        <f>'[1]2018'!AA140+'[1]2019'!AA140+'[1]2020'!AA140</f>
        <v>3</v>
      </c>
      <c r="AB131" s="11">
        <f>'[1]2018'!AB140+'[1]2019'!AB140+'[1]2020'!AB140</f>
        <v>99</v>
      </c>
      <c r="AC131" s="11">
        <f>'[1]2018'!AC140+'[1]2019'!AC140+'[1]2020'!AC140</f>
        <v>9</v>
      </c>
      <c r="AD131" s="11">
        <f>'[1]2018'!AD140+'[1]2019'!AD140+'[1]2020'!AD140</f>
        <v>16</v>
      </c>
      <c r="AE131" s="11">
        <f>'[1]2018'!AE140+'[1]2019'!AE140+'[1]2020'!AE140</f>
        <v>5</v>
      </c>
      <c r="AF131" s="11">
        <f>'[1]2018'!AF140+'[1]2019'!AF140+'[1]2020'!AF140</f>
        <v>28</v>
      </c>
      <c r="AG131" s="11">
        <f>'[1]2018'!AG140+'[1]2019'!AG140+'[1]2020'!AG140</f>
        <v>16</v>
      </c>
      <c r="AH131" s="11">
        <f>'[1]2018'!AH140+'[1]2019'!AH140+'[1]2020'!AH140</f>
        <v>15</v>
      </c>
      <c r="AI131" s="11">
        <f>'[1]2018'!AI140+'[1]2019'!AI140+'[1]2020'!AI140</f>
        <v>10</v>
      </c>
      <c r="AJ131" s="11">
        <f>'[1]2018'!AJ140+'[1]2019'!AJ140+'[1]2020'!AJ140</f>
        <v>7</v>
      </c>
      <c r="AK131" s="11">
        <f>'[1]2018'!AK140+'[1]2019'!AK140+'[1]2020'!AK140</f>
        <v>0</v>
      </c>
      <c r="AL131" s="11">
        <f>'[1]2018'!AL140+'[1]2019'!AL140+'[1]2020'!AL140</f>
        <v>0</v>
      </c>
      <c r="AM131" s="11">
        <f>'[1]2018'!AM140+'[1]2019'!AM140+'[1]2020'!AM140</f>
        <v>0</v>
      </c>
      <c r="AN131" s="11">
        <f>'[1]2018'!AN140+'[1]2019'!AN140+'[1]2020'!AN140</f>
        <v>0</v>
      </c>
      <c r="AO131" s="11">
        <f>'[1]2018'!AO140+'[1]2019'!AO140+'[1]2020'!AO140</f>
        <v>2</v>
      </c>
      <c r="AP131" s="11">
        <f>'[1]2018'!AP140+'[1]2019'!AP140+'[1]2020'!AP140</f>
        <v>0</v>
      </c>
      <c r="AQ131" s="11">
        <f>'[1]2018'!AQ140+'[1]2019'!AQ140+'[1]2020'!AQ140</f>
        <v>0</v>
      </c>
      <c r="AR131" s="11">
        <f>'[1]2018'!AR140+'[1]2019'!AR140+'[1]2020'!AR140</f>
        <v>0</v>
      </c>
      <c r="AS131" s="11">
        <f>'[1]2018'!AS140+'[1]2019'!AS140+'[1]2020'!AS140</f>
        <v>0</v>
      </c>
      <c r="AT131" s="11">
        <f>'[1]2018'!AT140+'[1]2019'!AT140+'[1]2020'!AT140</f>
        <v>0</v>
      </c>
      <c r="AU131" s="11">
        <f>'[1]2018'!AU140+'[1]2019'!AU140+'[1]2020'!AU140</f>
        <v>0</v>
      </c>
      <c r="AV131" s="11">
        <f>'[1]2018'!AV140+'[1]2019'!AV140+'[1]2020'!AV140</f>
        <v>0</v>
      </c>
      <c r="AW131" s="41">
        <f t="shared" si="19"/>
        <v>99</v>
      </c>
      <c r="AX131" s="14">
        <f t="shared" si="20"/>
        <v>758.47777777777776</v>
      </c>
      <c r="AY131" s="2">
        <f>'[1]2018'!AX140+'[1]2019'!AX140+'[1]2020'!AX140</f>
        <v>2275.4333333333334</v>
      </c>
    </row>
    <row r="132" spans="1:51" x14ac:dyDescent="0.25">
      <c r="A132" s="10" t="s">
        <v>213</v>
      </c>
      <c r="B132" s="46">
        <f>'[1]2018'!B141+'[1]2019'!B141+'[1]2020'!B141</f>
        <v>6</v>
      </c>
      <c r="C132" s="46">
        <f>'[1]2018'!C141+'[1]2019'!C141+'[1]2020'!C141</f>
        <v>0</v>
      </c>
      <c r="D132" s="46">
        <f>'[1]2018'!D141+'[1]2019'!D141+'[1]2020'!D141</f>
        <v>21</v>
      </c>
      <c r="E132" s="46">
        <f>'[1]2018'!E141+'[1]2019'!E141+'[1]2020'!E141</f>
        <v>0</v>
      </c>
      <c r="F132" s="46">
        <f>'[1]2018'!F141+'[1]2019'!F141+'[1]2020'!F141</f>
        <v>5</v>
      </c>
      <c r="G132" s="46">
        <f>'[1]2018'!G141+'[1]2019'!G141+'[1]2020'!G141</f>
        <v>0</v>
      </c>
      <c r="H132" s="46">
        <f>'[1]2018'!H141+'[1]2019'!H141+'[1]2020'!H141</f>
        <v>0</v>
      </c>
      <c r="I132" s="46">
        <f>'[1]2018'!I141+'[1]2019'!I141+'[1]2020'!I141</f>
        <v>0</v>
      </c>
      <c r="J132" s="46">
        <f>'[1]2018'!J141+'[1]2019'!J141+'[1]2020'!J141</f>
        <v>0</v>
      </c>
      <c r="K132" s="46">
        <f>'[1]2018'!K141+'[1]2019'!K141+'[1]2020'!K141</f>
        <v>0</v>
      </c>
      <c r="L132" s="46">
        <f>'[1]2018'!L141+'[1]2019'!L141+'[1]2020'!L141</f>
        <v>1</v>
      </c>
      <c r="M132" s="46">
        <f>'[1]2018'!M141+'[1]2019'!M141+'[1]2020'!M141</f>
        <v>0</v>
      </c>
      <c r="N132" s="46">
        <f>'[1]2018'!N141+'[1]2019'!N141+'[1]2020'!N141</f>
        <v>6</v>
      </c>
      <c r="O132" s="46">
        <f>'[1]2018'!O141+'[1]2019'!O141+'[1]2020'!O141</f>
        <v>0</v>
      </c>
      <c r="P132" s="46">
        <f>'[1]2018'!P141+'[1]2019'!P141+'[1]2020'!P141</f>
        <v>0</v>
      </c>
      <c r="Q132" s="46">
        <f>'[1]2018'!Q141+'[1]2019'!Q141+'[1]2020'!Q141</f>
        <v>0</v>
      </c>
      <c r="R132" s="46">
        <f>'[1]2018'!R141+'[1]2019'!R141+'[1]2020'!R141</f>
        <v>0</v>
      </c>
      <c r="S132" s="46">
        <f>'[1]2018'!S141+'[1]2019'!S141+'[1]2020'!S141</f>
        <v>9</v>
      </c>
      <c r="T132" s="46">
        <f>'[1]2018'!T141+'[1]2019'!T141+'[1]2020'!T141</f>
        <v>0</v>
      </c>
      <c r="U132" s="46">
        <f>'[1]2018'!U141+'[1]2019'!U141+'[1]2020'!U141</f>
        <v>0</v>
      </c>
      <c r="V132" s="46">
        <f>'[1]2018'!V141+'[1]2019'!V141+'[1]2020'!V141</f>
        <v>0</v>
      </c>
      <c r="W132" s="46">
        <f>'[1]2018'!W141+'[1]2019'!W141+'[1]2020'!W141</f>
        <v>0</v>
      </c>
      <c r="X132" s="46">
        <f>'[1]2018'!X141+'[1]2019'!X141+'[1]2020'!X141</f>
        <v>0</v>
      </c>
      <c r="Y132" s="41">
        <f t="shared" si="18"/>
        <v>21</v>
      </c>
      <c r="Z132" s="11">
        <f>'[1]2018'!Z141+'[1]2019'!Z141+'[1]2020'!Z141</f>
        <v>6</v>
      </c>
      <c r="AA132" s="11">
        <f>'[1]2018'!AA141+'[1]2019'!AA141+'[1]2020'!AA141</f>
        <v>0</v>
      </c>
      <c r="AB132" s="11">
        <f>'[1]2018'!AB141+'[1]2019'!AB141+'[1]2020'!AB141</f>
        <v>21</v>
      </c>
      <c r="AC132" s="11">
        <f>'[1]2018'!AC141+'[1]2019'!AC141+'[1]2020'!AC141</f>
        <v>0</v>
      </c>
      <c r="AD132" s="11">
        <f>'[1]2018'!AD141+'[1]2019'!AD141+'[1]2020'!AD141</f>
        <v>5</v>
      </c>
      <c r="AE132" s="11">
        <f>'[1]2018'!AE141+'[1]2019'!AE141+'[1]2020'!AE141</f>
        <v>0</v>
      </c>
      <c r="AF132" s="11">
        <f>'[1]2018'!AF141+'[1]2019'!AF141+'[1]2020'!AF141</f>
        <v>0</v>
      </c>
      <c r="AG132" s="11">
        <f>'[1]2018'!AG141+'[1]2019'!AG141+'[1]2020'!AG141</f>
        <v>0</v>
      </c>
      <c r="AH132" s="11">
        <f>'[1]2018'!AH141+'[1]2019'!AH141+'[1]2020'!AH141</f>
        <v>0</v>
      </c>
      <c r="AI132" s="11">
        <f>'[1]2018'!AI141+'[1]2019'!AI141+'[1]2020'!AI141</f>
        <v>0</v>
      </c>
      <c r="AJ132" s="11">
        <f>'[1]2018'!AJ141+'[1]2019'!AJ141+'[1]2020'!AJ141</f>
        <v>1</v>
      </c>
      <c r="AK132" s="11">
        <f>'[1]2018'!AK141+'[1]2019'!AK141+'[1]2020'!AK141</f>
        <v>0</v>
      </c>
      <c r="AL132" s="11">
        <f>'[1]2018'!AL141+'[1]2019'!AL141+'[1]2020'!AL141</f>
        <v>6</v>
      </c>
      <c r="AM132" s="11">
        <f>'[1]2018'!AM141+'[1]2019'!AM141+'[1]2020'!AM141</f>
        <v>0</v>
      </c>
      <c r="AN132" s="11">
        <f>'[1]2018'!AN141+'[1]2019'!AN141+'[1]2020'!AN141</f>
        <v>0</v>
      </c>
      <c r="AO132" s="11">
        <f>'[1]2018'!AO141+'[1]2019'!AO141+'[1]2020'!AO141</f>
        <v>0</v>
      </c>
      <c r="AP132" s="11">
        <f>'[1]2018'!AP141+'[1]2019'!AP141+'[1]2020'!AP141</f>
        <v>0</v>
      </c>
      <c r="AQ132" s="11">
        <f>'[1]2018'!AQ141+'[1]2019'!AQ141+'[1]2020'!AQ141</f>
        <v>9</v>
      </c>
      <c r="AR132" s="11">
        <f>'[1]2018'!AR141+'[1]2019'!AR141+'[1]2020'!AR141</f>
        <v>0</v>
      </c>
      <c r="AS132" s="11">
        <f>'[1]2018'!AS141+'[1]2019'!AS141+'[1]2020'!AS141</f>
        <v>0</v>
      </c>
      <c r="AT132" s="11">
        <f>'[1]2018'!AT141+'[1]2019'!AT141+'[1]2020'!AT141</f>
        <v>0</v>
      </c>
      <c r="AU132" s="11">
        <f>'[1]2018'!AU141+'[1]2019'!AU141+'[1]2020'!AU141</f>
        <v>0</v>
      </c>
      <c r="AV132" s="11">
        <f>'[1]2018'!AV141+'[1]2019'!AV141+'[1]2020'!AV141</f>
        <v>0</v>
      </c>
      <c r="AW132" s="41">
        <f t="shared" si="19"/>
        <v>21</v>
      </c>
      <c r="AX132" s="14">
        <f t="shared" si="20"/>
        <v>2161.5833333333335</v>
      </c>
      <c r="AY132" s="2">
        <f>'[1]2018'!AX141+'[1]2019'!AX141+'[1]2020'!AX141</f>
        <v>6484.75</v>
      </c>
    </row>
    <row r="133" spans="1:51" x14ac:dyDescent="0.25">
      <c r="A133" s="10" t="s">
        <v>214</v>
      </c>
      <c r="B133" s="46">
        <f>'[1]2018'!B142+'[1]2019'!B142+'[1]2020'!B142</f>
        <v>8</v>
      </c>
      <c r="C133" s="46">
        <f>'[1]2018'!C142+'[1]2019'!C142+'[1]2020'!C142</f>
        <v>0</v>
      </c>
      <c r="D133" s="46">
        <f>'[1]2018'!D142+'[1]2019'!D142+'[1]2020'!D142</f>
        <v>74</v>
      </c>
      <c r="E133" s="46">
        <f>'[1]2018'!E142+'[1]2019'!E142+'[1]2020'!E142</f>
        <v>0</v>
      </c>
      <c r="F133" s="46">
        <f>'[1]2018'!F142+'[1]2019'!F142+'[1]2020'!F142</f>
        <v>0</v>
      </c>
      <c r="G133" s="46">
        <f>'[1]2018'!G142+'[1]2019'!G142+'[1]2020'!G142</f>
        <v>0</v>
      </c>
      <c r="H133" s="46">
        <f>'[1]2018'!H142+'[1]2019'!H142+'[1]2020'!H142</f>
        <v>43</v>
      </c>
      <c r="I133" s="46">
        <f>'[1]2018'!I142+'[1]2019'!I142+'[1]2020'!I142</f>
        <v>0</v>
      </c>
      <c r="J133" s="46">
        <f>'[1]2018'!J142+'[1]2019'!J142+'[1]2020'!J142</f>
        <v>0</v>
      </c>
      <c r="K133" s="46">
        <f>'[1]2018'!K142+'[1]2019'!K142+'[1]2020'!K142</f>
        <v>0</v>
      </c>
      <c r="L133" s="46">
        <f>'[1]2018'!L142+'[1]2019'!L142+'[1]2020'!L142</f>
        <v>23</v>
      </c>
      <c r="M133" s="46">
        <f>'[1]2018'!M142+'[1]2019'!M142+'[1]2020'!M142</f>
        <v>0</v>
      </c>
      <c r="N133" s="46">
        <f>'[1]2018'!N142+'[1]2019'!N142+'[1]2020'!N142</f>
        <v>0</v>
      </c>
      <c r="O133" s="46">
        <f>'[1]2018'!O142+'[1]2019'!O142+'[1]2020'!O142</f>
        <v>0</v>
      </c>
      <c r="P133" s="46">
        <f>'[1]2018'!P142+'[1]2019'!P142+'[1]2020'!P142</f>
        <v>0</v>
      </c>
      <c r="Q133" s="46">
        <f>'[1]2018'!Q142+'[1]2019'!Q142+'[1]2020'!Q142</f>
        <v>0</v>
      </c>
      <c r="R133" s="46">
        <f>'[1]2018'!R142+'[1]2019'!R142+'[1]2020'!R142</f>
        <v>0</v>
      </c>
      <c r="S133" s="46">
        <f>'[1]2018'!S142+'[1]2019'!S142+'[1]2020'!S142</f>
        <v>8</v>
      </c>
      <c r="T133" s="46">
        <f>'[1]2018'!T142+'[1]2019'!T142+'[1]2020'!T142</f>
        <v>0</v>
      </c>
      <c r="U133" s="46">
        <f>'[1]2018'!U142+'[1]2019'!U142+'[1]2020'!U142</f>
        <v>0</v>
      </c>
      <c r="V133" s="46">
        <f>'[1]2018'!V142+'[1]2019'!V142+'[1]2020'!V142</f>
        <v>0</v>
      </c>
      <c r="W133" s="46">
        <f>'[1]2018'!W142+'[1]2019'!W142+'[1]2020'!W142</f>
        <v>0</v>
      </c>
      <c r="X133" s="46">
        <f>'[1]2018'!X142+'[1]2019'!X142+'[1]2020'!X142</f>
        <v>0</v>
      </c>
      <c r="Y133" s="41">
        <f t="shared" si="18"/>
        <v>74</v>
      </c>
      <c r="Z133" s="11">
        <f>'[1]2018'!Z142+'[1]2019'!Z142+'[1]2020'!Z142</f>
        <v>7</v>
      </c>
      <c r="AA133" s="11">
        <f>'[1]2018'!AA142+'[1]2019'!AA142+'[1]2020'!AA142</f>
        <v>0</v>
      </c>
      <c r="AB133" s="11">
        <f>'[1]2018'!AB142+'[1]2019'!AB142+'[1]2020'!AB142</f>
        <v>60</v>
      </c>
      <c r="AC133" s="11">
        <f>'[1]2018'!AC142+'[1]2019'!AC142+'[1]2020'!AC142</f>
        <v>0</v>
      </c>
      <c r="AD133" s="11">
        <f>'[1]2018'!AD142+'[1]2019'!AD142+'[1]2020'!AD142</f>
        <v>0</v>
      </c>
      <c r="AE133" s="11">
        <f>'[1]2018'!AE142+'[1]2019'!AE142+'[1]2020'!AE142</f>
        <v>0</v>
      </c>
      <c r="AF133" s="11">
        <f>'[1]2018'!AF142+'[1]2019'!AF142+'[1]2020'!AF142</f>
        <v>29</v>
      </c>
      <c r="AG133" s="11">
        <f>'[1]2018'!AG142+'[1]2019'!AG142+'[1]2020'!AG142</f>
        <v>0</v>
      </c>
      <c r="AH133" s="11">
        <f>'[1]2018'!AH142+'[1]2019'!AH142+'[1]2020'!AH142</f>
        <v>0</v>
      </c>
      <c r="AI133" s="11">
        <f>'[1]2018'!AI142+'[1]2019'!AI142+'[1]2020'!AI142</f>
        <v>0</v>
      </c>
      <c r="AJ133" s="11">
        <f>'[1]2018'!AJ142+'[1]2019'!AJ142+'[1]2020'!AJ142</f>
        <v>25</v>
      </c>
      <c r="AK133" s="11">
        <f>'[1]2018'!AK142+'[1]2019'!AK142+'[1]2020'!AK142</f>
        <v>0</v>
      </c>
      <c r="AL133" s="11">
        <f>'[1]2018'!AL142+'[1]2019'!AL142+'[1]2020'!AL142</f>
        <v>0</v>
      </c>
      <c r="AM133" s="11">
        <f>'[1]2018'!AM142+'[1]2019'!AM142+'[1]2020'!AM142</f>
        <v>0</v>
      </c>
      <c r="AN133" s="11">
        <f>'[1]2018'!AN142+'[1]2019'!AN142+'[1]2020'!AN142</f>
        <v>0</v>
      </c>
      <c r="AO133" s="11">
        <f>'[1]2018'!AO142+'[1]2019'!AO142+'[1]2020'!AO142</f>
        <v>0</v>
      </c>
      <c r="AP133" s="11">
        <f>'[1]2018'!AP142+'[1]2019'!AP142+'[1]2020'!AP142</f>
        <v>0</v>
      </c>
      <c r="AQ133" s="11">
        <f>'[1]2018'!AQ142+'[1]2019'!AQ142+'[1]2020'!AQ142</f>
        <v>6</v>
      </c>
      <c r="AR133" s="11">
        <f>'[1]2018'!AR142+'[1]2019'!AR142+'[1]2020'!AR142</f>
        <v>0</v>
      </c>
      <c r="AS133" s="11">
        <f>'[1]2018'!AS142+'[1]2019'!AS142+'[1]2020'!AS142</f>
        <v>0</v>
      </c>
      <c r="AT133" s="11">
        <f>'[1]2018'!AT142+'[1]2019'!AT142+'[1]2020'!AT142</f>
        <v>0</v>
      </c>
      <c r="AU133" s="11">
        <f>'[1]2018'!AU142+'[1]2019'!AU142+'[1]2020'!AU142</f>
        <v>0</v>
      </c>
      <c r="AV133" s="11">
        <f>'[1]2018'!AV142+'[1]2019'!AV142+'[1]2020'!AV142</f>
        <v>0</v>
      </c>
      <c r="AW133" s="41">
        <f t="shared" si="19"/>
        <v>60</v>
      </c>
      <c r="AX133" s="14">
        <f t="shared" si="20"/>
        <v>657.63</v>
      </c>
      <c r="AY133" s="2">
        <f>'[1]2018'!AX142+'[1]2019'!AX142+'[1]2020'!AX142</f>
        <v>1972.8899999999999</v>
      </c>
    </row>
    <row r="134" spans="1:51" x14ac:dyDescent="0.25">
      <c r="A134" s="10" t="s">
        <v>215</v>
      </c>
      <c r="B134" s="46">
        <f>'[1]2018'!B143+'[1]2019'!B143+'[1]2020'!B143</f>
        <v>3</v>
      </c>
      <c r="C134" s="46">
        <f>'[1]2018'!C143+'[1]2019'!C143+'[1]2020'!C143</f>
        <v>0</v>
      </c>
      <c r="D134" s="46">
        <f>'[1]2018'!D143+'[1]2019'!D143+'[1]2020'!D143</f>
        <v>7</v>
      </c>
      <c r="E134" s="46">
        <f>'[1]2018'!E143+'[1]2019'!E143+'[1]2020'!E143</f>
        <v>0</v>
      </c>
      <c r="F134" s="46">
        <f>'[1]2018'!F143+'[1]2019'!F143+'[1]2020'!F143</f>
        <v>1</v>
      </c>
      <c r="G134" s="46">
        <f>'[1]2018'!G143+'[1]2019'!G143+'[1]2020'!G143</f>
        <v>0</v>
      </c>
      <c r="H134" s="46">
        <f>'[1]2018'!H143+'[1]2019'!H143+'[1]2020'!H143</f>
        <v>4</v>
      </c>
      <c r="I134" s="46">
        <f>'[1]2018'!I143+'[1]2019'!I143+'[1]2020'!I143</f>
        <v>0</v>
      </c>
      <c r="J134" s="46">
        <f>'[1]2018'!J143+'[1]2019'!J143+'[1]2020'!J143</f>
        <v>0</v>
      </c>
      <c r="K134" s="46">
        <f>'[1]2018'!K143+'[1]2019'!K143+'[1]2020'!K143</f>
        <v>0</v>
      </c>
      <c r="L134" s="46">
        <f>'[1]2018'!L143+'[1]2019'!L143+'[1]2020'!L143</f>
        <v>0</v>
      </c>
      <c r="M134" s="46">
        <f>'[1]2018'!M143+'[1]2019'!M143+'[1]2020'!M143</f>
        <v>2</v>
      </c>
      <c r="N134" s="46">
        <f>'[1]2018'!N143+'[1]2019'!N143+'[1]2020'!N143</f>
        <v>0</v>
      </c>
      <c r="O134" s="46">
        <f>'[1]2018'!O143+'[1]2019'!O143+'[1]2020'!O143</f>
        <v>0</v>
      </c>
      <c r="P134" s="46">
        <f>'[1]2018'!P143+'[1]2019'!P143+'[1]2020'!P143</f>
        <v>0</v>
      </c>
      <c r="Q134" s="46">
        <f>'[1]2018'!Q143+'[1]2019'!Q143+'[1]2020'!Q143</f>
        <v>0</v>
      </c>
      <c r="R134" s="46">
        <f>'[1]2018'!R143+'[1]2019'!R143+'[1]2020'!R143</f>
        <v>0</v>
      </c>
      <c r="S134" s="46">
        <f>'[1]2018'!S143+'[1]2019'!S143+'[1]2020'!S143</f>
        <v>0</v>
      </c>
      <c r="T134" s="46">
        <f>'[1]2018'!T143+'[1]2019'!T143+'[1]2020'!T143</f>
        <v>0</v>
      </c>
      <c r="U134" s="46">
        <f>'[1]2018'!U143+'[1]2019'!U143+'[1]2020'!U143</f>
        <v>0</v>
      </c>
      <c r="V134" s="46">
        <f>'[1]2018'!V143+'[1]2019'!V143+'[1]2020'!V143</f>
        <v>0</v>
      </c>
      <c r="W134" s="46">
        <f>'[1]2018'!W143+'[1]2019'!W143+'[1]2020'!W143</f>
        <v>0</v>
      </c>
      <c r="X134" s="46">
        <f>'[1]2018'!X143+'[1]2019'!X143+'[1]2020'!X143</f>
        <v>0</v>
      </c>
      <c r="Y134" s="41">
        <f t="shared" si="18"/>
        <v>7</v>
      </c>
      <c r="Z134" s="11">
        <f>'[1]2018'!Z143+'[1]2019'!Z143+'[1]2020'!Z143</f>
        <v>2</v>
      </c>
      <c r="AA134" s="11">
        <f>'[1]2018'!AA143+'[1]2019'!AA143+'[1]2020'!AA143</f>
        <v>0</v>
      </c>
      <c r="AB134" s="11">
        <f>'[1]2018'!AB143+'[1]2019'!AB143+'[1]2020'!AB143</f>
        <v>6</v>
      </c>
      <c r="AC134" s="11">
        <f>'[1]2018'!AC143+'[1]2019'!AC143+'[1]2020'!AC143</f>
        <v>0</v>
      </c>
      <c r="AD134" s="11">
        <f>'[1]2018'!AD143+'[1]2019'!AD143+'[1]2020'!AD143</f>
        <v>0</v>
      </c>
      <c r="AE134" s="11">
        <f>'[1]2018'!AE143+'[1]2019'!AE143+'[1]2020'!AE143</f>
        <v>0</v>
      </c>
      <c r="AF134" s="11">
        <f>'[1]2018'!AF143+'[1]2019'!AF143+'[1]2020'!AF143</f>
        <v>4</v>
      </c>
      <c r="AG134" s="11">
        <f>'[1]2018'!AG143+'[1]2019'!AG143+'[1]2020'!AG143</f>
        <v>0</v>
      </c>
      <c r="AH134" s="11">
        <f>'[1]2018'!AH143+'[1]2019'!AH143+'[1]2020'!AH143</f>
        <v>0</v>
      </c>
      <c r="AI134" s="11">
        <f>'[1]2018'!AI143+'[1]2019'!AI143+'[1]2020'!AI143</f>
        <v>0</v>
      </c>
      <c r="AJ134" s="11">
        <f>'[1]2018'!AJ143+'[1]2019'!AJ143+'[1]2020'!AJ143</f>
        <v>0</v>
      </c>
      <c r="AK134" s="11">
        <f>'[1]2018'!AK143+'[1]2019'!AK143+'[1]2020'!AK143</f>
        <v>2</v>
      </c>
      <c r="AL134" s="11">
        <f>'[1]2018'!AL143+'[1]2019'!AL143+'[1]2020'!AL143</f>
        <v>0</v>
      </c>
      <c r="AM134" s="11">
        <f>'[1]2018'!AM143+'[1]2019'!AM143+'[1]2020'!AM143</f>
        <v>0</v>
      </c>
      <c r="AN134" s="11">
        <f>'[1]2018'!AN143+'[1]2019'!AN143+'[1]2020'!AN143</f>
        <v>0</v>
      </c>
      <c r="AO134" s="11">
        <f>'[1]2018'!AO143+'[1]2019'!AO143+'[1]2020'!AO143</f>
        <v>0</v>
      </c>
      <c r="AP134" s="11">
        <f>'[1]2018'!AP143+'[1]2019'!AP143+'[1]2020'!AP143</f>
        <v>0</v>
      </c>
      <c r="AQ134" s="11">
        <f>'[1]2018'!AQ143+'[1]2019'!AQ143+'[1]2020'!AQ143</f>
        <v>0</v>
      </c>
      <c r="AR134" s="11">
        <f>'[1]2018'!AR143+'[1]2019'!AR143+'[1]2020'!AR143</f>
        <v>0</v>
      </c>
      <c r="AS134" s="11">
        <f>'[1]2018'!AS143+'[1]2019'!AS143+'[1]2020'!AS143</f>
        <v>0</v>
      </c>
      <c r="AT134" s="11">
        <f>'[1]2018'!AT143+'[1]2019'!AT143+'[1]2020'!AT143</f>
        <v>0</v>
      </c>
      <c r="AU134" s="11">
        <f>'[1]2018'!AU143+'[1]2019'!AU143+'[1]2020'!AU143</f>
        <v>0</v>
      </c>
      <c r="AV134" s="11">
        <f>'[1]2018'!AV143+'[1]2019'!AV143+'[1]2020'!AV143</f>
        <v>0</v>
      </c>
      <c r="AW134" s="41">
        <f t="shared" si="19"/>
        <v>6</v>
      </c>
      <c r="AX134" s="14">
        <f t="shared" si="20"/>
        <v>820</v>
      </c>
      <c r="AY134" s="2">
        <f>'[1]2018'!AX143+'[1]2019'!AX143+'[1]2020'!AX143</f>
        <v>2460</v>
      </c>
    </row>
    <row r="135" spans="1:51" x14ac:dyDescent="0.25">
      <c r="A135" s="10" t="s">
        <v>216</v>
      </c>
      <c r="B135" s="46">
        <f>'[1]2018'!B144+'[1]2019'!B144+'[1]2020'!B144</f>
        <v>7</v>
      </c>
      <c r="C135" s="46">
        <f>'[1]2018'!C144+'[1]2019'!C144+'[1]2020'!C144</f>
        <v>0</v>
      </c>
      <c r="D135" s="46">
        <f>'[1]2018'!D144+'[1]2019'!D144+'[1]2020'!D144</f>
        <v>66</v>
      </c>
      <c r="E135" s="46">
        <f>'[1]2018'!E144+'[1]2019'!E144+'[1]2020'!E144</f>
        <v>0</v>
      </c>
      <c r="F135" s="46">
        <f>'[1]2018'!F144+'[1]2019'!F144+'[1]2020'!F144</f>
        <v>0</v>
      </c>
      <c r="G135" s="46">
        <f>'[1]2018'!G144+'[1]2019'!G144+'[1]2020'!G144</f>
        <v>0</v>
      </c>
      <c r="H135" s="46">
        <f>'[1]2018'!H144+'[1]2019'!H144+'[1]2020'!H144</f>
        <v>53</v>
      </c>
      <c r="I135" s="46">
        <f>'[1]2018'!I144+'[1]2019'!I144+'[1]2020'!I144</f>
        <v>0</v>
      </c>
      <c r="J135" s="46">
        <f>'[1]2018'!J144+'[1]2019'!J144+'[1]2020'!J144</f>
        <v>0</v>
      </c>
      <c r="K135" s="46">
        <f>'[1]2018'!K144+'[1]2019'!K144+'[1]2020'!K144</f>
        <v>0</v>
      </c>
      <c r="L135" s="46">
        <f>'[1]2018'!L144+'[1]2019'!L144+'[1]2020'!L144</f>
        <v>0</v>
      </c>
      <c r="M135" s="46">
        <f>'[1]2018'!M144+'[1]2019'!M144+'[1]2020'!M144</f>
        <v>0</v>
      </c>
      <c r="N135" s="46">
        <f>'[1]2018'!N144+'[1]2019'!N144+'[1]2020'!N144</f>
        <v>0</v>
      </c>
      <c r="O135" s="46">
        <f>'[1]2018'!O144+'[1]2019'!O144+'[1]2020'!O144</f>
        <v>7</v>
      </c>
      <c r="P135" s="46">
        <f>'[1]2018'!P144+'[1]2019'!P144+'[1]2020'!P144</f>
        <v>0</v>
      </c>
      <c r="Q135" s="46">
        <f>'[1]2018'!Q144+'[1]2019'!Q144+'[1]2020'!Q144</f>
        <v>0</v>
      </c>
      <c r="R135" s="46">
        <f>'[1]2018'!R144+'[1]2019'!R144+'[1]2020'!R144</f>
        <v>6</v>
      </c>
      <c r="S135" s="46">
        <f>'[1]2018'!S144+'[1]2019'!S144+'[1]2020'!S144</f>
        <v>0</v>
      </c>
      <c r="T135" s="46">
        <f>'[1]2018'!T144+'[1]2019'!T144+'[1]2020'!T144</f>
        <v>0</v>
      </c>
      <c r="U135" s="46">
        <f>'[1]2018'!U144+'[1]2019'!U144+'[1]2020'!U144</f>
        <v>0</v>
      </c>
      <c r="V135" s="46">
        <f>'[1]2018'!V144+'[1]2019'!V144+'[1]2020'!V144</f>
        <v>0</v>
      </c>
      <c r="W135" s="46">
        <f>'[1]2018'!W144+'[1]2019'!W144+'[1]2020'!W144</f>
        <v>0</v>
      </c>
      <c r="X135" s="46">
        <f>'[1]2018'!X144+'[1]2019'!X144+'[1]2020'!X144</f>
        <v>0</v>
      </c>
      <c r="Y135" s="41">
        <f t="shared" si="18"/>
        <v>66</v>
      </c>
      <c r="Z135" s="11">
        <f>'[1]2018'!Z144+'[1]2019'!Z144+'[1]2020'!Z144</f>
        <v>4</v>
      </c>
      <c r="AA135" s="11">
        <f>'[1]2018'!AA144+'[1]2019'!AA144+'[1]2020'!AA144</f>
        <v>0</v>
      </c>
      <c r="AB135" s="11">
        <f>'[1]2018'!AB144+'[1]2019'!AB144+'[1]2020'!AB144</f>
        <v>16</v>
      </c>
      <c r="AC135" s="11">
        <f>'[1]2018'!AC144+'[1]2019'!AC144+'[1]2020'!AC144</f>
        <v>0</v>
      </c>
      <c r="AD135" s="11">
        <f>'[1]2018'!AD144+'[1]2019'!AD144+'[1]2020'!AD144</f>
        <v>0</v>
      </c>
      <c r="AE135" s="11">
        <f>'[1]2018'!AE144+'[1]2019'!AE144+'[1]2020'!AE144</f>
        <v>0</v>
      </c>
      <c r="AF135" s="11">
        <f>'[1]2018'!AF144+'[1]2019'!AF144+'[1]2020'!AF144</f>
        <v>4</v>
      </c>
      <c r="AG135" s="11">
        <f>'[1]2018'!AG144+'[1]2019'!AG144+'[1]2020'!AG144</f>
        <v>0</v>
      </c>
      <c r="AH135" s="11">
        <f>'[1]2018'!AH144+'[1]2019'!AH144+'[1]2020'!AH144</f>
        <v>0</v>
      </c>
      <c r="AI135" s="11">
        <f>'[1]2018'!AI144+'[1]2019'!AI144+'[1]2020'!AI144</f>
        <v>0</v>
      </c>
      <c r="AJ135" s="11">
        <f>'[1]2018'!AJ144+'[1]2019'!AJ144+'[1]2020'!AJ144</f>
        <v>0</v>
      </c>
      <c r="AK135" s="11">
        <f>'[1]2018'!AK144+'[1]2019'!AK144+'[1]2020'!AK144</f>
        <v>0</v>
      </c>
      <c r="AL135" s="11">
        <f>'[1]2018'!AL144+'[1]2019'!AL144+'[1]2020'!AL144</f>
        <v>0</v>
      </c>
      <c r="AM135" s="11">
        <f>'[1]2018'!AM144+'[1]2019'!AM144+'[1]2020'!AM144</f>
        <v>6</v>
      </c>
      <c r="AN135" s="11">
        <f>'[1]2018'!AN144+'[1]2019'!AN144+'[1]2020'!AN144</f>
        <v>0</v>
      </c>
      <c r="AO135" s="11">
        <f>'[1]2018'!AO144+'[1]2019'!AO144+'[1]2020'!AO144</f>
        <v>0</v>
      </c>
      <c r="AP135" s="11">
        <f>'[1]2018'!AP144+'[1]2019'!AP144+'[1]2020'!AP144</f>
        <v>6</v>
      </c>
      <c r="AQ135" s="11">
        <f>'[1]2018'!AQ144+'[1]2019'!AQ144+'[1]2020'!AQ144</f>
        <v>0</v>
      </c>
      <c r="AR135" s="11">
        <f>'[1]2018'!AR144+'[1]2019'!AR144+'[1]2020'!AR144</f>
        <v>0</v>
      </c>
      <c r="AS135" s="11">
        <f>'[1]2018'!AS144+'[1]2019'!AS144+'[1]2020'!AS144</f>
        <v>0</v>
      </c>
      <c r="AT135" s="11">
        <f>'[1]2018'!AT144+'[1]2019'!AT144+'[1]2020'!AT144</f>
        <v>0</v>
      </c>
      <c r="AU135" s="11">
        <f>'[1]2018'!AU144+'[1]2019'!AU144+'[1]2020'!AU144</f>
        <v>0</v>
      </c>
      <c r="AV135" s="11">
        <f>'[1]2018'!AV144+'[1]2019'!AV144+'[1]2020'!AV144</f>
        <v>0</v>
      </c>
      <c r="AW135" s="41">
        <f t="shared" si="19"/>
        <v>16</v>
      </c>
      <c r="AX135" s="14">
        <f t="shared" si="20"/>
        <v>2342.2222222222222</v>
      </c>
      <c r="AY135" s="2">
        <f>'[1]2018'!AX144+'[1]2019'!AX144+'[1]2020'!AX144</f>
        <v>7026.6666666666661</v>
      </c>
    </row>
    <row r="136" spans="1:51" x14ac:dyDescent="0.25">
      <c r="A136" s="10" t="s">
        <v>217</v>
      </c>
      <c r="B136" s="46">
        <f>'[1]2018'!B145+'[1]2019'!B145+'[1]2020'!B145</f>
        <v>20</v>
      </c>
      <c r="C136" s="46">
        <f>'[1]2018'!C145+'[1]2019'!C145+'[1]2020'!C145</f>
        <v>3</v>
      </c>
      <c r="D136" s="46">
        <f>'[1]2018'!D145+'[1]2019'!D145+'[1]2020'!D145</f>
        <v>69</v>
      </c>
      <c r="E136" s="46">
        <f>'[1]2018'!E145+'[1]2019'!E145+'[1]2020'!E145</f>
        <v>9</v>
      </c>
      <c r="F136" s="46">
        <f>'[1]2018'!F145+'[1]2019'!F145+'[1]2020'!F145</f>
        <v>0</v>
      </c>
      <c r="G136" s="46">
        <f>'[1]2018'!G145+'[1]2019'!G145+'[1]2020'!G145</f>
        <v>0</v>
      </c>
      <c r="H136" s="46">
        <f>'[1]2018'!H145+'[1]2019'!H145+'[1]2020'!H145</f>
        <v>23</v>
      </c>
      <c r="I136" s="46">
        <f>'[1]2018'!I145+'[1]2019'!I145+'[1]2020'!I145</f>
        <v>0</v>
      </c>
      <c r="J136" s="46">
        <f>'[1]2018'!J145+'[1]2019'!J145+'[1]2020'!J145</f>
        <v>8</v>
      </c>
      <c r="K136" s="46">
        <f>'[1]2018'!K145+'[1]2019'!K145+'[1]2020'!K145</f>
        <v>7</v>
      </c>
      <c r="L136" s="46">
        <f>'[1]2018'!L145+'[1]2019'!L145+'[1]2020'!L145</f>
        <v>22</v>
      </c>
      <c r="M136" s="46">
        <f>'[1]2018'!M145+'[1]2019'!M145+'[1]2020'!M145</f>
        <v>0</v>
      </c>
      <c r="N136" s="46">
        <f>'[1]2018'!N145+'[1]2019'!N145+'[1]2020'!N145</f>
        <v>0</v>
      </c>
      <c r="O136" s="46">
        <f>'[1]2018'!O145+'[1]2019'!O145+'[1]2020'!O145</f>
        <v>2</v>
      </c>
      <c r="P136" s="46">
        <f>'[1]2018'!P145+'[1]2019'!P145+'[1]2020'!P145</f>
        <v>0</v>
      </c>
      <c r="Q136" s="46">
        <f>'[1]2018'!Q145+'[1]2019'!Q145+'[1]2020'!Q145</f>
        <v>0</v>
      </c>
      <c r="R136" s="46">
        <f>'[1]2018'!R145+'[1]2019'!R145+'[1]2020'!R145</f>
        <v>4</v>
      </c>
      <c r="S136" s="46">
        <f>'[1]2018'!S145+'[1]2019'!S145+'[1]2020'!S145</f>
        <v>0</v>
      </c>
      <c r="T136" s="46">
        <f>'[1]2018'!T145+'[1]2019'!T145+'[1]2020'!T145</f>
        <v>0</v>
      </c>
      <c r="U136" s="46">
        <f>'[1]2018'!U145+'[1]2019'!U145+'[1]2020'!U145</f>
        <v>0</v>
      </c>
      <c r="V136" s="46">
        <f>'[1]2018'!V145+'[1]2019'!V145+'[1]2020'!V145</f>
        <v>1</v>
      </c>
      <c r="W136" s="46">
        <f>'[1]2018'!W145+'[1]2019'!W145+'[1]2020'!W145</f>
        <v>0</v>
      </c>
      <c r="X136" s="46">
        <f>'[1]2018'!X145+'[1]2019'!X145+'[1]2020'!X145</f>
        <v>2</v>
      </c>
      <c r="Y136" s="41">
        <f t="shared" si="18"/>
        <v>69</v>
      </c>
      <c r="Z136" s="11">
        <f>'[1]2018'!Z145+'[1]2019'!Z145+'[1]2020'!Z145</f>
        <v>13</v>
      </c>
      <c r="AA136" s="11">
        <f>'[1]2018'!AA145+'[1]2019'!AA145+'[1]2020'!AA145</f>
        <v>2</v>
      </c>
      <c r="AB136" s="11">
        <f>'[1]2018'!AB145+'[1]2019'!AB145+'[1]2020'!AB145</f>
        <v>24</v>
      </c>
      <c r="AC136" s="11">
        <f>'[1]2018'!AC145+'[1]2019'!AC145+'[1]2020'!AC145</f>
        <v>5</v>
      </c>
      <c r="AD136" s="11">
        <f>'[1]2018'!AD145+'[1]2019'!AD145+'[1]2020'!AD145</f>
        <v>0</v>
      </c>
      <c r="AE136" s="11">
        <f>'[1]2018'!AE145+'[1]2019'!AE145+'[1]2020'!AE145</f>
        <v>0</v>
      </c>
      <c r="AF136" s="11">
        <f>'[1]2018'!AF145+'[1]2019'!AF145+'[1]2020'!AF145</f>
        <v>12</v>
      </c>
      <c r="AG136" s="11">
        <f>'[1]2018'!AG145+'[1]2019'!AG145+'[1]2020'!AG145</f>
        <v>0</v>
      </c>
      <c r="AH136" s="11">
        <f>'[1]2018'!AH145+'[1]2019'!AH145+'[1]2020'!AH145</f>
        <v>3</v>
      </c>
      <c r="AI136" s="11">
        <f>'[1]2018'!AI145+'[1]2019'!AI145+'[1]2020'!AI145</f>
        <v>2</v>
      </c>
      <c r="AJ136" s="11">
        <f>'[1]2018'!AJ145+'[1]2019'!AJ145+'[1]2020'!AJ145</f>
        <v>4</v>
      </c>
      <c r="AK136" s="11">
        <f>'[1]2018'!AK145+'[1]2019'!AK145+'[1]2020'!AK145</f>
        <v>0</v>
      </c>
      <c r="AL136" s="11">
        <f>'[1]2018'!AL145+'[1]2019'!AL145+'[1]2020'!AL145</f>
        <v>0</v>
      </c>
      <c r="AM136" s="11">
        <f>'[1]2018'!AM145+'[1]2019'!AM145+'[1]2020'!AM145</f>
        <v>0</v>
      </c>
      <c r="AN136" s="11">
        <f>'[1]2018'!AN145+'[1]2019'!AN145+'[1]2020'!AN145</f>
        <v>0</v>
      </c>
      <c r="AO136" s="11">
        <f>'[1]2018'!AO145+'[1]2019'!AO145+'[1]2020'!AO145</f>
        <v>0</v>
      </c>
      <c r="AP136" s="11">
        <f>'[1]2018'!AP145+'[1]2019'!AP145+'[1]2020'!AP145</f>
        <v>3</v>
      </c>
      <c r="AQ136" s="11">
        <f>'[1]2018'!AQ145+'[1]2019'!AQ145+'[1]2020'!AQ145</f>
        <v>0</v>
      </c>
      <c r="AR136" s="11">
        <f>'[1]2018'!AR145+'[1]2019'!AR145+'[1]2020'!AR145</f>
        <v>0</v>
      </c>
      <c r="AS136" s="11">
        <f>'[1]2018'!AS145+'[1]2019'!AS145+'[1]2020'!AS145</f>
        <v>0</v>
      </c>
      <c r="AT136" s="11">
        <f>'[1]2018'!AT145+'[1]2019'!AT145+'[1]2020'!AT145</f>
        <v>0</v>
      </c>
      <c r="AU136" s="11">
        <f>'[1]2018'!AU145+'[1]2019'!AU145+'[1]2020'!AU145</f>
        <v>0</v>
      </c>
      <c r="AV136" s="11">
        <f>'[1]2018'!AV145+'[1]2019'!AV145+'[1]2020'!AV145</f>
        <v>0</v>
      </c>
      <c r="AW136" s="41">
        <f t="shared" si="19"/>
        <v>24</v>
      </c>
      <c r="AX136" s="14">
        <f t="shared" si="20"/>
        <v>1671.0822222222223</v>
      </c>
      <c r="AY136" s="2">
        <f>'[1]2018'!AX145+'[1]2019'!AX145+'[1]2020'!AX145</f>
        <v>5013.2466666666669</v>
      </c>
    </row>
    <row r="137" spans="1:51" x14ac:dyDescent="0.25">
      <c r="A137" s="10" t="s">
        <v>218</v>
      </c>
      <c r="B137" s="46">
        <f>'[1]2018'!B146+'[1]2019'!B146+'[1]2020'!B146</f>
        <v>9</v>
      </c>
      <c r="C137" s="46">
        <f>'[1]2018'!C146+'[1]2019'!C146+'[1]2020'!C146</f>
        <v>0</v>
      </c>
      <c r="D137" s="46">
        <f>'[1]2018'!D146+'[1]2019'!D146+'[1]2020'!D146</f>
        <v>52</v>
      </c>
      <c r="E137" s="46">
        <f>'[1]2018'!E146+'[1]2019'!E146+'[1]2020'!E146</f>
        <v>0</v>
      </c>
      <c r="F137" s="46">
        <f>'[1]2018'!F146+'[1]2019'!F146+'[1]2020'!F146</f>
        <v>0</v>
      </c>
      <c r="G137" s="46">
        <f>'[1]2018'!G146+'[1]2019'!G146+'[1]2020'!G146</f>
        <v>0</v>
      </c>
      <c r="H137" s="46">
        <f>'[1]2018'!H146+'[1]2019'!H146+'[1]2020'!H146</f>
        <v>27</v>
      </c>
      <c r="I137" s="46">
        <f>'[1]2018'!I146+'[1]2019'!I146+'[1]2020'!I146</f>
        <v>0</v>
      </c>
      <c r="J137" s="46">
        <f>'[1]2018'!J146+'[1]2019'!J146+'[1]2020'!J146</f>
        <v>0</v>
      </c>
      <c r="K137" s="46">
        <f>'[1]2018'!K146+'[1]2019'!K146+'[1]2020'!K146</f>
        <v>0</v>
      </c>
      <c r="L137" s="46">
        <f>'[1]2018'!L146+'[1]2019'!L146+'[1]2020'!L146</f>
        <v>25</v>
      </c>
      <c r="M137" s="46">
        <f>'[1]2018'!M146+'[1]2019'!M146+'[1]2020'!M146</f>
        <v>0</v>
      </c>
      <c r="N137" s="46">
        <f>'[1]2018'!N146+'[1]2019'!N146+'[1]2020'!N146</f>
        <v>0</v>
      </c>
      <c r="O137" s="46">
        <f>'[1]2018'!O146+'[1]2019'!O146+'[1]2020'!O146</f>
        <v>0</v>
      </c>
      <c r="P137" s="46">
        <f>'[1]2018'!P146+'[1]2019'!P146+'[1]2020'!P146</f>
        <v>0</v>
      </c>
      <c r="Q137" s="46">
        <f>'[1]2018'!Q146+'[1]2019'!Q146+'[1]2020'!Q146</f>
        <v>0</v>
      </c>
      <c r="R137" s="46">
        <f>'[1]2018'!R146+'[1]2019'!R146+'[1]2020'!R146</f>
        <v>0</v>
      </c>
      <c r="S137" s="46">
        <f>'[1]2018'!S146+'[1]2019'!S146+'[1]2020'!S146</f>
        <v>0</v>
      </c>
      <c r="T137" s="46">
        <f>'[1]2018'!T146+'[1]2019'!T146+'[1]2020'!T146</f>
        <v>0</v>
      </c>
      <c r="U137" s="46">
        <f>'[1]2018'!U146+'[1]2019'!U146+'[1]2020'!U146</f>
        <v>0</v>
      </c>
      <c r="V137" s="46">
        <f>'[1]2018'!V146+'[1]2019'!V146+'[1]2020'!V146</f>
        <v>0</v>
      </c>
      <c r="W137" s="46">
        <f>'[1]2018'!W146+'[1]2019'!W146+'[1]2020'!W146</f>
        <v>0</v>
      </c>
      <c r="X137" s="46">
        <f>'[1]2018'!X146+'[1]2019'!X146+'[1]2020'!X146</f>
        <v>0</v>
      </c>
      <c r="Y137" s="41">
        <f t="shared" si="18"/>
        <v>52</v>
      </c>
      <c r="Z137" s="11">
        <f>'[1]2018'!Z146+'[1]2019'!Z146+'[1]2020'!Z146</f>
        <v>2</v>
      </c>
      <c r="AA137" s="11">
        <f>'[1]2018'!AA146+'[1]2019'!AA146+'[1]2020'!AA146</f>
        <v>0</v>
      </c>
      <c r="AB137" s="11">
        <f>'[1]2018'!AB146+'[1]2019'!AB146+'[1]2020'!AB146</f>
        <v>7</v>
      </c>
      <c r="AC137" s="11">
        <f>'[1]2018'!AC146+'[1]2019'!AC146+'[1]2020'!AC146</f>
        <v>0</v>
      </c>
      <c r="AD137" s="11">
        <f>'[1]2018'!AD146+'[1]2019'!AD146+'[1]2020'!AD146</f>
        <v>0</v>
      </c>
      <c r="AE137" s="11">
        <f>'[1]2018'!AE146+'[1]2019'!AE146+'[1]2020'!AE146</f>
        <v>0</v>
      </c>
      <c r="AF137" s="11">
        <f>'[1]2018'!AF146+'[1]2019'!AF146+'[1]2020'!AF146</f>
        <v>7</v>
      </c>
      <c r="AG137" s="11">
        <f>'[1]2018'!AG146+'[1]2019'!AG146+'[1]2020'!AG146</f>
        <v>0</v>
      </c>
      <c r="AH137" s="11">
        <f>'[1]2018'!AH146+'[1]2019'!AH146+'[1]2020'!AH146</f>
        <v>0</v>
      </c>
      <c r="AI137" s="11">
        <f>'[1]2018'!AI146+'[1]2019'!AI146+'[1]2020'!AI146</f>
        <v>0</v>
      </c>
      <c r="AJ137" s="11">
        <f>'[1]2018'!AJ146+'[1]2019'!AJ146+'[1]2020'!AJ146</f>
        <v>0</v>
      </c>
      <c r="AK137" s="11">
        <f>'[1]2018'!AK146+'[1]2019'!AK146+'[1]2020'!AK146</f>
        <v>0</v>
      </c>
      <c r="AL137" s="11">
        <f>'[1]2018'!AL146+'[1]2019'!AL146+'[1]2020'!AL146</f>
        <v>0</v>
      </c>
      <c r="AM137" s="11">
        <f>'[1]2018'!AM146+'[1]2019'!AM146+'[1]2020'!AM146</f>
        <v>0</v>
      </c>
      <c r="AN137" s="11">
        <f>'[1]2018'!AN146+'[1]2019'!AN146+'[1]2020'!AN146</f>
        <v>0</v>
      </c>
      <c r="AO137" s="11">
        <f>'[1]2018'!AO146+'[1]2019'!AO146+'[1]2020'!AO146</f>
        <v>0</v>
      </c>
      <c r="AP137" s="11">
        <f>'[1]2018'!AP146+'[1]2019'!AP146+'[1]2020'!AP146</f>
        <v>0</v>
      </c>
      <c r="AQ137" s="11">
        <f>'[1]2018'!AQ146+'[1]2019'!AQ146+'[1]2020'!AQ146</f>
        <v>0</v>
      </c>
      <c r="AR137" s="11">
        <f>'[1]2018'!AR146+'[1]2019'!AR146+'[1]2020'!AR146</f>
        <v>0</v>
      </c>
      <c r="AS137" s="11">
        <f>'[1]2018'!AS146+'[1]2019'!AS146+'[1]2020'!AS146</f>
        <v>0</v>
      </c>
      <c r="AT137" s="11">
        <f>'[1]2018'!AT146+'[1]2019'!AT146+'[1]2020'!AT146</f>
        <v>0</v>
      </c>
      <c r="AU137" s="11">
        <f>'[1]2018'!AU146+'[1]2019'!AU146+'[1]2020'!AU146</f>
        <v>0</v>
      </c>
      <c r="AV137" s="11">
        <f>'[1]2018'!AV146+'[1]2019'!AV146+'[1]2020'!AV146</f>
        <v>0</v>
      </c>
      <c r="AW137" s="41">
        <f t="shared" si="19"/>
        <v>7</v>
      </c>
      <c r="AX137" s="14">
        <f t="shared" si="20"/>
        <v>1218.6666666666667</v>
      </c>
      <c r="AY137" s="2">
        <f>'[1]2018'!AX146+'[1]2019'!AX146+'[1]2020'!AX146</f>
        <v>3656</v>
      </c>
    </row>
    <row r="138" spans="1:51" x14ac:dyDescent="0.25">
      <c r="A138" s="10" t="s">
        <v>219</v>
      </c>
      <c r="B138" s="46">
        <f>'[1]2018'!B147+'[1]2019'!B147+'[1]2020'!B147</f>
        <v>33</v>
      </c>
      <c r="C138" s="46">
        <f>'[1]2018'!C147+'[1]2019'!C147+'[1]2020'!C147</f>
        <v>2</v>
      </c>
      <c r="D138" s="46">
        <f>'[1]2018'!D147+'[1]2019'!D147+'[1]2020'!D147</f>
        <v>161</v>
      </c>
      <c r="E138" s="46">
        <f>'[1]2018'!E147+'[1]2019'!E147+'[1]2020'!E147</f>
        <v>8</v>
      </c>
      <c r="F138" s="46">
        <f>'[1]2018'!F147+'[1]2019'!F147+'[1]2020'!F147</f>
        <v>0</v>
      </c>
      <c r="G138" s="46">
        <f>'[1]2018'!G147+'[1]2019'!G147+'[1]2020'!G147</f>
        <v>0</v>
      </c>
      <c r="H138" s="46">
        <f>'[1]2018'!H147+'[1]2019'!H147+'[1]2020'!H147</f>
        <v>78</v>
      </c>
      <c r="I138" s="46">
        <f>'[1]2018'!I147+'[1]2019'!I147+'[1]2020'!I147</f>
        <v>0</v>
      </c>
      <c r="J138" s="46">
        <f>'[1]2018'!J147+'[1]2019'!J147+'[1]2020'!J147</f>
        <v>1</v>
      </c>
      <c r="K138" s="46">
        <f>'[1]2018'!K147+'[1]2019'!K147+'[1]2020'!K147</f>
        <v>74</v>
      </c>
      <c r="L138" s="46">
        <f>'[1]2018'!L147+'[1]2019'!L147+'[1]2020'!L147</f>
        <v>1</v>
      </c>
      <c r="M138" s="46">
        <f>'[1]2018'!M147+'[1]2019'!M147+'[1]2020'!M147</f>
        <v>0</v>
      </c>
      <c r="N138" s="46">
        <f>'[1]2018'!N147+'[1]2019'!N147+'[1]2020'!N147</f>
        <v>0</v>
      </c>
      <c r="O138" s="46">
        <f>'[1]2018'!O147+'[1]2019'!O147+'[1]2020'!O147</f>
        <v>0</v>
      </c>
      <c r="P138" s="46">
        <f>'[1]2018'!P147+'[1]2019'!P147+'[1]2020'!P147</f>
        <v>0</v>
      </c>
      <c r="Q138" s="46">
        <f>'[1]2018'!Q147+'[1]2019'!Q147+'[1]2020'!Q147</f>
        <v>0</v>
      </c>
      <c r="R138" s="46">
        <f>'[1]2018'!R147+'[1]2019'!R147+'[1]2020'!R147</f>
        <v>4</v>
      </c>
      <c r="S138" s="46">
        <f>'[1]2018'!S147+'[1]2019'!S147+'[1]2020'!S147</f>
        <v>3</v>
      </c>
      <c r="T138" s="46">
        <f>'[1]2018'!T147+'[1]2019'!T147+'[1]2020'!T147</f>
        <v>0</v>
      </c>
      <c r="U138" s="46">
        <f>'[1]2018'!U147+'[1]2019'!U147+'[1]2020'!U147</f>
        <v>0</v>
      </c>
      <c r="V138" s="46">
        <f>'[1]2018'!V147+'[1]2019'!V147+'[1]2020'!V147</f>
        <v>0</v>
      </c>
      <c r="W138" s="46">
        <f>'[1]2018'!W147+'[1]2019'!W147+'[1]2020'!W147</f>
        <v>0</v>
      </c>
      <c r="X138" s="46">
        <f>'[1]2018'!X147+'[1]2019'!X147+'[1]2020'!X147</f>
        <v>0</v>
      </c>
      <c r="Y138" s="41">
        <f t="shared" si="18"/>
        <v>161</v>
      </c>
      <c r="Z138" s="11">
        <f>'[1]2018'!Z147+'[1]2019'!Z147+'[1]2020'!Z147</f>
        <v>24</v>
      </c>
      <c r="AA138" s="11">
        <f>'[1]2018'!AA147+'[1]2019'!AA147+'[1]2020'!AA147</f>
        <v>1</v>
      </c>
      <c r="AB138" s="11">
        <f>'[1]2018'!AB147+'[1]2019'!AB147+'[1]2020'!AB147</f>
        <v>109</v>
      </c>
      <c r="AC138" s="11">
        <f>'[1]2018'!AC147+'[1]2019'!AC147+'[1]2020'!AC147</f>
        <v>6</v>
      </c>
      <c r="AD138" s="11">
        <f>'[1]2018'!AD147+'[1]2019'!AD147+'[1]2020'!AD147</f>
        <v>0</v>
      </c>
      <c r="AE138" s="11">
        <f>'[1]2018'!AE147+'[1]2019'!AE147+'[1]2020'!AE147</f>
        <v>0</v>
      </c>
      <c r="AF138" s="11">
        <f>'[1]2018'!AF147+'[1]2019'!AF147+'[1]2020'!AF147</f>
        <v>47</v>
      </c>
      <c r="AG138" s="11">
        <f>'[1]2018'!AG147+'[1]2019'!AG147+'[1]2020'!AG147</f>
        <v>0</v>
      </c>
      <c r="AH138" s="11">
        <f>'[1]2018'!AH147+'[1]2019'!AH147+'[1]2020'!AH147</f>
        <v>0</v>
      </c>
      <c r="AI138" s="11">
        <f>'[1]2018'!AI147+'[1]2019'!AI147+'[1]2020'!AI147</f>
        <v>57</v>
      </c>
      <c r="AJ138" s="11">
        <f>'[1]2018'!AJ147+'[1]2019'!AJ147+'[1]2020'!AJ147</f>
        <v>1</v>
      </c>
      <c r="AK138" s="11">
        <f>'[1]2018'!AK147+'[1]2019'!AK147+'[1]2020'!AK147</f>
        <v>0</v>
      </c>
      <c r="AL138" s="11">
        <f>'[1]2018'!AL147+'[1]2019'!AL147+'[1]2020'!AL147</f>
        <v>0</v>
      </c>
      <c r="AM138" s="11">
        <f>'[1]2018'!AM147+'[1]2019'!AM147+'[1]2020'!AM147</f>
        <v>0</v>
      </c>
      <c r="AN138" s="11">
        <f>'[1]2018'!AN147+'[1]2019'!AN147+'[1]2020'!AN147</f>
        <v>0</v>
      </c>
      <c r="AO138" s="11">
        <f>'[1]2018'!AO147+'[1]2019'!AO147+'[1]2020'!AO147</f>
        <v>0</v>
      </c>
      <c r="AP138" s="11">
        <f>'[1]2018'!AP147+'[1]2019'!AP147+'[1]2020'!AP147</f>
        <v>1</v>
      </c>
      <c r="AQ138" s="11">
        <f>'[1]2018'!AQ147+'[1]2019'!AQ147+'[1]2020'!AQ147</f>
        <v>3</v>
      </c>
      <c r="AR138" s="11">
        <f>'[1]2018'!AR147+'[1]2019'!AR147+'[1]2020'!AR147</f>
        <v>0</v>
      </c>
      <c r="AS138" s="11">
        <f>'[1]2018'!AS147+'[1]2019'!AS147+'[1]2020'!AS147</f>
        <v>0</v>
      </c>
      <c r="AT138" s="11">
        <f>'[1]2018'!AT147+'[1]2019'!AT147+'[1]2020'!AT147</f>
        <v>0</v>
      </c>
      <c r="AU138" s="11">
        <f>'[1]2018'!AU147+'[1]2019'!AU147+'[1]2020'!AU147</f>
        <v>0</v>
      </c>
      <c r="AV138" s="11">
        <f>'[1]2018'!AV147+'[1]2019'!AV147+'[1]2020'!AV147</f>
        <v>0</v>
      </c>
      <c r="AW138" s="41">
        <f t="shared" si="19"/>
        <v>109</v>
      </c>
      <c r="AX138" s="14">
        <f t="shared" si="20"/>
        <v>769.05023809523811</v>
      </c>
      <c r="AY138" s="2">
        <f>'[1]2018'!AX147+'[1]2019'!AX147+'[1]2020'!AX147</f>
        <v>2307.1507142857145</v>
      </c>
    </row>
    <row r="139" spans="1:51" x14ac:dyDescent="0.25">
      <c r="A139" s="10" t="s">
        <v>220</v>
      </c>
      <c r="B139" s="46">
        <f>'[1]2018'!B148+'[1]2019'!B148+'[1]2020'!B148</f>
        <v>130</v>
      </c>
      <c r="C139" s="46">
        <f>'[1]2018'!C148+'[1]2019'!C148+'[1]2020'!C148</f>
        <v>1</v>
      </c>
      <c r="D139" s="46">
        <f>'[1]2018'!D148+'[1]2019'!D148+'[1]2020'!D148</f>
        <v>403</v>
      </c>
      <c r="E139" s="46">
        <f>'[1]2018'!E148+'[1]2019'!E148+'[1]2020'!E148</f>
        <v>1</v>
      </c>
      <c r="F139" s="46">
        <f>'[1]2018'!F148+'[1]2019'!F148+'[1]2020'!F148</f>
        <v>0</v>
      </c>
      <c r="G139" s="46">
        <f>'[1]2018'!G148+'[1]2019'!G148+'[1]2020'!G148</f>
        <v>0</v>
      </c>
      <c r="H139" s="46">
        <f>'[1]2018'!H148+'[1]2019'!H148+'[1]2020'!H148</f>
        <v>258</v>
      </c>
      <c r="I139" s="46">
        <f>'[1]2018'!I148+'[1]2019'!I148+'[1]2020'!I148</f>
        <v>0</v>
      </c>
      <c r="J139" s="46">
        <f>'[1]2018'!J148+'[1]2019'!J148+'[1]2020'!J148</f>
        <v>35</v>
      </c>
      <c r="K139" s="46">
        <f>'[1]2018'!K148+'[1]2019'!K148+'[1]2020'!K148</f>
        <v>56</v>
      </c>
      <c r="L139" s="46">
        <f>'[1]2018'!L148+'[1]2019'!L148+'[1]2020'!L148</f>
        <v>15</v>
      </c>
      <c r="M139" s="46">
        <f>'[1]2018'!M148+'[1]2019'!M148+'[1]2020'!M148</f>
        <v>0</v>
      </c>
      <c r="N139" s="46">
        <f>'[1]2018'!N148+'[1]2019'!N148+'[1]2020'!N148</f>
        <v>0</v>
      </c>
      <c r="O139" s="46">
        <f>'[1]2018'!O148+'[1]2019'!O148+'[1]2020'!O148</f>
        <v>2</v>
      </c>
      <c r="P139" s="46">
        <f>'[1]2018'!P148+'[1]2019'!P148+'[1]2020'!P148</f>
        <v>1</v>
      </c>
      <c r="Q139" s="46">
        <f>'[1]2018'!Q148+'[1]2019'!Q148+'[1]2020'!Q148</f>
        <v>7</v>
      </c>
      <c r="R139" s="46">
        <f>'[1]2018'!R148+'[1]2019'!R148+'[1]2020'!R148</f>
        <v>12</v>
      </c>
      <c r="S139" s="46">
        <f>'[1]2018'!S148+'[1]2019'!S148+'[1]2020'!S148</f>
        <v>15</v>
      </c>
      <c r="T139" s="46">
        <f>'[1]2018'!T148+'[1]2019'!T148+'[1]2020'!T148</f>
        <v>2</v>
      </c>
      <c r="U139" s="46">
        <f>'[1]2018'!U148+'[1]2019'!U148+'[1]2020'!U148</f>
        <v>0</v>
      </c>
      <c r="V139" s="46">
        <f>'[1]2018'!V148+'[1]2019'!V148+'[1]2020'!V148</f>
        <v>0</v>
      </c>
      <c r="W139" s="46">
        <f>'[1]2018'!W148+'[1]2019'!W148+'[1]2020'!W148</f>
        <v>0</v>
      </c>
      <c r="X139" s="46">
        <f>'[1]2018'!X148+'[1]2019'!X148+'[1]2020'!X148</f>
        <v>0</v>
      </c>
      <c r="Y139" s="41">
        <f t="shared" si="18"/>
        <v>403</v>
      </c>
      <c r="Z139" s="11">
        <f>'[1]2018'!Z148+'[1]2019'!Z148+'[1]2020'!Z148</f>
        <v>86</v>
      </c>
      <c r="AA139" s="11">
        <f>'[1]2018'!AA148+'[1]2019'!AA148+'[1]2020'!AA148</f>
        <v>1</v>
      </c>
      <c r="AB139" s="11">
        <f>'[1]2018'!AB148+'[1]2019'!AB148+'[1]2020'!AB148</f>
        <v>337</v>
      </c>
      <c r="AC139" s="11">
        <f>'[1]2018'!AC148+'[1]2019'!AC148+'[1]2020'!AC148</f>
        <v>1</v>
      </c>
      <c r="AD139" s="11">
        <f>'[1]2018'!AD148+'[1]2019'!AD148+'[1]2020'!AD148</f>
        <v>0</v>
      </c>
      <c r="AE139" s="11">
        <f>'[1]2018'!AE148+'[1]2019'!AE148+'[1]2020'!AE148</f>
        <v>0</v>
      </c>
      <c r="AF139" s="11">
        <f>'[1]2018'!AF148+'[1]2019'!AF148+'[1]2020'!AF148</f>
        <v>224</v>
      </c>
      <c r="AG139" s="11">
        <f>'[1]2018'!AG148+'[1]2019'!AG148+'[1]2020'!AG148</f>
        <v>0</v>
      </c>
      <c r="AH139" s="11">
        <f>'[1]2018'!AH148+'[1]2019'!AH148+'[1]2020'!AH148</f>
        <v>42</v>
      </c>
      <c r="AI139" s="11">
        <f>'[1]2018'!AI148+'[1]2019'!AI148+'[1]2020'!AI148</f>
        <v>28</v>
      </c>
      <c r="AJ139" s="11">
        <f>'[1]2018'!AJ148+'[1]2019'!AJ148+'[1]2020'!AJ148</f>
        <v>17</v>
      </c>
      <c r="AK139" s="11">
        <f>'[1]2018'!AK148+'[1]2019'!AK148+'[1]2020'!AK148</f>
        <v>0</v>
      </c>
      <c r="AL139" s="11">
        <f>'[1]2018'!AL148+'[1]2019'!AL148+'[1]2020'!AL148</f>
        <v>0</v>
      </c>
      <c r="AM139" s="11">
        <f>'[1]2018'!AM148+'[1]2019'!AM148+'[1]2020'!AM148</f>
        <v>2</v>
      </c>
      <c r="AN139" s="11">
        <f>'[1]2018'!AN148+'[1]2019'!AN148+'[1]2020'!AN148</f>
        <v>1</v>
      </c>
      <c r="AO139" s="11">
        <f>'[1]2018'!AO148+'[1]2019'!AO148+'[1]2020'!AO148</f>
        <v>7</v>
      </c>
      <c r="AP139" s="11">
        <f>'[1]2018'!AP148+'[1]2019'!AP148+'[1]2020'!AP148</f>
        <v>6</v>
      </c>
      <c r="AQ139" s="11">
        <f>'[1]2018'!AQ148+'[1]2019'!AQ148+'[1]2020'!AQ148</f>
        <v>10</v>
      </c>
      <c r="AR139" s="11">
        <f>'[1]2018'!AR148+'[1]2019'!AR148+'[1]2020'!AR148</f>
        <v>0</v>
      </c>
      <c r="AS139" s="11">
        <f>'[1]2018'!AS148+'[1]2019'!AS148+'[1]2020'!AS148</f>
        <v>0</v>
      </c>
      <c r="AT139" s="11">
        <f>'[1]2018'!AT148+'[1]2019'!AT148+'[1]2020'!AT148</f>
        <v>0</v>
      </c>
      <c r="AU139" s="11">
        <f>'[1]2018'!AU148+'[1]2019'!AU148+'[1]2020'!AU148</f>
        <v>0</v>
      </c>
      <c r="AV139" s="11">
        <f>'[1]2018'!AV148+'[1]2019'!AV148+'[1]2020'!AV148</f>
        <v>0</v>
      </c>
      <c r="AW139" s="41">
        <f t="shared" si="19"/>
        <v>337</v>
      </c>
      <c r="AX139" s="14">
        <f t="shared" si="20"/>
        <v>1922.702888888889</v>
      </c>
      <c r="AY139" s="2">
        <f>'[1]2018'!AX148+'[1]2019'!AX148+'[1]2020'!AX148</f>
        <v>5768.108666666667</v>
      </c>
    </row>
    <row r="140" spans="1:51" x14ac:dyDescent="0.25">
      <c r="A140" s="10" t="s">
        <v>221</v>
      </c>
      <c r="B140" s="46">
        <f>'[1]2018'!B149+'[1]2019'!B149+'[1]2020'!B149</f>
        <v>1</v>
      </c>
      <c r="C140" s="46">
        <f>'[1]2018'!C149+'[1]2019'!C149+'[1]2020'!C149</f>
        <v>0</v>
      </c>
      <c r="D140" s="46">
        <f>'[1]2018'!D149+'[1]2019'!D149+'[1]2020'!D149</f>
        <v>6</v>
      </c>
      <c r="E140" s="46">
        <f>'[1]2018'!E149+'[1]2019'!E149+'[1]2020'!E149</f>
        <v>0</v>
      </c>
      <c r="F140" s="46">
        <f>'[1]2018'!F149+'[1]2019'!F149+'[1]2020'!F149</f>
        <v>0</v>
      </c>
      <c r="G140" s="46">
        <f>'[1]2018'!G149+'[1]2019'!G149+'[1]2020'!G149</f>
        <v>0</v>
      </c>
      <c r="H140" s="46">
        <f>'[1]2018'!H149+'[1]2019'!H149+'[1]2020'!H149</f>
        <v>6</v>
      </c>
      <c r="I140" s="46">
        <f>'[1]2018'!I149+'[1]2019'!I149+'[1]2020'!I149</f>
        <v>0</v>
      </c>
      <c r="J140" s="46">
        <f>'[1]2018'!J149+'[1]2019'!J149+'[1]2020'!J149</f>
        <v>0</v>
      </c>
      <c r="K140" s="46">
        <f>'[1]2018'!K149+'[1]2019'!K149+'[1]2020'!K149</f>
        <v>0</v>
      </c>
      <c r="L140" s="46">
        <f>'[1]2018'!L149+'[1]2019'!L149+'[1]2020'!L149</f>
        <v>0</v>
      </c>
      <c r="M140" s="46">
        <f>'[1]2018'!M149+'[1]2019'!M149+'[1]2020'!M149</f>
        <v>0</v>
      </c>
      <c r="N140" s="46">
        <f>'[1]2018'!N149+'[1]2019'!N149+'[1]2020'!N149</f>
        <v>0</v>
      </c>
      <c r="O140" s="46">
        <f>'[1]2018'!O149+'[1]2019'!O149+'[1]2020'!O149</f>
        <v>0</v>
      </c>
      <c r="P140" s="46">
        <f>'[1]2018'!P149+'[1]2019'!P149+'[1]2020'!P149</f>
        <v>0</v>
      </c>
      <c r="Q140" s="46">
        <f>'[1]2018'!Q149+'[1]2019'!Q149+'[1]2020'!Q149</f>
        <v>0</v>
      </c>
      <c r="R140" s="46">
        <f>'[1]2018'!R149+'[1]2019'!R149+'[1]2020'!R149</f>
        <v>0</v>
      </c>
      <c r="S140" s="46">
        <f>'[1]2018'!S149+'[1]2019'!S149+'[1]2020'!S149</f>
        <v>0</v>
      </c>
      <c r="T140" s="46">
        <f>'[1]2018'!T149+'[1]2019'!T149+'[1]2020'!T149</f>
        <v>0</v>
      </c>
      <c r="U140" s="46">
        <f>'[1]2018'!U149+'[1]2019'!U149+'[1]2020'!U149</f>
        <v>0</v>
      </c>
      <c r="V140" s="46">
        <f>'[1]2018'!V149+'[1]2019'!V149+'[1]2020'!V149</f>
        <v>0</v>
      </c>
      <c r="W140" s="46">
        <f>'[1]2018'!W149+'[1]2019'!W149+'[1]2020'!W149</f>
        <v>0</v>
      </c>
      <c r="X140" s="46">
        <f>'[1]2018'!X149+'[1]2019'!X149+'[1]2020'!X149</f>
        <v>0</v>
      </c>
      <c r="Y140" s="41">
        <f t="shared" si="18"/>
        <v>6</v>
      </c>
      <c r="Z140" s="11">
        <f>'[1]2018'!Z149+'[1]2019'!Z149+'[1]2020'!Z149</f>
        <v>1</v>
      </c>
      <c r="AA140" s="11">
        <f>'[1]2018'!AA149+'[1]2019'!AA149+'[1]2020'!AA149</f>
        <v>0</v>
      </c>
      <c r="AB140" s="11">
        <f>'[1]2018'!AB149+'[1]2019'!AB149+'[1]2020'!AB149</f>
        <v>6</v>
      </c>
      <c r="AC140" s="11">
        <f>'[1]2018'!AC149+'[1]2019'!AC149+'[1]2020'!AC149</f>
        <v>0</v>
      </c>
      <c r="AD140" s="11">
        <f>'[1]2018'!AD149+'[1]2019'!AD149+'[1]2020'!AD149</f>
        <v>0</v>
      </c>
      <c r="AE140" s="11">
        <f>'[1]2018'!AE149+'[1]2019'!AE149+'[1]2020'!AE149</f>
        <v>0</v>
      </c>
      <c r="AF140" s="11">
        <f>'[1]2018'!AF149+'[1]2019'!AF149+'[1]2020'!AF149</f>
        <v>6</v>
      </c>
      <c r="AG140" s="11">
        <f>'[1]2018'!AG149+'[1]2019'!AG149+'[1]2020'!AG149</f>
        <v>0</v>
      </c>
      <c r="AH140" s="11">
        <f>'[1]2018'!AH149+'[1]2019'!AH149+'[1]2020'!AH149</f>
        <v>0</v>
      </c>
      <c r="AI140" s="11">
        <f>'[1]2018'!AI149+'[1]2019'!AI149+'[1]2020'!AI149</f>
        <v>0</v>
      </c>
      <c r="AJ140" s="11">
        <f>'[1]2018'!AJ149+'[1]2019'!AJ149+'[1]2020'!AJ149</f>
        <v>0</v>
      </c>
      <c r="AK140" s="11">
        <f>'[1]2018'!AK149+'[1]2019'!AK149+'[1]2020'!AK149</f>
        <v>0</v>
      </c>
      <c r="AL140" s="11">
        <f>'[1]2018'!AL149+'[1]2019'!AL149+'[1]2020'!AL149</f>
        <v>0</v>
      </c>
      <c r="AM140" s="11">
        <f>'[1]2018'!AM149+'[1]2019'!AM149+'[1]2020'!AM149</f>
        <v>0</v>
      </c>
      <c r="AN140" s="11">
        <f>'[1]2018'!AN149+'[1]2019'!AN149+'[1]2020'!AN149</f>
        <v>0</v>
      </c>
      <c r="AO140" s="11">
        <f>'[1]2018'!AO149+'[1]2019'!AO149+'[1]2020'!AO149</f>
        <v>0</v>
      </c>
      <c r="AP140" s="11">
        <f>'[1]2018'!AP149+'[1]2019'!AP149+'[1]2020'!AP149</f>
        <v>0</v>
      </c>
      <c r="AQ140" s="11">
        <f>'[1]2018'!AQ149+'[1]2019'!AQ149+'[1]2020'!AQ149</f>
        <v>0</v>
      </c>
      <c r="AR140" s="11">
        <f>'[1]2018'!AR149+'[1]2019'!AR149+'[1]2020'!AR149</f>
        <v>0</v>
      </c>
      <c r="AS140" s="11">
        <f>'[1]2018'!AS149+'[1]2019'!AS149+'[1]2020'!AS149</f>
        <v>0</v>
      </c>
      <c r="AT140" s="11">
        <f>'[1]2018'!AT149+'[1]2019'!AT149+'[1]2020'!AT149</f>
        <v>0</v>
      </c>
      <c r="AU140" s="11">
        <f>'[1]2018'!AU149+'[1]2019'!AU149+'[1]2020'!AU149</f>
        <v>0</v>
      </c>
      <c r="AV140" s="11">
        <f>'[1]2018'!AV149+'[1]2019'!AV149+'[1]2020'!AV149</f>
        <v>0</v>
      </c>
      <c r="AW140" s="41">
        <f t="shared" si="19"/>
        <v>6</v>
      </c>
      <c r="AX140" s="14">
        <f t="shared" si="20"/>
        <v>225.82333333333335</v>
      </c>
      <c r="AY140" s="2">
        <f>'[1]2018'!AX149+'[1]2019'!AX149+'[1]2020'!AX149</f>
        <v>677.47</v>
      </c>
    </row>
    <row r="141" spans="1:51" x14ac:dyDescent="0.25">
      <c r="A141" s="10" t="s">
        <v>222</v>
      </c>
      <c r="B141" s="46">
        <f>'[1]2018'!B150+'[1]2019'!B150+'[1]2020'!B150</f>
        <v>8</v>
      </c>
      <c r="C141" s="46">
        <f>'[1]2018'!C150+'[1]2019'!C150+'[1]2020'!C150</f>
        <v>0</v>
      </c>
      <c r="D141" s="46">
        <f>'[1]2018'!D150+'[1]2019'!D150+'[1]2020'!D150</f>
        <v>40</v>
      </c>
      <c r="E141" s="46">
        <f>'[1]2018'!E150+'[1]2019'!E150+'[1]2020'!E150</f>
        <v>0</v>
      </c>
      <c r="F141" s="46">
        <f>'[1]2018'!F150+'[1]2019'!F150+'[1]2020'!F150</f>
        <v>0</v>
      </c>
      <c r="G141" s="46">
        <f>'[1]2018'!G150+'[1]2019'!G150+'[1]2020'!G150</f>
        <v>0</v>
      </c>
      <c r="H141" s="46">
        <f>'[1]2018'!H150+'[1]2019'!H150+'[1]2020'!H150</f>
        <v>27</v>
      </c>
      <c r="I141" s="46">
        <f>'[1]2018'!I150+'[1]2019'!I150+'[1]2020'!I150</f>
        <v>0</v>
      </c>
      <c r="J141" s="46">
        <f>'[1]2018'!J150+'[1]2019'!J150+'[1]2020'!J150</f>
        <v>0</v>
      </c>
      <c r="K141" s="46">
        <f>'[1]2018'!K150+'[1]2019'!K150+'[1]2020'!K150</f>
        <v>0</v>
      </c>
      <c r="L141" s="46">
        <f>'[1]2018'!L150+'[1]2019'!L150+'[1]2020'!L150</f>
        <v>0</v>
      </c>
      <c r="M141" s="46">
        <f>'[1]2018'!M150+'[1]2019'!M150+'[1]2020'!M150</f>
        <v>0</v>
      </c>
      <c r="N141" s="46">
        <f>'[1]2018'!N150+'[1]2019'!N150+'[1]2020'!N150</f>
        <v>8</v>
      </c>
      <c r="O141" s="46">
        <f>'[1]2018'!O150+'[1]2019'!O150+'[1]2020'!O150</f>
        <v>0</v>
      </c>
      <c r="P141" s="46">
        <f>'[1]2018'!P150+'[1]2019'!P150+'[1]2020'!P150</f>
        <v>0</v>
      </c>
      <c r="Q141" s="46">
        <f>'[1]2018'!Q150+'[1]2019'!Q150+'[1]2020'!Q150</f>
        <v>0</v>
      </c>
      <c r="R141" s="46">
        <f>'[1]2018'!R150+'[1]2019'!R150+'[1]2020'!R150</f>
        <v>3</v>
      </c>
      <c r="S141" s="46">
        <f>'[1]2018'!S150+'[1]2019'!S150+'[1]2020'!S150</f>
        <v>0</v>
      </c>
      <c r="T141" s="46">
        <f>'[1]2018'!T150+'[1]2019'!T150+'[1]2020'!T150</f>
        <v>0</v>
      </c>
      <c r="U141" s="46">
        <f>'[1]2018'!U150+'[1]2019'!U150+'[1]2020'!U150</f>
        <v>0</v>
      </c>
      <c r="V141" s="46">
        <f>'[1]2018'!V150+'[1]2019'!V150+'[1]2020'!V150</f>
        <v>0</v>
      </c>
      <c r="W141" s="46">
        <f>'[1]2018'!W150+'[1]2019'!W150+'[1]2020'!W150</f>
        <v>0</v>
      </c>
      <c r="X141" s="46">
        <f>'[1]2018'!X150+'[1]2019'!X150+'[1]2020'!X150</f>
        <v>2</v>
      </c>
      <c r="Y141" s="41">
        <f t="shared" si="18"/>
        <v>40</v>
      </c>
      <c r="Z141" s="11">
        <f>'[1]2018'!Z150+'[1]2019'!Z150+'[1]2020'!Z150</f>
        <v>8</v>
      </c>
      <c r="AA141" s="11">
        <f>'[1]2018'!AA150+'[1]2019'!AA150+'[1]2020'!AA150</f>
        <v>0</v>
      </c>
      <c r="AB141" s="11">
        <f>'[1]2018'!AB150+'[1]2019'!AB150+'[1]2020'!AB150</f>
        <v>34</v>
      </c>
      <c r="AC141" s="11">
        <f>'[1]2018'!AC150+'[1]2019'!AC150+'[1]2020'!AC150</f>
        <v>0</v>
      </c>
      <c r="AD141" s="11">
        <f>'[1]2018'!AD150+'[1]2019'!AD150+'[1]2020'!AD150</f>
        <v>0</v>
      </c>
      <c r="AE141" s="11">
        <f>'[1]2018'!AE150+'[1]2019'!AE150+'[1]2020'!AE150</f>
        <v>0</v>
      </c>
      <c r="AF141" s="11">
        <f>'[1]2018'!AF150+'[1]2019'!AF150+'[1]2020'!AF150</f>
        <v>22</v>
      </c>
      <c r="AG141" s="11">
        <f>'[1]2018'!AG150+'[1]2019'!AG150+'[1]2020'!AG150</f>
        <v>0</v>
      </c>
      <c r="AH141" s="11">
        <f>'[1]2018'!AH150+'[1]2019'!AH150+'[1]2020'!AH150</f>
        <v>0</v>
      </c>
      <c r="AI141" s="11">
        <f>'[1]2018'!AI150+'[1]2019'!AI150+'[1]2020'!AI150</f>
        <v>0</v>
      </c>
      <c r="AJ141" s="11">
        <f>'[1]2018'!AJ150+'[1]2019'!AJ150+'[1]2020'!AJ150</f>
        <v>0</v>
      </c>
      <c r="AK141" s="11">
        <f>'[1]2018'!AK150+'[1]2019'!AK150+'[1]2020'!AK150</f>
        <v>0</v>
      </c>
      <c r="AL141" s="11">
        <f>'[1]2018'!AL150+'[1]2019'!AL150+'[1]2020'!AL150</f>
        <v>8</v>
      </c>
      <c r="AM141" s="11">
        <f>'[1]2018'!AM150+'[1]2019'!AM150+'[1]2020'!AM150</f>
        <v>0</v>
      </c>
      <c r="AN141" s="11">
        <f>'[1]2018'!AN150+'[1]2019'!AN150+'[1]2020'!AN150</f>
        <v>0</v>
      </c>
      <c r="AO141" s="11">
        <f>'[1]2018'!AO150+'[1]2019'!AO150+'[1]2020'!AO150</f>
        <v>0</v>
      </c>
      <c r="AP141" s="11">
        <f>'[1]2018'!AP150+'[1]2019'!AP150+'[1]2020'!AP150</f>
        <v>3</v>
      </c>
      <c r="AQ141" s="11">
        <f>'[1]2018'!AQ150+'[1]2019'!AQ150+'[1]2020'!AQ150</f>
        <v>0</v>
      </c>
      <c r="AR141" s="11">
        <f>'[1]2018'!AR150+'[1]2019'!AR150+'[1]2020'!AR150</f>
        <v>0</v>
      </c>
      <c r="AS141" s="11">
        <f>'[1]2018'!AS150+'[1]2019'!AS150+'[1]2020'!AS150</f>
        <v>0</v>
      </c>
      <c r="AT141" s="11">
        <f>'[1]2018'!AT150+'[1]2019'!AT150+'[1]2020'!AT150</f>
        <v>0</v>
      </c>
      <c r="AU141" s="11">
        <f>'[1]2018'!AU150+'[1]2019'!AU150+'[1]2020'!AU150</f>
        <v>0</v>
      </c>
      <c r="AV141" s="11">
        <f>'[1]2018'!AV150+'[1]2019'!AV150+'[1]2020'!AV150</f>
        <v>1</v>
      </c>
      <c r="AW141" s="41">
        <f t="shared" si="19"/>
        <v>34</v>
      </c>
      <c r="AX141" s="14">
        <f t="shared" si="20"/>
        <v>1783.6722222222222</v>
      </c>
      <c r="AY141" s="2">
        <f>'[1]2018'!AX150+'[1]2019'!AX150+'[1]2020'!AX150</f>
        <v>5351.0166666666664</v>
      </c>
    </row>
    <row r="142" spans="1:51" x14ac:dyDescent="0.25">
      <c r="A142" s="10" t="s">
        <v>223</v>
      </c>
      <c r="B142" s="46">
        <f>'[1]2018'!B151+'[1]2019'!B151+'[1]2020'!B151</f>
        <v>3</v>
      </c>
      <c r="C142" s="46">
        <f>'[1]2018'!C151+'[1]2019'!C151+'[1]2020'!C151</f>
        <v>1</v>
      </c>
      <c r="D142" s="46">
        <f>'[1]2018'!D151+'[1]2019'!D151+'[1]2020'!D151</f>
        <v>12</v>
      </c>
      <c r="E142" s="46">
        <f>'[1]2018'!E151+'[1]2019'!E151+'[1]2020'!E151</f>
        <v>2</v>
      </c>
      <c r="F142" s="46">
        <f>'[1]2018'!F151+'[1]2019'!F151+'[1]2020'!F151</f>
        <v>0</v>
      </c>
      <c r="G142" s="46">
        <f>'[1]2018'!G151+'[1]2019'!G151+'[1]2020'!G151</f>
        <v>0</v>
      </c>
      <c r="H142" s="46">
        <f>'[1]2018'!H151+'[1]2019'!H151+'[1]2020'!H151</f>
        <v>10</v>
      </c>
      <c r="I142" s="46">
        <f>'[1]2018'!I151+'[1]2019'!I151+'[1]2020'!I151</f>
        <v>0</v>
      </c>
      <c r="J142" s="46">
        <f>'[1]2018'!J151+'[1]2019'!J151+'[1]2020'!J151</f>
        <v>2</v>
      </c>
      <c r="K142" s="46">
        <f>'[1]2018'!K151+'[1]2019'!K151+'[1]2020'!K151</f>
        <v>0</v>
      </c>
      <c r="L142" s="46">
        <f>'[1]2018'!L151+'[1]2019'!L151+'[1]2020'!L151</f>
        <v>0</v>
      </c>
      <c r="M142" s="46">
        <f>'[1]2018'!M151+'[1]2019'!M151+'[1]2020'!M151</f>
        <v>0</v>
      </c>
      <c r="N142" s="46">
        <f>'[1]2018'!N151+'[1]2019'!N151+'[1]2020'!N151</f>
        <v>0</v>
      </c>
      <c r="O142" s="46">
        <f>'[1]2018'!O151+'[1]2019'!O151+'[1]2020'!O151</f>
        <v>0</v>
      </c>
      <c r="P142" s="46">
        <f>'[1]2018'!P151+'[1]2019'!P151+'[1]2020'!P151</f>
        <v>0</v>
      </c>
      <c r="Q142" s="46">
        <f>'[1]2018'!Q151+'[1]2019'!Q151+'[1]2020'!Q151</f>
        <v>0</v>
      </c>
      <c r="R142" s="46">
        <f>'[1]2018'!R151+'[1]2019'!R151+'[1]2020'!R151</f>
        <v>0</v>
      </c>
      <c r="S142" s="46">
        <f>'[1]2018'!S151+'[1]2019'!S151+'[1]2020'!S151</f>
        <v>0</v>
      </c>
      <c r="T142" s="46">
        <f>'[1]2018'!T151+'[1]2019'!T151+'[1]2020'!T151</f>
        <v>0</v>
      </c>
      <c r="U142" s="46">
        <f>'[1]2018'!U151+'[1]2019'!U151+'[1]2020'!U151</f>
        <v>0</v>
      </c>
      <c r="V142" s="46">
        <f>'[1]2018'!V151+'[1]2019'!V151+'[1]2020'!V151</f>
        <v>0</v>
      </c>
      <c r="W142" s="46">
        <f>'[1]2018'!W151+'[1]2019'!W151+'[1]2020'!W151</f>
        <v>0</v>
      </c>
      <c r="X142" s="46">
        <f>'[1]2018'!X151+'[1]2019'!X151+'[1]2020'!X151</f>
        <v>0</v>
      </c>
      <c r="Y142" s="41">
        <f t="shared" si="18"/>
        <v>12</v>
      </c>
      <c r="Z142" s="11">
        <f>'[1]2018'!Z151+'[1]2019'!Z151+'[1]2020'!Z151</f>
        <v>2</v>
      </c>
      <c r="AA142" s="11">
        <f>'[1]2018'!AA151+'[1]2019'!AA151+'[1]2020'!AA151</f>
        <v>1</v>
      </c>
      <c r="AB142" s="11">
        <f>'[1]2018'!AB151+'[1]2019'!AB151+'[1]2020'!AB151</f>
        <v>12</v>
      </c>
      <c r="AC142" s="11">
        <f>'[1]2018'!AC151+'[1]2019'!AC151+'[1]2020'!AC151</f>
        <v>2</v>
      </c>
      <c r="AD142" s="11">
        <f>'[1]2018'!AD151+'[1]2019'!AD151+'[1]2020'!AD151</f>
        <v>0</v>
      </c>
      <c r="AE142" s="11">
        <f>'[1]2018'!AE151+'[1]2019'!AE151+'[1]2020'!AE151</f>
        <v>0</v>
      </c>
      <c r="AF142" s="11">
        <f>'[1]2018'!AF151+'[1]2019'!AF151+'[1]2020'!AF151</f>
        <v>10</v>
      </c>
      <c r="AG142" s="11">
        <f>'[1]2018'!AG151+'[1]2019'!AG151+'[1]2020'!AG151</f>
        <v>0</v>
      </c>
      <c r="AH142" s="11">
        <f>'[1]2018'!AH151+'[1]2019'!AH151+'[1]2020'!AH151</f>
        <v>2</v>
      </c>
      <c r="AI142" s="11">
        <f>'[1]2018'!AI151+'[1]2019'!AI151+'[1]2020'!AI151</f>
        <v>0</v>
      </c>
      <c r="AJ142" s="11">
        <f>'[1]2018'!AJ151+'[1]2019'!AJ151+'[1]2020'!AJ151</f>
        <v>0</v>
      </c>
      <c r="AK142" s="11">
        <f>'[1]2018'!AK151+'[1]2019'!AK151+'[1]2020'!AK151</f>
        <v>0</v>
      </c>
      <c r="AL142" s="11">
        <f>'[1]2018'!AL151+'[1]2019'!AL151+'[1]2020'!AL151</f>
        <v>0</v>
      </c>
      <c r="AM142" s="11">
        <f>'[1]2018'!AM151+'[1]2019'!AM151+'[1]2020'!AM151</f>
        <v>0</v>
      </c>
      <c r="AN142" s="11">
        <f>'[1]2018'!AN151+'[1]2019'!AN151+'[1]2020'!AN151</f>
        <v>0</v>
      </c>
      <c r="AO142" s="11">
        <f>'[1]2018'!AO151+'[1]2019'!AO151+'[1]2020'!AO151</f>
        <v>0</v>
      </c>
      <c r="AP142" s="11">
        <f>'[1]2018'!AP151+'[1]2019'!AP151+'[1]2020'!AP151</f>
        <v>0</v>
      </c>
      <c r="AQ142" s="11">
        <f>'[1]2018'!AQ151+'[1]2019'!AQ151+'[1]2020'!AQ151</f>
        <v>0</v>
      </c>
      <c r="AR142" s="11">
        <f>'[1]2018'!AR151+'[1]2019'!AR151+'[1]2020'!AR151</f>
        <v>0</v>
      </c>
      <c r="AS142" s="11">
        <f>'[1]2018'!AS151+'[1]2019'!AS151+'[1]2020'!AS151</f>
        <v>0</v>
      </c>
      <c r="AT142" s="11">
        <f>'[1]2018'!AT151+'[1]2019'!AT151+'[1]2020'!AT151</f>
        <v>0</v>
      </c>
      <c r="AU142" s="11">
        <f>'[1]2018'!AU151+'[1]2019'!AU151+'[1]2020'!AU151</f>
        <v>0</v>
      </c>
      <c r="AV142" s="11">
        <f>'[1]2018'!AV151+'[1]2019'!AV151+'[1]2020'!AV151</f>
        <v>0</v>
      </c>
      <c r="AW142" s="41">
        <f t="shared" si="19"/>
        <v>12</v>
      </c>
      <c r="AX142" s="14">
        <f t="shared" si="20"/>
        <v>107.11</v>
      </c>
      <c r="AY142" s="2">
        <f>'[1]2018'!AX151+'[1]2019'!AX151+'[1]2020'!AX151</f>
        <v>321.33</v>
      </c>
    </row>
    <row r="143" spans="1:51" x14ac:dyDescent="0.25">
      <c r="A143" s="10" t="s">
        <v>224</v>
      </c>
      <c r="B143" s="46">
        <f>'[1]2018'!B152+'[1]2019'!B152+'[1]2020'!B152</f>
        <v>4</v>
      </c>
      <c r="C143" s="46">
        <f>'[1]2018'!C152+'[1]2019'!C152+'[1]2020'!C152</f>
        <v>1</v>
      </c>
      <c r="D143" s="46">
        <f>'[1]2018'!D152+'[1]2019'!D152+'[1]2020'!D152</f>
        <v>19</v>
      </c>
      <c r="E143" s="46">
        <f>'[1]2018'!E152+'[1]2019'!E152+'[1]2020'!E152</f>
        <v>1</v>
      </c>
      <c r="F143" s="46">
        <f>'[1]2018'!F152+'[1]2019'!F152+'[1]2020'!F152</f>
        <v>2</v>
      </c>
      <c r="G143" s="46">
        <f>'[1]2018'!G152+'[1]2019'!G152+'[1]2020'!G152</f>
        <v>0</v>
      </c>
      <c r="H143" s="46">
        <f>'[1]2018'!H152+'[1]2019'!H152+'[1]2020'!H152</f>
        <v>0</v>
      </c>
      <c r="I143" s="46">
        <f>'[1]2018'!I152+'[1]2019'!I152+'[1]2020'!I152</f>
        <v>0</v>
      </c>
      <c r="J143" s="46">
        <f>'[1]2018'!J152+'[1]2019'!J152+'[1]2020'!J152</f>
        <v>2</v>
      </c>
      <c r="K143" s="46">
        <f>'[1]2018'!K152+'[1]2019'!K152+'[1]2020'!K152</f>
        <v>0</v>
      </c>
      <c r="L143" s="46">
        <f>'[1]2018'!L152+'[1]2019'!L152+'[1]2020'!L152</f>
        <v>0</v>
      </c>
      <c r="M143" s="46">
        <f>'[1]2018'!M152+'[1]2019'!M152+'[1]2020'!M152</f>
        <v>0</v>
      </c>
      <c r="N143" s="46">
        <f>'[1]2018'!N152+'[1]2019'!N152+'[1]2020'!N152</f>
        <v>0</v>
      </c>
      <c r="O143" s="46">
        <f>'[1]2018'!O152+'[1]2019'!O152+'[1]2020'!O152</f>
        <v>0</v>
      </c>
      <c r="P143" s="46">
        <f>'[1]2018'!P152+'[1]2019'!P152+'[1]2020'!P152</f>
        <v>0</v>
      </c>
      <c r="Q143" s="46">
        <f>'[1]2018'!Q152+'[1]2019'!Q152+'[1]2020'!Q152</f>
        <v>0</v>
      </c>
      <c r="R143" s="46">
        <f>'[1]2018'!R152+'[1]2019'!R152+'[1]2020'!R152</f>
        <v>0</v>
      </c>
      <c r="S143" s="46">
        <f>'[1]2018'!S152+'[1]2019'!S152+'[1]2020'!S152</f>
        <v>0</v>
      </c>
      <c r="T143" s="46">
        <f>'[1]2018'!T152+'[1]2019'!T152+'[1]2020'!T152</f>
        <v>0</v>
      </c>
      <c r="U143" s="46">
        <f>'[1]2018'!U152+'[1]2019'!U152+'[1]2020'!U152</f>
        <v>0</v>
      </c>
      <c r="V143" s="46">
        <f>'[1]2018'!V152+'[1]2019'!V152+'[1]2020'!V152</f>
        <v>1</v>
      </c>
      <c r="W143" s="46">
        <f>'[1]2018'!W152+'[1]2019'!W152+'[1]2020'!W152</f>
        <v>0</v>
      </c>
      <c r="X143" s="46">
        <f>'[1]2018'!X152+'[1]2019'!X152+'[1]2020'!X152</f>
        <v>14</v>
      </c>
      <c r="Y143" s="41">
        <f t="shared" si="18"/>
        <v>19</v>
      </c>
      <c r="Z143" s="11">
        <f>'[1]2018'!Z152+'[1]2019'!Z152+'[1]2020'!Z152</f>
        <v>2</v>
      </c>
      <c r="AA143" s="11">
        <f>'[1]2018'!AA152+'[1]2019'!AA152+'[1]2020'!AA152</f>
        <v>1</v>
      </c>
      <c r="AB143" s="11">
        <f>'[1]2018'!AB152+'[1]2019'!AB152+'[1]2020'!AB152</f>
        <v>3</v>
      </c>
      <c r="AC143" s="11">
        <f>'[1]2018'!AC152+'[1]2019'!AC152+'[1]2020'!AC152</f>
        <v>1</v>
      </c>
      <c r="AD143" s="11">
        <f>'[1]2018'!AD152+'[1]2019'!AD152+'[1]2020'!AD152</f>
        <v>0</v>
      </c>
      <c r="AE143" s="11">
        <f>'[1]2018'!AE152+'[1]2019'!AE152+'[1]2020'!AE152</f>
        <v>0</v>
      </c>
      <c r="AF143" s="11">
        <f>'[1]2018'!AF152+'[1]2019'!AF152+'[1]2020'!AF152</f>
        <v>0</v>
      </c>
      <c r="AG143" s="11">
        <f>'[1]2018'!AG152+'[1]2019'!AG152+'[1]2020'!AG152</f>
        <v>0</v>
      </c>
      <c r="AH143" s="11">
        <f>'[1]2018'!AH152+'[1]2019'!AH152+'[1]2020'!AH152</f>
        <v>2</v>
      </c>
      <c r="AI143" s="11">
        <f>'[1]2018'!AI152+'[1]2019'!AI152+'[1]2020'!AI152</f>
        <v>0</v>
      </c>
      <c r="AJ143" s="11">
        <f>'[1]2018'!AJ152+'[1]2019'!AJ152+'[1]2020'!AJ152</f>
        <v>0</v>
      </c>
      <c r="AK143" s="11">
        <f>'[1]2018'!AK152+'[1]2019'!AK152+'[1]2020'!AK152</f>
        <v>0</v>
      </c>
      <c r="AL143" s="11">
        <f>'[1]2018'!AL152+'[1]2019'!AL152+'[1]2020'!AL152</f>
        <v>0</v>
      </c>
      <c r="AM143" s="11">
        <f>'[1]2018'!AM152+'[1]2019'!AM152+'[1]2020'!AM152</f>
        <v>0</v>
      </c>
      <c r="AN143" s="11">
        <f>'[1]2018'!AN152+'[1]2019'!AN152+'[1]2020'!AN152</f>
        <v>0</v>
      </c>
      <c r="AO143" s="11">
        <f>'[1]2018'!AO152+'[1]2019'!AO152+'[1]2020'!AO152</f>
        <v>0</v>
      </c>
      <c r="AP143" s="11">
        <f>'[1]2018'!AP152+'[1]2019'!AP152+'[1]2020'!AP152</f>
        <v>0</v>
      </c>
      <c r="AQ143" s="11">
        <f>'[1]2018'!AQ152+'[1]2019'!AQ152+'[1]2020'!AQ152</f>
        <v>0</v>
      </c>
      <c r="AR143" s="11">
        <f>'[1]2018'!AR152+'[1]2019'!AR152+'[1]2020'!AR152</f>
        <v>0</v>
      </c>
      <c r="AS143" s="11">
        <f>'[1]2018'!AS152+'[1]2019'!AS152+'[1]2020'!AS152</f>
        <v>0</v>
      </c>
      <c r="AT143" s="11">
        <f>'[1]2018'!AT152+'[1]2019'!AT152+'[1]2020'!AT152</f>
        <v>1</v>
      </c>
      <c r="AU143" s="11">
        <f>'[1]2018'!AU152+'[1]2019'!AU152+'[1]2020'!AU152</f>
        <v>0</v>
      </c>
      <c r="AV143" s="11">
        <f>'[1]2018'!AV152+'[1]2019'!AV152+'[1]2020'!AV152</f>
        <v>0</v>
      </c>
      <c r="AW143" s="41">
        <f t="shared" si="19"/>
        <v>3</v>
      </c>
      <c r="AX143" s="14">
        <f t="shared" si="20"/>
        <v>666.66666666666663</v>
      </c>
      <c r="AY143" s="2">
        <f>'[1]2018'!AX152+'[1]2019'!AX152+'[1]2020'!AX152</f>
        <v>2000</v>
      </c>
    </row>
    <row r="144" spans="1:51" x14ac:dyDescent="0.25">
      <c r="A144" s="10" t="s">
        <v>225</v>
      </c>
      <c r="B144" s="46">
        <f>'[1]2018'!B153+'[1]2019'!B153+'[1]2020'!B153</f>
        <v>0</v>
      </c>
      <c r="C144" s="46">
        <f>'[1]2018'!C153+'[1]2019'!C153+'[1]2020'!C153</f>
        <v>0</v>
      </c>
      <c r="D144" s="46">
        <f>'[1]2018'!D153+'[1]2019'!D153+'[1]2020'!D153</f>
        <v>0</v>
      </c>
      <c r="E144" s="46">
        <f>'[1]2018'!E153+'[1]2019'!E153+'[1]2020'!E153</f>
        <v>0</v>
      </c>
      <c r="F144" s="46">
        <f>'[1]2018'!F153+'[1]2019'!F153+'[1]2020'!F153</f>
        <v>0</v>
      </c>
      <c r="G144" s="46">
        <f>'[1]2018'!G153+'[1]2019'!G153+'[1]2020'!G153</f>
        <v>0</v>
      </c>
      <c r="H144" s="46">
        <f>'[1]2018'!H153+'[1]2019'!H153+'[1]2020'!H153</f>
        <v>0</v>
      </c>
      <c r="I144" s="46">
        <f>'[1]2018'!I153+'[1]2019'!I153+'[1]2020'!I153</f>
        <v>0</v>
      </c>
      <c r="J144" s="46">
        <f>'[1]2018'!J153+'[1]2019'!J153+'[1]2020'!J153</f>
        <v>0</v>
      </c>
      <c r="K144" s="46">
        <f>'[1]2018'!K153+'[1]2019'!K153+'[1]2020'!K153</f>
        <v>0</v>
      </c>
      <c r="L144" s="46">
        <f>'[1]2018'!L153+'[1]2019'!L153+'[1]2020'!L153</f>
        <v>0</v>
      </c>
      <c r="M144" s="46">
        <f>'[1]2018'!M153+'[1]2019'!M153+'[1]2020'!M153</f>
        <v>0</v>
      </c>
      <c r="N144" s="46">
        <f>'[1]2018'!N153+'[1]2019'!N153+'[1]2020'!N153</f>
        <v>0</v>
      </c>
      <c r="O144" s="46">
        <f>'[1]2018'!O153+'[1]2019'!O153+'[1]2020'!O153</f>
        <v>0</v>
      </c>
      <c r="P144" s="46">
        <f>'[1]2018'!P153+'[1]2019'!P153+'[1]2020'!P153</f>
        <v>0</v>
      </c>
      <c r="Q144" s="46">
        <f>'[1]2018'!Q153+'[1]2019'!Q153+'[1]2020'!Q153</f>
        <v>0</v>
      </c>
      <c r="R144" s="46">
        <f>'[1]2018'!R153+'[1]2019'!R153+'[1]2020'!R153</f>
        <v>0</v>
      </c>
      <c r="S144" s="46">
        <f>'[1]2018'!S153+'[1]2019'!S153+'[1]2020'!S153</f>
        <v>0</v>
      </c>
      <c r="T144" s="46">
        <f>'[1]2018'!T153+'[1]2019'!T153+'[1]2020'!T153</f>
        <v>0</v>
      </c>
      <c r="U144" s="46">
        <f>'[1]2018'!U153+'[1]2019'!U153+'[1]2020'!U153</f>
        <v>0</v>
      </c>
      <c r="V144" s="46">
        <f>'[1]2018'!V153+'[1]2019'!V153+'[1]2020'!V153</f>
        <v>0</v>
      </c>
      <c r="W144" s="46">
        <f>'[1]2018'!W153+'[1]2019'!W153+'[1]2020'!W153</f>
        <v>0</v>
      </c>
      <c r="X144" s="46">
        <f>'[1]2018'!X153+'[1]2019'!X153+'[1]2020'!X153</f>
        <v>0</v>
      </c>
      <c r="Y144" s="41">
        <f t="shared" si="18"/>
        <v>0</v>
      </c>
      <c r="Z144" s="11">
        <f>'[1]2018'!Z153+'[1]2019'!Z153+'[1]2020'!Z153</f>
        <v>0</v>
      </c>
      <c r="AA144" s="11">
        <f>'[1]2018'!AA153+'[1]2019'!AA153+'[1]2020'!AA153</f>
        <v>0</v>
      </c>
      <c r="AB144" s="11">
        <f>'[1]2018'!AB153+'[1]2019'!AB153+'[1]2020'!AB153</f>
        <v>0</v>
      </c>
      <c r="AC144" s="11">
        <f>'[1]2018'!AC153+'[1]2019'!AC153+'[1]2020'!AC153</f>
        <v>0</v>
      </c>
      <c r="AD144" s="11">
        <f>'[1]2018'!AD153+'[1]2019'!AD153+'[1]2020'!AD153</f>
        <v>0</v>
      </c>
      <c r="AE144" s="11">
        <f>'[1]2018'!AE153+'[1]2019'!AE153+'[1]2020'!AE153</f>
        <v>0</v>
      </c>
      <c r="AF144" s="11">
        <f>'[1]2018'!AF153+'[1]2019'!AF153+'[1]2020'!AF153</f>
        <v>0</v>
      </c>
      <c r="AG144" s="11">
        <f>'[1]2018'!AG153+'[1]2019'!AG153+'[1]2020'!AG153</f>
        <v>0</v>
      </c>
      <c r="AH144" s="11">
        <f>'[1]2018'!AH153+'[1]2019'!AH153+'[1]2020'!AH153</f>
        <v>0</v>
      </c>
      <c r="AI144" s="11">
        <f>'[1]2018'!AI153+'[1]2019'!AI153+'[1]2020'!AI153</f>
        <v>0</v>
      </c>
      <c r="AJ144" s="11">
        <f>'[1]2018'!AJ153+'[1]2019'!AJ153+'[1]2020'!AJ153</f>
        <v>0</v>
      </c>
      <c r="AK144" s="11">
        <f>'[1]2018'!AK153+'[1]2019'!AK153+'[1]2020'!AK153</f>
        <v>0</v>
      </c>
      <c r="AL144" s="11">
        <f>'[1]2018'!AL153+'[1]2019'!AL153+'[1]2020'!AL153</f>
        <v>0</v>
      </c>
      <c r="AM144" s="11">
        <f>'[1]2018'!AM153+'[1]2019'!AM153+'[1]2020'!AM153</f>
        <v>0</v>
      </c>
      <c r="AN144" s="11">
        <f>'[1]2018'!AN153+'[1]2019'!AN153+'[1]2020'!AN153</f>
        <v>0</v>
      </c>
      <c r="AO144" s="11">
        <f>'[1]2018'!AO153+'[1]2019'!AO153+'[1]2020'!AO153</f>
        <v>0</v>
      </c>
      <c r="AP144" s="11">
        <f>'[1]2018'!AP153+'[1]2019'!AP153+'[1]2020'!AP153</f>
        <v>0</v>
      </c>
      <c r="AQ144" s="11">
        <f>'[1]2018'!AQ153+'[1]2019'!AQ153+'[1]2020'!AQ153</f>
        <v>0</v>
      </c>
      <c r="AR144" s="11">
        <f>'[1]2018'!AR153+'[1]2019'!AR153+'[1]2020'!AR153</f>
        <v>0</v>
      </c>
      <c r="AS144" s="11">
        <f>'[1]2018'!AS153+'[1]2019'!AS153+'[1]2020'!AS153</f>
        <v>0</v>
      </c>
      <c r="AT144" s="11">
        <f>'[1]2018'!AT153+'[1]2019'!AT153+'[1]2020'!AT153</f>
        <v>0</v>
      </c>
      <c r="AU144" s="11">
        <f>'[1]2018'!AU153+'[1]2019'!AU153+'[1]2020'!AU153</f>
        <v>0</v>
      </c>
      <c r="AV144" s="11">
        <f>'[1]2018'!AV153+'[1]2019'!AV153+'[1]2020'!AV153</f>
        <v>0</v>
      </c>
      <c r="AW144" s="41">
        <f t="shared" si="19"/>
        <v>0</v>
      </c>
      <c r="AX144" s="14">
        <f t="shared" si="20"/>
        <v>0</v>
      </c>
      <c r="AY144" s="2">
        <f>'[1]2018'!AX153+'[1]2019'!AX153+'[1]2020'!AX153</f>
        <v>0</v>
      </c>
    </row>
    <row r="145" spans="1:136" x14ac:dyDescent="0.25">
      <c r="A145" s="10" t="s">
        <v>226</v>
      </c>
      <c r="B145" s="46">
        <f>'[1]2018'!B154+'[1]2019'!B154+'[1]2020'!B154</f>
        <v>0</v>
      </c>
      <c r="C145" s="46">
        <f>'[1]2018'!C154+'[1]2019'!C154+'[1]2020'!C154</f>
        <v>0</v>
      </c>
      <c r="D145" s="46">
        <f>'[1]2018'!D154+'[1]2019'!D154+'[1]2020'!D154</f>
        <v>0</v>
      </c>
      <c r="E145" s="46">
        <f>'[1]2018'!E154+'[1]2019'!E154+'[1]2020'!E154</f>
        <v>0</v>
      </c>
      <c r="F145" s="46">
        <f>'[1]2018'!F154+'[1]2019'!F154+'[1]2020'!F154</f>
        <v>0</v>
      </c>
      <c r="G145" s="46">
        <f>'[1]2018'!G154+'[1]2019'!G154+'[1]2020'!G154</f>
        <v>0</v>
      </c>
      <c r="H145" s="46">
        <f>'[1]2018'!H154+'[1]2019'!H154+'[1]2020'!H154</f>
        <v>0</v>
      </c>
      <c r="I145" s="46">
        <f>'[1]2018'!I154+'[1]2019'!I154+'[1]2020'!I154</f>
        <v>0</v>
      </c>
      <c r="J145" s="46">
        <f>'[1]2018'!J154+'[1]2019'!J154+'[1]2020'!J154</f>
        <v>0</v>
      </c>
      <c r="K145" s="46">
        <f>'[1]2018'!K154+'[1]2019'!K154+'[1]2020'!K154</f>
        <v>0</v>
      </c>
      <c r="L145" s="46">
        <f>'[1]2018'!L154+'[1]2019'!L154+'[1]2020'!L154</f>
        <v>0</v>
      </c>
      <c r="M145" s="46">
        <f>'[1]2018'!M154+'[1]2019'!M154+'[1]2020'!M154</f>
        <v>0</v>
      </c>
      <c r="N145" s="46">
        <f>'[1]2018'!N154+'[1]2019'!N154+'[1]2020'!N154</f>
        <v>0</v>
      </c>
      <c r="O145" s="46">
        <f>'[1]2018'!O154+'[1]2019'!O154+'[1]2020'!O154</f>
        <v>0</v>
      </c>
      <c r="P145" s="46">
        <f>'[1]2018'!P154+'[1]2019'!P154+'[1]2020'!P154</f>
        <v>0</v>
      </c>
      <c r="Q145" s="46">
        <f>'[1]2018'!Q154+'[1]2019'!Q154+'[1]2020'!Q154</f>
        <v>0</v>
      </c>
      <c r="R145" s="46">
        <f>'[1]2018'!R154+'[1]2019'!R154+'[1]2020'!R154</f>
        <v>0</v>
      </c>
      <c r="S145" s="46">
        <f>'[1]2018'!S154+'[1]2019'!S154+'[1]2020'!S154</f>
        <v>0</v>
      </c>
      <c r="T145" s="46">
        <f>'[1]2018'!T154+'[1]2019'!T154+'[1]2020'!T154</f>
        <v>0</v>
      </c>
      <c r="U145" s="46">
        <f>'[1]2018'!U154+'[1]2019'!U154+'[1]2020'!U154</f>
        <v>0</v>
      </c>
      <c r="V145" s="46">
        <f>'[1]2018'!V154+'[1]2019'!V154+'[1]2020'!V154</f>
        <v>0</v>
      </c>
      <c r="W145" s="46">
        <f>'[1]2018'!W154+'[1]2019'!W154+'[1]2020'!W154</f>
        <v>0</v>
      </c>
      <c r="X145" s="46">
        <f>'[1]2018'!X154+'[1]2019'!X154+'[1]2020'!X154</f>
        <v>0</v>
      </c>
      <c r="Y145" s="41">
        <f t="shared" si="18"/>
        <v>0</v>
      </c>
      <c r="Z145" s="11">
        <f>'[1]2018'!Z154+'[1]2019'!Z154+'[1]2020'!Z154</f>
        <v>0</v>
      </c>
      <c r="AA145" s="11">
        <f>'[1]2018'!AA154+'[1]2019'!AA154+'[1]2020'!AA154</f>
        <v>0</v>
      </c>
      <c r="AB145" s="11">
        <f>'[1]2018'!AB154+'[1]2019'!AB154+'[1]2020'!AB154</f>
        <v>0</v>
      </c>
      <c r="AC145" s="11">
        <f>'[1]2018'!AC154+'[1]2019'!AC154+'[1]2020'!AC154</f>
        <v>0</v>
      </c>
      <c r="AD145" s="11">
        <f>'[1]2018'!AD154+'[1]2019'!AD154+'[1]2020'!AD154</f>
        <v>0</v>
      </c>
      <c r="AE145" s="11">
        <f>'[1]2018'!AE154+'[1]2019'!AE154+'[1]2020'!AE154</f>
        <v>0</v>
      </c>
      <c r="AF145" s="11">
        <f>'[1]2018'!AF154+'[1]2019'!AF154+'[1]2020'!AF154</f>
        <v>0</v>
      </c>
      <c r="AG145" s="11">
        <f>'[1]2018'!AG154+'[1]2019'!AG154+'[1]2020'!AG154</f>
        <v>0</v>
      </c>
      <c r="AH145" s="11">
        <f>'[1]2018'!AH154+'[1]2019'!AH154+'[1]2020'!AH154</f>
        <v>0</v>
      </c>
      <c r="AI145" s="11">
        <f>'[1]2018'!AI154+'[1]2019'!AI154+'[1]2020'!AI154</f>
        <v>0</v>
      </c>
      <c r="AJ145" s="11">
        <f>'[1]2018'!AJ154+'[1]2019'!AJ154+'[1]2020'!AJ154</f>
        <v>0</v>
      </c>
      <c r="AK145" s="11">
        <f>'[1]2018'!AK154+'[1]2019'!AK154+'[1]2020'!AK154</f>
        <v>0</v>
      </c>
      <c r="AL145" s="11">
        <f>'[1]2018'!AL154+'[1]2019'!AL154+'[1]2020'!AL154</f>
        <v>0</v>
      </c>
      <c r="AM145" s="11">
        <f>'[1]2018'!AM154+'[1]2019'!AM154+'[1]2020'!AM154</f>
        <v>0</v>
      </c>
      <c r="AN145" s="11">
        <f>'[1]2018'!AN154+'[1]2019'!AN154+'[1]2020'!AN154</f>
        <v>0</v>
      </c>
      <c r="AO145" s="11">
        <f>'[1]2018'!AO154+'[1]2019'!AO154+'[1]2020'!AO154</f>
        <v>0</v>
      </c>
      <c r="AP145" s="11">
        <f>'[1]2018'!AP154+'[1]2019'!AP154+'[1]2020'!AP154</f>
        <v>0</v>
      </c>
      <c r="AQ145" s="11">
        <f>'[1]2018'!AQ154+'[1]2019'!AQ154+'[1]2020'!AQ154</f>
        <v>0</v>
      </c>
      <c r="AR145" s="11">
        <f>'[1]2018'!AR154+'[1]2019'!AR154+'[1]2020'!AR154</f>
        <v>0</v>
      </c>
      <c r="AS145" s="11">
        <f>'[1]2018'!AS154+'[1]2019'!AS154+'[1]2020'!AS154</f>
        <v>0</v>
      </c>
      <c r="AT145" s="11">
        <f>'[1]2018'!AT154+'[1]2019'!AT154+'[1]2020'!AT154</f>
        <v>0</v>
      </c>
      <c r="AU145" s="11">
        <f>'[1]2018'!AU154+'[1]2019'!AU154+'[1]2020'!AU154</f>
        <v>0</v>
      </c>
      <c r="AV145" s="11">
        <f>'[1]2018'!AV154+'[1]2019'!AV154+'[1]2020'!AV154</f>
        <v>0</v>
      </c>
      <c r="AW145" s="41">
        <f t="shared" si="19"/>
        <v>0</v>
      </c>
      <c r="AX145" s="14">
        <f t="shared" si="20"/>
        <v>0</v>
      </c>
      <c r="AY145" s="2">
        <f>'[1]2018'!AX154+'[1]2019'!AX154+'[1]2020'!AX154</f>
        <v>0</v>
      </c>
    </row>
    <row r="146" spans="1:136" x14ac:dyDescent="0.25">
      <c r="A146" s="10" t="s">
        <v>227</v>
      </c>
      <c r="B146" s="46">
        <f>'[1]2018'!B155+'[1]2019'!B155+'[1]2020'!B155</f>
        <v>5</v>
      </c>
      <c r="C146" s="46">
        <f>'[1]2018'!C155+'[1]2019'!C155+'[1]2020'!C155</f>
        <v>2</v>
      </c>
      <c r="D146" s="46">
        <f>'[1]2018'!D155+'[1]2019'!D155+'[1]2020'!D155</f>
        <v>13</v>
      </c>
      <c r="E146" s="46">
        <f>'[1]2018'!E155+'[1]2019'!E155+'[1]2020'!E155</f>
        <v>4</v>
      </c>
      <c r="F146" s="46">
        <f>'[1]2018'!F155+'[1]2019'!F155+'[1]2020'!F155</f>
        <v>0</v>
      </c>
      <c r="G146" s="46">
        <f>'[1]2018'!G155+'[1]2019'!G155+'[1]2020'!G155</f>
        <v>0</v>
      </c>
      <c r="H146" s="46">
        <f>'[1]2018'!H155+'[1]2019'!H155+'[1]2020'!H155</f>
        <v>0</v>
      </c>
      <c r="I146" s="46">
        <f>'[1]2018'!I155+'[1]2019'!I155+'[1]2020'!I155</f>
        <v>0</v>
      </c>
      <c r="J146" s="46">
        <f>'[1]2018'!J155+'[1]2019'!J155+'[1]2020'!J155</f>
        <v>0</v>
      </c>
      <c r="K146" s="46">
        <f>'[1]2018'!K155+'[1]2019'!K155+'[1]2020'!K155</f>
        <v>0</v>
      </c>
      <c r="L146" s="46">
        <f>'[1]2018'!L155+'[1]2019'!L155+'[1]2020'!L155</f>
        <v>0</v>
      </c>
      <c r="M146" s="46">
        <f>'[1]2018'!M155+'[1]2019'!M155+'[1]2020'!M155</f>
        <v>0</v>
      </c>
      <c r="N146" s="46">
        <f>'[1]2018'!N155+'[1]2019'!N155+'[1]2020'!N155</f>
        <v>0</v>
      </c>
      <c r="O146" s="46">
        <f>'[1]2018'!O155+'[1]2019'!O155+'[1]2020'!O155</f>
        <v>0</v>
      </c>
      <c r="P146" s="46">
        <f>'[1]2018'!P155+'[1]2019'!P155+'[1]2020'!P155</f>
        <v>0</v>
      </c>
      <c r="Q146" s="46">
        <f>'[1]2018'!Q155+'[1]2019'!Q155+'[1]2020'!Q155</f>
        <v>0</v>
      </c>
      <c r="R146" s="46">
        <f>'[1]2018'!R155+'[1]2019'!R155+'[1]2020'!R155</f>
        <v>9</v>
      </c>
      <c r="S146" s="46">
        <f>'[1]2018'!S155+'[1]2019'!S155+'[1]2020'!S155</f>
        <v>0</v>
      </c>
      <c r="T146" s="46">
        <f>'[1]2018'!T155+'[1]2019'!T155+'[1]2020'!T155</f>
        <v>1</v>
      </c>
      <c r="U146" s="46">
        <f>'[1]2018'!U155+'[1]2019'!U155+'[1]2020'!U155</f>
        <v>3</v>
      </c>
      <c r="V146" s="46">
        <f>'[1]2018'!V155+'[1]2019'!V155+'[1]2020'!V155</f>
        <v>0</v>
      </c>
      <c r="W146" s="46">
        <f>'[1]2018'!W155+'[1]2019'!W155+'[1]2020'!W155</f>
        <v>0</v>
      </c>
      <c r="X146" s="46">
        <f>'[1]2018'!X155+'[1]2019'!X155+'[1]2020'!X155</f>
        <v>0</v>
      </c>
      <c r="Y146" s="41">
        <f t="shared" si="18"/>
        <v>13</v>
      </c>
      <c r="Z146" s="11">
        <f>'[1]2018'!Z155+'[1]2019'!Z155+'[1]2020'!Z155</f>
        <v>4</v>
      </c>
      <c r="AA146" s="11">
        <f>'[1]2018'!AA155+'[1]2019'!AA155+'[1]2020'!AA155</f>
        <v>1</v>
      </c>
      <c r="AB146" s="11">
        <f>'[1]2018'!AB155+'[1]2019'!AB155+'[1]2020'!AB155</f>
        <v>9</v>
      </c>
      <c r="AC146" s="11">
        <f>'[1]2018'!AC155+'[1]2019'!AC155+'[1]2020'!AC155</f>
        <v>3</v>
      </c>
      <c r="AD146" s="11">
        <f>'[1]2018'!AD155+'[1]2019'!AD155+'[1]2020'!AD155</f>
        <v>0</v>
      </c>
      <c r="AE146" s="11">
        <f>'[1]2018'!AE155+'[1]2019'!AE155+'[1]2020'!AE155</f>
        <v>0</v>
      </c>
      <c r="AF146" s="11">
        <f>'[1]2018'!AF155+'[1]2019'!AF155+'[1]2020'!AF155</f>
        <v>0</v>
      </c>
      <c r="AG146" s="11">
        <f>'[1]2018'!AG155+'[1]2019'!AG155+'[1]2020'!AG155</f>
        <v>0</v>
      </c>
      <c r="AH146" s="11">
        <f>'[1]2018'!AH155+'[1]2019'!AH155+'[1]2020'!AH155</f>
        <v>0</v>
      </c>
      <c r="AI146" s="11">
        <f>'[1]2018'!AI155+'[1]2019'!AI155+'[1]2020'!AI155</f>
        <v>0</v>
      </c>
      <c r="AJ146" s="11">
        <f>'[1]2018'!AJ155+'[1]2019'!AJ155+'[1]2020'!AJ155</f>
        <v>0</v>
      </c>
      <c r="AK146" s="11">
        <f>'[1]2018'!AK155+'[1]2019'!AK155+'[1]2020'!AK155</f>
        <v>0</v>
      </c>
      <c r="AL146" s="11">
        <f>'[1]2018'!AL155+'[1]2019'!AL155+'[1]2020'!AL155</f>
        <v>0</v>
      </c>
      <c r="AM146" s="11">
        <f>'[1]2018'!AM155+'[1]2019'!AM155+'[1]2020'!AM155</f>
        <v>0</v>
      </c>
      <c r="AN146" s="11">
        <f>'[1]2018'!AN155+'[1]2019'!AN155+'[1]2020'!AN155</f>
        <v>0</v>
      </c>
      <c r="AO146" s="11">
        <f>'[1]2018'!AO155+'[1]2019'!AO155+'[1]2020'!AO155</f>
        <v>0</v>
      </c>
      <c r="AP146" s="11">
        <f>'[1]2018'!AP155+'[1]2019'!AP155+'[1]2020'!AP155</f>
        <v>6</v>
      </c>
      <c r="AQ146" s="11">
        <f>'[1]2018'!AQ155+'[1]2019'!AQ155+'[1]2020'!AQ155</f>
        <v>0</v>
      </c>
      <c r="AR146" s="11">
        <f>'[1]2018'!AR155+'[1]2019'!AR155+'[1]2020'!AR155</f>
        <v>0</v>
      </c>
      <c r="AS146" s="11">
        <f>'[1]2018'!AS155+'[1]2019'!AS155+'[1]2020'!AS155</f>
        <v>3</v>
      </c>
      <c r="AT146" s="11">
        <f>'[1]2018'!AT155+'[1]2019'!AT155+'[1]2020'!AT155</f>
        <v>0</v>
      </c>
      <c r="AU146" s="11">
        <f>'[1]2018'!AU155+'[1]2019'!AU155+'[1]2020'!AU155</f>
        <v>0</v>
      </c>
      <c r="AV146" s="11">
        <f>'[1]2018'!AV155+'[1]2019'!AV155+'[1]2020'!AV155</f>
        <v>0</v>
      </c>
      <c r="AW146" s="41">
        <f t="shared" si="19"/>
        <v>9</v>
      </c>
      <c r="AX146" s="14">
        <f t="shared" si="20"/>
        <v>3426.6666666666665</v>
      </c>
      <c r="AY146" s="2">
        <f>'[1]2018'!AX155+'[1]2019'!AX155+'[1]2020'!AX155</f>
        <v>10280</v>
      </c>
    </row>
    <row r="147" spans="1:136" x14ac:dyDescent="0.25">
      <c r="A147" s="10" t="s">
        <v>228</v>
      </c>
      <c r="B147" s="46">
        <f>'[1]2018'!B156+'[1]2019'!B156+'[1]2020'!B156</f>
        <v>9</v>
      </c>
      <c r="C147" s="46">
        <f>'[1]2018'!C156+'[1]2019'!C156+'[1]2020'!C156</f>
        <v>0</v>
      </c>
      <c r="D147" s="46">
        <f>'[1]2018'!D156+'[1]2019'!D156+'[1]2020'!D156</f>
        <v>16</v>
      </c>
      <c r="E147" s="46">
        <f>'[1]2018'!E156+'[1]2019'!E156+'[1]2020'!E156</f>
        <v>0</v>
      </c>
      <c r="F147" s="46">
        <f>'[1]2018'!F156+'[1]2019'!F156+'[1]2020'!F156</f>
        <v>0</v>
      </c>
      <c r="G147" s="46">
        <f>'[1]2018'!G156+'[1]2019'!G156+'[1]2020'!G156</f>
        <v>0</v>
      </c>
      <c r="H147" s="46">
        <f>'[1]2018'!H156+'[1]2019'!H156+'[1]2020'!H156</f>
        <v>0</v>
      </c>
      <c r="I147" s="46">
        <f>'[1]2018'!I156+'[1]2019'!I156+'[1]2020'!I156</f>
        <v>0</v>
      </c>
      <c r="J147" s="46">
        <f>'[1]2018'!J156+'[1]2019'!J156+'[1]2020'!J156</f>
        <v>0</v>
      </c>
      <c r="K147" s="46">
        <f>'[1]2018'!K156+'[1]2019'!K156+'[1]2020'!K156</f>
        <v>14</v>
      </c>
      <c r="L147" s="46">
        <f>'[1]2018'!L156+'[1]2019'!L156+'[1]2020'!L156</f>
        <v>0</v>
      </c>
      <c r="M147" s="46">
        <f>'[1]2018'!M156+'[1]2019'!M156+'[1]2020'!M156</f>
        <v>2</v>
      </c>
      <c r="N147" s="46">
        <f>'[1]2018'!N156+'[1]2019'!N156+'[1]2020'!N156</f>
        <v>0</v>
      </c>
      <c r="O147" s="46">
        <f>'[1]2018'!O156+'[1]2019'!O156+'[1]2020'!O156</f>
        <v>0</v>
      </c>
      <c r="P147" s="46">
        <f>'[1]2018'!P156+'[1]2019'!P156+'[1]2020'!P156</f>
        <v>0</v>
      </c>
      <c r="Q147" s="46">
        <f>'[1]2018'!Q156+'[1]2019'!Q156+'[1]2020'!Q156</f>
        <v>0</v>
      </c>
      <c r="R147" s="46">
        <f>'[1]2018'!R156+'[1]2019'!R156+'[1]2020'!R156</f>
        <v>0</v>
      </c>
      <c r="S147" s="46">
        <f>'[1]2018'!S156+'[1]2019'!S156+'[1]2020'!S156</f>
        <v>0</v>
      </c>
      <c r="T147" s="46">
        <f>'[1]2018'!T156+'[1]2019'!T156+'[1]2020'!T156</f>
        <v>0</v>
      </c>
      <c r="U147" s="46">
        <f>'[1]2018'!U156+'[1]2019'!U156+'[1]2020'!U156</f>
        <v>0</v>
      </c>
      <c r="V147" s="46">
        <f>'[1]2018'!V156+'[1]2019'!V156+'[1]2020'!V156</f>
        <v>0</v>
      </c>
      <c r="W147" s="46">
        <f>'[1]2018'!W156+'[1]2019'!W156+'[1]2020'!W156</f>
        <v>0</v>
      </c>
      <c r="X147" s="46">
        <f>'[1]2018'!X156+'[1]2019'!X156+'[1]2020'!X156</f>
        <v>0</v>
      </c>
      <c r="Y147" s="41">
        <f t="shared" si="18"/>
        <v>16</v>
      </c>
      <c r="Z147" s="11">
        <f>'[1]2018'!Z156+'[1]2019'!Z156+'[1]2020'!Z156</f>
        <v>6</v>
      </c>
      <c r="AA147" s="11">
        <f>'[1]2018'!AA156+'[1]2019'!AA156+'[1]2020'!AA156</f>
        <v>0</v>
      </c>
      <c r="AB147" s="11">
        <f>'[1]2018'!AB156+'[1]2019'!AB156+'[1]2020'!AB156</f>
        <v>10</v>
      </c>
      <c r="AC147" s="11">
        <f>'[1]2018'!AC156+'[1]2019'!AC156+'[1]2020'!AC156</f>
        <v>0</v>
      </c>
      <c r="AD147" s="11">
        <f>'[1]2018'!AD156+'[1]2019'!AD156+'[1]2020'!AD156</f>
        <v>0</v>
      </c>
      <c r="AE147" s="11">
        <f>'[1]2018'!AE156+'[1]2019'!AE156+'[1]2020'!AE156</f>
        <v>0</v>
      </c>
      <c r="AF147" s="11">
        <f>'[1]2018'!AF156+'[1]2019'!AF156+'[1]2020'!AF156</f>
        <v>0</v>
      </c>
      <c r="AG147" s="11">
        <f>'[1]2018'!AG156+'[1]2019'!AG156+'[1]2020'!AG156</f>
        <v>0</v>
      </c>
      <c r="AH147" s="11">
        <f>'[1]2018'!AH156+'[1]2019'!AH156+'[1]2020'!AH156</f>
        <v>0</v>
      </c>
      <c r="AI147" s="11">
        <f>'[1]2018'!AI156+'[1]2019'!AI156+'[1]2020'!AI156</f>
        <v>8</v>
      </c>
      <c r="AJ147" s="11">
        <f>'[1]2018'!AJ156+'[1]2019'!AJ156+'[1]2020'!AJ156</f>
        <v>0</v>
      </c>
      <c r="AK147" s="11">
        <f>'[1]2018'!AK156+'[1]2019'!AK156+'[1]2020'!AK156</f>
        <v>2</v>
      </c>
      <c r="AL147" s="11">
        <f>'[1]2018'!AL156+'[1]2019'!AL156+'[1]2020'!AL156</f>
        <v>0</v>
      </c>
      <c r="AM147" s="11">
        <f>'[1]2018'!AM156+'[1]2019'!AM156+'[1]2020'!AM156</f>
        <v>0</v>
      </c>
      <c r="AN147" s="11">
        <f>'[1]2018'!AN156+'[1]2019'!AN156+'[1]2020'!AN156</f>
        <v>0</v>
      </c>
      <c r="AO147" s="11">
        <f>'[1]2018'!AO156+'[1]2019'!AO156+'[1]2020'!AO156</f>
        <v>0</v>
      </c>
      <c r="AP147" s="11">
        <f>'[1]2018'!AP156+'[1]2019'!AP156+'[1]2020'!AP156</f>
        <v>0</v>
      </c>
      <c r="AQ147" s="11">
        <f>'[1]2018'!AQ156+'[1]2019'!AQ156+'[1]2020'!AQ156</f>
        <v>0</v>
      </c>
      <c r="AR147" s="11">
        <f>'[1]2018'!AR156+'[1]2019'!AR156+'[1]2020'!AR156</f>
        <v>0</v>
      </c>
      <c r="AS147" s="11">
        <f>'[1]2018'!AS156+'[1]2019'!AS156+'[1]2020'!AS156</f>
        <v>0</v>
      </c>
      <c r="AT147" s="11">
        <f>'[1]2018'!AT156+'[1]2019'!AT156+'[1]2020'!AT156</f>
        <v>0</v>
      </c>
      <c r="AU147" s="11">
        <f>'[1]2018'!AU156+'[1]2019'!AU156+'[1]2020'!AU156</f>
        <v>0</v>
      </c>
      <c r="AV147" s="11">
        <f>'[1]2018'!AV156+'[1]2019'!AV156+'[1]2020'!AV156</f>
        <v>0</v>
      </c>
      <c r="AW147" s="41">
        <f t="shared" si="19"/>
        <v>10</v>
      </c>
      <c r="AX147" s="14">
        <f t="shared" si="20"/>
        <v>1140</v>
      </c>
      <c r="AY147" s="2">
        <f>'[1]2018'!AX156+'[1]2019'!AX156+'[1]2020'!AX156</f>
        <v>3420</v>
      </c>
    </row>
    <row r="148" spans="1:136" x14ac:dyDescent="0.25">
      <c r="A148" s="10" t="s">
        <v>229</v>
      </c>
      <c r="B148" s="46">
        <f>'[1]2018'!B157+'[1]2019'!B157+'[1]2020'!B157</f>
        <v>16</v>
      </c>
      <c r="C148" s="46">
        <f>'[1]2018'!C157+'[1]2019'!C157+'[1]2020'!C157</f>
        <v>2</v>
      </c>
      <c r="D148" s="46">
        <f>'[1]2018'!D157+'[1]2019'!D157+'[1]2020'!D157</f>
        <v>26</v>
      </c>
      <c r="E148" s="46">
        <f>'[1]2018'!E157+'[1]2019'!E157+'[1]2020'!E157</f>
        <v>2</v>
      </c>
      <c r="F148" s="46">
        <f>'[1]2018'!F157+'[1]2019'!F157+'[1]2020'!F157</f>
        <v>0</v>
      </c>
      <c r="G148" s="46">
        <f>'[1]2018'!G157+'[1]2019'!G157+'[1]2020'!G157</f>
        <v>0</v>
      </c>
      <c r="H148" s="46">
        <f>'[1]2018'!H157+'[1]2019'!H157+'[1]2020'!H157</f>
        <v>0</v>
      </c>
      <c r="I148" s="46">
        <f>'[1]2018'!I157+'[1]2019'!I157+'[1]2020'!I157</f>
        <v>0</v>
      </c>
      <c r="J148" s="46">
        <f>'[1]2018'!J157+'[1]2019'!J157+'[1]2020'!J157</f>
        <v>0</v>
      </c>
      <c r="K148" s="46">
        <f>'[1]2018'!K157+'[1]2019'!K157+'[1]2020'!K157</f>
        <v>0</v>
      </c>
      <c r="L148" s="46">
        <f>'[1]2018'!L157+'[1]2019'!L157+'[1]2020'!L157</f>
        <v>0</v>
      </c>
      <c r="M148" s="46">
        <f>'[1]2018'!M157+'[1]2019'!M157+'[1]2020'!M157</f>
        <v>0</v>
      </c>
      <c r="N148" s="46">
        <f>'[1]2018'!N157+'[1]2019'!N157+'[1]2020'!N157</f>
        <v>0</v>
      </c>
      <c r="O148" s="46">
        <f>'[1]2018'!O157+'[1]2019'!O157+'[1]2020'!O157</f>
        <v>0</v>
      </c>
      <c r="P148" s="46">
        <f>'[1]2018'!P157+'[1]2019'!P157+'[1]2020'!P157</f>
        <v>0</v>
      </c>
      <c r="Q148" s="46">
        <f>'[1]2018'!Q157+'[1]2019'!Q157+'[1]2020'!Q157</f>
        <v>0</v>
      </c>
      <c r="R148" s="46">
        <f>'[1]2018'!R157+'[1]2019'!R157+'[1]2020'!R157</f>
        <v>18</v>
      </c>
      <c r="S148" s="46">
        <f>'[1]2018'!S157+'[1]2019'!S157+'[1]2020'!S157</f>
        <v>3</v>
      </c>
      <c r="T148" s="46">
        <f>'[1]2018'!T157+'[1]2019'!T157+'[1]2020'!T157</f>
        <v>0</v>
      </c>
      <c r="U148" s="46">
        <f>'[1]2018'!U157+'[1]2019'!U157+'[1]2020'!U157</f>
        <v>0</v>
      </c>
      <c r="V148" s="46">
        <f>'[1]2018'!V157+'[1]2019'!V157+'[1]2020'!V157</f>
        <v>0</v>
      </c>
      <c r="W148" s="46">
        <f>'[1]2018'!W157+'[1]2019'!W157+'[1]2020'!W157</f>
        <v>0</v>
      </c>
      <c r="X148" s="46">
        <f>'[1]2018'!X157+'[1]2019'!X157+'[1]2020'!X157</f>
        <v>5</v>
      </c>
      <c r="Y148" s="41">
        <f t="shared" si="18"/>
        <v>26</v>
      </c>
      <c r="Z148" s="11">
        <f>'[1]2018'!Z157+'[1]2019'!Z157+'[1]2020'!Z157</f>
        <v>14</v>
      </c>
      <c r="AA148" s="11">
        <f>'[1]2018'!AA157+'[1]2019'!AA157+'[1]2020'!AA157</f>
        <v>2</v>
      </c>
      <c r="AB148" s="11">
        <f>'[1]2018'!AB157+'[1]2019'!AB157+'[1]2020'!AB157</f>
        <v>23</v>
      </c>
      <c r="AC148" s="11">
        <f>'[1]2018'!AC157+'[1]2019'!AC157+'[1]2020'!AC157</f>
        <v>2</v>
      </c>
      <c r="AD148" s="11">
        <f>'[1]2018'!AD157+'[1]2019'!AD157+'[1]2020'!AD157</f>
        <v>0</v>
      </c>
      <c r="AE148" s="11">
        <f>'[1]2018'!AE157+'[1]2019'!AE157+'[1]2020'!AE157</f>
        <v>0</v>
      </c>
      <c r="AF148" s="11">
        <f>'[1]2018'!AF157+'[1]2019'!AF157+'[1]2020'!AF157</f>
        <v>0</v>
      </c>
      <c r="AG148" s="11">
        <f>'[1]2018'!AG157+'[1]2019'!AG157+'[1]2020'!AG157</f>
        <v>0</v>
      </c>
      <c r="AH148" s="11">
        <f>'[1]2018'!AH157+'[1]2019'!AH157+'[1]2020'!AH157</f>
        <v>0</v>
      </c>
      <c r="AI148" s="11">
        <f>'[1]2018'!AI157+'[1]2019'!AI157+'[1]2020'!AI157</f>
        <v>0</v>
      </c>
      <c r="AJ148" s="11">
        <f>'[1]2018'!AJ157+'[1]2019'!AJ157+'[1]2020'!AJ157</f>
        <v>0</v>
      </c>
      <c r="AK148" s="11">
        <f>'[1]2018'!AK157+'[1]2019'!AK157+'[1]2020'!AK157</f>
        <v>0</v>
      </c>
      <c r="AL148" s="11">
        <f>'[1]2018'!AL157+'[1]2019'!AL157+'[1]2020'!AL157</f>
        <v>0</v>
      </c>
      <c r="AM148" s="11">
        <f>'[1]2018'!AM157+'[1]2019'!AM157+'[1]2020'!AM157</f>
        <v>0</v>
      </c>
      <c r="AN148" s="11">
        <f>'[1]2018'!AN157+'[1]2019'!AN157+'[1]2020'!AN157</f>
        <v>0</v>
      </c>
      <c r="AO148" s="11">
        <f>'[1]2018'!AO157+'[1]2019'!AO157+'[1]2020'!AO157</f>
        <v>0</v>
      </c>
      <c r="AP148" s="11">
        <f>'[1]2018'!AP157+'[1]2019'!AP157+'[1]2020'!AP157</f>
        <v>15</v>
      </c>
      <c r="AQ148" s="11">
        <f>'[1]2018'!AQ157+'[1]2019'!AQ157+'[1]2020'!AQ157</f>
        <v>3</v>
      </c>
      <c r="AR148" s="11">
        <f>'[1]2018'!AR157+'[1]2019'!AR157+'[1]2020'!AR157</f>
        <v>0</v>
      </c>
      <c r="AS148" s="11">
        <f>'[1]2018'!AS157+'[1]2019'!AS157+'[1]2020'!AS157</f>
        <v>0</v>
      </c>
      <c r="AT148" s="11">
        <f>'[1]2018'!AT157+'[1]2019'!AT157+'[1]2020'!AT157</f>
        <v>0</v>
      </c>
      <c r="AU148" s="11">
        <f>'[1]2018'!AU157+'[1]2019'!AU157+'[1]2020'!AU157</f>
        <v>0</v>
      </c>
      <c r="AV148" s="11">
        <f>'[1]2018'!AV157+'[1]2019'!AV157+'[1]2020'!AV157</f>
        <v>5</v>
      </c>
      <c r="AW148" s="41">
        <f t="shared" si="19"/>
        <v>23</v>
      </c>
      <c r="AX148" s="14">
        <f t="shared" si="20"/>
        <v>2729.1266666666666</v>
      </c>
      <c r="AY148" s="2">
        <f>'[1]2018'!AX157+'[1]2019'!AX157+'[1]2020'!AX157</f>
        <v>8187.3799999999992</v>
      </c>
    </row>
    <row r="149" spans="1:136" x14ac:dyDescent="0.25">
      <c r="A149" s="10" t="s">
        <v>230</v>
      </c>
      <c r="B149" s="46">
        <f>'[1]2018'!B158+'[1]2019'!B158+'[1]2020'!B158</f>
        <v>6</v>
      </c>
      <c r="C149" s="46">
        <f>'[1]2018'!C158+'[1]2019'!C158+'[1]2020'!C158</f>
        <v>0</v>
      </c>
      <c r="D149" s="46">
        <f>'[1]2018'!D158+'[1]2019'!D158+'[1]2020'!D158</f>
        <v>12</v>
      </c>
      <c r="E149" s="46">
        <f>'[1]2018'!E158+'[1]2019'!E158+'[1]2020'!E158</f>
        <v>0</v>
      </c>
      <c r="F149" s="46">
        <f>'[1]2018'!F158+'[1]2019'!F158+'[1]2020'!F158</f>
        <v>0</v>
      </c>
      <c r="G149" s="46">
        <f>'[1]2018'!G158+'[1]2019'!G158+'[1]2020'!G158</f>
        <v>0</v>
      </c>
      <c r="H149" s="46">
        <f>'[1]2018'!H158+'[1]2019'!H158+'[1]2020'!H158</f>
        <v>1</v>
      </c>
      <c r="I149" s="46">
        <f>'[1]2018'!I158+'[1]2019'!I158+'[1]2020'!I158</f>
        <v>0</v>
      </c>
      <c r="J149" s="46">
        <f>'[1]2018'!J158+'[1]2019'!J158+'[1]2020'!J158</f>
        <v>0</v>
      </c>
      <c r="K149" s="46">
        <f>'[1]2018'!K158+'[1]2019'!K158+'[1]2020'!K158</f>
        <v>2</v>
      </c>
      <c r="L149" s="46">
        <f>'[1]2018'!L158+'[1]2019'!L158+'[1]2020'!L158</f>
        <v>0</v>
      </c>
      <c r="M149" s="46">
        <f>'[1]2018'!M158+'[1]2019'!M158+'[1]2020'!M158</f>
        <v>0</v>
      </c>
      <c r="N149" s="46">
        <f>'[1]2018'!N158+'[1]2019'!N158+'[1]2020'!N158</f>
        <v>3</v>
      </c>
      <c r="O149" s="46">
        <f>'[1]2018'!O158+'[1]2019'!O158+'[1]2020'!O158</f>
        <v>2</v>
      </c>
      <c r="P149" s="46">
        <f>'[1]2018'!P158+'[1]2019'!P158+'[1]2020'!P158</f>
        <v>0</v>
      </c>
      <c r="Q149" s="46">
        <f>'[1]2018'!Q158+'[1]2019'!Q158+'[1]2020'!Q158</f>
        <v>0</v>
      </c>
      <c r="R149" s="46">
        <f>'[1]2018'!R158+'[1]2019'!R158+'[1]2020'!R158</f>
        <v>0</v>
      </c>
      <c r="S149" s="46">
        <f>'[1]2018'!S158+'[1]2019'!S158+'[1]2020'!S158</f>
        <v>0</v>
      </c>
      <c r="T149" s="46">
        <f>'[1]2018'!T158+'[1]2019'!T158+'[1]2020'!T158</f>
        <v>0</v>
      </c>
      <c r="U149" s="46">
        <f>'[1]2018'!U158+'[1]2019'!U158+'[1]2020'!U158</f>
        <v>0</v>
      </c>
      <c r="V149" s="46">
        <f>'[1]2018'!V158+'[1]2019'!V158+'[1]2020'!V158</f>
        <v>0</v>
      </c>
      <c r="W149" s="46">
        <f>'[1]2018'!W158+'[1]2019'!W158+'[1]2020'!W158</f>
        <v>0</v>
      </c>
      <c r="X149" s="46">
        <f>'[1]2018'!X158+'[1]2019'!X158+'[1]2020'!X158</f>
        <v>4</v>
      </c>
      <c r="Y149" s="41">
        <f t="shared" si="18"/>
        <v>12</v>
      </c>
      <c r="Z149" s="11">
        <f>'[1]2018'!Z158+'[1]2019'!Z158+'[1]2020'!Z158</f>
        <v>1</v>
      </c>
      <c r="AA149" s="11">
        <f>'[1]2018'!AA158+'[1]2019'!AA158+'[1]2020'!AA158</f>
        <v>0</v>
      </c>
      <c r="AB149" s="11">
        <f>'[1]2018'!AB158+'[1]2019'!AB158+'[1]2020'!AB158</f>
        <v>3</v>
      </c>
      <c r="AC149" s="11">
        <f>'[1]2018'!AC158+'[1]2019'!AC158+'[1]2020'!AC158</f>
        <v>0</v>
      </c>
      <c r="AD149" s="11">
        <f>'[1]2018'!AD158+'[1]2019'!AD158+'[1]2020'!AD158</f>
        <v>0</v>
      </c>
      <c r="AE149" s="11">
        <f>'[1]2018'!AE158+'[1]2019'!AE158+'[1]2020'!AE158</f>
        <v>0</v>
      </c>
      <c r="AF149" s="11">
        <f>'[1]2018'!AF158+'[1]2019'!AF158+'[1]2020'!AF158</f>
        <v>0</v>
      </c>
      <c r="AG149" s="11">
        <f>'[1]2018'!AG158+'[1]2019'!AG158+'[1]2020'!AG158</f>
        <v>0</v>
      </c>
      <c r="AH149" s="11">
        <f>'[1]2018'!AH158+'[1]2019'!AH158+'[1]2020'!AH158</f>
        <v>0</v>
      </c>
      <c r="AI149" s="11">
        <f>'[1]2018'!AI158+'[1]2019'!AI158+'[1]2020'!AI158</f>
        <v>0</v>
      </c>
      <c r="AJ149" s="11">
        <f>'[1]2018'!AJ158+'[1]2019'!AJ158+'[1]2020'!AJ158</f>
        <v>0</v>
      </c>
      <c r="AK149" s="11">
        <f>'[1]2018'!AK158+'[1]2019'!AK158+'[1]2020'!AK158</f>
        <v>0</v>
      </c>
      <c r="AL149" s="11">
        <f>'[1]2018'!AL158+'[1]2019'!AL158+'[1]2020'!AL158</f>
        <v>3</v>
      </c>
      <c r="AM149" s="11">
        <f>'[1]2018'!AM158+'[1]2019'!AM158+'[1]2020'!AM158</f>
        <v>0</v>
      </c>
      <c r="AN149" s="11">
        <f>'[1]2018'!AN158+'[1]2019'!AN158+'[1]2020'!AN158</f>
        <v>0</v>
      </c>
      <c r="AO149" s="11">
        <f>'[1]2018'!AO158+'[1]2019'!AO158+'[1]2020'!AO158</f>
        <v>0</v>
      </c>
      <c r="AP149" s="11">
        <f>'[1]2018'!AP158+'[1]2019'!AP158+'[1]2020'!AP158</f>
        <v>0</v>
      </c>
      <c r="AQ149" s="11">
        <f>'[1]2018'!AQ158+'[1]2019'!AQ158+'[1]2020'!AQ158</f>
        <v>0</v>
      </c>
      <c r="AR149" s="11">
        <f>'[1]2018'!AR158+'[1]2019'!AR158+'[1]2020'!AR158</f>
        <v>0</v>
      </c>
      <c r="AS149" s="11">
        <f>'[1]2018'!AS158+'[1]2019'!AS158+'[1]2020'!AS158</f>
        <v>0</v>
      </c>
      <c r="AT149" s="11">
        <f>'[1]2018'!AT158+'[1]2019'!AT158+'[1]2020'!AT158</f>
        <v>0</v>
      </c>
      <c r="AU149" s="11">
        <f>'[1]2018'!AU158+'[1]2019'!AU158+'[1]2020'!AU158</f>
        <v>0</v>
      </c>
      <c r="AV149" s="11">
        <f>'[1]2018'!AV158+'[1]2019'!AV158+'[1]2020'!AV158</f>
        <v>0</v>
      </c>
      <c r="AW149" s="41">
        <f t="shared" si="19"/>
        <v>3</v>
      </c>
      <c r="AX149" s="14">
        <f t="shared" si="20"/>
        <v>341.33333333333331</v>
      </c>
      <c r="AY149" s="2">
        <f>'[1]2018'!AX158+'[1]2019'!AX158+'[1]2020'!AX158</f>
        <v>1024</v>
      </c>
    </row>
    <row r="150" spans="1:136" x14ac:dyDescent="0.25">
      <c r="A150" s="10" t="s">
        <v>231</v>
      </c>
      <c r="B150" s="46">
        <f>'[1]2018'!B159+'[1]2019'!B159+'[1]2020'!B159</f>
        <v>4</v>
      </c>
      <c r="C150" s="46">
        <f>'[1]2018'!C159+'[1]2019'!C159+'[1]2020'!C159</f>
        <v>0</v>
      </c>
      <c r="D150" s="46">
        <f>'[1]2018'!D159+'[1]2019'!D159+'[1]2020'!D159</f>
        <v>7</v>
      </c>
      <c r="E150" s="46">
        <f>'[1]2018'!E159+'[1]2019'!E159+'[1]2020'!E159</f>
        <v>0</v>
      </c>
      <c r="F150" s="46">
        <f>'[1]2018'!F159+'[1]2019'!F159+'[1]2020'!F159</f>
        <v>0</v>
      </c>
      <c r="G150" s="46">
        <f>'[1]2018'!G159+'[1]2019'!G159+'[1]2020'!G159</f>
        <v>0</v>
      </c>
      <c r="H150" s="46">
        <f>'[1]2018'!H159+'[1]2019'!H159+'[1]2020'!H159</f>
        <v>0</v>
      </c>
      <c r="I150" s="46">
        <f>'[1]2018'!I159+'[1]2019'!I159+'[1]2020'!I159</f>
        <v>0</v>
      </c>
      <c r="J150" s="46">
        <f>'[1]2018'!J159+'[1]2019'!J159+'[1]2020'!J159</f>
        <v>0</v>
      </c>
      <c r="K150" s="46">
        <f>'[1]2018'!K159+'[1]2019'!K159+'[1]2020'!K159</f>
        <v>0</v>
      </c>
      <c r="L150" s="46">
        <f>'[1]2018'!L159+'[1]2019'!L159+'[1]2020'!L159</f>
        <v>0</v>
      </c>
      <c r="M150" s="46">
        <f>'[1]2018'!M159+'[1]2019'!M159+'[1]2020'!M159</f>
        <v>0</v>
      </c>
      <c r="N150" s="46">
        <f>'[1]2018'!N159+'[1]2019'!N159+'[1]2020'!N159</f>
        <v>0</v>
      </c>
      <c r="O150" s="46">
        <f>'[1]2018'!O159+'[1]2019'!O159+'[1]2020'!O159</f>
        <v>0</v>
      </c>
      <c r="P150" s="46">
        <f>'[1]2018'!P159+'[1]2019'!P159+'[1]2020'!P159</f>
        <v>0</v>
      </c>
      <c r="Q150" s="46">
        <f>'[1]2018'!Q159+'[1]2019'!Q159+'[1]2020'!Q159</f>
        <v>0</v>
      </c>
      <c r="R150" s="46">
        <f>'[1]2018'!R159+'[1]2019'!R159+'[1]2020'!R159</f>
        <v>0</v>
      </c>
      <c r="S150" s="46">
        <f>'[1]2018'!S159+'[1]2019'!S159+'[1]2020'!S159</f>
        <v>0</v>
      </c>
      <c r="T150" s="46">
        <f>'[1]2018'!T159+'[1]2019'!T159+'[1]2020'!T159</f>
        <v>0</v>
      </c>
      <c r="U150" s="46">
        <f>'[1]2018'!U159+'[1]2019'!U159+'[1]2020'!U159</f>
        <v>0</v>
      </c>
      <c r="V150" s="46">
        <f>'[1]2018'!V159+'[1]2019'!V159+'[1]2020'!V159</f>
        <v>0</v>
      </c>
      <c r="W150" s="46">
        <f>'[1]2018'!W159+'[1]2019'!W159+'[1]2020'!W159</f>
        <v>0</v>
      </c>
      <c r="X150" s="46">
        <f>'[1]2018'!X159+'[1]2019'!X159+'[1]2020'!X159</f>
        <v>7</v>
      </c>
      <c r="Y150" s="41">
        <f t="shared" si="18"/>
        <v>7</v>
      </c>
      <c r="Z150" s="11">
        <f>'[1]2018'!Z159+'[1]2019'!Z159+'[1]2020'!Z159</f>
        <v>1</v>
      </c>
      <c r="AA150" s="11">
        <f>'[1]2018'!AA159+'[1]2019'!AA159+'[1]2020'!AA159</f>
        <v>0</v>
      </c>
      <c r="AB150" s="11">
        <f>'[1]2018'!AB159+'[1]2019'!AB159+'[1]2020'!AB159</f>
        <v>1</v>
      </c>
      <c r="AC150" s="11">
        <f>'[1]2018'!AC159+'[1]2019'!AC159+'[1]2020'!AC159</f>
        <v>0</v>
      </c>
      <c r="AD150" s="11">
        <f>'[1]2018'!AD159+'[1]2019'!AD159+'[1]2020'!AD159</f>
        <v>0</v>
      </c>
      <c r="AE150" s="11">
        <f>'[1]2018'!AE159+'[1]2019'!AE159+'[1]2020'!AE159</f>
        <v>0</v>
      </c>
      <c r="AF150" s="11">
        <f>'[1]2018'!AF159+'[1]2019'!AF159+'[1]2020'!AF159</f>
        <v>0</v>
      </c>
      <c r="AG150" s="11">
        <f>'[1]2018'!AG159+'[1]2019'!AG159+'[1]2020'!AG159</f>
        <v>0</v>
      </c>
      <c r="AH150" s="11">
        <f>'[1]2018'!AH159+'[1]2019'!AH159+'[1]2020'!AH159</f>
        <v>0</v>
      </c>
      <c r="AI150" s="11">
        <f>'[1]2018'!AI159+'[1]2019'!AI159+'[1]2020'!AI159</f>
        <v>0</v>
      </c>
      <c r="AJ150" s="11">
        <f>'[1]2018'!AJ159+'[1]2019'!AJ159+'[1]2020'!AJ159</f>
        <v>0</v>
      </c>
      <c r="AK150" s="11">
        <f>'[1]2018'!AK159+'[1]2019'!AK159+'[1]2020'!AK159</f>
        <v>0</v>
      </c>
      <c r="AL150" s="11">
        <f>'[1]2018'!AL159+'[1]2019'!AL159+'[1]2020'!AL159</f>
        <v>0</v>
      </c>
      <c r="AM150" s="11">
        <f>'[1]2018'!AM159+'[1]2019'!AM159+'[1]2020'!AM159</f>
        <v>0</v>
      </c>
      <c r="AN150" s="11">
        <f>'[1]2018'!AN159+'[1]2019'!AN159+'[1]2020'!AN159</f>
        <v>0</v>
      </c>
      <c r="AO150" s="11">
        <f>'[1]2018'!AO159+'[1]2019'!AO159+'[1]2020'!AO159</f>
        <v>0</v>
      </c>
      <c r="AP150" s="11">
        <f>'[1]2018'!AP159+'[1]2019'!AP159+'[1]2020'!AP159</f>
        <v>0</v>
      </c>
      <c r="AQ150" s="11">
        <f>'[1]2018'!AQ159+'[1]2019'!AQ159+'[1]2020'!AQ159</f>
        <v>0</v>
      </c>
      <c r="AR150" s="11">
        <f>'[1]2018'!AR159+'[1]2019'!AR159+'[1]2020'!AR159</f>
        <v>0</v>
      </c>
      <c r="AS150" s="11">
        <f>'[1]2018'!AS159+'[1]2019'!AS159+'[1]2020'!AS159</f>
        <v>0</v>
      </c>
      <c r="AT150" s="11">
        <f>'[1]2018'!AT159+'[1]2019'!AT159+'[1]2020'!AT159</f>
        <v>0</v>
      </c>
      <c r="AU150" s="11">
        <f>'[1]2018'!AU159+'[1]2019'!AU159+'[1]2020'!AU159</f>
        <v>0</v>
      </c>
      <c r="AV150" s="11">
        <f>'[1]2018'!AV159+'[1]2019'!AV159+'[1]2020'!AV159</f>
        <v>1</v>
      </c>
      <c r="AW150" s="41">
        <f t="shared" si="19"/>
        <v>1</v>
      </c>
      <c r="AX150" s="14">
        <f t="shared" si="20"/>
        <v>833.33333333333337</v>
      </c>
      <c r="AY150" s="2">
        <f>'[1]2018'!AX159+'[1]2019'!AX159+'[1]2020'!AX159</f>
        <v>2500</v>
      </c>
    </row>
    <row r="151" spans="1:136" x14ac:dyDescent="0.25">
      <c r="A151" s="10" t="s">
        <v>232</v>
      </c>
      <c r="B151" s="46">
        <f>'[1]2018'!B160+'[1]2019'!B160+'[1]2020'!B160</f>
        <v>8</v>
      </c>
      <c r="C151" s="46">
        <f>'[1]2018'!C160+'[1]2019'!C160+'[1]2020'!C160</f>
        <v>2</v>
      </c>
      <c r="D151" s="46">
        <f>'[1]2018'!D160+'[1]2019'!D160+'[1]2020'!D160</f>
        <v>9</v>
      </c>
      <c r="E151" s="46">
        <f>'[1]2018'!E160+'[1]2019'!E160+'[1]2020'!E160</f>
        <v>2</v>
      </c>
      <c r="F151" s="46">
        <f>'[1]2018'!F160+'[1]2019'!F160+'[1]2020'!F160</f>
        <v>0</v>
      </c>
      <c r="G151" s="46">
        <f>'[1]2018'!G160+'[1]2019'!G160+'[1]2020'!G160</f>
        <v>0</v>
      </c>
      <c r="H151" s="46">
        <f>'[1]2018'!H160+'[1]2019'!H160+'[1]2020'!H160</f>
        <v>0</v>
      </c>
      <c r="I151" s="46">
        <f>'[1]2018'!I160+'[1]2019'!I160+'[1]2020'!I160</f>
        <v>0</v>
      </c>
      <c r="J151" s="46">
        <f>'[1]2018'!J160+'[1]2019'!J160+'[1]2020'!J160</f>
        <v>0</v>
      </c>
      <c r="K151" s="46">
        <f>'[1]2018'!K160+'[1]2019'!K160+'[1]2020'!K160</f>
        <v>0</v>
      </c>
      <c r="L151" s="46">
        <f>'[1]2018'!L160+'[1]2019'!L160+'[1]2020'!L160</f>
        <v>1</v>
      </c>
      <c r="M151" s="46">
        <f>'[1]2018'!M160+'[1]2019'!M160+'[1]2020'!M160</f>
        <v>0</v>
      </c>
      <c r="N151" s="46">
        <f>'[1]2018'!N160+'[1]2019'!N160+'[1]2020'!N160</f>
        <v>1</v>
      </c>
      <c r="O151" s="46">
        <f>'[1]2018'!O160+'[1]2019'!O160+'[1]2020'!O160</f>
        <v>0</v>
      </c>
      <c r="P151" s="46">
        <f>'[1]2018'!P160+'[1]2019'!P160+'[1]2020'!P160</f>
        <v>0</v>
      </c>
      <c r="Q151" s="46">
        <f>'[1]2018'!Q160+'[1]2019'!Q160+'[1]2020'!Q160</f>
        <v>0</v>
      </c>
      <c r="R151" s="46">
        <f>'[1]2018'!R160+'[1]2019'!R160+'[1]2020'!R160</f>
        <v>2</v>
      </c>
      <c r="S151" s="46">
        <f>'[1]2018'!S160+'[1]2019'!S160+'[1]2020'!S160</f>
        <v>0</v>
      </c>
      <c r="T151" s="46">
        <f>'[1]2018'!T160+'[1]2019'!T160+'[1]2020'!T160</f>
        <v>0</v>
      </c>
      <c r="U151" s="46">
        <f>'[1]2018'!U160+'[1]2019'!U160+'[1]2020'!U160</f>
        <v>0</v>
      </c>
      <c r="V151" s="46">
        <f>'[1]2018'!V160+'[1]2019'!V160+'[1]2020'!V160</f>
        <v>0</v>
      </c>
      <c r="W151" s="46">
        <f>'[1]2018'!W160+'[1]2019'!W160+'[1]2020'!W160</f>
        <v>5</v>
      </c>
      <c r="X151" s="46">
        <f>'[1]2018'!X160+'[1]2019'!X160+'[1]2020'!X160</f>
        <v>0</v>
      </c>
      <c r="Y151" s="41">
        <f t="shared" si="18"/>
        <v>9</v>
      </c>
      <c r="Z151" s="11">
        <f>'[1]2018'!Z160+'[1]2019'!Z160+'[1]2020'!Z160</f>
        <v>8</v>
      </c>
      <c r="AA151" s="11">
        <f>'[1]2018'!AA160+'[1]2019'!AA160+'[1]2020'!AA160</f>
        <v>2</v>
      </c>
      <c r="AB151" s="11">
        <f>'[1]2018'!AB160+'[1]2019'!AB160+'[1]2020'!AB160</f>
        <v>9</v>
      </c>
      <c r="AC151" s="11">
        <f>'[1]2018'!AC160+'[1]2019'!AC160+'[1]2020'!AC160</f>
        <v>2</v>
      </c>
      <c r="AD151" s="11">
        <f>'[1]2018'!AD160+'[1]2019'!AD160+'[1]2020'!AD160</f>
        <v>0</v>
      </c>
      <c r="AE151" s="11">
        <f>'[1]2018'!AE160+'[1]2019'!AE160+'[1]2020'!AE160</f>
        <v>0</v>
      </c>
      <c r="AF151" s="11">
        <f>'[1]2018'!AF160+'[1]2019'!AF160+'[1]2020'!AF160</f>
        <v>0</v>
      </c>
      <c r="AG151" s="11">
        <f>'[1]2018'!AG160+'[1]2019'!AG160+'[1]2020'!AG160</f>
        <v>0</v>
      </c>
      <c r="AH151" s="11">
        <f>'[1]2018'!AH160+'[1]2019'!AH160+'[1]2020'!AH160</f>
        <v>0</v>
      </c>
      <c r="AI151" s="11">
        <f>'[1]2018'!AI160+'[1]2019'!AI160+'[1]2020'!AI160</f>
        <v>0</v>
      </c>
      <c r="AJ151" s="11">
        <f>'[1]2018'!AJ160+'[1]2019'!AJ160+'[1]2020'!AJ160</f>
        <v>1</v>
      </c>
      <c r="AK151" s="11">
        <f>'[1]2018'!AK160+'[1]2019'!AK160+'[1]2020'!AK160</f>
        <v>0</v>
      </c>
      <c r="AL151" s="11">
        <f>'[1]2018'!AL160+'[1]2019'!AL160+'[1]2020'!AL160</f>
        <v>1</v>
      </c>
      <c r="AM151" s="11">
        <f>'[1]2018'!AM160+'[1]2019'!AM160+'[1]2020'!AM160</f>
        <v>0</v>
      </c>
      <c r="AN151" s="11">
        <f>'[1]2018'!AN160+'[1]2019'!AN160+'[1]2020'!AN160</f>
        <v>0</v>
      </c>
      <c r="AO151" s="11">
        <f>'[1]2018'!AO160+'[1]2019'!AO160+'[1]2020'!AO160</f>
        <v>0</v>
      </c>
      <c r="AP151" s="11">
        <f>'[1]2018'!AP160+'[1]2019'!AP160+'[1]2020'!AP160</f>
        <v>2</v>
      </c>
      <c r="AQ151" s="11">
        <f>'[1]2018'!AQ160+'[1]2019'!AQ160+'[1]2020'!AQ160</f>
        <v>0</v>
      </c>
      <c r="AR151" s="11">
        <f>'[1]2018'!AR160+'[1]2019'!AR160+'[1]2020'!AR160</f>
        <v>0</v>
      </c>
      <c r="AS151" s="11">
        <f>'[1]2018'!AS160+'[1]2019'!AS160+'[1]2020'!AS160</f>
        <v>0</v>
      </c>
      <c r="AT151" s="11">
        <f>'[1]2018'!AT160+'[1]2019'!AT160+'[1]2020'!AT160</f>
        <v>0</v>
      </c>
      <c r="AU151" s="11">
        <f>'[1]2018'!AU160+'[1]2019'!AU160+'[1]2020'!AU160</f>
        <v>5</v>
      </c>
      <c r="AV151" s="11">
        <f>'[1]2018'!AV160+'[1]2019'!AV160+'[1]2020'!AV160</f>
        <v>0</v>
      </c>
      <c r="AW151" s="41">
        <f t="shared" si="19"/>
        <v>9</v>
      </c>
      <c r="AX151" s="14">
        <f t="shared" si="20"/>
        <v>2000</v>
      </c>
      <c r="AY151" s="2">
        <f>'[1]2018'!AX160+'[1]2019'!AX160+'[1]2020'!AX160</f>
        <v>6000</v>
      </c>
    </row>
    <row r="152" spans="1:136" x14ac:dyDescent="0.25">
      <c r="A152" s="10" t="s">
        <v>233</v>
      </c>
      <c r="B152" s="46">
        <f>'[1]2018'!B161+'[1]2019'!B161+'[1]2020'!B161</f>
        <v>4</v>
      </c>
      <c r="C152" s="46">
        <f>'[1]2018'!C161+'[1]2019'!C161+'[1]2020'!C161</f>
        <v>0</v>
      </c>
      <c r="D152" s="46">
        <f>'[1]2018'!D161+'[1]2019'!D161+'[1]2020'!D161</f>
        <v>12</v>
      </c>
      <c r="E152" s="46">
        <f>'[1]2018'!E161+'[1]2019'!E161+'[1]2020'!E161</f>
        <v>0</v>
      </c>
      <c r="F152" s="46">
        <f>'[1]2018'!F161+'[1]2019'!F161+'[1]2020'!F161</f>
        <v>0</v>
      </c>
      <c r="G152" s="46">
        <f>'[1]2018'!G161+'[1]2019'!G161+'[1]2020'!G161</f>
        <v>0</v>
      </c>
      <c r="H152" s="46">
        <f>'[1]2018'!H161+'[1]2019'!H161+'[1]2020'!H161</f>
        <v>7</v>
      </c>
      <c r="I152" s="46">
        <f>'[1]2018'!I161+'[1]2019'!I161+'[1]2020'!I161</f>
        <v>0</v>
      </c>
      <c r="J152" s="46">
        <f>'[1]2018'!J161+'[1]2019'!J161+'[1]2020'!J161</f>
        <v>0</v>
      </c>
      <c r="K152" s="46">
        <f>'[1]2018'!K161+'[1]2019'!K161+'[1]2020'!K161</f>
        <v>0</v>
      </c>
      <c r="L152" s="46">
        <f>'[1]2018'!L161+'[1]2019'!L161+'[1]2020'!L161</f>
        <v>0</v>
      </c>
      <c r="M152" s="46">
        <f>'[1]2018'!M161+'[1]2019'!M161+'[1]2020'!M161</f>
        <v>0</v>
      </c>
      <c r="N152" s="46">
        <f>'[1]2018'!N161+'[1]2019'!N161+'[1]2020'!N161</f>
        <v>0</v>
      </c>
      <c r="O152" s="46">
        <f>'[1]2018'!O161+'[1]2019'!O161+'[1]2020'!O161</f>
        <v>0</v>
      </c>
      <c r="P152" s="46">
        <f>'[1]2018'!P161+'[1]2019'!P161+'[1]2020'!P161</f>
        <v>0</v>
      </c>
      <c r="Q152" s="46">
        <f>'[1]2018'!Q161+'[1]2019'!Q161+'[1]2020'!Q161</f>
        <v>0</v>
      </c>
      <c r="R152" s="46">
        <f>'[1]2018'!R161+'[1]2019'!R161+'[1]2020'!R161</f>
        <v>0</v>
      </c>
      <c r="S152" s="46">
        <f>'[1]2018'!S161+'[1]2019'!S161+'[1]2020'!S161</f>
        <v>0</v>
      </c>
      <c r="T152" s="46">
        <f>'[1]2018'!T161+'[1]2019'!T161+'[1]2020'!T161</f>
        <v>0</v>
      </c>
      <c r="U152" s="46">
        <f>'[1]2018'!U161+'[1]2019'!U161+'[1]2020'!U161</f>
        <v>5</v>
      </c>
      <c r="V152" s="46">
        <f>'[1]2018'!V161+'[1]2019'!V161+'[1]2020'!V161</f>
        <v>0</v>
      </c>
      <c r="W152" s="46">
        <f>'[1]2018'!W161+'[1]2019'!W161+'[1]2020'!W161</f>
        <v>0</v>
      </c>
      <c r="X152" s="46">
        <f>'[1]2018'!X161+'[1]2019'!X161+'[1]2020'!X161</f>
        <v>0</v>
      </c>
      <c r="Y152" s="41">
        <f t="shared" si="18"/>
        <v>12</v>
      </c>
      <c r="Z152" s="11">
        <f>'[1]2018'!Z161+'[1]2019'!Z161+'[1]2020'!Z161</f>
        <v>1</v>
      </c>
      <c r="AA152" s="11">
        <f>'[1]2018'!AA161+'[1]2019'!AA161+'[1]2020'!AA161</f>
        <v>0</v>
      </c>
      <c r="AB152" s="11">
        <f>'[1]2018'!AB161+'[1]2019'!AB161+'[1]2020'!AB161</f>
        <v>10</v>
      </c>
      <c r="AC152" s="11">
        <f>'[1]2018'!AC161+'[1]2019'!AC161+'[1]2020'!AC161</f>
        <v>0</v>
      </c>
      <c r="AD152" s="11">
        <f>'[1]2018'!AD161+'[1]2019'!AD161+'[1]2020'!AD161</f>
        <v>0</v>
      </c>
      <c r="AE152" s="11">
        <f>'[1]2018'!AE161+'[1]2019'!AE161+'[1]2020'!AE161</f>
        <v>0</v>
      </c>
      <c r="AF152" s="11">
        <f>'[1]2018'!AF161+'[1]2019'!AF161+'[1]2020'!AF161</f>
        <v>0</v>
      </c>
      <c r="AG152" s="11">
        <f>'[1]2018'!AG161+'[1]2019'!AG161+'[1]2020'!AG161</f>
        <v>0</v>
      </c>
      <c r="AH152" s="11">
        <f>'[1]2018'!AH161+'[1]2019'!AH161+'[1]2020'!AH161</f>
        <v>0</v>
      </c>
      <c r="AI152" s="11">
        <f>'[1]2018'!AI161+'[1]2019'!AI161+'[1]2020'!AI161</f>
        <v>0</v>
      </c>
      <c r="AJ152" s="11">
        <f>'[1]2018'!AJ161+'[1]2019'!AJ161+'[1]2020'!AJ161</f>
        <v>0</v>
      </c>
      <c r="AK152" s="11">
        <f>'[1]2018'!AK161+'[1]2019'!AK161+'[1]2020'!AK161</f>
        <v>0</v>
      </c>
      <c r="AL152" s="11">
        <f>'[1]2018'!AL161+'[1]2019'!AL161+'[1]2020'!AL161</f>
        <v>0</v>
      </c>
      <c r="AM152" s="11">
        <f>'[1]2018'!AM161+'[1]2019'!AM161+'[1]2020'!AM161</f>
        <v>0</v>
      </c>
      <c r="AN152" s="11">
        <f>'[1]2018'!AN161+'[1]2019'!AN161+'[1]2020'!AN161</f>
        <v>0</v>
      </c>
      <c r="AO152" s="11">
        <f>'[1]2018'!AO161+'[1]2019'!AO161+'[1]2020'!AO161</f>
        <v>0</v>
      </c>
      <c r="AP152" s="11">
        <f>'[1]2018'!AP161+'[1]2019'!AP161+'[1]2020'!AP161</f>
        <v>0</v>
      </c>
      <c r="AQ152" s="11">
        <f>'[1]2018'!AQ161+'[1]2019'!AQ161+'[1]2020'!AQ161</f>
        <v>0</v>
      </c>
      <c r="AR152" s="11">
        <f>'[1]2018'!AR161+'[1]2019'!AR161+'[1]2020'!AR161</f>
        <v>0</v>
      </c>
      <c r="AS152" s="11">
        <f>'[1]2018'!AS161+'[1]2019'!AS161+'[1]2020'!AS161</f>
        <v>10</v>
      </c>
      <c r="AT152" s="11">
        <f>'[1]2018'!AT161+'[1]2019'!AT161+'[1]2020'!AT161</f>
        <v>0</v>
      </c>
      <c r="AU152" s="11">
        <f>'[1]2018'!AU161+'[1]2019'!AU161+'[1]2020'!AU161</f>
        <v>0</v>
      </c>
      <c r="AV152" s="11">
        <f>'[1]2018'!AV161+'[1]2019'!AV161+'[1]2020'!AV161</f>
        <v>0</v>
      </c>
      <c r="AW152" s="41">
        <f t="shared" si="19"/>
        <v>10</v>
      </c>
      <c r="AX152" s="14">
        <f t="shared" si="20"/>
        <v>1466.6666666666667</v>
      </c>
      <c r="AY152" s="2">
        <f>'[1]2018'!AX161+'[1]2019'!AX161+'[1]2020'!AX161</f>
        <v>4400</v>
      </c>
    </row>
    <row r="153" spans="1:136" x14ac:dyDescent="0.25">
      <c r="A153" s="10" t="s">
        <v>234</v>
      </c>
      <c r="B153" s="46">
        <f>'[1]2018'!B162+'[1]2019'!B162+'[1]2020'!B162</f>
        <v>3</v>
      </c>
      <c r="C153" s="46">
        <f>'[1]2018'!C162+'[1]2019'!C162+'[1]2020'!C162</f>
        <v>0</v>
      </c>
      <c r="D153" s="46">
        <f>'[1]2018'!D162+'[1]2019'!D162+'[1]2020'!D162</f>
        <v>10</v>
      </c>
      <c r="E153" s="46">
        <f>'[1]2018'!E162+'[1]2019'!E162+'[1]2020'!E162</f>
        <v>0</v>
      </c>
      <c r="F153" s="46">
        <f>'[1]2018'!F162+'[1]2019'!F162+'[1]2020'!F162</f>
        <v>0</v>
      </c>
      <c r="G153" s="46">
        <f>'[1]2018'!G162+'[1]2019'!G162+'[1]2020'!G162</f>
        <v>0</v>
      </c>
      <c r="H153" s="46">
        <f>'[1]2018'!H162+'[1]2019'!H162+'[1]2020'!H162</f>
        <v>10</v>
      </c>
      <c r="I153" s="46">
        <f>'[1]2018'!I162+'[1]2019'!I162+'[1]2020'!I162</f>
        <v>0</v>
      </c>
      <c r="J153" s="46">
        <f>'[1]2018'!J162+'[1]2019'!J162+'[1]2020'!J162</f>
        <v>0</v>
      </c>
      <c r="K153" s="46">
        <f>'[1]2018'!K162+'[1]2019'!K162+'[1]2020'!K162</f>
        <v>0</v>
      </c>
      <c r="L153" s="46">
        <f>'[1]2018'!L162+'[1]2019'!L162+'[1]2020'!L162</f>
        <v>0</v>
      </c>
      <c r="M153" s="46">
        <f>'[1]2018'!M162+'[1]2019'!M162+'[1]2020'!M162</f>
        <v>0</v>
      </c>
      <c r="N153" s="46">
        <f>'[1]2018'!N162+'[1]2019'!N162+'[1]2020'!N162</f>
        <v>0</v>
      </c>
      <c r="O153" s="46">
        <f>'[1]2018'!O162+'[1]2019'!O162+'[1]2020'!O162</f>
        <v>0</v>
      </c>
      <c r="P153" s="46">
        <f>'[1]2018'!P162+'[1]2019'!P162+'[1]2020'!P162</f>
        <v>0</v>
      </c>
      <c r="Q153" s="46">
        <f>'[1]2018'!Q162+'[1]2019'!Q162+'[1]2020'!Q162</f>
        <v>0</v>
      </c>
      <c r="R153" s="46">
        <f>'[1]2018'!R162+'[1]2019'!R162+'[1]2020'!R162</f>
        <v>0</v>
      </c>
      <c r="S153" s="46">
        <f>'[1]2018'!S162+'[1]2019'!S162+'[1]2020'!S162</f>
        <v>0</v>
      </c>
      <c r="T153" s="46">
        <f>'[1]2018'!T162+'[1]2019'!T162+'[1]2020'!T162</f>
        <v>0</v>
      </c>
      <c r="U153" s="46">
        <f>'[1]2018'!U162+'[1]2019'!U162+'[1]2020'!U162</f>
        <v>0</v>
      </c>
      <c r="V153" s="46">
        <f>'[1]2018'!V162+'[1]2019'!V162+'[1]2020'!V162</f>
        <v>0</v>
      </c>
      <c r="W153" s="46">
        <f>'[1]2018'!W162+'[1]2019'!W162+'[1]2020'!W162</f>
        <v>0</v>
      </c>
      <c r="X153" s="46">
        <f>'[1]2018'!X162+'[1]2019'!X162+'[1]2020'!X162</f>
        <v>0</v>
      </c>
      <c r="Y153" s="41">
        <f t="shared" si="18"/>
        <v>10</v>
      </c>
      <c r="Z153" s="11">
        <f>'[1]2018'!Z162+'[1]2019'!Z162+'[1]2020'!Z162</f>
        <v>2</v>
      </c>
      <c r="AA153" s="11">
        <f>'[1]2018'!AA162+'[1]2019'!AA162+'[1]2020'!AA162</f>
        <v>0</v>
      </c>
      <c r="AB153" s="11">
        <f>'[1]2018'!AB162+'[1]2019'!AB162+'[1]2020'!AB162</f>
        <v>7</v>
      </c>
      <c r="AC153" s="11">
        <f>'[1]2018'!AC162+'[1]2019'!AC162+'[1]2020'!AC162</f>
        <v>0</v>
      </c>
      <c r="AD153" s="11">
        <f>'[1]2018'!AD162+'[1]2019'!AD162+'[1]2020'!AD162</f>
        <v>0</v>
      </c>
      <c r="AE153" s="11">
        <f>'[1]2018'!AE162+'[1]2019'!AE162+'[1]2020'!AE162</f>
        <v>0</v>
      </c>
      <c r="AF153" s="11">
        <f>'[1]2018'!AF162+'[1]2019'!AF162+'[1]2020'!AF162</f>
        <v>7</v>
      </c>
      <c r="AG153" s="11">
        <f>'[1]2018'!AG162+'[1]2019'!AG162+'[1]2020'!AG162</f>
        <v>0</v>
      </c>
      <c r="AH153" s="11">
        <f>'[1]2018'!AH162+'[1]2019'!AH162+'[1]2020'!AH162</f>
        <v>0</v>
      </c>
      <c r="AI153" s="11">
        <f>'[1]2018'!AI162+'[1]2019'!AI162+'[1]2020'!AI162</f>
        <v>0</v>
      </c>
      <c r="AJ153" s="11">
        <f>'[1]2018'!AJ162+'[1]2019'!AJ162+'[1]2020'!AJ162</f>
        <v>0</v>
      </c>
      <c r="AK153" s="11">
        <f>'[1]2018'!AK162+'[1]2019'!AK162+'[1]2020'!AK162</f>
        <v>0</v>
      </c>
      <c r="AL153" s="11">
        <f>'[1]2018'!AL162+'[1]2019'!AL162+'[1]2020'!AL162</f>
        <v>0</v>
      </c>
      <c r="AM153" s="11">
        <f>'[1]2018'!AM162+'[1]2019'!AM162+'[1]2020'!AM162</f>
        <v>0</v>
      </c>
      <c r="AN153" s="11">
        <f>'[1]2018'!AN162+'[1]2019'!AN162+'[1]2020'!AN162</f>
        <v>0</v>
      </c>
      <c r="AO153" s="11">
        <f>'[1]2018'!AO162+'[1]2019'!AO162+'[1]2020'!AO162</f>
        <v>0</v>
      </c>
      <c r="AP153" s="11">
        <f>'[1]2018'!AP162+'[1]2019'!AP162+'[1]2020'!AP162</f>
        <v>0</v>
      </c>
      <c r="AQ153" s="11">
        <f>'[1]2018'!AQ162+'[1]2019'!AQ162+'[1]2020'!AQ162</f>
        <v>0</v>
      </c>
      <c r="AR153" s="11">
        <f>'[1]2018'!AR162+'[1]2019'!AR162+'[1]2020'!AR162</f>
        <v>0</v>
      </c>
      <c r="AS153" s="11">
        <f>'[1]2018'!AS162+'[1]2019'!AS162+'[1]2020'!AS162</f>
        <v>0</v>
      </c>
      <c r="AT153" s="11">
        <f>'[1]2018'!AT162+'[1]2019'!AT162+'[1]2020'!AT162</f>
        <v>0</v>
      </c>
      <c r="AU153" s="11">
        <f>'[1]2018'!AU162+'[1]2019'!AU162+'[1]2020'!AU162</f>
        <v>0</v>
      </c>
      <c r="AV153" s="11">
        <f>'[1]2018'!AV162+'[1]2019'!AV162+'[1]2020'!AV162</f>
        <v>0</v>
      </c>
      <c r="AW153" s="41">
        <f t="shared" si="19"/>
        <v>7</v>
      </c>
      <c r="AX153" s="14">
        <f t="shared" si="20"/>
        <v>1383</v>
      </c>
      <c r="AY153" s="2">
        <f>'[1]2018'!AX162+'[1]2019'!AX162+'[1]2020'!AX162</f>
        <v>4149</v>
      </c>
    </row>
    <row r="154" spans="1:136" x14ac:dyDescent="0.25">
      <c r="A154" s="10" t="s">
        <v>235</v>
      </c>
      <c r="B154" s="46">
        <f>'[1]2018'!B163+'[1]2019'!B163+'[1]2020'!B163</f>
        <v>0</v>
      </c>
      <c r="C154" s="46">
        <f>'[1]2018'!C163+'[1]2019'!C163+'[1]2020'!C163</f>
        <v>0</v>
      </c>
      <c r="D154" s="46">
        <f>'[1]2018'!D163+'[1]2019'!D163+'[1]2020'!D163</f>
        <v>0</v>
      </c>
      <c r="E154" s="46">
        <f>'[1]2018'!E163+'[1]2019'!E163+'[1]2020'!E163</f>
        <v>0</v>
      </c>
      <c r="F154" s="46">
        <f>'[1]2018'!F163+'[1]2019'!F163+'[1]2020'!F163</f>
        <v>0</v>
      </c>
      <c r="G154" s="46">
        <f>'[1]2018'!G163+'[1]2019'!G163+'[1]2020'!G163</f>
        <v>0</v>
      </c>
      <c r="H154" s="46">
        <f>'[1]2018'!H163+'[1]2019'!H163+'[1]2020'!H163</f>
        <v>0</v>
      </c>
      <c r="I154" s="46">
        <f>'[1]2018'!I163+'[1]2019'!I163+'[1]2020'!I163</f>
        <v>0</v>
      </c>
      <c r="J154" s="46">
        <f>'[1]2018'!J163+'[1]2019'!J163+'[1]2020'!J163</f>
        <v>0</v>
      </c>
      <c r="K154" s="46">
        <f>'[1]2018'!K163+'[1]2019'!K163+'[1]2020'!K163</f>
        <v>0</v>
      </c>
      <c r="L154" s="46">
        <f>'[1]2018'!L163+'[1]2019'!L163+'[1]2020'!L163</f>
        <v>0</v>
      </c>
      <c r="M154" s="46">
        <f>'[1]2018'!M163+'[1]2019'!M163+'[1]2020'!M163</f>
        <v>0</v>
      </c>
      <c r="N154" s="46">
        <f>'[1]2018'!N163+'[1]2019'!N163+'[1]2020'!N163</f>
        <v>0</v>
      </c>
      <c r="O154" s="46">
        <f>'[1]2018'!O163+'[1]2019'!O163+'[1]2020'!O163</f>
        <v>0</v>
      </c>
      <c r="P154" s="46">
        <f>'[1]2018'!P163+'[1]2019'!P163+'[1]2020'!P163</f>
        <v>0</v>
      </c>
      <c r="Q154" s="46">
        <f>'[1]2018'!Q163+'[1]2019'!Q163+'[1]2020'!Q163</f>
        <v>0</v>
      </c>
      <c r="R154" s="46">
        <f>'[1]2018'!R163+'[1]2019'!R163+'[1]2020'!R163</f>
        <v>0</v>
      </c>
      <c r="S154" s="46">
        <f>'[1]2018'!S163+'[1]2019'!S163+'[1]2020'!S163</f>
        <v>0</v>
      </c>
      <c r="T154" s="46">
        <f>'[1]2018'!T163+'[1]2019'!T163+'[1]2020'!T163</f>
        <v>0</v>
      </c>
      <c r="U154" s="46">
        <f>'[1]2018'!U163+'[1]2019'!U163+'[1]2020'!U163</f>
        <v>0</v>
      </c>
      <c r="V154" s="46">
        <f>'[1]2018'!V163+'[1]2019'!V163+'[1]2020'!V163</f>
        <v>0</v>
      </c>
      <c r="W154" s="46">
        <f>'[1]2018'!W163+'[1]2019'!W163+'[1]2020'!W163</f>
        <v>0</v>
      </c>
      <c r="X154" s="46">
        <f>'[1]2018'!X163+'[1]2019'!X163+'[1]2020'!X163</f>
        <v>0</v>
      </c>
      <c r="Y154" s="41">
        <f t="shared" si="18"/>
        <v>0</v>
      </c>
      <c r="Z154" s="11">
        <f>'[1]2018'!Z163+'[1]2019'!Z163+'[1]2020'!Z163</f>
        <v>0</v>
      </c>
      <c r="AA154" s="11">
        <f>'[1]2018'!AA163+'[1]2019'!AA163+'[1]2020'!AA163</f>
        <v>0</v>
      </c>
      <c r="AB154" s="11">
        <f>'[1]2018'!AB163+'[1]2019'!AB163+'[1]2020'!AB163</f>
        <v>0</v>
      </c>
      <c r="AC154" s="11">
        <f>'[1]2018'!AC163+'[1]2019'!AC163+'[1]2020'!AC163</f>
        <v>0</v>
      </c>
      <c r="AD154" s="11">
        <f>'[1]2018'!AD163+'[1]2019'!AD163+'[1]2020'!AD163</f>
        <v>0</v>
      </c>
      <c r="AE154" s="11">
        <f>'[1]2018'!AE163+'[1]2019'!AE163+'[1]2020'!AE163</f>
        <v>0</v>
      </c>
      <c r="AF154" s="11">
        <f>'[1]2018'!AF163+'[1]2019'!AF163+'[1]2020'!AF163</f>
        <v>0</v>
      </c>
      <c r="AG154" s="11">
        <f>'[1]2018'!AG163+'[1]2019'!AG163+'[1]2020'!AG163</f>
        <v>0</v>
      </c>
      <c r="AH154" s="11">
        <f>'[1]2018'!AH163+'[1]2019'!AH163+'[1]2020'!AH163</f>
        <v>0</v>
      </c>
      <c r="AI154" s="11">
        <f>'[1]2018'!AI163+'[1]2019'!AI163+'[1]2020'!AI163</f>
        <v>0</v>
      </c>
      <c r="AJ154" s="11">
        <f>'[1]2018'!AJ163+'[1]2019'!AJ163+'[1]2020'!AJ163</f>
        <v>0</v>
      </c>
      <c r="AK154" s="11">
        <f>'[1]2018'!AK163+'[1]2019'!AK163+'[1]2020'!AK163</f>
        <v>0</v>
      </c>
      <c r="AL154" s="11">
        <f>'[1]2018'!AL163+'[1]2019'!AL163+'[1]2020'!AL163</f>
        <v>0</v>
      </c>
      <c r="AM154" s="11">
        <f>'[1]2018'!AM163+'[1]2019'!AM163+'[1]2020'!AM163</f>
        <v>0</v>
      </c>
      <c r="AN154" s="11">
        <f>'[1]2018'!AN163+'[1]2019'!AN163+'[1]2020'!AN163</f>
        <v>0</v>
      </c>
      <c r="AO154" s="11">
        <f>'[1]2018'!AO163+'[1]2019'!AO163+'[1]2020'!AO163</f>
        <v>0</v>
      </c>
      <c r="AP154" s="11">
        <f>'[1]2018'!AP163+'[1]2019'!AP163+'[1]2020'!AP163</f>
        <v>0</v>
      </c>
      <c r="AQ154" s="11">
        <f>'[1]2018'!AQ163+'[1]2019'!AQ163+'[1]2020'!AQ163</f>
        <v>0</v>
      </c>
      <c r="AR154" s="11">
        <f>'[1]2018'!AR163+'[1]2019'!AR163+'[1]2020'!AR163</f>
        <v>0</v>
      </c>
      <c r="AS154" s="11">
        <f>'[1]2018'!AS163+'[1]2019'!AS163+'[1]2020'!AS163</f>
        <v>0</v>
      </c>
      <c r="AT154" s="11">
        <f>'[1]2018'!AT163+'[1]2019'!AT163+'[1]2020'!AT163</f>
        <v>0</v>
      </c>
      <c r="AU154" s="11">
        <f>'[1]2018'!AU163+'[1]2019'!AU163+'[1]2020'!AU163</f>
        <v>0</v>
      </c>
      <c r="AV154" s="11">
        <f>'[1]2018'!AV163+'[1]2019'!AV163+'[1]2020'!AV163</f>
        <v>0</v>
      </c>
      <c r="AW154" s="41">
        <f t="shared" si="19"/>
        <v>0</v>
      </c>
      <c r="AX154" s="14">
        <f t="shared" si="20"/>
        <v>0</v>
      </c>
      <c r="AY154" s="2">
        <f>'[1]2018'!AX163+'[1]2019'!AX163+'[1]2020'!AX163</f>
        <v>0</v>
      </c>
    </row>
    <row r="155" spans="1:136" s="45" customFormat="1" x14ac:dyDescent="0.25">
      <c r="A155" s="10" t="s">
        <v>236</v>
      </c>
      <c r="B155" s="46">
        <f>'[1]2018'!B164+'[1]2019'!B164+'[1]2020'!B164</f>
        <v>17</v>
      </c>
      <c r="C155" s="46">
        <f>'[1]2018'!C164+'[1]2019'!C164+'[1]2020'!C164</f>
        <v>0</v>
      </c>
      <c r="D155" s="46">
        <f>'[1]2018'!D164+'[1]2019'!D164+'[1]2020'!D164</f>
        <v>40</v>
      </c>
      <c r="E155" s="46">
        <f>'[1]2018'!E164+'[1]2019'!E164+'[1]2020'!E164</f>
        <v>0</v>
      </c>
      <c r="F155" s="46">
        <f>'[1]2018'!F164+'[1]2019'!F164+'[1]2020'!F164</f>
        <v>0</v>
      </c>
      <c r="G155" s="46">
        <f>'[1]2018'!G164+'[1]2019'!G164+'[1]2020'!G164</f>
        <v>0</v>
      </c>
      <c r="H155" s="46">
        <f>'[1]2018'!H164+'[1]2019'!H164+'[1]2020'!H164</f>
        <v>21</v>
      </c>
      <c r="I155" s="46">
        <f>'[1]2018'!I164+'[1]2019'!I164+'[1]2020'!I164</f>
        <v>0</v>
      </c>
      <c r="J155" s="46">
        <f>'[1]2018'!J164+'[1]2019'!J164+'[1]2020'!J164</f>
        <v>1</v>
      </c>
      <c r="K155" s="46">
        <f>'[1]2018'!K164+'[1]2019'!K164+'[1]2020'!K164</f>
        <v>1</v>
      </c>
      <c r="L155" s="46">
        <f>'[1]2018'!L164+'[1]2019'!L164+'[1]2020'!L164</f>
        <v>3</v>
      </c>
      <c r="M155" s="46">
        <f>'[1]2018'!M164+'[1]2019'!M164+'[1]2020'!M164</f>
        <v>13</v>
      </c>
      <c r="N155" s="46">
        <f>'[1]2018'!N164+'[1]2019'!N164+'[1]2020'!N164</f>
        <v>0</v>
      </c>
      <c r="O155" s="46">
        <f>'[1]2018'!O164+'[1]2019'!O164+'[1]2020'!O164</f>
        <v>0</v>
      </c>
      <c r="P155" s="46">
        <f>'[1]2018'!P164+'[1]2019'!P164+'[1]2020'!P164</f>
        <v>0</v>
      </c>
      <c r="Q155" s="46">
        <f>'[1]2018'!Q164+'[1]2019'!Q164+'[1]2020'!Q164</f>
        <v>0</v>
      </c>
      <c r="R155" s="46">
        <f>'[1]2018'!R164+'[1]2019'!R164+'[1]2020'!R164</f>
        <v>0</v>
      </c>
      <c r="S155" s="46">
        <f>'[1]2018'!S164+'[1]2019'!S164+'[1]2020'!S164</f>
        <v>1</v>
      </c>
      <c r="T155" s="46">
        <f>'[1]2018'!T164+'[1]2019'!T164+'[1]2020'!T164</f>
        <v>0</v>
      </c>
      <c r="U155" s="46">
        <f>'[1]2018'!U164+'[1]2019'!U164+'[1]2020'!U164</f>
        <v>0</v>
      </c>
      <c r="V155" s="46">
        <f>'[1]2018'!V164+'[1]2019'!V164+'[1]2020'!V164</f>
        <v>0</v>
      </c>
      <c r="W155" s="46">
        <f>'[1]2018'!W164+'[1]2019'!W164+'[1]2020'!W164</f>
        <v>0</v>
      </c>
      <c r="X155" s="46">
        <f>'[1]2018'!X164+'[1]2019'!X164+'[1]2020'!X164</f>
        <v>0</v>
      </c>
      <c r="Y155" s="41">
        <f t="shared" si="18"/>
        <v>40</v>
      </c>
      <c r="Z155" s="11">
        <f>'[1]2018'!Z164+'[1]2019'!Z164+'[1]2020'!Z164</f>
        <v>11</v>
      </c>
      <c r="AA155" s="11">
        <f>'[1]2018'!AA164+'[1]2019'!AA164+'[1]2020'!AA164</f>
        <v>0</v>
      </c>
      <c r="AB155" s="11">
        <f>'[1]2018'!AB164+'[1]2019'!AB164+'[1]2020'!AB164</f>
        <v>32</v>
      </c>
      <c r="AC155" s="11">
        <f>'[1]2018'!AC164+'[1]2019'!AC164+'[1]2020'!AC164</f>
        <v>0</v>
      </c>
      <c r="AD155" s="11">
        <f>'[1]2018'!AD164+'[1]2019'!AD164+'[1]2020'!AD164</f>
        <v>0</v>
      </c>
      <c r="AE155" s="11">
        <f>'[1]2018'!AE164+'[1]2019'!AE164+'[1]2020'!AE164</f>
        <v>0</v>
      </c>
      <c r="AF155" s="11">
        <f>'[1]2018'!AF164+'[1]2019'!AF164+'[1]2020'!AF164</f>
        <v>16</v>
      </c>
      <c r="AG155" s="11">
        <f>'[1]2018'!AG164+'[1]2019'!AG164+'[1]2020'!AG164</f>
        <v>0</v>
      </c>
      <c r="AH155" s="11">
        <f>'[1]2018'!AH164+'[1]2019'!AH164+'[1]2020'!AH164</f>
        <v>1</v>
      </c>
      <c r="AI155" s="11">
        <f>'[1]2018'!AI164+'[1]2019'!AI164+'[1]2020'!AI164</f>
        <v>1</v>
      </c>
      <c r="AJ155" s="11">
        <f>'[1]2018'!AJ164+'[1]2019'!AJ164+'[1]2020'!AJ164</f>
        <v>3</v>
      </c>
      <c r="AK155" s="11">
        <f>'[1]2018'!AK164+'[1]2019'!AK164+'[1]2020'!AK164</f>
        <v>10</v>
      </c>
      <c r="AL155" s="11">
        <f>'[1]2018'!AL164+'[1]2019'!AL164+'[1]2020'!AL164</f>
        <v>0</v>
      </c>
      <c r="AM155" s="11">
        <f>'[1]2018'!AM164+'[1]2019'!AM164+'[1]2020'!AM164</f>
        <v>0</v>
      </c>
      <c r="AN155" s="11">
        <f>'[1]2018'!AN164+'[1]2019'!AN164+'[1]2020'!AN164</f>
        <v>0</v>
      </c>
      <c r="AO155" s="11">
        <f>'[1]2018'!AO164+'[1]2019'!AO164+'[1]2020'!AO164</f>
        <v>0</v>
      </c>
      <c r="AP155" s="11">
        <f>'[1]2018'!AP164+'[1]2019'!AP164+'[1]2020'!AP164</f>
        <v>0</v>
      </c>
      <c r="AQ155" s="11">
        <f>'[1]2018'!AQ164+'[1]2019'!AQ164+'[1]2020'!AQ164</f>
        <v>1</v>
      </c>
      <c r="AR155" s="11">
        <f>'[1]2018'!AR164+'[1]2019'!AR164+'[1]2020'!AR164</f>
        <v>0</v>
      </c>
      <c r="AS155" s="11">
        <f>'[1]2018'!AS164+'[1]2019'!AS164+'[1]2020'!AS164</f>
        <v>0</v>
      </c>
      <c r="AT155" s="11">
        <f>'[1]2018'!AT164+'[1]2019'!AT164+'[1]2020'!AT164</f>
        <v>0</v>
      </c>
      <c r="AU155" s="11">
        <f>'[1]2018'!AU164+'[1]2019'!AU164+'[1]2020'!AU164</f>
        <v>0</v>
      </c>
      <c r="AV155" s="11">
        <f>'[1]2018'!AV164+'[1]2019'!AV164+'[1]2020'!AV164</f>
        <v>0</v>
      </c>
      <c r="AW155" s="41">
        <f t="shared" si="19"/>
        <v>32</v>
      </c>
      <c r="AX155" s="14">
        <f t="shared" si="20"/>
        <v>1468.0833333333333</v>
      </c>
      <c r="AY155" s="2">
        <f>'[1]2018'!AX164+'[1]2019'!AX164+'[1]2020'!AX164</f>
        <v>4404.25</v>
      </c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</row>
    <row r="156" spans="1:136" x14ac:dyDescent="0.25">
      <c r="A156" s="10" t="s">
        <v>237</v>
      </c>
      <c r="B156" s="46">
        <f>'[1]2018'!B165+'[1]2019'!B165+'[1]2020'!B165</f>
        <v>7</v>
      </c>
      <c r="C156" s="46">
        <f>'[1]2018'!C165+'[1]2019'!C165+'[1]2020'!C165</f>
        <v>0</v>
      </c>
      <c r="D156" s="46">
        <f>'[1]2018'!D165+'[1]2019'!D165+'[1]2020'!D165</f>
        <v>22</v>
      </c>
      <c r="E156" s="46">
        <f>'[1]2018'!E165+'[1]2019'!E165+'[1]2020'!E165</f>
        <v>0</v>
      </c>
      <c r="F156" s="46">
        <f>'[1]2018'!F165+'[1]2019'!F165+'[1]2020'!F165</f>
        <v>0</v>
      </c>
      <c r="G156" s="46">
        <f>'[1]2018'!G165+'[1]2019'!G165+'[1]2020'!G165</f>
        <v>0</v>
      </c>
      <c r="H156" s="46">
        <f>'[1]2018'!H165+'[1]2019'!H165+'[1]2020'!H165</f>
        <v>17</v>
      </c>
      <c r="I156" s="46">
        <f>'[1]2018'!I165+'[1]2019'!I165+'[1]2020'!I165</f>
        <v>0</v>
      </c>
      <c r="J156" s="46">
        <f>'[1]2018'!J165+'[1]2019'!J165+'[1]2020'!J165</f>
        <v>0</v>
      </c>
      <c r="K156" s="46">
        <f>'[1]2018'!K165+'[1]2019'!K165+'[1]2020'!K165</f>
        <v>0</v>
      </c>
      <c r="L156" s="46">
        <f>'[1]2018'!L165+'[1]2019'!L165+'[1]2020'!L165</f>
        <v>1</v>
      </c>
      <c r="M156" s="46">
        <f>'[1]2018'!M165+'[1]2019'!M165+'[1]2020'!M165</f>
        <v>1</v>
      </c>
      <c r="N156" s="46">
        <f>'[1]2018'!N165+'[1]2019'!N165+'[1]2020'!N165</f>
        <v>0</v>
      </c>
      <c r="O156" s="46">
        <f>'[1]2018'!O165+'[1]2019'!O165+'[1]2020'!O165</f>
        <v>0</v>
      </c>
      <c r="P156" s="46">
        <f>'[1]2018'!P165+'[1]2019'!P165+'[1]2020'!P165</f>
        <v>0</v>
      </c>
      <c r="Q156" s="46">
        <f>'[1]2018'!Q165+'[1]2019'!Q165+'[1]2020'!Q165</f>
        <v>0</v>
      </c>
      <c r="R156" s="46">
        <f>'[1]2018'!R165+'[1]2019'!R165+'[1]2020'!R165</f>
        <v>0</v>
      </c>
      <c r="S156" s="46">
        <f>'[1]2018'!S165+'[1]2019'!S165+'[1]2020'!S165</f>
        <v>0</v>
      </c>
      <c r="T156" s="46">
        <f>'[1]2018'!T165+'[1]2019'!T165+'[1]2020'!T165</f>
        <v>0</v>
      </c>
      <c r="U156" s="46">
        <f>'[1]2018'!U165+'[1]2019'!U165+'[1]2020'!U165</f>
        <v>3</v>
      </c>
      <c r="V156" s="46">
        <f>'[1]2018'!V165+'[1]2019'!V165+'[1]2020'!V165</f>
        <v>0</v>
      </c>
      <c r="W156" s="46">
        <f>'[1]2018'!W165+'[1]2019'!W165+'[1]2020'!W165</f>
        <v>0</v>
      </c>
      <c r="X156" s="46">
        <f>'[1]2018'!X165+'[1]2019'!X165+'[1]2020'!X165</f>
        <v>0</v>
      </c>
      <c r="Y156" s="41">
        <f t="shared" si="18"/>
        <v>22</v>
      </c>
      <c r="Z156" s="11">
        <f>'[1]2018'!Z165+'[1]2019'!Z165+'[1]2020'!Z165</f>
        <v>4</v>
      </c>
      <c r="AA156" s="11">
        <f>'[1]2018'!AA165+'[1]2019'!AA165+'[1]2020'!AA165</f>
        <v>0</v>
      </c>
      <c r="AB156" s="11">
        <f>'[1]2018'!AB165+'[1]2019'!AB165+'[1]2020'!AB165</f>
        <v>19</v>
      </c>
      <c r="AC156" s="11">
        <f>'[1]2018'!AC165+'[1]2019'!AC165+'[1]2020'!AC165</f>
        <v>0</v>
      </c>
      <c r="AD156" s="11">
        <f>'[1]2018'!AD165+'[1]2019'!AD165+'[1]2020'!AD165</f>
        <v>0</v>
      </c>
      <c r="AE156" s="11">
        <f>'[1]2018'!AE165+'[1]2019'!AE165+'[1]2020'!AE165</f>
        <v>0</v>
      </c>
      <c r="AF156" s="11">
        <f>'[1]2018'!AF165+'[1]2019'!AF165+'[1]2020'!AF165</f>
        <v>17</v>
      </c>
      <c r="AG156" s="11">
        <f>'[1]2018'!AG165+'[1]2019'!AG165+'[1]2020'!AG165</f>
        <v>0</v>
      </c>
      <c r="AH156" s="11">
        <f>'[1]2018'!AH165+'[1]2019'!AH165+'[1]2020'!AH165</f>
        <v>0</v>
      </c>
      <c r="AI156" s="11">
        <f>'[1]2018'!AI165+'[1]2019'!AI165+'[1]2020'!AI165</f>
        <v>0</v>
      </c>
      <c r="AJ156" s="11">
        <f>'[1]2018'!AJ165+'[1]2019'!AJ165+'[1]2020'!AJ165</f>
        <v>1</v>
      </c>
      <c r="AK156" s="11">
        <f>'[1]2018'!AK165+'[1]2019'!AK165+'[1]2020'!AK165</f>
        <v>1</v>
      </c>
      <c r="AL156" s="11">
        <f>'[1]2018'!AL165+'[1]2019'!AL165+'[1]2020'!AL165</f>
        <v>0</v>
      </c>
      <c r="AM156" s="11">
        <f>'[1]2018'!AM165+'[1]2019'!AM165+'[1]2020'!AM165</f>
        <v>0</v>
      </c>
      <c r="AN156" s="11">
        <f>'[1]2018'!AN165+'[1]2019'!AN165+'[1]2020'!AN165</f>
        <v>0</v>
      </c>
      <c r="AO156" s="11">
        <f>'[1]2018'!AO165+'[1]2019'!AO165+'[1]2020'!AO165</f>
        <v>0</v>
      </c>
      <c r="AP156" s="11">
        <f>'[1]2018'!AP165+'[1]2019'!AP165+'[1]2020'!AP165</f>
        <v>0</v>
      </c>
      <c r="AQ156" s="11">
        <f>'[1]2018'!AQ165+'[1]2019'!AQ165+'[1]2020'!AQ165</f>
        <v>0</v>
      </c>
      <c r="AR156" s="11">
        <f>'[1]2018'!AR165+'[1]2019'!AR165+'[1]2020'!AR165</f>
        <v>0</v>
      </c>
      <c r="AS156" s="11">
        <f>'[1]2018'!AS165+'[1]2019'!AS165+'[1]2020'!AS165</f>
        <v>0</v>
      </c>
      <c r="AT156" s="11">
        <f>'[1]2018'!AT165+'[1]2019'!AT165+'[1]2020'!AT165</f>
        <v>0</v>
      </c>
      <c r="AU156" s="11">
        <f>'[1]2018'!AU165+'[1]2019'!AU165+'[1]2020'!AU165</f>
        <v>0</v>
      </c>
      <c r="AV156" s="11">
        <f>'[1]2018'!AV165+'[1]2019'!AV165+'[1]2020'!AV165</f>
        <v>0</v>
      </c>
      <c r="AW156" s="41">
        <f t="shared" si="19"/>
        <v>19</v>
      </c>
      <c r="AX156" s="14">
        <f t="shared" si="20"/>
        <v>750</v>
      </c>
      <c r="AY156" s="2">
        <f>'[1]2018'!AX165+'[1]2019'!AX165+'[1]2020'!AX165</f>
        <v>2250</v>
      </c>
    </row>
    <row r="157" spans="1:136" s="13" customFormat="1" x14ac:dyDescent="0.25">
      <c r="A157" s="10" t="s">
        <v>238</v>
      </c>
      <c r="B157" s="46">
        <f>'[1]2018'!B166+'[1]2019'!B166+'[1]2020'!B166</f>
        <v>2</v>
      </c>
      <c r="C157" s="46">
        <f>'[1]2018'!C166+'[1]2019'!C166+'[1]2020'!C166</f>
        <v>0</v>
      </c>
      <c r="D157" s="46">
        <f>'[1]2018'!D166+'[1]2019'!D166+'[1]2020'!D166</f>
        <v>12</v>
      </c>
      <c r="E157" s="46">
        <f>'[1]2018'!E166+'[1]2019'!E166+'[1]2020'!E166</f>
        <v>0</v>
      </c>
      <c r="F157" s="46">
        <f>'[1]2018'!F166+'[1]2019'!F166+'[1]2020'!F166</f>
        <v>0</v>
      </c>
      <c r="G157" s="46">
        <f>'[1]2018'!G166+'[1]2019'!G166+'[1]2020'!G166</f>
        <v>0</v>
      </c>
      <c r="H157" s="46">
        <f>'[1]2018'!H166+'[1]2019'!H166+'[1]2020'!H166</f>
        <v>0</v>
      </c>
      <c r="I157" s="46">
        <f>'[1]2018'!I166+'[1]2019'!I166+'[1]2020'!I166</f>
        <v>0</v>
      </c>
      <c r="J157" s="46">
        <f>'[1]2018'!J166+'[1]2019'!J166+'[1]2020'!J166</f>
        <v>0</v>
      </c>
      <c r="K157" s="46">
        <f>'[1]2018'!K166+'[1]2019'!K166+'[1]2020'!K166</f>
        <v>0</v>
      </c>
      <c r="L157" s="46">
        <f>'[1]2018'!L166+'[1]2019'!L166+'[1]2020'!L166</f>
        <v>0</v>
      </c>
      <c r="M157" s="46">
        <f>'[1]2018'!M166+'[1]2019'!M166+'[1]2020'!M166</f>
        <v>12</v>
      </c>
      <c r="N157" s="46">
        <f>'[1]2018'!N166+'[1]2019'!N166+'[1]2020'!N166</f>
        <v>0</v>
      </c>
      <c r="O157" s="46">
        <f>'[1]2018'!O166+'[1]2019'!O166+'[1]2020'!O166</f>
        <v>0</v>
      </c>
      <c r="P157" s="46">
        <f>'[1]2018'!P166+'[1]2019'!P166+'[1]2020'!P166</f>
        <v>0</v>
      </c>
      <c r="Q157" s="46">
        <f>'[1]2018'!Q166+'[1]2019'!Q166+'[1]2020'!Q166</f>
        <v>0</v>
      </c>
      <c r="R157" s="46">
        <f>'[1]2018'!R166+'[1]2019'!R166+'[1]2020'!R166</f>
        <v>0</v>
      </c>
      <c r="S157" s="46">
        <f>'[1]2018'!S166+'[1]2019'!S166+'[1]2020'!S166</f>
        <v>0</v>
      </c>
      <c r="T157" s="46">
        <f>'[1]2018'!T166+'[1]2019'!T166+'[1]2020'!T166</f>
        <v>0</v>
      </c>
      <c r="U157" s="46">
        <f>'[1]2018'!U166+'[1]2019'!U166+'[1]2020'!U166</f>
        <v>0</v>
      </c>
      <c r="V157" s="46">
        <f>'[1]2018'!V166+'[1]2019'!V166+'[1]2020'!V166</f>
        <v>0</v>
      </c>
      <c r="W157" s="46">
        <f>'[1]2018'!W166+'[1]2019'!W166+'[1]2020'!W166</f>
        <v>0</v>
      </c>
      <c r="X157" s="46">
        <f>'[1]2018'!X166+'[1]2019'!X166+'[1]2020'!X166</f>
        <v>0</v>
      </c>
      <c r="Y157" s="41">
        <f t="shared" si="18"/>
        <v>12</v>
      </c>
      <c r="Z157" s="11">
        <f>'[1]2018'!Z166+'[1]2019'!Z166+'[1]2020'!Z166</f>
        <v>8</v>
      </c>
      <c r="AA157" s="11">
        <f>'[1]2018'!AA166+'[1]2019'!AA166+'[1]2020'!AA166</f>
        <v>0</v>
      </c>
      <c r="AB157" s="11">
        <f>'[1]2018'!AB166+'[1]2019'!AB166+'[1]2020'!AB166</f>
        <v>25</v>
      </c>
      <c r="AC157" s="11">
        <f>'[1]2018'!AC166+'[1]2019'!AC166+'[1]2020'!AC166</f>
        <v>0</v>
      </c>
      <c r="AD157" s="11">
        <f>'[1]2018'!AD166+'[1]2019'!AD166+'[1]2020'!AD166</f>
        <v>0</v>
      </c>
      <c r="AE157" s="11">
        <f>'[1]2018'!AE166+'[1]2019'!AE166+'[1]2020'!AE166</f>
        <v>0</v>
      </c>
      <c r="AF157" s="11">
        <f>'[1]2018'!AF166+'[1]2019'!AF166+'[1]2020'!AF166</f>
        <v>0</v>
      </c>
      <c r="AG157" s="11">
        <f>'[1]2018'!AG166+'[1]2019'!AG166+'[1]2020'!AG166</f>
        <v>0</v>
      </c>
      <c r="AH157" s="11">
        <f>'[1]2018'!AH166+'[1]2019'!AH166+'[1]2020'!AH166</f>
        <v>0</v>
      </c>
      <c r="AI157" s="11">
        <f>'[1]2018'!AI166+'[1]2019'!AI166+'[1]2020'!AI166</f>
        <v>0</v>
      </c>
      <c r="AJ157" s="11">
        <f>'[1]2018'!AJ166+'[1]2019'!AJ166+'[1]2020'!AJ166</f>
        <v>0</v>
      </c>
      <c r="AK157" s="11">
        <f>'[1]2018'!AK166+'[1]2019'!AK166+'[1]2020'!AK166</f>
        <v>25</v>
      </c>
      <c r="AL157" s="11">
        <f>'[1]2018'!AL166+'[1]2019'!AL166+'[1]2020'!AL166</f>
        <v>0</v>
      </c>
      <c r="AM157" s="11">
        <f>'[1]2018'!AM166+'[1]2019'!AM166+'[1]2020'!AM166</f>
        <v>0</v>
      </c>
      <c r="AN157" s="11">
        <f>'[1]2018'!AN166+'[1]2019'!AN166+'[1]2020'!AN166</f>
        <v>0</v>
      </c>
      <c r="AO157" s="11">
        <f>'[1]2018'!AO166+'[1]2019'!AO166+'[1]2020'!AO166</f>
        <v>0</v>
      </c>
      <c r="AP157" s="11">
        <f>'[1]2018'!AP166+'[1]2019'!AP166+'[1]2020'!AP166</f>
        <v>0</v>
      </c>
      <c r="AQ157" s="11">
        <f>'[1]2018'!AQ166+'[1]2019'!AQ166+'[1]2020'!AQ166</f>
        <v>0</v>
      </c>
      <c r="AR157" s="11">
        <f>'[1]2018'!AR166+'[1]2019'!AR166+'[1]2020'!AR166</f>
        <v>0</v>
      </c>
      <c r="AS157" s="11">
        <f>'[1]2018'!AS166+'[1]2019'!AS166+'[1]2020'!AS166</f>
        <v>0</v>
      </c>
      <c r="AT157" s="11">
        <f>'[1]2018'!AT166+'[1]2019'!AT166+'[1]2020'!AT166</f>
        <v>0</v>
      </c>
      <c r="AU157" s="11">
        <f>'[1]2018'!AU166+'[1]2019'!AU166+'[1]2020'!AU166</f>
        <v>0</v>
      </c>
      <c r="AV157" s="11">
        <f>'[1]2018'!AV166+'[1]2019'!AV166+'[1]2020'!AV166</f>
        <v>0</v>
      </c>
      <c r="AW157" s="41">
        <f t="shared" si="19"/>
        <v>25</v>
      </c>
      <c r="AX157" s="14">
        <f t="shared" si="20"/>
        <v>360</v>
      </c>
      <c r="AY157" s="2">
        <f>'[1]2018'!AX166+'[1]2019'!AX166+'[1]2020'!AX166</f>
        <v>1080</v>
      </c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</row>
    <row r="158" spans="1:136" s="13" customFormat="1" x14ac:dyDescent="0.25">
      <c r="A158" s="10" t="s">
        <v>239</v>
      </c>
      <c r="B158" s="46">
        <f>'[1]2018'!B167+'[1]2019'!B167+'[1]2020'!B167</f>
        <v>1</v>
      </c>
      <c r="C158" s="46">
        <f>'[1]2018'!C167+'[1]2019'!C167+'[1]2020'!C167</f>
        <v>0</v>
      </c>
      <c r="D158" s="46">
        <f>'[1]2018'!D167+'[1]2019'!D167+'[1]2020'!D167</f>
        <v>6</v>
      </c>
      <c r="E158" s="46">
        <f>'[1]2018'!E167+'[1]2019'!E167+'[1]2020'!E167</f>
        <v>0</v>
      </c>
      <c r="F158" s="46">
        <f>'[1]2018'!F167+'[1]2019'!F167+'[1]2020'!F167</f>
        <v>0</v>
      </c>
      <c r="G158" s="46">
        <f>'[1]2018'!G167+'[1]2019'!G167+'[1]2020'!G167</f>
        <v>0</v>
      </c>
      <c r="H158" s="46">
        <f>'[1]2018'!H167+'[1]2019'!H167+'[1]2020'!H167</f>
        <v>6</v>
      </c>
      <c r="I158" s="46">
        <f>'[1]2018'!I167+'[1]2019'!I167+'[1]2020'!I167</f>
        <v>0</v>
      </c>
      <c r="J158" s="46">
        <f>'[1]2018'!J167+'[1]2019'!J167+'[1]2020'!J167</f>
        <v>0</v>
      </c>
      <c r="K158" s="46">
        <f>'[1]2018'!K167+'[1]2019'!K167+'[1]2020'!K167</f>
        <v>0</v>
      </c>
      <c r="L158" s="46">
        <f>'[1]2018'!L167+'[1]2019'!L167+'[1]2020'!L167</f>
        <v>0</v>
      </c>
      <c r="M158" s="46">
        <f>'[1]2018'!M167+'[1]2019'!M167+'[1]2020'!M167</f>
        <v>0</v>
      </c>
      <c r="N158" s="46">
        <f>'[1]2018'!N167+'[1]2019'!N167+'[1]2020'!N167</f>
        <v>0</v>
      </c>
      <c r="O158" s="46">
        <f>'[1]2018'!O167+'[1]2019'!O167+'[1]2020'!O167</f>
        <v>0</v>
      </c>
      <c r="P158" s="46">
        <f>'[1]2018'!P167+'[1]2019'!P167+'[1]2020'!P167</f>
        <v>0</v>
      </c>
      <c r="Q158" s="46">
        <f>'[1]2018'!Q167+'[1]2019'!Q167+'[1]2020'!Q167</f>
        <v>0</v>
      </c>
      <c r="R158" s="46">
        <f>'[1]2018'!R167+'[1]2019'!R167+'[1]2020'!R167</f>
        <v>0</v>
      </c>
      <c r="S158" s="46">
        <f>'[1]2018'!S167+'[1]2019'!S167+'[1]2020'!S167</f>
        <v>0</v>
      </c>
      <c r="T158" s="46">
        <f>'[1]2018'!T167+'[1]2019'!T167+'[1]2020'!T167</f>
        <v>0</v>
      </c>
      <c r="U158" s="46">
        <f>'[1]2018'!U167+'[1]2019'!U167+'[1]2020'!U167</f>
        <v>0</v>
      </c>
      <c r="V158" s="46">
        <f>'[1]2018'!V167+'[1]2019'!V167+'[1]2020'!V167</f>
        <v>0</v>
      </c>
      <c r="W158" s="46">
        <f>'[1]2018'!W167+'[1]2019'!W167+'[1]2020'!W167</f>
        <v>0</v>
      </c>
      <c r="X158" s="46">
        <f>'[1]2018'!X167+'[1]2019'!X167+'[1]2020'!X167</f>
        <v>0</v>
      </c>
      <c r="Y158" s="41">
        <f t="shared" si="18"/>
        <v>6</v>
      </c>
      <c r="Z158" s="11">
        <f>'[1]2018'!Z167+'[1]2019'!Z167+'[1]2020'!Z167</f>
        <v>1</v>
      </c>
      <c r="AA158" s="11">
        <f>'[1]2018'!AA167+'[1]2019'!AA167+'[1]2020'!AA167</f>
        <v>0</v>
      </c>
      <c r="AB158" s="11">
        <f>'[1]2018'!AB167+'[1]2019'!AB167+'[1]2020'!AB167</f>
        <v>6</v>
      </c>
      <c r="AC158" s="11">
        <f>'[1]2018'!AC167+'[1]2019'!AC167+'[1]2020'!AC167</f>
        <v>0</v>
      </c>
      <c r="AD158" s="11">
        <f>'[1]2018'!AD167+'[1]2019'!AD167+'[1]2020'!AD167</f>
        <v>0</v>
      </c>
      <c r="AE158" s="11">
        <f>'[1]2018'!AE167+'[1]2019'!AE167+'[1]2020'!AE167</f>
        <v>0</v>
      </c>
      <c r="AF158" s="11">
        <f>'[1]2018'!AF167+'[1]2019'!AF167+'[1]2020'!AF167</f>
        <v>6</v>
      </c>
      <c r="AG158" s="11">
        <f>'[1]2018'!AG167+'[1]2019'!AG167+'[1]2020'!AG167</f>
        <v>0</v>
      </c>
      <c r="AH158" s="11">
        <f>'[1]2018'!AH167+'[1]2019'!AH167+'[1]2020'!AH167</f>
        <v>0</v>
      </c>
      <c r="AI158" s="11">
        <f>'[1]2018'!AI167+'[1]2019'!AI167+'[1]2020'!AI167</f>
        <v>0</v>
      </c>
      <c r="AJ158" s="11">
        <f>'[1]2018'!AJ167+'[1]2019'!AJ167+'[1]2020'!AJ167</f>
        <v>0</v>
      </c>
      <c r="AK158" s="11">
        <f>'[1]2018'!AK167+'[1]2019'!AK167+'[1]2020'!AK167</f>
        <v>0</v>
      </c>
      <c r="AL158" s="11">
        <f>'[1]2018'!AL167+'[1]2019'!AL167+'[1]2020'!AL167</f>
        <v>0</v>
      </c>
      <c r="AM158" s="11">
        <f>'[1]2018'!AM167+'[1]2019'!AM167+'[1]2020'!AM167</f>
        <v>0</v>
      </c>
      <c r="AN158" s="11">
        <f>'[1]2018'!AN167+'[1]2019'!AN167+'[1]2020'!AN167</f>
        <v>0</v>
      </c>
      <c r="AO158" s="11">
        <f>'[1]2018'!AO167+'[1]2019'!AO167+'[1]2020'!AO167</f>
        <v>0</v>
      </c>
      <c r="AP158" s="11">
        <f>'[1]2018'!AP167+'[1]2019'!AP167+'[1]2020'!AP167</f>
        <v>0</v>
      </c>
      <c r="AQ158" s="11">
        <f>'[1]2018'!AQ167+'[1]2019'!AQ167+'[1]2020'!AQ167</f>
        <v>0</v>
      </c>
      <c r="AR158" s="11">
        <f>'[1]2018'!AR167+'[1]2019'!AR167+'[1]2020'!AR167</f>
        <v>0</v>
      </c>
      <c r="AS158" s="11">
        <f>'[1]2018'!AS167+'[1]2019'!AS167+'[1]2020'!AS167</f>
        <v>0</v>
      </c>
      <c r="AT158" s="11">
        <f>'[1]2018'!AT167+'[1]2019'!AT167+'[1]2020'!AT167</f>
        <v>0</v>
      </c>
      <c r="AU158" s="11">
        <f>'[1]2018'!AU167+'[1]2019'!AU167+'[1]2020'!AU167</f>
        <v>0</v>
      </c>
      <c r="AV158" s="11">
        <f>'[1]2018'!AV167+'[1]2019'!AV167+'[1]2020'!AV167</f>
        <v>0</v>
      </c>
      <c r="AW158" s="41">
        <f t="shared" si="19"/>
        <v>6</v>
      </c>
      <c r="AX158" s="14">
        <f t="shared" si="20"/>
        <v>293.33333333333331</v>
      </c>
      <c r="AY158" s="2">
        <f>'[1]2018'!AX167+'[1]2019'!AX167+'[1]2020'!AX167</f>
        <v>880</v>
      </c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</row>
    <row r="159" spans="1:136" x14ac:dyDescent="0.25">
      <c r="A159" s="10" t="s">
        <v>240</v>
      </c>
      <c r="B159" s="46">
        <f>'[1]2018'!B168+'[1]2019'!B168+'[1]2020'!B168</f>
        <v>9</v>
      </c>
      <c r="C159" s="46">
        <f>'[1]2018'!C168+'[1]2019'!C168+'[1]2020'!C168</f>
        <v>0</v>
      </c>
      <c r="D159" s="46">
        <f>'[1]2018'!D168+'[1]2019'!D168+'[1]2020'!D168</f>
        <v>10</v>
      </c>
      <c r="E159" s="46">
        <f>'[1]2018'!E168+'[1]2019'!E168+'[1]2020'!E168</f>
        <v>0</v>
      </c>
      <c r="F159" s="46">
        <f>'[1]2018'!F168+'[1]2019'!F168+'[1]2020'!F168</f>
        <v>0</v>
      </c>
      <c r="G159" s="46">
        <f>'[1]2018'!G168+'[1]2019'!G168+'[1]2020'!G168</f>
        <v>0</v>
      </c>
      <c r="H159" s="46">
        <f>'[1]2018'!H168+'[1]2019'!H168+'[1]2020'!H168</f>
        <v>0</v>
      </c>
      <c r="I159" s="46">
        <f>'[1]2018'!I168+'[1]2019'!I168+'[1]2020'!I168</f>
        <v>0</v>
      </c>
      <c r="J159" s="46">
        <f>'[1]2018'!J168+'[1]2019'!J168+'[1]2020'!J168</f>
        <v>0</v>
      </c>
      <c r="K159" s="46">
        <f>'[1]2018'!K168+'[1]2019'!K168+'[1]2020'!K168</f>
        <v>4</v>
      </c>
      <c r="L159" s="46">
        <f>'[1]2018'!L168+'[1]2019'!L168+'[1]2020'!L168</f>
        <v>0</v>
      </c>
      <c r="M159" s="46">
        <f>'[1]2018'!M168+'[1]2019'!M168+'[1]2020'!M168</f>
        <v>0</v>
      </c>
      <c r="N159" s="46">
        <f>'[1]2018'!N168+'[1]2019'!N168+'[1]2020'!N168</f>
        <v>0</v>
      </c>
      <c r="O159" s="46">
        <f>'[1]2018'!O168+'[1]2019'!O168+'[1]2020'!O168</f>
        <v>0</v>
      </c>
      <c r="P159" s="46">
        <f>'[1]2018'!P168+'[1]2019'!P168+'[1]2020'!P168</f>
        <v>0</v>
      </c>
      <c r="Q159" s="46">
        <f>'[1]2018'!Q168+'[1]2019'!Q168+'[1]2020'!Q168</f>
        <v>0</v>
      </c>
      <c r="R159" s="46">
        <f>'[1]2018'!R168+'[1]2019'!R168+'[1]2020'!R168</f>
        <v>6</v>
      </c>
      <c r="S159" s="46">
        <f>'[1]2018'!S168+'[1]2019'!S168+'[1]2020'!S168</f>
        <v>0</v>
      </c>
      <c r="T159" s="46">
        <f>'[1]2018'!T168+'[1]2019'!T168+'[1]2020'!T168</f>
        <v>0</v>
      </c>
      <c r="U159" s="46">
        <f>'[1]2018'!U168+'[1]2019'!U168+'[1]2020'!U168</f>
        <v>0</v>
      </c>
      <c r="V159" s="46">
        <f>'[1]2018'!V168+'[1]2019'!V168+'[1]2020'!V168</f>
        <v>0</v>
      </c>
      <c r="W159" s="46">
        <f>'[1]2018'!W168+'[1]2019'!W168+'[1]2020'!W168</f>
        <v>0</v>
      </c>
      <c r="X159" s="46">
        <f>'[1]2018'!X168+'[1]2019'!X168+'[1]2020'!X168</f>
        <v>0</v>
      </c>
      <c r="Y159" s="41">
        <f t="shared" si="18"/>
        <v>10</v>
      </c>
      <c r="Z159" s="11">
        <f>'[1]2018'!Z168+'[1]2019'!Z168+'[1]2020'!Z168</f>
        <v>7</v>
      </c>
      <c r="AA159" s="11">
        <f>'[1]2018'!AA168+'[1]2019'!AA168+'[1]2020'!AA168</f>
        <v>0</v>
      </c>
      <c r="AB159" s="11">
        <f>'[1]2018'!AB168+'[1]2019'!AB168+'[1]2020'!AB168</f>
        <v>8</v>
      </c>
      <c r="AC159" s="11">
        <f>'[1]2018'!AC168+'[1]2019'!AC168+'[1]2020'!AC168</f>
        <v>0</v>
      </c>
      <c r="AD159" s="11">
        <f>'[1]2018'!AD168+'[1]2019'!AD168+'[1]2020'!AD168</f>
        <v>0</v>
      </c>
      <c r="AE159" s="11">
        <f>'[1]2018'!AE168+'[1]2019'!AE168+'[1]2020'!AE168</f>
        <v>0</v>
      </c>
      <c r="AF159" s="11">
        <f>'[1]2018'!AF168+'[1]2019'!AF168+'[1]2020'!AF168</f>
        <v>0</v>
      </c>
      <c r="AG159" s="11">
        <f>'[1]2018'!AG168+'[1]2019'!AG168+'[1]2020'!AG168</f>
        <v>0</v>
      </c>
      <c r="AH159" s="11">
        <f>'[1]2018'!AH168+'[1]2019'!AH168+'[1]2020'!AH168</f>
        <v>0</v>
      </c>
      <c r="AI159" s="11">
        <f>'[1]2018'!AI168+'[1]2019'!AI168+'[1]2020'!AI168</f>
        <v>3</v>
      </c>
      <c r="AJ159" s="11">
        <f>'[1]2018'!AJ168+'[1]2019'!AJ168+'[1]2020'!AJ168</f>
        <v>0</v>
      </c>
      <c r="AK159" s="11">
        <f>'[1]2018'!AK168+'[1]2019'!AK168+'[1]2020'!AK168</f>
        <v>0</v>
      </c>
      <c r="AL159" s="11">
        <f>'[1]2018'!AL168+'[1]2019'!AL168+'[1]2020'!AL168</f>
        <v>0</v>
      </c>
      <c r="AM159" s="11">
        <f>'[1]2018'!AM168+'[1]2019'!AM168+'[1]2020'!AM168</f>
        <v>0</v>
      </c>
      <c r="AN159" s="11">
        <f>'[1]2018'!AN168+'[1]2019'!AN168+'[1]2020'!AN168</f>
        <v>0</v>
      </c>
      <c r="AO159" s="11">
        <f>'[1]2018'!AO168+'[1]2019'!AO168+'[1]2020'!AO168</f>
        <v>0</v>
      </c>
      <c r="AP159" s="11">
        <f>'[1]2018'!AP168+'[1]2019'!AP168+'[1]2020'!AP168</f>
        <v>5</v>
      </c>
      <c r="AQ159" s="11">
        <f>'[1]2018'!AQ168+'[1]2019'!AQ168+'[1]2020'!AQ168</f>
        <v>0</v>
      </c>
      <c r="AR159" s="11">
        <f>'[1]2018'!AR168+'[1]2019'!AR168+'[1]2020'!AR168</f>
        <v>0</v>
      </c>
      <c r="AS159" s="11">
        <f>'[1]2018'!AS168+'[1]2019'!AS168+'[1]2020'!AS168</f>
        <v>0</v>
      </c>
      <c r="AT159" s="11">
        <f>'[1]2018'!AT168+'[1]2019'!AT168+'[1]2020'!AT168</f>
        <v>0</v>
      </c>
      <c r="AU159" s="11">
        <f>'[1]2018'!AU168+'[1]2019'!AU168+'[1]2020'!AU168</f>
        <v>0</v>
      </c>
      <c r="AV159" s="11">
        <f>'[1]2018'!AV168+'[1]2019'!AV168+'[1]2020'!AV168</f>
        <v>0</v>
      </c>
      <c r="AW159" s="41">
        <f t="shared" si="19"/>
        <v>8</v>
      </c>
      <c r="AX159" s="14">
        <f t="shared" si="20"/>
        <v>493.55555555555549</v>
      </c>
      <c r="AY159" s="2">
        <f>'[1]2018'!AX168+'[1]2019'!AX168+'[1]2020'!AX168</f>
        <v>1480.6666666666665</v>
      </c>
    </row>
    <row r="160" spans="1:136" x14ac:dyDescent="0.25">
      <c r="A160" s="10" t="s">
        <v>241</v>
      </c>
      <c r="B160" s="46">
        <f>'[1]2018'!B169+'[1]2019'!B169+'[1]2020'!B169</f>
        <v>11</v>
      </c>
      <c r="C160" s="46">
        <f>'[1]2018'!C169+'[1]2019'!C169+'[1]2020'!C169</f>
        <v>0</v>
      </c>
      <c r="D160" s="46">
        <f>'[1]2018'!D169+'[1]2019'!D169+'[1]2020'!D169</f>
        <v>23</v>
      </c>
      <c r="E160" s="46">
        <f>'[1]2018'!E169+'[1]2019'!E169+'[1]2020'!E169</f>
        <v>0</v>
      </c>
      <c r="F160" s="46">
        <f>'[1]2018'!F169+'[1]2019'!F169+'[1]2020'!F169</f>
        <v>0</v>
      </c>
      <c r="G160" s="46">
        <f>'[1]2018'!G169+'[1]2019'!G169+'[1]2020'!G169</f>
        <v>0</v>
      </c>
      <c r="H160" s="46">
        <f>'[1]2018'!H169+'[1]2019'!H169+'[1]2020'!H169</f>
        <v>4</v>
      </c>
      <c r="I160" s="46">
        <f>'[1]2018'!I169+'[1]2019'!I169+'[1]2020'!I169</f>
        <v>0</v>
      </c>
      <c r="J160" s="46">
        <f>'[1]2018'!J169+'[1]2019'!J169+'[1]2020'!J169</f>
        <v>0</v>
      </c>
      <c r="K160" s="46">
        <f>'[1]2018'!K169+'[1]2019'!K169+'[1]2020'!K169</f>
        <v>2</v>
      </c>
      <c r="L160" s="46">
        <f>'[1]2018'!L169+'[1]2019'!L169+'[1]2020'!L169</f>
        <v>0</v>
      </c>
      <c r="M160" s="46">
        <f>'[1]2018'!M169+'[1]2019'!M169+'[1]2020'!M169</f>
        <v>0</v>
      </c>
      <c r="N160" s="46">
        <f>'[1]2018'!N169+'[1]2019'!N169+'[1]2020'!N169</f>
        <v>0</v>
      </c>
      <c r="O160" s="46">
        <f>'[1]2018'!O169+'[1]2019'!O169+'[1]2020'!O169</f>
        <v>1</v>
      </c>
      <c r="P160" s="46">
        <f>'[1]2018'!P169+'[1]2019'!P169+'[1]2020'!P169</f>
        <v>0</v>
      </c>
      <c r="Q160" s="46">
        <f>'[1]2018'!Q169+'[1]2019'!Q169+'[1]2020'!Q169</f>
        <v>0</v>
      </c>
      <c r="R160" s="46">
        <f>'[1]2018'!R169+'[1]2019'!R169+'[1]2020'!R169</f>
        <v>14</v>
      </c>
      <c r="S160" s="46">
        <f>'[1]2018'!S169+'[1]2019'!S169+'[1]2020'!S169</f>
        <v>0</v>
      </c>
      <c r="T160" s="46">
        <f>'[1]2018'!T169+'[1]2019'!T169+'[1]2020'!T169</f>
        <v>2</v>
      </c>
      <c r="U160" s="46">
        <f>'[1]2018'!U169+'[1]2019'!U169+'[1]2020'!U169</f>
        <v>0</v>
      </c>
      <c r="V160" s="46">
        <f>'[1]2018'!V169+'[1]2019'!V169+'[1]2020'!V169</f>
        <v>0</v>
      </c>
      <c r="W160" s="46">
        <f>'[1]2018'!W169+'[1]2019'!W169+'[1]2020'!W169</f>
        <v>0</v>
      </c>
      <c r="X160" s="46">
        <f>'[1]2018'!X169+'[1]2019'!X169+'[1]2020'!X169</f>
        <v>0</v>
      </c>
      <c r="Y160" s="41">
        <f t="shared" si="18"/>
        <v>23</v>
      </c>
      <c r="Z160" s="11">
        <f>'[1]2018'!Z169+'[1]2019'!Z169+'[1]2020'!Z169</f>
        <v>10</v>
      </c>
      <c r="AA160" s="11">
        <f>'[1]2018'!AA169+'[1]2019'!AA169+'[1]2020'!AA169</f>
        <v>0</v>
      </c>
      <c r="AB160" s="11">
        <f>'[1]2018'!AB169+'[1]2019'!AB169+'[1]2020'!AB169</f>
        <v>18</v>
      </c>
      <c r="AC160" s="11">
        <f>'[1]2018'!AC169+'[1]2019'!AC169+'[1]2020'!AC169</f>
        <v>0</v>
      </c>
      <c r="AD160" s="11">
        <f>'[1]2018'!AD169+'[1]2019'!AD169+'[1]2020'!AD169</f>
        <v>0</v>
      </c>
      <c r="AE160" s="11">
        <f>'[1]2018'!AE169+'[1]2019'!AE169+'[1]2020'!AE169</f>
        <v>0</v>
      </c>
      <c r="AF160" s="11">
        <f>'[1]2018'!AF169+'[1]2019'!AF169+'[1]2020'!AF169</f>
        <v>2</v>
      </c>
      <c r="AG160" s="11">
        <f>'[1]2018'!AG169+'[1]2019'!AG169+'[1]2020'!AG169</f>
        <v>0</v>
      </c>
      <c r="AH160" s="11">
        <f>'[1]2018'!AH169+'[1]2019'!AH169+'[1]2020'!AH169</f>
        <v>0</v>
      </c>
      <c r="AI160" s="11">
        <f>'[1]2018'!AI169+'[1]2019'!AI169+'[1]2020'!AI169</f>
        <v>2</v>
      </c>
      <c r="AJ160" s="11">
        <f>'[1]2018'!AJ169+'[1]2019'!AJ169+'[1]2020'!AJ169</f>
        <v>0</v>
      </c>
      <c r="AK160" s="11">
        <f>'[1]2018'!AK169+'[1]2019'!AK169+'[1]2020'!AK169</f>
        <v>0</v>
      </c>
      <c r="AL160" s="11">
        <f>'[1]2018'!AL169+'[1]2019'!AL169+'[1]2020'!AL169</f>
        <v>0</v>
      </c>
      <c r="AM160" s="11">
        <f>'[1]2018'!AM169+'[1]2019'!AM169+'[1]2020'!AM169</f>
        <v>1</v>
      </c>
      <c r="AN160" s="11">
        <f>'[1]2018'!AN169+'[1]2019'!AN169+'[1]2020'!AN169</f>
        <v>0</v>
      </c>
      <c r="AO160" s="11">
        <f>'[1]2018'!AO169+'[1]2019'!AO169+'[1]2020'!AO169</f>
        <v>0</v>
      </c>
      <c r="AP160" s="11">
        <f>'[1]2018'!AP169+'[1]2019'!AP169+'[1]2020'!AP169</f>
        <v>13</v>
      </c>
      <c r="AQ160" s="11">
        <f>'[1]2018'!AQ169+'[1]2019'!AQ169+'[1]2020'!AQ169</f>
        <v>0</v>
      </c>
      <c r="AR160" s="11">
        <f>'[1]2018'!AR169+'[1]2019'!AR169+'[1]2020'!AR169</f>
        <v>0</v>
      </c>
      <c r="AS160" s="11">
        <f>'[1]2018'!AS169+'[1]2019'!AS169+'[1]2020'!AS169</f>
        <v>0</v>
      </c>
      <c r="AT160" s="11">
        <f>'[1]2018'!AT169+'[1]2019'!AT169+'[1]2020'!AT169</f>
        <v>0</v>
      </c>
      <c r="AU160" s="11">
        <f>'[1]2018'!AU169+'[1]2019'!AU169+'[1]2020'!AU169</f>
        <v>0</v>
      </c>
      <c r="AV160" s="11">
        <f>'[1]2018'!AV169+'[1]2019'!AV169+'[1]2020'!AV169</f>
        <v>0</v>
      </c>
      <c r="AW160" s="41">
        <f t="shared" si="19"/>
        <v>18</v>
      </c>
      <c r="AX160" s="14">
        <f t="shared" si="20"/>
        <v>3694.2666666666664</v>
      </c>
      <c r="AY160" s="2">
        <f>'[1]2018'!AX169+'[1]2019'!AX169+'[1]2020'!AX169</f>
        <v>11082.8</v>
      </c>
    </row>
    <row r="161" spans="1:136" x14ac:dyDescent="0.25">
      <c r="A161" s="10" t="s">
        <v>242</v>
      </c>
      <c r="B161" s="46">
        <f>'[1]2018'!B170+'[1]2019'!B170+'[1]2020'!B170</f>
        <v>12</v>
      </c>
      <c r="C161" s="46">
        <f>'[1]2018'!C170+'[1]2019'!C170+'[1]2020'!C170</f>
        <v>1</v>
      </c>
      <c r="D161" s="46">
        <f>'[1]2018'!D170+'[1]2019'!D170+'[1]2020'!D170</f>
        <v>45</v>
      </c>
      <c r="E161" s="46">
        <f>'[1]2018'!E170+'[1]2019'!E170+'[1]2020'!E170</f>
        <v>1</v>
      </c>
      <c r="F161" s="46">
        <f>'[1]2018'!F170+'[1]2019'!F170+'[1]2020'!F170</f>
        <v>0</v>
      </c>
      <c r="G161" s="46">
        <f>'[1]2018'!G170+'[1]2019'!G170+'[1]2020'!G170</f>
        <v>0</v>
      </c>
      <c r="H161" s="46">
        <f>'[1]2018'!H170+'[1]2019'!H170+'[1]2020'!H170</f>
        <v>40</v>
      </c>
      <c r="I161" s="46">
        <f>'[1]2018'!I170+'[1]2019'!I170+'[1]2020'!I170</f>
        <v>0</v>
      </c>
      <c r="J161" s="46">
        <f>'[1]2018'!J170+'[1]2019'!J170+'[1]2020'!J170</f>
        <v>0</v>
      </c>
      <c r="K161" s="46">
        <f>'[1]2018'!K170+'[1]2019'!K170+'[1]2020'!K170</f>
        <v>0</v>
      </c>
      <c r="L161" s="46">
        <f>'[1]2018'!L170+'[1]2019'!L170+'[1]2020'!L170</f>
        <v>4</v>
      </c>
      <c r="M161" s="46">
        <f>'[1]2018'!M170+'[1]2019'!M170+'[1]2020'!M170</f>
        <v>0</v>
      </c>
      <c r="N161" s="46">
        <f>'[1]2018'!N170+'[1]2019'!N170+'[1]2020'!N170</f>
        <v>0</v>
      </c>
      <c r="O161" s="46">
        <f>'[1]2018'!O170+'[1]2019'!O170+'[1]2020'!O170</f>
        <v>0</v>
      </c>
      <c r="P161" s="46">
        <f>'[1]2018'!P170+'[1]2019'!P170+'[1]2020'!P170</f>
        <v>0</v>
      </c>
      <c r="Q161" s="46">
        <f>'[1]2018'!Q170+'[1]2019'!Q170+'[1]2020'!Q170</f>
        <v>0</v>
      </c>
      <c r="R161" s="46">
        <f>'[1]2018'!R170+'[1]2019'!R170+'[1]2020'!R170</f>
        <v>0</v>
      </c>
      <c r="S161" s="46">
        <f>'[1]2018'!S170+'[1]2019'!S170+'[1]2020'!S170</f>
        <v>0</v>
      </c>
      <c r="T161" s="46">
        <f>'[1]2018'!T170+'[1]2019'!T170+'[1]2020'!T170</f>
        <v>0</v>
      </c>
      <c r="U161" s="46">
        <f>'[1]2018'!U170+'[1]2019'!U170+'[1]2020'!U170</f>
        <v>1</v>
      </c>
      <c r="V161" s="46">
        <f>'[1]2018'!V170+'[1]2019'!V170+'[1]2020'!V170</f>
        <v>0</v>
      </c>
      <c r="W161" s="46">
        <f>'[1]2018'!W170+'[1]2019'!W170+'[1]2020'!W170</f>
        <v>0</v>
      </c>
      <c r="X161" s="46">
        <f>'[1]2018'!X170+'[1]2019'!X170+'[1]2020'!X170</f>
        <v>0</v>
      </c>
      <c r="Y161" s="41">
        <f t="shared" si="18"/>
        <v>45</v>
      </c>
      <c r="Z161" s="11">
        <f>'[1]2018'!Z170+'[1]2019'!Z170+'[1]2020'!Z170</f>
        <v>6</v>
      </c>
      <c r="AA161" s="11">
        <f>'[1]2018'!AA170+'[1]2019'!AA170+'[1]2020'!AA170</f>
        <v>0</v>
      </c>
      <c r="AB161" s="11">
        <f>'[1]2018'!AB170+'[1]2019'!AB170+'[1]2020'!AB170</f>
        <v>26</v>
      </c>
      <c r="AC161" s="11">
        <f>'[1]2018'!AC170+'[1]2019'!AC170+'[1]2020'!AC170</f>
        <v>0</v>
      </c>
      <c r="AD161" s="11">
        <f>'[1]2018'!AD170+'[1]2019'!AD170+'[1]2020'!AD170</f>
        <v>0</v>
      </c>
      <c r="AE161" s="11">
        <f>'[1]2018'!AE170+'[1]2019'!AE170+'[1]2020'!AE170</f>
        <v>0</v>
      </c>
      <c r="AF161" s="11">
        <f>'[1]2018'!AF170+'[1]2019'!AF170+'[1]2020'!AF170</f>
        <v>25</v>
      </c>
      <c r="AG161" s="11">
        <f>'[1]2018'!AG170+'[1]2019'!AG170+'[1]2020'!AG170</f>
        <v>0</v>
      </c>
      <c r="AH161" s="11">
        <f>'[1]2018'!AH170+'[1]2019'!AH170+'[1]2020'!AH170</f>
        <v>0</v>
      </c>
      <c r="AI161" s="11">
        <f>'[1]2018'!AI170+'[1]2019'!AI170+'[1]2020'!AI170</f>
        <v>0</v>
      </c>
      <c r="AJ161" s="11">
        <f>'[1]2018'!AJ170+'[1]2019'!AJ170+'[1]2020'!AJ170</f>
        <v>1</v>
      </c>
      <c r="AK161" s="11">
        <f>'[1]2018'!AK170+'[1]2019'!AK170+'[1]2020'!AK170</f>
        <v>0</v>
      </c>
      <c r="AL161" s="11">
        <f>'[1]2018'!AL170+'[1]2019'!AL170+'[1]2020'!AL170</f>
        <v>0</v>
      </c>
      <c r="AM161" s="11">
        <f>'[1]2018'!AM170+'[1]2019'!AM170+'[1]2020'!AM170</f>
        <v>0</v>
      </c>
      <c r="AN161" s="11">
        <f>'[1]2018'!AN170+'[1]2019'!AN170+'[1]2020'!AN170</f>
        <v>0</v>
      </c>
      <c r="AO161" s="11">
        <f>'[1]2018'!AO170+'[1]2019'!AO170+'[1]2020'!AO170</f>
        <v>0</v>
      </c>
      <c r="AP161" s="11">
        <f>'[1]2018'!AP170+'[1]2019'!AP170+'[1]2020'!AP170</f>
        <v>0</v>
      </c>
      <c r="AQ161" s="11">
        <f>'[1]2018'!AQ170+'[1]2019'!AQ170+'[1]2020'!AQ170</f>
        <v>0</v>
      </c>
      <c r="AR161" s="11">
        <f>'[1]2018'!AR170+'[1]2019'!AR170+'[1]2020'!AR170</f>
        <v>0</v>
      </c>
      <c r="AS161" s="11">
        <f>'[1]2018'!AS170+'[1]2019'!AS170+'[1]2020'!AS170</f>
        <v>0</v>
      </c>
      <c r="AT161" s="11">
        <f>'[1]2018'!AT170+'[1]2019'!AT170+'[1]2020'!AT170</f>
        <v>0</v>
      </c>
      <c r="AU161" s="11">
        <f>'[1]2018'!AU170+'[1]2019'!AU170+'[1]2020'!AU170</f>
        <v>0</v>
      </c>
      <c r="AV161" s="11">
        <f>'[1]2018'!AV170+'[1]2019'!AV170+'[1]2020'!AV170</f>
        <v>0</v>
      </c>
      <c r="AW161" s="41">
        <f t="shared" si="19"/>
        <v>26</v>
      </c>
      <c r="AX161" s="14">
        <f t="shared" si="20"/>
        <v>922.84444444444443</v>
      </c>
      <c r="AY161" s="2">
        <f>'[1]2018'!AX170+'[1]2019'!AX170+'[1]2020'!AX170</f>
        <v>2768.5333333333333</v>
      </c>
    </row>
    <row r="162" spans="1:136" x14ac:dyDescent="0.25">
      <c r="A162" s="10" t="s">
        <v>243</v>
      </c>
      <c r="B162" s="46">
        <f>'[1]2018'!B171+'[1]2019'!B171+'[1]2020'!B171</f>
        <v>10</v>
      </c>
      <c r="C162" s="46">
        <f>'[1]2018'!C171+'[1]2019'!C171+'[1]2020'!C171</f>
        <v>1</v>
      </c>
      <c r="D162" s="46">
        <f>'[1]2018'!D171+'[1]2019'!D171+'[1]2020'!D171</f>
        <v>44</v>
      </c>
      <c r="E162" s="46">
        <f>'[1]2018'!E171+'[1]2019'!E171+'[1]2020'!E171</f>
        <v>1</v>
      </c>
      <c r="F162" s="46">
        <f>'[1]2018'!F171+'[1]2019'!F171+'[1]2020'!F171</f>
        <v>0</v>
      </c>
      <c r="G162" s="46">
        <f>'[1]2018'!G171+'[1]2019'!G171+'[1]2020'!G171</f>
        <v>0</v>
      </c>
      <c r="H162" s="46">
        <f>'[1]2018'!H171+'[1]2019'!H171+'[1]2020'!H171</f>
        <v>29</v>
      </c>
      <c r="I162" s="46">
        <f>'[1]2018'!I171+'[1]2019'!I171+'[1]2020'!I171</f>
        <v>3</v>
      </c>
      <c r="J162" s="46">
        <f>'[1]2018'!J171+'[1]2019'!J171+'[1]2020'!J171</f>
        <v>1</v>
      </c>
      <c r="K162" s="46">
        <f>'[1]2018'!K171+'[1]2019'!K171+'[1]2020'!K171</f>
        <v>0</v>
      </c>
      <c r="L162" s="46">
        <f>'[1]2018'!L171+'[1]2019'!L171+'[1]2020'!L171</f>
        <v>0</v>
      </c>
      <c r="M162" s="46">
        <f>'[1]2018'!M171+'[1]2019'!M171+'[1]2020'!M171</f>
        <v>0</v>
      </c>
      <c r="N162" s="46">
        <f>'[1]2018'!N171+'[1]2019'!N171+'[1]2020'!N171</f>
        <v>0</v>
      </c>
      <c r="O162" s="46">
        <f>'[1]2018'!O171+'[1]2019'!O171+'[1]2020'!O171</f>
        <v>0</v>
      </c>
      <c r="P162" s="46">
        <f>'[1]2018'!P171+'[1]2019'!P171+'[1]2020'!P171</f>
        <v>0</v>
      </c>
      <c r="Q162" s="46">
        <f>'[1]2018'!Q171+'[1]2019'!Q171+'[1]2020'!Q171</f>
        <v>0</v>
      </c>
      <c r="R162" s="46">
        <f>'[1]2018'!R171+'[1]2019'!R171+'[1]2020'!R171</f>
        <v>11</v>
      </c>
      <c r="S162" s="46">
        <f>'[1]2018'!S171+'[1]2019'!S171+'[1]2020'!S171</f>
        <v>0</v>
      </c>
      <c r="T162" s="46">
        <f>'[1]2018'!T171+'[1]2019'!T171+'[1]2020'!T171</f>
        <v>0</v>
      </c>
      <c r="U162" s="46">
        <f>'[1]2018'!U171+'[1]2019'!U171+'[1]2020'!U171</f>
        <v>0</v>
      </c>
      <c r="V162" s="46">
        <f>'[1]2018'!V171+'[1]2019'!V171+'[1]2020'!V171</f>
        <v>0</v>
      </c>
      <c r="W162" s="46">
        <f>'[1]2018'!W171+'[1]2019'!W171+'[1]2020'!W171</f>
        <v>0</v>
      </c>
      <c r="X162" s="46">
        <f>'[1]2018'!X171+'[1]2019'!X171+'[1]2020'!X171</f>
        <v>0</v>
      </c>
      <c r="Y162" s="41">
        <f t="shared" si="18"/>
        <v>44</v>
      </c>
      <c r="Z162" s="11">
        <f>'[1]2018'!Z171+'[1]2019'!Z171+'[1]2020'!Z171</f>
        <v>6</v>
      </c>
      <c r="AA162" s="11">
        <f>'[1]2018'!AA171+'[1]2019'!AA171+'[1]2020'!AA171</f>
        <v>0</v>
      </c>
      <c r="AB162" s="11">
        <f>'[1]2018'!AB171+'[1]2019'!AB171+'[1]2020'!AB171</f>
        <v>22</v>
      </c>
      <c r="AC162" s="11">
        <f>'[1]2018'!AC171+'[1]2019'!AC171+'[1]2020'!AC171</f>
        <v>0</v>
      </c>
      <c r="AD162" s="11">
        <f>'[1]2018'!AD171+'[1]2019'!AD171+'[1]2020'!AD171</f>
        <v>0</v>
      </c>
      <c r="AE162" s="11">
        <f>'[1]2018'!AE171+'[1]2019'!AE171+'[1]2020'!AE171</f>
        <v>0</v>
      </c>
      <c r="AF162" s="11">
        <f>'[1]2018'!AF171+'[1]2019'!AF171+'[1]2020'!AF171</f>
        <v>16</v>
      </c>
      <c r="AG162" s="11">
        <f>'[1]2018'!AG171+'[1]2019'!AG171+'[1]2020'!AG171</f>
        <v>3</v>
      </c>
      <c r="AH162" s="11">
        <f>'[1]2018'!AH171+'[1]2019'!AH171+'[1]2020'!AH171</f>
        <v>0</v>
      </c>
      <c r="AI162" s="11">
        <f>'[1]2018'!AI171+'[1]2019'!AI171+'[1]2020'!AI171</f>
        <v>0</v>
      </c>
      <c r="AJ162" s="11">
        <f>'[1]2018'!AJ171+'[1]2019'!AJ171+'[1]2020'!AJ171</f>
        <v>0</v>
      </c>
      <c r="AK162" s="11">
        <f>'[1]2018'!AK171+'[1]2019'!AK171+'[1]2020'!AK171</f>
        <v>0</v>
      </c>
      <c r="AL162" s="11">
        <f>'[1]2018'!AL171+'[1]2019'!AL171+'[1]2020'!AL171</f>
        <v>0</v>
      </c>
      <c r="AM162" s="11">
        <f>'[1]2018'!AM171+'[1]2019'!AM171+'[1]2020'!AM171</f>
        <v>0</v>
      </c>
      <c r="AN162" s="11">
        <f>'[1]2018'!AN171+'[1]2019'!AN171+'[1]2020'!AN171</f>
        <v>0</v>
      </c>
      <c r="AO162" s="11">
        <f>'[1]2018'!AO171+'[1]2019'!AO171+'[1]2020'!AO171</f>
        <v>0</v>
      </c>
      <c r="AP162" s="11">
        <f>'[1]2018'!AP171+'[1]2019'!AP171+'[1]2020'!AP171</f>
        <v>3</v>
      </c>
      <c r="AQ162" s="11">
        <f>'[1]2018'!AQ171+'[1]2019'!AQ171+'[1]2020'!AQ171</f>
        <v>0</v>
      </c>
      <c r="AR162" s="11">
        <f>'[1]2018'!AR171+'[1]2019'!AR171+'[1]2020'!AR171</f>
        <v>0</v>
      </c>
      <c r="AS162" s="11">
        <f>'[1]2018'!AS171+'[1]2019'!AS171+'[1]2020'!AS171</f>
        <v>0</v>
      </c>
      <c r="AT162" s="11">
        <f>'[1]2018'!AT171+'[1]2019'!AT171+'[1]2020'!AT171</f>
        <v>0</v>
      </c>
      <c r="AU162" s="11">
        <f>'[1]2018'!AU171+'[1]2019'!AU171+'[1]2020'!AU171</f>
        <v>0</v>
      </c>
      <c r="AV162" s="11">
        <f>'[1]2018'!AV171+'[1]2019'!AV171+'[1]2020'!AV171</f>
        <v>0</v>
      </c>
      <c r="AW162" s="41">
        <f t="shared" si="19"/>
        <v>22</v>
      </c>
      <c r="AX162" s="14">
        <f t="shared" si="20"/>
        <v>2568.2066666666665</v>
      </c>
      <c r="AY162" s="2">
        <f>'[1]2018'!AX171+'[1]2019'!AX171+'[1]2020'!AX171</f>
        <v>7704.62</v>
      </c>
    </row>
    <row r="163" spans="1:136" x14ac:dyDescent="0.25">
      <c r="A163" s="10" t="s">
        <v>244</v>
      </c>
      <c r="B163" s="46">
        <f>'[1]2018'!B172+'[1]2019'!B172+'[1]2020'!B172</f>
        <v>3</v>
      </c>
      <c r="C163" s="46">
        <f>'[1]2018'!C172+'[1]2019'!C172+'[1]2020'!C172</f>
        <v>0</v>
      </c>
      <c r="D163" s="46">
        <f>'[1]2018'!D172+'[1]2019'!D172+'[1]2020'!D172</f>
        <v>5</v>
      </c>
      <c r="E163" s="46">
        <f>'[1]2018'!E172+'[1]2019'!E172+'[1]2020'!E172</f>
        <v>0</v>
      </c>
      <c r="F163" s="46">
        <f>'[1]2018'!F172+'[1]2019'!F172+'[1]2020'!F172</f>
        <v>0</v>
      </c>
      <c r="G163" s="46">
        <f>'[1]2018'!G172+'[1]2019'!G172+'[1]2020'!G172</f>
        <v>0</v>
      </c>
      <c r="H163" s="46">
        <f>'[1]2018'!H172+'[1]2019'!H172+'[1]2020'!H172</f>
        <v>5</v>
      </c>
      <c r="I163" s="46">
        <f>'[1]2018'!I172+'[1]2019'!I172+'[1]2020'!I172</f>
        <v>0</v>
      </c>
      <c r="J163" s="46">
        <f>'[1]2018'!J172+'[1]2019'!J172+'[1]2020'!J172</f>
        <v>0</v>
      </c>
      <c r="K163" s="46">
        <f>'[1]2018'!K172+'[1]2019'!K172+'[1]2020'!K172</f>
        <v>0</v>
      </c>
      <c r="L163" s="46">
        <f>'[1]2018'!L172+'[1]2019'!L172+'[1]2020'!L172</f>
        <v>0</v>
      </c>
      <c r="M163" s="46">
        <f>'[1]2018'!M172+'[1]2019'!M172+'[1]2020'!M172</f>
        <v>0</v>
      </c>
      <c r="N163" s="46">
        <f>'[1]2018'!N172+'[1]2019'!N172+'[1]2020'!N172</f>
        <v>0</v>
      </c>
      <c r="O163" s="46">
        <f>'[1]2018'!O172+'[1]2019'!O172+'[1]2020'!O172</f>
        <v>0</v>
      </c>
      <c r="P163" s="46">
        <f>'[1]2018'!P172+'[1]2019'!P172+'[1]2020'!P172</f>
        <v>0</v>
      </c>
      <c r="Q163" s="46">
        <f>'[1]2018'!Q172+'[1]2019'!Q172+'[1]2020'!Q172</f>
        <v>0</v>
      </c>
      <c r="R163" s="46">
        <f>'[1]2018'!R172+'[1]2019'!R172+'[1]2020'!R172</f>
        <v>0</v>
      </c>
      <c r="S163" s="46">
        <f>'[1]2018'!S172+'[1]2019'!S172+'[1]2020'!S172</f>
        <v>0</v>
      </c>
      <c r="T163" s="46">
        <f>'[1]2018'!T172+'[1]2019'!T172+'[1]2020'!T172</f>
        <v>0</v>
      </c>
      <c r="U163" s="46">
        <f>'[1]2018'!U172+'[1]2019'!U172+'[1]2020'!U172</f>
        <v>0</v>
      </c>
      <c r="V163" s="46">
        <f>'[1]2018'!V172+'[1]2019'!V172+'[1]2020'!V172</f>
        <v>0</v>
      </c>
      <c r="W163" s="46">
        <f>'[1]2018'!W172+'[1]2019'!W172+'[1]2020'!W172</f>
        <v>0</v>
      </c>
      <c r="X163" s="46">
        <f>'[1]2018'!X172+'[1]2019'!X172+'[1]2020'!X172</f>
        <v>0</v>
      </c>
      <c r="Y163" s="41">
        <f t="shared" si="18"/>
        <v>5</v>
      </c>
      <c r="Z163" s="11">
        <f>'[1]2018'!Z172+'[1]2019'!Z172+'[1]2020'!Z172</f>
        <v>3</v>
      </c>
      <c r="AA163" s="11">
        <f>'[1]2018'!AA172+'[1]2019'!AA172+'[1]2020'!AA172</f>
        <v>0</v>
      </c>
      <c r="AB163" s="11">
        <f>'[1]2018'!AB172+'[1]2019'!AB172+'[1]2020'!AB172</f>
        <v>5</v>
      </c>
      <c r="AC163" s="11">
        <f>'[1]2018'!AC172+'[1]2019'!AC172+'[1]2020'!AC172</f>
        <v>0</v>
      </c>
      <c r="AD163" s="11">
        <f>'[1]2018'!AD172+'[1]2019'!AD172+'[1]2020'!AD172</f>
        <v>0</v>
      </c>
      <c r="AE163" s="11">
        <f>'[1]2018'!AE172+'[1]2019'!AE172+'[1]2020'!AE172</f>
        <v>0</v>
      </c>
      <c r="AF163" s="11">
        <f>'[1]2018'!AF172+'[1]2019'!AF172+'[1]2020'!AF172</f>
        <v>5</v>
      </c>
      <c r="AG163" s="11">
        <f>'[1]2018'!AG172+'[1]2019'!AG172+'[1]2020'!AG172</f>
        <v>0</v>
      </c>
      <c r="AH163" s="11">
        <f>'[1]2018'!AH172+'[1]2019'!AH172+'[1]2020'!AH172</f>
        <v>0</v>
      </c>
      <c r="AI163" s="11">
        <f>'[1]2018'!AI172+'[1]2019'!AI172+'[1]2020'!AI172</f>
        <v>0</v>
      </c>
      <c r="AJ163" s="11">
        <f>'[1]2018'!AJ172+'[1]2019'!AJ172+'[1]2020'!AJ172</f>
        <v>0</v>
      </c>
      <c r="AK163" s="11">
        <f>'[1]2018'!AK172+'[1]2019'!AK172+'[1]2020'!AK172</f>
        <v>0</v>
      </c>
      <c r="AL163" s="11">
        <f>'[1]2018'!AL172+'[1]2019'!AL172+'[1]2020'!AL172</f>
        <v>0</v>
      </c>
      <c r="AM163" s="11">
        <f>'[1]2018'!AM172+'[1]2019'!AM172+'[1]2020'!AM172</f>
        <v>0</v>
      </c>
      <c r="AN163" s="11">
        <f>'[1]2018'!AN172+'[1]2019'!AN172+'[1]2020'!AN172</f>
        <v>0</v>
      </c>
      <c r="AO163" s="11">
        <f>'[1]2018'!AO172+'[1]2019'!AO172+'[1]2020'!AO172</f>
        <v>0</v>
      </c>
      <c r="AP163" s="11">
        <f>'[1]2018'!AP172+'[1]2019'!AP172+'[1]2020'!AP172</f>
        <v>0</v>
      </c>
      <c r="AQ163" s="11">
        <f>'[1]2018'!AQ172+'[1]2019'!AQ172+'[1]2020'!AQ172</f>
        <v>0</v>
      </c>
      <c r="AR163" s="11">
        <f>'[1]2018'!AR172+'[1]2019'!AR172+'[1]2020'!AR172</f>
        <v>0</v>
      </c>
      <c r="AS163" s="11">
        <f>'[1]2018'!AS172+'[1]2019'!AS172+'[1]2020'!AS172</f>
        <v>0</v>
      </c>
      <c r="AT163" s="11">
        <f>'[1]2018'!AT172+'[1]2019'!AT172+'[1]2020'!AT172</f>
        <v>0</v>
      </c>
      <c r="AU163" s="11">
        <f>'[1]2018'!AU172+'[1]2019'!AU172+'[1]2020'!AU172</f>
        <v>0</v>
      </c>
      <c r="AV163" s="11">
        <f>'[1]2018'!AV172+'[1]2019'!AV172+'[1]2020'!AV172</f>
        <v>0</v>
      </c>
      <c r="AW163" s="41">
        <f t="shared" si="19"/>
        <v>5</v>
      </c>
      <c r="AX163" s="14">
        <f t="shared" si="20"/>
        <v>837.33333333333337</v>
      </c>
      <c r="AY163" s="2">
        <f>'[1]2018'!AX172+'[1]2019'!AX172+'[1]2020'!AX172</f>
        <v>2512</v>
      </c>
    </row>
    <row r="164" spans="1:136" x14ac:dyDescent="0.25">
      <c r="A164" s="10" t="s">
        <v>245</v>
      </c>
      <c r="B164" s="46">
        <f>'[1]2018'!B173+'[1]2019'!B173+'[1]2020'!B173</f>
        <v>6</v>
      </c>
      <c r="C164" s="46">
        <f>'[1]2018'!C173+'[1]2019'!C173+'[1]2020'!C173</f>
        <v>0</v>
      </c>
      <c r="D164" s="46">
        <f>'[1]2018'!D173+'[1]2019'!D173+'[1]2020'!D173</f>
        <v>46</v>
      </c>
      <c r="E164" s="46">
        <f>'[1]2018'!E173+'[1]2019'!E173+'[1]2020'!E173</f>
        <v>0</v>
      </c>
      <c r="F164" s="46">
        <f>'[1]2018'!F173+'[1]2019'!F173+'[1]2020'!F173</f>
        <v>0</v>
      </c>
      <c r="G164" s="46">
        <f>'[1]2018'!G173+'[1]2019'!G173+'[1]2020'!G173</f>
        <v>0</v>
      </c>
      <c r="H164" s="46">
        <f>'[1]2018'!H173+'[1]2019'!H173+'[1]2020'!H173</f>
        <v>46</v>
      </c>
      <c r="I164" s="46">
        <f>'[1]2018'!I173+'[1]2019'!I173+'[1]2020'!I173</f>
        <v>0</v>
      </c>
      <c r="J164" s="46">
        <f>'[1]2018'!J173+'[1]2019'!J173+'[1]2020'!J173</f>
        <v>0</v>
      </c>
      <c r="K164" s="46">
        <f>'[1]2018'!K173+'[1]2019'!K173+'[1]2020'!K173</f>
        <v>0</v>
      </c>
      <c r="L164" s="46">
        <f>'[1]2018'!L173+'[1]2019'!L173+'[1]2020'!L173</f>
        <v>0</v>
      </c>
      <c r="M164" s="46">
        <f>'[1]2018'!M173+'[1]2019'!M173+'[1]2020'!M173</f>
        <v>0</v>
      </c>
      <c r="N164" s="46">
        <f>'[1]2018'!N173+'[1]2019'!N173+'[1]2020'!N173</f>
        <v>0</v>
      </c>
      <c r="O164" s="46">
        <f>'[1]2018'!O173+'[1]2019'!O173+'[1]2020'!O173</f>
        <v>0</v>
      </c>
      <c r="P164" s="46">
        <f>'[1]2018'!P173+'[1]2019'!P173+'[1]2020'!P173</f>
        <v>0</v>
      </c>
      <c r="Q164" s="46">
        <f>'[1]2018'!Q173+'[1]2019'!Q173+'[1]2020'!Q173</f>
        <v>0</v>
      </c>
      <c r="R164" s="46">
        <f>'[1]2018'!R173+'[1]2019'!R173+'[1]2020'!R173</f>
        <v>0</v>
      </c>
      <c r="S164" s="46">
        <f>'[1]2018'!S173+'[1]2019'!S173+'[1]2020'!S173</f>
        <v>0</v>
      </c>
      <c r="T164" s="46">
        <f>'[1]2018'!T173+'[1]2019'!T173+'[1]2020'!T173</f>
        <v>0</v>
      </c>
      <c r="U164" s="46">
        <f>'[1]2018'!U173+'[1]2019'!U173+'[1]2020'!U173</f>
        <v>0</v>
      </c>
      <c r="V164" s="46">
        <f>'[1]2018'!V173+'[1]2019'!V173+'[1]2020'!V173</f>
        <v>0</v>
      </c>
      <c r="W164" s="46">
        <f>'[1]2018'!W173+'[1]2019'!W173+'[1]2020'!W173</f>
        <v>0</v>
      </c>
      <c r="X164" s="46">
        <f>'[1]2018'!X173+'[1]2019'!X173+'[1]2020'!X173</f>
        <v>0</v>
      </c>
      <c r="Y164" s="41">
        <f t="shared" si="18"/>
        <v>46</v>
      </c>
      <c r="Z164" s="11">
        <f>'[1]2018'!Z173+'[1]2019'!Z173+'[1]2020'!Z173</f>
        <v>7</v>
      </c>
      <c r="AA164" s="11">
        <f>'[1]2018'!AA173+'[1]2019'!AA173+'[1]2020'!AA173</f>
        <v>0</v>
      </c>
      <c r="AB164" s="11">
        <f>'[1]2018'!AB173+'[1]2019'!AB173+'[1]2020'!AB173</f>
        <v>47</v>
      </c>
      <c r="AC164" s="11">
        <f>'[1]2018'!AC173+'[1]2019'!AC173+'[1]2020'!AC173</f>
        <v>0</v>
      </c>
      <c r="AD164" s="11">
        <f>'[1]2018'!AD173+'[1]2019'!AD173+'[1]2020'!AD173</f>
        <v>0</v>
      </c>
      <c r="AE164" s="11">
        <f>'[1]2018'!AE173+'[1]2019'!AE173+'[1]2020'!AE173</f>
        <v>0</v>
      </c>
      <c r="AF164" s="11">
        <f>'[1]2018'!AF173+'[1]2019'!AF173+'[1]2020'!AF173</f>
        <v>47</v>
      </c>
      <c r="AG164" s="11">
        <f>'[1]2018'!AG173+'[1]2019'!AG173+'[1]2020'!AG173</f>
        <v>0</v>
      </c>
      <c r="AH164" s="11">
        <f>'[1]2018'!AH173+'[1]2019'!AH173+'[1]2020'!AH173</f>
        <v>0</v>
      </c>
      <c r="AI164" s="11">
        <f>'[1]2018'!AI173+'[1]2019'!AI173+'[1]2020'!AI173</f>
        <v>0</v>
      </c>
      <c r="AJ164" s="11">
        <f>'[1]2018'!AJ173+'[1]2019'!AJ173+'[1]2020'!AJ173</f>
        <v>0</v>
      </c>
      <c r="AK164" s="11">
        <f>'[1]2018'!AK173+'[1]2019'!AK173+'[1]2020'!AK173</f>
        <v>0</v>
      </c>
      <c r="AL164" s="11">
        <f>'[1]2018'!AL173+'[1]2019'!AL173+'[1]2020'!AL173</f>
        <v>0</v>
      </c>
      <c r="AM164" s="11">
        <f>'[1]2018'!AM173+'[1]2019'!AM173+'[1]2020'!AM173</f>
        <v>0</v>
      </c>
      <c r="AN164" s="11">
        <f>'[1]2018'!AN173+'[1]2019'!AN173+'[1]2020'!AN173</f>
        <v>0</v>
      </c>
      <c r="AO164" s="11">
        <f>'[1]2018'!AO173+'[1]2019'!AO173+'[1]2020'!AO173</f>
        <v>0</v>
      </c>
      <c r="AP164" s="11">
        <f>'[1]2018'!AP173+'[1]2019'!AP173+'[1]2020'!AP173</f>
        <v>0</v>
      </c>
      <c r="AQ164" s="11">
        <f>'[1]2018'!AQ173+'[1]2019'!AQ173+'[1]2020'!AQ173</f>
        <v>0</v>
      </c>
      <c r="AR164" s="11">
        <f>'[1]2018'!AR173+'[1]2019'!AR173+'[1]2020'!AR173</f>
        <v>0</v>
      </c>
      <c r="AS164" s="11">
        <f>'[1]2018'!AS173+'[1]2019'!AS173+'[1]2020'!AS173</f>
        <v>0</v>
      </c>
      <c r="AT164" s="11">
        <f>'[1]2018'!AT173+'[1]2019'!AT173+'[1]2020'!AT173</f>
        <v>0</v>
      </c>
      <c r="AU164" s="11">
        <f>'[1]2018'!AU173+'[1]2019'!AU173+'[1]2020'!AU173</f>
        <v>0</v>
      </c>
      <c r="AV164" s="11">
        <f>'[1]2018'!AV173+'[1]2019'!AV173+'[1]2020'!AV173</f>
        <v>0</v>
      </c>
      <c r="AW164" s="41">
        <f t="shared" si="19"/>
        <v>47</v>
      </c>
      <c r="AX164" s="14">
        <f t="shared" si="20"/>
        <v>804.44444444444446</v>
      </c>
      <c r="AY164" s="2">
        <f>'[1]2018'!AX173+'[1]2019'!AX173+'[1]2020'!AX173</f>
        <v>2413.3333333333335</v>
      </c>
    </row>
    <row r="165" spans="1:136" x14ac:dyDescent="0.25">
      <c r="A165" s="10" t="s">
        <v>246</v>
      </c>
      <c r="B165" s="46">
        <f>'[1]2018'!B174+'[1]2019'!B174+'[1]2020'!B174</f>
        <v>3</v>
      </c>
      <c r="C165" s="46">
        <f>'[1]2018'!C174+'[1]2019'!C174+'[1]2020'!C174</f>
        <v>0</v>
      </c>
      <c r="D165" s="46">
        <f>'[1]2018'!D174+'[1]2019'!D174+'[1]2020'!D174</f>
        <v>108</v>
      </c>
      <c r="E165" s="46">
        <f>'[1]2018'!E174+'[1]2019'!E174+'[1]2020'!E174</f>
        <v>0</v>
      </c>
      <c r="F165" s="46">
        <f>'[1]2018'!F174+'[1]2019'!F174+'[1]2020'!F174</f>
        <v>0</v>
      </c>
      <c r="G165" s="46">
        <f>'[1]2018'!G174+'[1]2019'!G174+'[1]2020'!G174</f>
        <v>0</v>
      </c>
      <c r="H165" s="46">
        <f>'[1]2018'!H174+'[1]2019'!H174+'[1]2020'!H174</f>
        <v>108</v>
      </c>
      <c r="I165" s="46">
        <f>'[1]2018'!I174+'[1]2019'!I174+'[1]2020'!I174</f>
        <v>0</v>
      </c>
      <c r="J165" s="46">
        <f>'[1]2018'!J174+'[1]2019'!J174+'[1]2020'!J174</f>
        <v>0</v>
      </c>
      <c r="K165" s="46">
        <f>'[1]2018'!K174+'[1]2019'!K174+'[1]2020'!K174</f>
        <v>0</v>
      </c>
      <c r="L165" s="46">
        <f>'[1]2018'!L174+'[1]2019'!L174+'[1]2020'!L174</f>
        <v>0</v>
      </c>
      <c r="M165" s="46">
        <f>'[1]2018'!M174+'[1]2019'!M174+'[1]2020'!M174</f>
        <v>0</v>
      </c>
      <c r="N165" s="46">
        <f>'[1]2018'!N174+'[1]2019'!N174+'[1]2020'!N174</f>
        <v>0</v>
      </c>
      <c r="O165" s="46">
        <f>'[1]2018'!O174+'[1]2019'!O174+'[1]2020'!O174</f>
        <v>0</v>
      </c>
      <c r="P165" s="46">
        <f>'[1]2018'!P174+'[1]2019'!P174+'[1]2020'!P174</f>
        <v>0</v>
      </c>
      <c r="Q165" s="46">
        <f>'[1]2018'!Q174+'[1]2019'!Q174+'[1]2020'!Q174</f>
        <v>0</v>
      </c>
      <c r="R165" s="46">
        <f>'[1]2018'!R174+'[1]2019'!R174+'[1]2020'!R174</f>
        <v>0</v>
      </c>
      <c r="S165" s="46">
        <f>'[1]2018'!S174+'[1]2019'!S174+'[1]2020'!S174</f>
        <v>0</v>
      </c>
      <c r="T165" s="46">
        <f>'[1]2018'!T174+'[1]2019'!T174+'[1]2020'!T174</f>
        <v>0</v>
      </c>
      <c r="U165" s="46">
        <f>'[1]2018'!U174+'[1]2019'!U174+'[1]2020'!U174</f>
        <v>0</v>
      </c>
      <c r="V165" s="46">
        <f>'[1]2018'!V174+'[1]2019'!V174+'[1]2020'!V174</f>
        <v>0</v>
      </c>
      <c r="W165" s="46">
        <f>'[1]2018'!W174+'[1]2019'!W174+'[1]2020'!W174</f>
        <v>0</v>
      </c>
      <c r="X165" s="46">
        <f>'[1]2018'!X174+'[1]2019'!X174+'[1]2020'!X174</f>
        <v>0</v>
      </c>
      <c r="Y165" s="41">
        <f t="shared" si="18"/>
        <v>108</v>
      </c>
      <c r="Z165" s="11">
        <f>'[1]2018'!Z174+'[1]2019'!Z174+'[1]2020'!Z174</f>
        <v>3</v>
      </c>
      <c r="AA165" s="11">
        <f>'[1]2018'!AA174+'[1]2019'!AA174+'[1]2020'!AA174</f>
        <v>0</v>
      </c>
      <c r="AB165" s="11">
        <f>'[1]2018'!AB174+'[1]2019'!AB174+'[1]2020'!AB174</f>
        <v>59</v>
      </c>
      <c r="AC165" s="11">
        <f>'[1]2018'!AC174+'[1]2019'!AC174+'[1]2020'!AC174</f>
        <v>0</v>
      </c>
      <c r="AD165" s="11">
        <f>'[1]2018'!AD174+'[1]2019'!AD174+'[1]2020'!AD174</f>
        <v>0</v>
      </c>
      <c r="AE165" s="11">
        <f>'[1]2018'!AE174+'[1]2019'!AE174+'[1]2020'!AE174</f>
        <v>0</v>
      </c>
      <c r="AF165" s="11">
        <f>'[1]2018'!AF174+'[1]2019'!AF174+'[1]2020'!AF174</f>
        <v>59</v>
      </c>
      <c r="AG165" s="11">
        <f>'[1]2018'!AG174+'[1]2019'!AG174+'[1]2020'!AG174</f>
        <v>0</v>
      </c>
      <c r="AH165" s="11">
        <f>'[1]2018'!AH174+'[1]2019'!AH174+'[1]2020'!AH174</f>
        <v>0</v>
      </c>
      <c r="AI165" s="11">
        <f>'[1]2018'!AI174+'[1]2019'!AI174+'[1]2020'!AI174</f>
        <v>0</v>
      </c>
      <c r="AJ165" s="11">
        <f>'[1]2018'!AJ174+'[1]2019'!AJ174+'[1]2020'!AJ174</f>
        <v>0</v>
      </c>
      <c r="AK165" s="11">
        <f>'[1]2018'!AK174+'[1]2019'!AK174+'[1]2020'!AK174</f>
        <v>0</v>
      </c>
      <c r="AL165" s="11">
        <f>'[1]2018'!AL174+'[1]2019'!AL174+'[1]2020'!AL174</f>
        <v>0</v>
      </c>
      <c r="AM165" s="11">
        <f>'[1]2018'!AM174+'[1]2019'!AM174+'[1]2020'!AM174</f>
        <v>0</v>
      </c>
      <c r="AN165" s="11">
        <f>'[1]2018'!AN174+'[1]2019'!AN174+'[1]2020'!AN174</f>
        <v>0</v>
      </c>
      <c r="AO165" s="11">
        <f>'[1]2018'!AO174+'[1]2019'!AO174+'[1]2020'!AO174</f>
        <v>0</v>
      </c>
      <c r="AP165" s="11">
        <f>'[1]2018'!AP174+'[1]2019'!AP174+'[1]2020'!AP174</f>
        <v>0</v>
      </c>
      <c r="AQ165" s="11">
        <f>'[1]2018'!AQ174+'[1]2019'!AQ174+'[1]2020'!AQ174</f>
        <v>0</v>
      </c>
      <c r="AR165" s="11">
        <f>'[1]2018'!AR174+'[1]2019'!AR174+'[1]2020'!AR174</f>
        <v>0</v>
      </c>
      <c r="AS165" s="11">
        <f>'[1]2018'!AS174+'[1]2019'!AS174+'[1]2020'!AS174</f>
        <v>0</v>
      </c>
      <c r="AT165" s="11">
        <f>'[1]2018'!AT174+'[1]2019'!AT174+'[1]2020'!AT174</f>
        <v>0</v>
      </c>
      <c r="AU165" s="11">
        <f>'[1]2018'!AU174+'[1]2019'!AU174+'[1]2020'!AU174</f>
        <v>0</v>
      </c>
      <c r="AV165" s="11">
        <f>'[1]2018'!AV174+'[1]2019'!AV174+'[1]2020'!AV174</f>
        <v>0</v>
      </c>
      <c r="AW165" s="41">
        <f t="shared" si="19"/>
        <v>59</v>
      </c>
      <c r="AX165" s="14">
        <f t="shared" si="20"/>
        <v>186.32333333333335</v>
      </c>
      <c r="AY165" s="2">
        <f>'[1]2018'!AX174+'[1]2019'!AX174+'[1]2020'!AX174</f>
        <v>558.97</v>
      </c>
    </row>
    <row r="166" spans="1:136" x14ac:dyDescent="0.25">
      <c r="A166" s="10" t="s">
        <v>247</v>
      </c>
      <c r="B166" s="46">
        <f>'[1]2018'!B175+'[1]2019'!B175+'[1]2020'!B175</f>
        <v>16</v>
      </c>
      <c r="C166" s="46">
        <f>'[1]2018'!C175+'[1]2019'!C175+'[1]2020'!C175</f>
        <v>1</v>
      </c>
      <c r="D166" s="46">
        <f>'[1]2018'!D175+'[1]2019'!D175+'[1]2020'!D175</f>
        <v>53</v>
      </c>
      <c r="E166" s="46">
        <f>'[1]2018'!E175+'[1]2019'!E175+'[1]2020'!E175</f>
        <v>1</v>
      </c>
      <c r="F166" s="46">
        <f>'[1]2018'!F175+'[1]2019'!F175+'[1]2020'!F175</f>
        <v>0</v>
      </c>
      <c r="G166" s="46">
        <f>'[1]2018'!G175+'[1]2019'!G175+'[1]2020'!G175</f>
        <v>0</v>
      </c>
      <c r="H166" s="46">
        <f>'[1]2018'!H175+'[1]2019'!H175+'[1]2020'!H175</f>
        <v>4</v>
      </c>
      <c r="I166" s="46">
        <f>'[1]2018'!I175+'[1]2019'!I175+'[1]2020'!I175</f>
        <v>0</v>
      </c>
      <c r="J166" s="46">
        <f>'[1]2018'!J175+'[1]2019'!J175+'[1]2020'!J175</f>
        <v>34</v>
      </c>
      <c r="K166" s="46">
        <f>'[1]2018'!K175+'[1]2019'!K175+'[1]2020'!K175</f>
        <v>0</v>
      </c>
      <c r="L166" s="46">
        <f>'[1]2018'!L175+'[1]2019'!L175+'[1]2020'!L175</f>
        <v>3</v>
      </c>
      <c r="M166" s="46">
        <f>'[1]2018'!M175+'[1]2019'!M175+'[1]2020'!M175</f>
        <v>2</v>
      </c>
      <c r="N166" s="46">
        <f>'[1]2018'!N175+'[1]2019'!N175+'[1]2020'!N175</f>
        <v>0</v>
      </c>
      <c r="O166" s="46">
        <f>'[1]2018'!O175+'[1]2019'!O175+'[1]2020'!O175</f>
        <v>1</v>
      </c>
      <c r="P166" s="46">
        <f>'[1]2018'!P175+'[1]2019'!P175+'[1]2020'!P175</f>
        <v>0</v>
      </c>
      <c r="Q166" s="46">
        <f>'[1]2018'!Q175+'[1]2019'!Q175+'[1]2020'!Q175</f>
        <v>0</v>
      </c>
      <c r="R166" s="46">
        <f>'[1]2018'!R175+'[1]2019'!R175+'[1]2020'!R175</f>
        <v>6</v>
      </c>
      <c r="S166" s="46">
        <f>'[1]2018'!S175+'[1]2019'!S175+'[1]2020'!S175</f>
        <v>1</v>
      </c>
      <c r="T166" s="46">
        <f>'[1]2018'!T175+'[1]2019'!T175+'[1]2020'!T175</f>
        <v>0</v>
      </c>
      <c r="U166" s="46">
        <f>'[1]2018'!U175+'[1]2019'!U175+'[1]2020'!U175</f>
        <v>0</v>
      </c>
      <c r="V166" s="46">
        <f>'[1]2018'!V175+'[1]2019'!V175+'[1]2020'!V175</f>
        <v>1</v>
      </c>
      <c r="W166" s="46">
        <f>'[1]2018'!W175+'[1]2019'!W175+'[1]2020'!W175</f>
        <v>0</v>
      </c>
      <c r="X166" s="46">
        <f>'[1]2018'!X175+'[1]2019'!X175+'[1]2020'!X175</f>
        <v>1</v>
      </c>
      <c r="Y166" s="41">
        <f t="shared" si="18"/>
        <v>53</v>
      </c>
      <c r="Z166" s="11">
        <f>'[1]2018'!Z175+'[1]2019'!Z175+'[1]2020'!Z175</f>
        <v>10</v>
      </c>
      <c r="AA166" s="11">
        <f>'[1]2018'!AA175+'[1]2019'!AA175+'[1]2020'!AA175</f>
        <v>1</v>
      </c>
      <c r="AB166" s="11">
        <f>'[1]2018'!AB175+'[1]2019'!AB175+'[1]2020'!AB175</f>
        <v>71</v>
      </c>
      <c r="AC166" s="11">
        <f>'[1]2018'!AC175+'[1]2019'!AC175+'[1]2020'!AC175</f>
        <v>1</v>
      </c>
      <c r="AD166" s="11">
        <f>'[1]2018'!AD175+'[1]2019'!AD175+'[1]2020'!AD175</f>
        <v>0</v>
      </c>
      <c r="AE166" s="11">
        <f>'[1]2018'!AE175+'[1]2019'!AE175+'[1]2020'!AE175</f>
        <v>0</v>
      </c>
      <c r="AF166" s="11">
        <f>'[1]2018'!AF175+'[1]2019'!AF175+'[1]2020'!AF175</f>
        <v>33</v>
      </c>
      <c r="AG166" s="11">
        <f>'[1]2018'!AG175+'[1]2019'!AG175+'[1]2020'!AG175</f>
        <v>0</v>
      </c>
      <c r="AH166" s="11">
        <f>'[1]2018'!AH175+'[1]2019'!AH175+'[1]2020'!AH175</f>
        <v>33</v>
      </c>
      <c r="AI166" s="11">
        <f>'[1]2018'!AI175+'[1]2019'!AI175+'[1]2020'!AI175</f>
        <v>0</v>
      </c>
      <c r="AJ166" s="11">
        <f>'[1]2018'!AJ175+'[1]2019'!AJ175+'[1]2020'!AJ175</f>
        <v>2</v>
      </c>
      <c r="AK166" s="11">
        <f>'[1]2018'!AK175+'[1]2019'!AK175+'[1]2020'!AK175</f>
        <v>0</v>
      </c>
      <c r="AL166" s="11">
        <f>'[1]2018'!AL175+'[1]2019'!AL175+'[1]2020'!AL175</f>
        <v>0</v>
      </c>
      <c r="AM166" s="11">
        <f>'[1]2018'!AM175+'[1]2019'!AM175+'[1]2020'!AM175</f>
        <v>0</v>
      </c>
      <c r="AN166" s="11">
        <f>'[1]2018'!AN175+'[1]2019'!AN175+'[1]2020'!AN175</f>
        <v>0</v>
      </c>
      <c r="AO166" s="11">
        <f>'[1]2018'!AO175+'[1]2019'!AO175+'[1]2020'!AO175</f>
        <v>0</v>
      </c>
      <c r="AP166" s="11">
        <f>'[1]2018'!AP175+'[1]2019'!AP175+'[1]2020'!AP175</f>
        <v>1</v>
      </c>
      <c r="AQ166" s="11">
        <f>'[1]2018'!AQ175+'[1]2019'!AQ175+'[1]2020'!AQ175</f>
        <v>0</v>
      </c>
      <c r="AR166" s="11">
        <f>'[1]2018'!AR175+'[1]2019'!AR175+'[1]2020'!AR175</f>
        <v>0</v>
      </c>
      <c r="AS166" s="11">
        <f>'[1]2018'!AS175+'[1]2019'!AS175+'[1]2020'!AS175</f>
        <v>0</v>
      </c>
      <c r="AT166" s="11">
        <f>'[1]2018'!AT175+'[1]2019'!AT175+'[1]2020'!AT175</f>
        <v>1</v>
      </c>
      <c r="AU166" s="11">
        <f>'[1]2018'!AU175+'[1]2019'!AU175+'[1]2020'!AU175</f>
        <v>0</v>
      </c>
      <c r="AV166" s="11">
        <f>'[1]2018'!AV175+'[1]2019'!AV175+'[1]2020'!AV175</f>
        <v>1</v>
      </c>
      <c r="AW166" s="41">
        <f t="shared" si="19"/>
        <v>71</v>
      </c>
      <c r="AX166" s="14">
        <f t="shared" si="20"/>
        <v>5045.8</v>
      </c>
      <c r="AY166" s="2">
        <f>'[1]2018'!AX175+'[1]2019'!AX175+'[1]2020'!AX175</f>
        <v>15137.4</v>
      </c>
    </row>
    <row r="167" spans="1:136" x14ac:dyDescent="0.25">
      <c r="A167" s="10" t="s">
        <v>248</v>
      </c>
      <c r="B167" s="46">
        <f>'[1]2018'!B176+'[1]2019'!B176+'[1]2020'!B176</f>
        <v>9</v>
      </c>
      <c r="C167" s="46">
        <f>'[1]2018'!C176+'[1]2019'!C176+'[1]2020'!C176</f>
        <v>0</v>
      </c>
      <c r="D167" s="46">
        <f>'[1]2018'!D176+'[1]2019'!D176+'[1]2020'!D176</f>
        <v>18</v>
      </c>
      <c r="E167" s="46">
        <f>'[1]2018'!E176+'[1]2019'!E176+'[1]2020'!E176</f>
        <v>0</v>
      </c>
      <c r="F167" s="46">
        <f>'[1]2018'!F176+'[1]2019'!F176+'[1]2020'!F176</f>
        <v>0</v>
      </c>
      <c r="G167" s="46">
        <f>'[1]2018'!G176+'[1]2019'!G176+'[1]2020'!G176</f>
        <v>0</v>
      </c>
      <c r="H167" s="46">
        <f>'[1]2018'!H176+'[1]2019'!H176+'[1]2020'!H176</f>
        <v>0</v>
      </c>
      <c r="I167" s="46">
        <f>'[1]2018'!I176+'[1]2019'!I176+'[1]2020'!I176</f>
        <v>0</v>
      </c>
      <c r="J167" s="46">
        <f>'[1]2018'!J176+'[1]2019'!J176+'[1]2020'!J176</f>
        <v>0</v>
      </c>
      <c r="K167" s="46">
        <f>'[1]2018'!K176+'[1]2019'!K176+'[1]2020'!K176</f>
        <v>0</v>
      </c>
      <c r="L167" s="46">
        <f>'[1]2018'!L176+'[1]2019'!L176+'[1]2020'!L176</f>
        <v>16</v>
      </c>
      <c r="M167" s="46">
        <f>'[1]2018'!M176+'[1]2019'!M176+'[1]2020'!M176</f>
        <v>0</v>
      </c>
      <c r="N167" s="46">
        <f>'[1]2018'!N176+'[1]2019'!N176+'[1]2020'!N176</f>
        <v>0</v>
      </c>
      <c r="O167" s="46">
        <f>'[1]2018'!O176+'[1]2019'!O176+'[1]2020'!O176</f>
        <v>0</v>
      </c>
      <c r="P167" s="46">
        <f>'[1]2018'!P176+'[1]2019'!P176+'[1]2020'!P176</f>
        <v>0</v>
      </c>
      <c r="Q167" s="46">
        <f>'[1]2018'!Q176+'[1]2019'!Q176+'[1]2020'!Q176</f>
        <v>0</v>
      </c>
      <c r="R167" s="46">
        <f>'[1]2018'!R176+'[1]2019'!R176+'[1]2020'!R176</f>
        <v>0</v>
      </c>
      <c r="S167" s="46">
        <f>'[1]2018'!S176+'[1]2019'!S176+'[1]2020'!S176</f>
        <v>2</v>
      </c>
      <c r="T167" s="46">
        <f>'[1]2018'!T176+'[1]2019'!T176+'[1]2020'!T176</f>
        <v>0</v>
      </c>
      <c r="U167" s="46">
        <f>'[1]2018'!U176+'[1]2019'!U176+'[1]2020'!U176</f>
        <v>0</v>
      </c>
      <c r="V167" s="46">
        <f>'[1]2018'!V176+'[1]2019'!V176+'[1]2020'!V176</f>
        <v>0</v>
      </c>
      <c r="W167" s="46">
        <f>'[1]2018'!W176+'[1]2019'!W176+'[1]2020'!W176</f>
        <v>0</v>
      </c>
      <c r="X167" s="46">
        <f>'[1]2018'!X176+'[1]2019'!X176+'[1]2020'!X176</f>
        <v>0</v>
      </c>
      <c r="Y167" s="41">
        <f t="shared" si="18"/>
        <v>18</v>
      </c>
      <c r="Z167" s="11">
        <f>'[1]2018'!Z176+'[1]2019'!Z176+'[1]2020'!Z176</f>
        <v>4</v>
      </c>
      <c r="AA167" s="11">
        <f>'[1]2018'!AA176+'[1]2019'!AA176+'[1]2020'!AA176</f>
        <v>0</v>
      </c>
      <c r="AB167" s="11">
        <f>'[1]2018'!AB176+'[1]2019'!AB176+'[1]2020'!AB176</f>
        <v>7</v>
      </c>
      <c r="AC167" s="11">
        <f>'[1]2018'!AC176+'[1]2019'!AC176+'[1]2020'!AC176</f>
        <v>0</v>
      </c>
      <c r="AD167" s="11">
        <f>'[1]2018'!AD176+'[1]2019'!AD176+'[1]2020'!AD176</f>
        <v>0</v>
      </c>
      <c r="AE167" s="11">
        <f>'[1]2018'!AE176+'[1]2019'!AE176+'[1]2020'!AE176</f>
        <v>0</v>
      </c>
      <c r="AF167" s="11">
        <f>'[1]2018'!AF176+'[1]2019'!AF176+'[1]2020'!AF176</f>
        <v>0</v>
      </c>
      <c r="AG167" s="11">
        <f>'[1]2018'!AG176+'[1]2019'!AG176+'[1]2020'!AG176</f>
        <v>0</v>
      </c>
      <c r="AH167" s="11">
        <f>'[1]2018'!AH176+'[1]2019'!AH176+'[1]2020'!AH176</f>
        <v>0</v>
      </c>
      <c r="AI167" s="11">
        <f>'[1]2018'!AI176+'[1]2019'!AI176+'[1]2020'!AI176</f>
        <v>0</v>
      </c>
      <c r="AJ167" s="11">
        <f>'[1]2018'!AJ176+'[1]2019'!AJ176+'[1]2020'!AJ176</f>
        <v>6</v>
      </c>
      <c r="AK167" s="11">
        <f>'[1]2018'!AK176+'[1]2019'!AK176+'[1]2020'!AK176</f>
        <v>0</v>
      </c>
      <c r="AL167" s="11">
        <f>'[1]2018'!AL176+'[1]2019'!AL176+'[1]2020'!AL176</f>
        <v>0</v>
      </c>
      <c r="AM167" s="11">
        <f>'[1]2018'!AM176+'[1]2019'!AM176+'[1]2020'!AM176</f>
        <v>0</v>
      </c>
      <c r="AN167" s="11">
        <f>'[1]2018'!AN176+'[1]2019'!AN176+'[1]2020'!AN176</f>
        <v>0</v>
      </c>
      <c r="AO167" s="11">
        <f>'[1]2018'!AO176+'[1]2019'!AO176+'[1]2020'!AO176</f>
        <v>0</v>
      </c>
      <c r="AP167" s="11">
        <f>'[1]2018'!AP176+'[1]2019'!AP176+'[1]2020'!AP176</f>
        <v>0</v>
      </c>
      <c r="AQ167" s="11">
        <f>'[1]2018'!AQ176+'[1]2019'!AQ176+'[1]2020'!AQ176</f>
        <v>1</v>
      </c>
      <c r="AR167" s="11">
        <f>'[1]2018'!AR176+'[1]2019'!AR176+'[1]2020'!AR176</f>
        <v>0</v>
      </c>
      <c r="AS167" s="11">
        <f>'[1]2018'!AS176+'[1]2019'!AS176+'[1]2020'!AS176</f>
        <v>0</v>
      </c>
      <c r="AT167" s="11">
        <f>'[1]2018'!AT176+'[1]2019'!AT176+'[1]2020'!AT176</f>
        <v>0</v>
      </c>
      <c r="AU167" s="11">
        <f>'[1]2018'!AU176+'[1]2019'!AU176+'[1]2020'!AU176</f>
        <v>0</v>
      </c>
      <c r="AV167" s="11">
        <f>'[1]2018'!AV176+'[1]2019'!AV176+'[1]2020'!AV176</f>
        <v>0</v>
      </c>
      <c r="AW167" s="41">
        <f t="shared" si="19"/>
        <v>7</v>
      </c>
      <c r="AX167" s="14">
        <f t="shared" si="20"/>
        <v>1330</v>
      </c>
      <c r="AY167" s="2">
        <f>'[1]2018'!AX176+'[1]2019'!AX176+'[1]2020'!AX176</f>
        <v>3990</v>
      </c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136" x14ac:dyDescent="0.25">
      <c r="A168" s="10" t="s">
        <v>249</v>
      </c>
      <c r="B168" s="46">
        <f>'[1]2018'!B177+'[1]2019'!B177+'[1]2020'!B177</f>
        <v>4</v>
      </c>
      <c r="C168" s="46">
        <f>'[1]2018'!C177+'[1]2019'!C177+'[1]2020'!C177</f>
        <v>3</v>
      </c>
      <c r="D168" s="46">
        <f>'[1]2018'!D177+'[1]2019'!D177+'[1]2020'!D177</f>
        <v>10</v>
      </c>
      <c r="E168" s="46">
        <f>'[1]2018'!E177+'[1]2019'!E177+'[1]2020'!E177</f>
        <v>9</v>
      </c>
      <c r="F168" s="46">
        <f>'[1]2018'!F177+'[1]2019'!F177+'[1]2020'!F177</f>
        <v>0</v>
      </c>
      <c r="G168" s="46">
        <f>'[1]2018'!G177+'[1]2019'!G177+'[1]2020'!G177</f>
        <v>0</v>
      </c>
      <c r="H168" s="46">
        <f>'[1]2018'!H177+'[1]2019'!H177+'[1]2020'!H177</f>
        <v>1</v>
      </c>
      <c r="I168" s="46">
        <f>'[1]2018'!I177+'[1]2019'!I177+'[1]2020'!I177</f>
        <v>0</v>
      </c>
      <c r="J168" s="46">
        <f>'[1]2018'!J177+'[1]2019'!J177+'[1]2020'!J177</f>
        <v>9</v>
      </c>
      <c r="K168" s="46">
        <f>'[1]2018'!K177+'[1]2019'!K177+'[1]2020'!K177</f>
        <v>0</v>
      </c>
      <c r="L168" s="46">
        <f>'[1]2018'!L177+'[1]2019'!L177+'[1]2020'!L177</f>
        <v>0</v>
      </c>
      <c r="M168" s="46">
        <f>'[1]2018'!M177+'[1]2019'!M177+'[1]2020'!M177</f>
        <v>0</v>
      </c>
      <c r="N168" s="46">
        <f>'[1]2018'!N177+'[1]2019'!N177+'[1]2020'!N177</f>
        <v>0</v>
      </c>
      <c r="O168" s="46">
        <f>'[1]2018'!O177+'[1]2019'!O177+'[1]2020'!O177</f>
        <v>0</v>
      </c>
      <c r="P168" s="46">
        <f>'[1]2018'!P177+'[1]2019'!P177+'[1]2020'!P177</f>
        <v>0</v>
      </c>
      <c r="Q168" s="46">
        <f>'[1]2018'!Q177+'[1]2019'!Q177+'[1]2020'!Q177</f>
        <v>0</v>
      </c>
      <c r="R168" s="46">
        <f>'[1]2018'!R177+'[1]2019'!R177+'[1]2020'!R177</f>
        <v>0</v>
      </c>
      <c r="S168" s="46">
        <f>'[1]2018'!S177+'[1]2019'!S177+'[1]2020'!S177</f>
        <v>0</v>
      </c>
      <c r="T168" s="46">
        <f>'[1]2018'!T177+'[1]2019'!T177+'[1]2020'!T177</f>
        <v>0</v>
      </c>
      <c r="U168" s="46">
        <f>'[1]2018'!U177+'[1]2019'!U177+'[1]2020'!U177</f>
        <v>0</v>
      </c>
      <c r="V168" s="46">
        <f>'[1]2018'!V177+'[1]2019'!V177+'[1]2020'!V177</f>
        <v>0</v>
      </c>
      <c r="W168" s="46">
        <f>'[1]2018'!W177+'[1]2019'!W177+'[1]2020'!W177</f>
        <v>0</v>
      </c>
      <c r="X168" s="46">
        <f>'[1]2018'!X177+'[1]2019'!X177+'[1]2020'!X177</f>
        <v>0</v>
      </c>
      <c r="Y168" s="41">
        <f t="shared" si="18"/>
        <v>10</v>
      </c>
      <c r="Z168" s="11">
        <f>'[1]2018'!Z177+'[1]2019'!Z177+'[1]2020'!Z177</f>
        <v>4</v>
      </c>
      <c r="AA168" s="11">
        <f>'[1]2018'!AA177+'[1]2019'!AA177+'[1]2020'!AA177</f>
        <v>3</v>
      </c>
      <c r="AB168" s="11">
        <f>'[1]2018'!AB177+'[1]2019'!AB177+'[1]2020'!AB177</f>
        <v>14</v>
      </c>
      <c r="AC168" s="11">
        <f>'[1]2018'!AC177+'[1]2019'!AC177+'[1]2020'!AC177</f>
        <v>13</v>
      </c>
      <c r="AD168" s="11">
        <f>'[1]2018'!AD177+'[1]2019'!AD177+'[1]2020'!AD177</f>
        <v>0</v>
      </c>
      <c r="AE168" s="11">
        <f>'[1]2018'!AE177+'[1]2019'!AE177+'[1]2020'!AE177</f>
        <v>0</v>
      </c>
      <c r="AF168" s="11">
        <f>'[1]2018'!AF177+'[1]2019'!AF177+'[1]2020'!AF177</f>
        <v>1</v>
      </c>
      <c r="AG168" s="11">
        <f>'[1]2018'!AG177+'[1]2019'!AG177+'[1]2020'!AG177</f>
        <v>0</v>
      </c>
      <c r="AH168" s="11">
        <f>'[1]2018'!AH177+'[1]2019'!AH177+'[1]2020'!AH177</f>
        <v>13</v>
      </c>
      <c r="AI168" s="11">
        <f>'[1]2018'!AI177+'[1]2019'!AI177+'[1]2020'!AI177</f>
        <v>0</v>
      </c>
      <c r="AJ168" s="11">
        <f>'[1]2018'!AJ177+'[1]2019'!AJ177+'[1]2020'!AJ177</f>
        <v>0</v>
      </c>
      <c r="AK168" s="11">
        <f>'[1]2018'!AK177+'[1]2019'!AK177+'[1]2020'!AK177</f>
        <v>0</v>
      </c>
      <c r="AL168" s="11">
        <f>'[1]2018'!AL177+'[1]2019'!AL177+'[1]2020'!AL177</f>
        <v>0</v>
      </c>
      <c r="AM168" s="11">
        <f>'[1]2018'!AM177+'[1]2019'!AM177+'[1]2020'!AM177</f>
        <v>0</v>
      </c>
      <c r="AN168" s="11">
        <f>'[1]2018'!AN177+'[1]2019'!AN177+'[1]2020'!AN177</f>
        <v>0</v>
      </c>
      <c r="AO168" s="11">
        <f>'[1]2018'!AO177+'[1]2019'!AO177+'[1]2020'!AO177</f>
        <v>0</v>
      </c>
      <c r="AP168" s="11">
        <f>'[1]2018'!AP177+'[1]2019'!AP177+'[1]2020'!AP177</f>
        <v>0</v>
      </c>
      <c r="AQ168" s="11">
        <f>'[1]2018'!AQ177+'[1]2019'!AQ177+'[1]2020'!AQ177</f>
        <v>0</v>
      </c>
      <c r="AR168" s="11">
        <f>'[1]2018'!AR177+'[1]2019'!AR177+'[1]2020'!AR177</f>
        <v>0</v>
      </c>
      <c r="AS168" s="11">
        <f>'[1]2018'!AS177+'[1]2019'!AS177+'[1]2020'!AS177</f>
        <v>0</v>
      </c>
      <c r="AT168" s="11">
        <f>'[1]2018'!AT177+'[1]2019'!AT177+'[1]2020'!AT177</f>
        <v>0</v>
      </c>
      <c r="AU168" s="11">
        <f>'[1]2018'!AU177+'[1]2019'!AU177+'[1]2020'!AU177</f>
        <v>0</v>
      </c>
      <c r="AV168" s="11">
        <f>'[1]2018'!AV177+'[1]2019'!AV177+'[1]2020'!AV177</f>
        <v>0</v>
      </c>
      <c r="AW168" s="41">
        <f t="shared" si="19"/>
        <v>14</v>
      </c>
      <c r="AX168" s="14">
        <f t="shared" si="20"/>
        <v>1492.6166666666668</v>
      </c>
      <c r="AY168" s="2">
        <f>'[1]2018'!AX177+'[1]2019'!AX177+'[1]2020'!AX177</f>
        <v>4477.8500000000004</v>
      </c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136" x14ac:dyDescent="0.25">
      <c r="A169" s="10" t="s">
        <v>250</v>
      </c>
      <c r="B169" s="46">
        <f>'[1]2018'!B178+'[1]2019'!B178+'[1]2020'!B178</f>
        <v>7</v>
      </c>
      <c r="C169" s="46">
        <f>'[1]2018'!C178+'[1]2019'!C178+'[1]2020'!C178</f>
        <v>0</v>
      </c>
      <c r="D169" s="46">
        <f>'[1]2018'!D178+'[1]2019'!D178+'[1]2020'!D178</f>
        <v>15</v>
      </c>
      <c r="E169" s="46">
        <f>'[1]2018'!E178+'[1]2019'!E178+'[1]2020'!E178</f>
        <v>0</v>
      </c>
      <c r="F169" s="46">
        <f>'[1]2018'!F178+'[1]2019'!F178+'[1]2020'!F178</f>
        <v>0</v>
      </c>
      <c r="G169" s="46">
        <f>'[1]2018'!G178+'[1]2019'!G178+'[1]2020'!G178</f>
        <v>0</v>
      </c>
      <c r="H169" s="46">
        <f>'[1]2018'!H178+'[1]2019'!H178+'[1]2020'!H178</f>
        <v>13</v>
      </c>
      <c r="I169" s="46">
        <f>'[1]2018'!I178+'[1]2019'!I178+'[1]2020'!I178</f>
        <v>0</v>
      </c>
      <c r="J169" s="46">
        <f>'[1]2018'!J178+'[1]2019'!J178+'[1]2020'!J178</f>
        <v>0</v>
      </c>
      <c r="K169" s="46">
        <f>'[1]2018'!K178+'[1]2019'!K178+'[1]2020'!K178</f>
        <v>0</v>
      </c>
      <c r="L169" s="46">
        <f>'[1]2018'!L178+'[1]2019'!L178+'[1]2020'!L178</f>
        <v>2</v>
      </c>
      <c r="M169" s="46">
        <f>'[1]2018'!M178+'[1]2019'!M178+'[1]2020'!M178</f>
        <v>0</v>
      </c>
      <c r="N169" s="46">
        <f>'[1]2018'!N178+'[1]2019'!N178+'[1]2020'!N178</f>
        <v>0</v>
      </c>
      <c r="O169" s="46">
        <f>'[1]2018'!O178+'[1]2019'!O178+'[1]2020'!O178</f>
        <v>0</v>
      </c>
      <c r="P169" s="46">
        <f>'[1]2018'!P178+'[1]2019'!P178+'[1]2020'!P178</f>
        <v>0</v>
      </c>
      <c r="Q169" s="46">
        <f>'[1]2018'!Q178+'[1]2019'!Q178+'[1]2020'!Q178</f>
        <v>0</v>
      </c>
      <c r="R169" s="46">
        <f>'[1]2018'!R178+'[1]2019'!R178+'[1]2020'!R178</f>
        <v>0</v>
      </c>
      <c r="S169" s="46">
        <f>'[1]2018'!S178+'[1]2019'!S178+'[1]2020'!S178</f>
        <v>0</v>
      </c>
      <c r="T169" s="46">
        <f>'[1]2018'!T178+'[1]2019'!T178+'[1]2020'!T178</f>
        <v>0</v>
      </c>
      <c r="U169" s="46">
        <f>'[1]2018'!U178+'[1]2019'!U178+'[1]2020'!U178</f>
        <v>0</v>
      </c>
      <c r="V169" s="46">
        <f>'[1]2018'!V178+'[1]2019'!V178+'[1]2020'!V178</f>
        <v>0</v>
      </c>
      <c r="W169" s="46">
        <f>'[1]2018'!W178+'[1]2019'!W178+'[1]2020'!W178</f>
        <v>0</v>
      </c>
      <c r="X169" s="46">
        <f>'[1]2018'!X178+'[1]2019'!X178+'[1]2020'!X178</f>
        <v>0</v>
      </c>
      <c r="Y169" s="41">
        <f t="shared" si="18"/>
        <v>15</v>
      </c>
      <c r="Z169" s="11">
        <f>'[1]2018'!Z178+'[1]2019'!Z178+'[1]2020'!Z178</f>
        <v>7</v>
      </c>
      <c r="AA169" s="11">
        <f>'[1]2018'!AA178+'[1]2019'!AA178+'[1]2020'!AA178</f>
        <v>0</v>
      </c>
      <c r="AB169" s="11">
        <f>'[1]2018'!AB178+'[1]2019'!AB178+'[1]2020'!AB178</f>
        <v>14</v>
      </c>
      <c r="AC169" s="11">
        <f>'[1]2018'!AC178+'[1]2019'!AC178+'[1]2020'!AC178</f>
        <v>0</v>
      </c>
      <c r="AD169" s="11">
        <f>'[1]2018'!AD178+'[1]2019'!AD178+'[1]2020'!AD178</f>
        <v>0</v>
      </c>
      <c r="AE169" s="11">
        <f>'[1]2018'!AE178+'[1]2019'!AE178+'[1]2020'!AE178</f>
        <v>0</v>
      </c>
      <c r="AF169" s="11">
        <f>'[1]2018'!AF178+'[1]2019'!AF178+'[1]2020'!AF178</f>
        <v>13</v>
      </c>
      <c r="AG169" s="11">
        <f>'[1]2018'!AG178+'[1]2019'!AG178+'[1]2020'!AG178</f>
        <v>0</v>
      </c>
      <c r="AH169" s="11">
        <f>'[1]2018'!AH178+'[1]2019'!AH178+'[1]2020'!AH178</f>
        <v>0</v>
      </c>
      <c r="AI169" s="11">
        <f>'[1]2018'!AI178+'[1]2019'!AI178+'[1]2020'!AI178</f>
        <v>0</v>
      </c>
      <c r="AJ169" s="11">
        <f>'[1]2018'!AJ178+'[1]2019'!AJ178+'[1]2020'!AJ178</f>
        <v>1</v>
      </c>
      <c r="AK169" s="11">
        <f>'[1]2018'!AK178+'[1]2019'!AK178+'[1]2020'!AK178</f>
        <v>0</v>
      </c>
      <c r="AL169" s="11">
        <f>'[1]2018'!AL178+'[1]2019'!AL178+'[1]2020'!AL178</f>
        <v>0</v>
      </c>
      <c r="AM169" s="11">
        <f>'[1]2018'!AM178+'[1]2019'!AM178+'[1]2020'!AM178</f>
        <v>0</v>
      </c>
      <c r="AN169" s="11">
        <f>'[1]2018'!AN178+'[1]2019'!AN178+'[1]2020'!AN178</f>
        <v>0</v>
      </c>
      <c r="AO169" s="11">
        <f>'[1]2018'!AO178+'[1]2019'!AO178+'[1]2020'!AO178</f>
        <v>0</v>
      </c>
      <c r="AP169" s="11">
        <f>'[1]2018'!AP178+'[1]2019'!AP178+'[1]2020'!AP178</f>
        <v>0</v>
      </c>
      <c r="AQ169" s="11">
        <f>'[1]2018'!AQ178+'[1]2019'!AQ178+'[1]2020'!AQ178</f>
        <v>0</v>
      </c>
      <c r="AR169" s="11">
        <f>'[1]2018'!AR178+'[1]2019'!AR178+'[1]2020'!AR178</f>
        <v>0</v>
      </c>
      <c r="AS169" s="11">
        <f>'[1]2018'!AS178+'[1]2019'!AS178+'[1]2020'!AS178</f>
        <v>0</v>
      </c>
      <c r="AT169" s="11">
        <f>'[1]2018'!AT178+'[1]2019'!AT178+'[1]2020'!AT178</f>
        <v>0</v>
      </c>
      <c r="AU169" s="11">
        <f>'[1]2018'!AU178+'[1]2019'!AU178+'[1]2020'!AU178</f>
        <v>0</v>
      </c>
      <c r="AV169" s="11">
        <f>'[1]2018'!AV178+'[1]2019'!AV178+'[1]2020'!AV178</f>
        <v>0</v>
      </c>
      <c r="AW169" s="41">
        <f t="shared" si="19"/>
        <v>14</v>
      </c>
      <c r="AX169" s="14">
        <f t="shared" si="20"/>
        <v>1410</v>
      </c>
      <c r="AY169" s="2">
        <f>'[1]2018'!AX178+'[1]2019'!AX178+'[1]2020'!AX178</f>
        <v>4230</v>
      </c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136" x14ac:dyDescent="0.25">
      <c r="A170" s="10" t="s">
        <v>251</v>
      </c>
      <c r="B170" s="46">
        <f>'[1]2018'!B179+'[1]2019'!B179+'[1]2020'!B179</f>
        <v>3</v>
      </c>
      <c r="C170" s="46">
        <f>'[1]2018'!C179+'[1]2019'!C179+'[1]2020'!C179</f>
        <v>2</v>
      </c>
      <c r="D170" s="46">
        <f>'[1]2018'!D179+'[1]2019'!D179+'[1]2020'!D179</f>
        <v>3</v>
      </c>
      <c r="E170" s="46">
        <f>'[1]2018'!E179+'[1]2019'!E179+'[1]2020'!E179</f>
        <v>2</v>
      </c>
      <c r="F170" s="46">
        <f>'[1]2018'!F179+'[1]2019'!F179+'[1]2020'!F179</f>
        <v>0</v>
      </c>
      <c r="G170" s="46">
        <f>'[1]2018'!G179+'[1]2019'!G179+'[1]2020'!G179</f>
        <v>0</v>
      </c>
      <c r="H170" s="46">
        <f>'[1]2018'!H179+'[1]2019'!H179+'[1]2020'!H179</f>
        <v>0</v>
      </c>
      <c r="I170" s="46">
        <f>'[1]2018'!I179+'[1]2019'!I179+'[1]2020'!I179</f>
        <v>0</v>
      </c>
      <c r="J170" s="46">
        <f>'[1]2018'!J179+'[1]2019'!J179+'[1]2020'!J179</f>
        <v>0</v>
      </c>
      <c r="K170" s="46">
        <f>'[1]2018'!K179+'[1]2019'!K179+'[1]2020'!K179</f>
        <v>0</v>
      </c>
      <c r="L170" s="46">
        <f>'[1]2018'!L179+'[1]2019'!L179+'[1]2020'!L179</f>
        <v>0</v>
      </c>
      <c r="M170" s="46">
        <f>'[1]2018'!M179+'[1]2019'!M179+'[1]2020'!M179</f>
        <v>3</v>
      </c>
      <c r="N170" s="46">
        <f>'[1]2018'!N179+'[1]2019'!N179+'[1]2020'!N179</f>
        <v>0</v>
      </c>
      <c r="O170" s="46">
        <f>'[1]2018'!O179+'[1]2019'!O179+'[1]2020'!O179</f>
        <v>0</v>
      </c>
      <c r="P170" s="46">
        <f>'[1]2018'!P179+'[1]2019'!P179+'[1]2020'!P179</f>
        <v>0</v>
      </c>
      <c r="Q170" s="46">
        <f>'[1]2018'!Q179+'[1]2019'!Q179+'[1]2020'!Q179</f>
        <v>0</v>
      </c>
      <c r="R170" s="46">
        <f>'[1]2018'!R179+'[1]2019'!R179+'[1]2020'!R179</f>
        <v>0</v>
      </c>
      <c r="S170" s="46">
        <f>'[1]2018'!S179+'[1]2019'!S179+'[1]2020'!S179</f>
        <v>0</v>
      </c>
      <c r="T170" s="46">
        <f>'[1]2018'!T179+'[1]2019'!T179+'[1]2020'!T179</f>
        <v>0</v>
      </c>
      <c r="U170" s="46">
        <f>'[1]2018'!U179+'[1]2019'!U179+'[1]2020'!U179</f>
        <v>0</v>
      </c>
      <c r="V170" s="46">
        <f>'[1]2018'!V179+'[1]2019'!V179+'[1]2020'!V179</f>
        <v>0</v>
      </c>
      <c r="W170" s="46">
        <f>'[1]2018'!W179+'[1]2019'!W179+'[1]2020'!W179</f>
        <v>0</v>
      </c>
      <c r="X170" s="46">
        <f>'[1]2018'!X179+'[1]2019'!X179+'[1]2020'!X179</f>
        <v>0</v>
      </c>
      <c r="Y170" s="41">
        <f t="shared" si="18"/>
        <v>3</v>
      </c>
      <c r="Z170" s="11">
        <f>'[1]2018'!Z179+'[1]2019'!Z179+'[1]2020'!Z179</f>
        <v>3</v>
      </c>
      <c r="AA170" s="11">
        <f>'[1]2018'!AA179+'[1]2019'!AA179+'[1]2020'!AA179</f>
        <v>2</v>
      </c>
      <c r="AB170" s="11">
        <f>'[1]2018'!AB179+'[1]2019'!AB179+'[1]2020'!AB179</f>
        <v>3</v>
      </c>
      <c r="AC170" s="11">
        <f>'[1]2018'!AC179+'[1]2019'!AC179+'[1]2020'!AC179</f>
        <v>2</v>
      </c>
      <c r="AD170" s="11">
        <f>'[1]2018'!AD179+'[1]2019'!AD179+'[1]2020'!AD179</f>
        <v>0</v>
      </c>
      <c r="AE170" s="11">
        <f>'[1]2018'!AE179+'[1]2019'!AE179+'[1]2020'!AE179</f>
        <v>0</v>
      </c>
      <c r="AF170" s="11">
        <f>'[1]2018'!AF179+'[1]2019'!AF179+'[1]2020'!AF179</f>
        <v>0</v>
      </c>
      <c r="AG170" s="11">
        <f>'[1]2018'!AG179+'[1]2019'!AG179+'[1]2020'!AG179</f>
        <v>0</v>
      </c>
      <c r="AH170" s="11">
        <f>'[1]2018'!AH179+'[1]2019'!AH179+'[1]2020'!AH179</f>
        <v>0</v>
      </c>
      <c r="AI170" s="11">
        <f>'[1]2018'!AI179+'[1]2019'!AI179+'[1]2020'!AI179</f>
        <v>0</v>
      </c>
      <c r="AJ170" s="11">
        <f>'[1]2018'!AJ179+'[1]2019'!AJ179+'[1]2020'!AJ179</f>
        <v>0</v>
      </c>
      <c r="AK170" s="11">
        <f>'[1]2018'!AK179+'[1]2019'!AK179+'[1]2020'!AK179</f>
        <v>3</v>
      </c>
      <c r="AL170" s="11">
        <f>'[1]2018'!AL179+'[1]2019'!AL179+'[1]2020'!AL179</f>
        <v>0</v>
      </c>
      <c r="AM170" s="11">
        <f>'[1]2018'!AM179+'[1]2019'!AM179+'[1]2020'!AM179</f>
        <v>0</v>
      </c>
      <c r="AN170" s="11">
        <f>'[1]2018'!AN179+'[1]2019'!AN179+'[1]2020'!AN179</f>
        <v>0</v>
      </c>
      <c r="AO170" s="11">
        <f>'[1]2018'!AO179+'[1]2019'!AO179+'[1]2020'!AO179</f>
        <v>0</v>
      </c>
      <c r="AP170" s="11">
        <f>'[1]2018'!AP179+'[1]2019'!AP179+'[1]2020'!AP179</f>
        <v>0</v>
      </c>
      <c r="AQ170" s="11">
        <f>'[1]2018'!AQ179+'[1]2019'!AQ179+'[1]2020'!AQ179</f>
        <v>0</v>
      </c>
      <c r="AR170" s="11">
        <f>'[1]2018'!AR179+'[1]2019'!AR179+'[1]2020'!AR179</f>
        <v>0</v>
      </c>
      <c r="AS170" s="11">
        <f>'[1]2018'!AS179+'[1]2019'!AS179+'[1]2020'!AS179</f>
        <v>0</v>
      </c>
      <c r="AT170" s="11">
        <f>'[1]2018'!AT179+'[1]2019'!AT179+'[1]2020'!AT179</f>
        <v>0</v>
      </c>
      <c r="AU170" s="11">
        <f>'[1]2018'!AU179+'[1]2019'!AU179+'[1]2020'!AU179</f>
        <v>0</v>
      </c>
      <c r="AV170" s="11">
        <f>'[1]2018'!AV179+'[1]2019'!AV179+'[1]2020'!AV179</f>
        <v>0</v>
      </c>
      <c r="AW170" s="41">
        <f t="shared" si="19"/>
        <v>3</v>
      </c>
      <c r="AX170" s="14">
        <f t="shared" si="20"/>
        <v>1623.7333333333333</v>
      </c>
      <c r="AY170" s="2">
        <f>'[1]2018'!AX179+'[1]2019'!AX179+'[1]2020'!AX179</f>
        <v>4871.2</v>
      </c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136" s="40" customFormat="1" x14ac:dyDescent="0.25">
      <c r="A171" s="10" t="s">
        <v>252</v>
      </c>
      <c r="B171" s="46">
        <f>'[1]2018'!B180+'[1]2019'!B180+'[1]2020'!B180</f>
        <v>4</v>
      </c>
      <c r="C171" s="46">
        <f>'[1]2018'!C180+'[1]2019'!C180+'[1]2020'!C180</f>
        <v>0</v>
      </c>
      <c r="D171" s="46">
        <f>'[1]2018'!D180+'[1]2019'!D180+'[1]2020'!D180</f>
        <v>8</v>
      </c>
      <c r="E171" s="46">
        <f>'[1]2018'!E180+'[1]2019'!E180+'[1]2020'!E180</f>
        <v>0</v>
      </c>
      <c r="F171" s="46">
        <f>'[1]2018'!F180+'[1]2019'!F180+'[1]2020'!F180</f>
        <v>0</v>
      </c>
      <c r="G171" s="46">
        <f>'[1]2018'!G180+'[1]2019'!G180+'[1]2020'!G180</f>
        <v>0</v>
      </c>
      <c r="H171" s="46">
        <f>'[1]2018'!H180+'[1]2019'!H180+'[1]2020'!H180</f>
        <v>5</v>
      </c>
      <c r="I171" s="46">
        <f>'[1]2018'!I180+'[1]2019'!I180+'[1]2020'!I180</f>
        <v>0</v>
      </c>
      <c r="J171" s="46">
        <f>'[1]2018'!J180+'[1]2019'!J180+'[1]2020'!J180</f>
        <v>0</v>
      </c>
      <c r="K171" s="46">
        <f>'[1]2018'!K180+'[1]2019'!K180+'[1]2020'!K180</f>
        <v>0</v>
      </c>
      <c r="L171" s="46">
        <f>'[1]2018'!L180+'[1]2019'!L180+'[1]2020'!L180</f>
        <v>2</v>
      </c>
      <c r="M171" s="46">
        <f>'[1]2018'!M180+'[1]2019'!M180+'[1]2020'!M180</f>
        <v>0</v>
      </c>
      <c r="N171" s="46">
        <f>'[1]2018'!N180+'[1]2019'!N180+'[1]2020'!N180</f>
        <v>0</v>
      </c>
      <c r="O171" s="46">
        <f>'[1]2018'!O180+'[1]2019'!O180+'[1]2020'!O180</f>
        <v>0</v>
      </c>
      <c r="P171" s="46">
        <f>'[1]2018'!P180+'[1]2019'!P180+'[1]2020'!P180</f>
        <v>0</v>
      </c>
      <c r="Q171" s="46">
        <f>'[1]2018'!Q180+'[1]2019'!Q180+'[1]2020'!Q180</f>
        <v>0</v>
      </c>
      <c r="R171" s="46">
        <f>'[1]2018'!R180+'[1]2019'!R180+'[1]2020'!R180</f>
        <v>0</v>
      </c>
      <c r="S171" s="46">
        <f>'[1]2018'!S180+'[1]2019'!S180+'[1]2020'!S180</f>
        <v>1</v>
      </c>
      <c r="T171" s="46">
        <f>'[1]2018'!T180+'[1]2019'!T180+'[1]2020'!T180</f>
        <v>0</v>
      </c>
      <c r="U171" s="46">
        <f>'[1]2018'!U180+'[1]2019'!U180+'[1]2020'!U180</f>
        <v>0</v>
      </c>
      <c r="V171" s="46">
        <f>'[1]2018'!V180+'[1]2019'!V180+'[1]2020'!V180</f>
        <v>0</v>
      </c>
      <c r="W171" s="46">
        <f>'[1]2018'!W180+'[1]2019'!W180+'[1]2020'!W180</f>
        <v>0</v>
      </c>
      <c r="X171" s="46">
        <f>'[1]2018'!X180+'[1]2019'!X180+'[1]2020'!X180</f>
        <v>0</v>
      </c>
      <c r="Y171" s="41">
        <f t="shared" si="18"/>
        <v>8</v>
      </c>
      <c r="Z171" s="11">
        <f>'[1]2018'!Z180+'[1]2019'!Z180+'[1]2020'!Z180</f>
        <v>1</v>
      </c>
      <c r="AA171" s="11">
        <f>'[1]2018'!AA180+'[1]2019'!AA180+'[1]2020'!AA180</f>
        <v>0</v>
      </c>
      <c r="AB171" s="11">
        <f>'[1]2018'!AB180+'[1]2019'!AB180+'[1]2020'!AB180</f>
        <v>1</v>
      </c>
      <c r="AC171" s="11">
        <f>'[1]2018'!AC180+'[1]2019'!AC180+'[1]2020'!AC180</f>
        <v>0</v>
      </c>
      <c r="AD171" s="11">
        <f>'[1]2018'!AD180+'[1]2019'!AD180+'[1]2020'!AD180</f>
        <v>0</v>
      </c>
      <c r="AE171" s="11">
        <f>'[1]2018'!AE180+'[1]2019'!AE180+'[1]2020'!AE180</f>
        <v>0</v>
      </c>
      <c r="AF171" s="11">
        <f>'[1]2018'!AF180+'[1]2019'!AF180+'[1]2020'!AF180</f>
        <v>0</v>
      </c>
      <c r="AG171" s="11">
        <f>'[1]2018'!AG180+'[1]2019'!AG180+'[1]2020'!AG180</f>
        <v>0</v>
      </c>
      <c r="AH171" s="11">
        <f>'[1]2018'!AH180+'[1]2019'!AH180+'[1]2020'!AH180</f>
        <v>0</v>
      </c>
      <c r="AI171" s="11">
        <f>'[1]2018'!AI180+'[1]2019'!AI180+'[1]2020'!AI180</f>
        <v>0</v>
      </c>
      <c r="AJ171" s="11">
        <f>'[1]2018'!AJ180+'[1]2019'!AJ180+'[1]2020'!AJ180</f>
        <v>0</v>
      </c>
      <c r="AK171" s="11">
        <f>'[1]2018'!AK180+'[1]2019'!AK180+'[1]2020'!AK180</f>
        <v>0</v>
      </c>
      <c r="AL171" s="11">
        <f>'[1]2018'!AL180+'[1]2019'!AL180+'[1]2020'!AL180</f>
        <v>0</v>
      </c>
      <c r="AM171" s="11">
        <f>'[1]2018'!AM180+'[1]2019'!AM180+'[1]2020'!AM180</f>
        <v>0</v>
      </c>
      <c r="AN171" s="11">
        <f>'[1]2018'!AN180+'[1]2019'!AN180+'[1]2020'!AN180</f>
        <v>0</v>
      </c>
      <c r="AO171" s="11">
        <f>'[1]2018'!AO180+'[1]2019'!AO180+'[1]2020'!AO180</f>
        <v>0</v>
      </c>
      <c r="AP171" s="11">
        <f>'[1]2018'!AP180+'[1]2019'!AP180+'[1]2020'!AP180</f>
        <v>0</v>
      </c>
      <c r="AQ171" s="11">
        <f>'[1]2018'!AQ180+'[1]2019'!AQ180+'[1]2020'!AQ180</f>
        <v>1</v>
      </c>
      <c r="AR171" s="11">
        <f>'[1]2018'!AR180+'[1]2019'!AR180+'[1]2020'!AR180</f>
        <v>0</v>
      </c>
      <c r="AS171" s="11">
        <f>'[1]2018'!AS180+'[1]2019'!AS180+'[1]2020'!AS180</f>
        <v>0</v>
      </c>
      <c r="AT171" s="11">
        <f>'[1]2018'!AT180+'[1]2019'!AT180+'[1]2020'!AT180</f>
        <v>0</v>
      </c>
      <c r="AU171" s="11">
        <f>'[1]2018'!AU180+'[1]2019'!AU180+'[1]2020'!AU180</f>
        <v>0</v>
      </c>
      <c r="AV171" s="11">
        <f>'[1]2018'!AV180+'[1]2019'!AV180+'[1]2020'!AV180</f>
        <v>0</v>
      </c>
      <c r="AW171" s="41">
        <f t="shared" si="19"/>
        <v>1</v>
      </c>
      <c r="AX171" s="14">
        <f t="shared" si="20"/>
        <v>396.66666666666669</v>
      </c>
      <c r="AY171" s="12">
        <f>'[1]2018'!AX180+'[1]2019'!AX180+'[1]2020'!AX180</f>
        <v>1190</v>
      </c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</row>
    <row r="172" spans="1:136" x14ac:dyDescent="0.25">
      <c r="A172" s="10" t="s">
        <v>253</v>
      </c>
      <c r="B172" s="46">
        <f>'[1]2018'!B181+'[1]2019'!B181+'[1]2020'!B181</f>
        <v>1</v>
      </c>
      <c r="C172" s="46">
        <f>'[1]2018'!C181+'[1]2019'!C181+'[1]2020'!C181</f>
        <v>0</v>
      </c>
      <c r="D172" s="46">
        <f>'[1]2018'!D181+'[1]2019'!D181+'[1]2020'!D181</f>
        <v>2</v>
      </c>
      <c r="E172" s="46">
        <f>'[1]2018'!E181+'[1]2019'!E181+'[1]2020'!E181</f>
        <v>0</v>
      </c>
      <c r="F172" s="46">
        <f>'[1]2018'!F181+'[1]2019'!F181+'[1]2020'!F181</f>
        <v>0</v>
      </c>
      <c r="G172" s="46">
        <f>'[1]2018'!G181+'[1]2019'!G181+'[1]2020'!G181</f>
        <v>0</v>
      </c>
      <c r="H172" s="46">
        <f>'[1]2018'!H181+'[1]2019'!H181+'[1]2020'!H181</f>
        <v>2</v>
      </c>
      <c r="I172" s="46">
        <f>'[1]2018'!I181+'[1]2019'!I181+'[1]2020'!I181</f>
        <v>0</v>
      </c>
      <c r="J172" s="46">
        <f>'[1]2018'!J181+'[1]2019'!J181+'[1]2020'!J181</f>
        <v>0</v>
      </c>
      <c r="K172" s="46">
        <f>'[1]2018'!K181+'[1]2019'!K181+'[1]2020'!K181</f>
        <v>0</v>
      </c>
      <c r="L172" s="46">
        <f>'[1]2018'!L181+'[1]2019'!L181+'[1]2020'!L181</f>
        <v>0</v>
      </c>
      <c r="M172" s="46">
        <f>'[1]2018'!M181+'[1]2019'!M181+'[1]2020'!M181</f>
        <v>0</v>
      </c>
      <c r="N172" s="46">
        <f>'[1]2018'!N181+'[1]2019'!N181+'[1]2020'!N181</f>
        <v>0</v>
      </c>
      <c r="O172" s="46">
        <f>'[1]2018'!O181+'[1]2019'!O181+'[1]2020'!O181</f>
        <v>0</v>
      </c>
      <c r="P172" s="46">
        <f>'[1]2018'!P181+'[1]2019'!P181+'[1]2020'!P181</f>
        <v>0</v>
      </c>
      <c r="Q172" s="46">
        <f>'[1]2018'!Q181+'[1]2019'!Q181+'[1]2020'!Q181</f>
        <v>0</v>
      </c>
      <c r="R172" s="46">
        <f>'[1]2018'!R181+'[1]2019'!R181+'[1]2020'!R181</f>
        <v>0</v>
      </c>
      <c r="S172" s="46">
        <f>'[1]2018'!S181+'[1]2019'!S181+'[1]2020'!S181</f>
        <v>0</v>
      </c>
      <c r="T172" s="46">
        <f>'[1]2018'!T181+'[1]2019'!T181+'[1]2020'!T181</f>
        <v>0</v>
      </c>
      <c r="U172" s="46">
        <f>'[1]2018'!U181+'[1]2019'!U181+'[1]2020'!U181</f>
        <v>0</v>
      </c>
      <c r="V172" s="46">
        <f>'[1]2018'!V181+'[1]2019'!V181+'[1]2020'!V181</f>
        <v>0</v>
      </c>
      <c r="W172" s="46">
        <f>'[1]2018'!W181+'[1]2019'!W181+'[1]2020'!W181</f>
        <v>0</v>
      </c>
      <c r="X172" s="46">
        <f>'[1]2018'!X181+'[1]2019'!X181+'[1]2020'!X181</f>
        <v>0</v>
      </c>
      <c r="Y172" s="41">
        <f t="shared" si="18"/>
        <v>2</v>
      </c>
      <c r="Z172" s="11">
        <f>'[1]2018'!Z181+'[1]2019'!Z181+'[1]2020'!Z181</f>
        <v>1</v>
      </c>
      <c r="AA172" s="11">
        <f>'[1]2018'!AA181+'[1]2019'!AA181+'[1]2020'!AA181</f>
        <v>0</v>
      </c>
      <c r="AB172" s="11">
        <f>'[1]2018'!AB181+'[1]2019'!AB181+'[1]2020'!AB181</f>
        <v>2</v>
      </c>
      <c r="AC172" s="11">
        <f>'[1]2018'!AC181+'[1]2019'!AC181+'[1]2020'!AC181</f>
        <v>0</v>
      </c>
      <c r="AD172" s="11">
        <f>'[1]2018'!AD181+'[1]2019'!AD181+'[1]2020'!AD181</f>
        <v>0</v>
      </c>
      <c r="AE172" s="11">
        <f>'[1]2018'!AE181+'[1]2019'!AE181+'[1]2020'!AE181</f>
        <v>0</v>
      </c>
      <c r="AF172" s="11">
        <f>'[1]2018'!AF181+'[1]2019'!AF181+'[1]2020'!AF181</f>
        <v>2</v>
      </c>
      <c r="AG172" s="11">
        <f>'[1]2018'!AG181+'[1]2019'!AG181+'[1]2020'!AG181</f>
        <v>0</v>
      </c>
      <c r="AH172" s="11">
        <f>'[1]2018'!AH181+'[1]2019'!AH181+'[1]2020'!AH181</f>
        <v>0</v>
      </c>
      <c r="AI172" s="11">
        <f>'[1]2018'!AI181+'[1]2019'!AI181+'[1]2020'!AI181</f>
        <v>0</v>
      </c>
      <c r="AJ172" s="11">
        <f>'[1]2018'!AJ181+'[1]2019'!AJ181+'[1]2020'!AJ181</f>
        <v>0</v>
      </c>
      <c r="AK172" s="11">
        <f>'[1]2018'!AK181+'[1]2019'!AK181+'[1]2020'!AK181</f>
        <v>0</v>
      </c>
      <c r="AL172" s="11">
        <f>'[1]2018'!AL181+'[1]2019'!AL181+'[1]2020'!AL181</f>
        <v>0</v>
      </c>
      <c r="AM172" s="11">
        <f>'[1]2018'!AM181+'[1]2019'!AM181+'[1]2020'!AM181</f>
        <v>0</v>
      </c>
      <c r="AN172" s="11">
        <f>'[1]2018'!AN181+'[1]2019'!AN181+'[1]2020'!AN181</f>
        <v>0</v>
      </c>
      <c r="AO172" s="11">
        <f>'[1]2018'!AO181+'[1]2019'!AO181+'[1]2020'!AO181</f>
        <v>0</v>
      </c>
      <c r="AP172" s="11">
        <f>'[1]2018'!AP181+'[1]2019'!AP181+'[1]2020'!AP181</f>
        <v>0</v>
      </c>
      <c r="AQ172" s="11">
        <f>'[1]2018'!AQ181+'[1]2019'!AQ181+'[1]2020'!AQ181</f>
        <v>0</v>
      </c>
      <c r="AR172" s="11">
        <f>'[1]2018'!AR181+'[1]2019'!AR181+'[1]2020'!AR181</f>
        <v>0</v>
      </c>
      <c r="AS172" s="11">
        <f>'[1]2018'!AS181+'[1]2019'!AS181+'[1]2020'!AS181</f>
        <v>0</v>
      </c>
      <c r="AT172" s="11">
        <f>'[1]2018'!AT181+'[1]2019'!AT181+'[1]2020'!AT181</f>
        <v>0</v>
      </c>
      <c r="AU172" s="11">
        <f>'[1]2018'!AU181+'[1]2019'!AU181+'[1]2020'!AU181</f>
        <v>0</v>
      </c>
      <c r="AV172" s="11">
        <f>'[1]2018'!AV181+'[1]2019'!AV181+'[1]2020'!AV181</f>
        <v>0</v>
      </c>
      <c r="AW172" s="41">
        <f t="shared" si="19"/>
        <v>2</v>
      </c>
      <c r="AX172" s="14">
        <f t="shared" si="20"/>
        <v>333.33333333333331</v>
      </c>
      <c r="AY172" s="2">
        <f>'[1]2018'!AX181+'[1]2019'!AX181+'[1]2020'!AX181</f>
        <v>1000</v>
      </c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136" x14ac:dyDescent="0.25">
      <c r="A173" s="10" t="s">
        <v>254</v>
      </c>
      <c r="B173" s="46">
        <f>'[1]2018'!B182+'[1]2019'!B182+'[1]2020'!B182</f>
        <v>8</v>
      </c>
      <c r="C173" s="46">
        <f>'[1]2018'!C182+'[1]2019'!C182+'[1]2020'!C182</f>
        <v>0</v>
      </c>
      <c r="D173" s="46">
        <f>'[1]2018'!D182+'[1]2019'!D182+'[1]2020'!D182</f>
        <v>9</v>
      </c>
      <c r="E173" s="46">
        <f>'[1]2018'!E182+'[1]2019'!E182+'[1]2020'!E182</f>
        <v>0</v>
      </c>
      <c r="F173" s="46">
        <f>'[1]2018'!F182+'[1]2019'!F182+'[1]2020'!F182</f>
        <v>0</v>
      </c>
      <c r="G173" s="46">
        <f>'[1]2018'!G182+'[1]2019'!G182+'[1]2020'!G182</f>
        <v>0</v>
      </c>
      <c r="H173" s="46">
        <f>'[1]2018'!H182+'[1]2019'!H182+'[1]2020'!H182</f>
        <v>1</v>
      </c>
      <c r="I173" s="46">
        <f>'[1]2018'!I182+'[1]2019'!I182+'[1]2020'!I182</f>
        <v>0</v>
      </c>
      <c r="J173" s="46">
        <f>'[1]2018'!J182+'[1]2019'!J182+'[1]2020'!J182</f>
        <v>0</v>
      </c>
      <c r="K173" s="46">
        <f>'[1]2018'!K182+'[1]2019'!K182+'[1]2020'!K182</f>
        <v>0</v>
      </c>
      <c r="L173" s="46">
        <f>'[1]2018'!L182+'[1]2019'!L182+'[1]2020'!L182</f>
        <v>8</v>
      </c>
      <c r="M173" s="46">
        <f>'[1]2018'!M182+'[1]2019'!M182+'[1]2020'!M182</f>
        <v>0</v>
      </c>
      <c r="N173" s="46">
        <f>'[1]2018'!N182+'[1]2019'!N182+'[1]2020'!N182</f>
        <v>0</v>
      </c>
      <c r="O173" s="46">
        <f>'[1]2018'!O182+'[1]2019'!O182+'[1]2020'!O182</f>
        <v>0</v>
      </c>
      <c r="P173" s="46">
        <f>'[1]2018'!P182+'[1]2019'!P182+'[1]2020'!P182</f>
        <v>0</v>
      </c>
      <c r="Q173" s="46">
        <f>'[1]2018'!Q182+'[1]2019'!Q182+'[1]2020'!Q182</f>
        <v>0</v>
      </c>
      <c r="R173" s="46">
        <f>'[1]2018'!R182+'[1]2019'!R182+'[1]2020'!R182</f>
        <v>0</v>
      </c>
      <c r="S173" s="46">
        <f>'[1]2018'!S182+'[1]2019'!S182+'[1]2020'!S182</f>
        <v>0</v>
      </c>
      <c r="T173" s="46">
        <f>'[1]2018'!T182+'[1]2019'!T182+'[1]2020'!T182</f>
        <v>0</v>
      </c>
      <c r="U173" s="46">
        <f>'[1]2018'!U182+'[1]2019'!U182+'[1]2020'!U182</f>
        <v>0</v>
      </c>
      <c r="V173" s="46">
        <f>'[1]2018'!V182+'[1]2019'!V182+'[1]2020'!V182</f>
        <v>0</v>
      </c>
      <c r="W173" s="46">
        <f>'[1]2018'!W182+'[1]2019'!W182+'[1]2020'!W182</f>
        <v>0</v>
      </c>
      <c r="X173" s="46">
        <f>'[1]2018'!X182+'[1]2019'!X182+'[1]2020'!X182</f>
        <v>0</v>
      </c>
      <c r="Y173" s="41">
        <f t="shared" si="18"/>
        <v>9</v>
      </c>
      <c r="Z173" s="11">
        <f>'[1]2018'!Z182+'[1]2019'!Z182+'[1]2020'!Z182</f>
        <v>7</v>
      </c>
      <c r="AA173" s="11">
        <f>'[1]2018'!AA182+'[1]2019'!AA182+'[1]2020'!AA182</f>
        <v>0</v>
      </c>
      <c r="AB173" s="11">
        <f>'[1]2018'!AB182+'[1]2019'!AB182+'[1]2020'!AB182</f>
        <v>12</v>
      </c>
      <c r="AC173" s="11">
        <f>'[1]2018'!AC182+'[1]2019'!AC182+'[1]2020'!AC182</f>
        <v>0</v>
      </c>
      <c r="AD173" s="11">
        <f>'[1]2018'!AD182+'[1]2019'!AD182+'[1]2020'!AD182</f>
        <v>0</v>
      </c>
      <c r="AE173" s="11">
        <f>'[1]2018'!AE182+'[1]2019'!AE182+'[1]2020'!AE182</f>
        <v>0</v>
      </c>
      <c r="AF173" s="11">
        <f>'[1]2018'!AF182+'[1]2019'!AF182+'[1]2020'!AF182</f>
        <v>1</v>
      </c>
      <c r="AG173" s="11">
        <f>'[1]2018'!AG182+'[1]2019'!AG182+'[1]2020'!AG182</f>
        <v>0</v>
      </c>
      <c r="AH173" s="11">
        <f>'[1]2018'!AH182+'[1]2019'!AH182+'[1]2020'!AH182</f>
        <v>0</v>
      </c>
      <c r="AI173" s="11">
        <f>'[1]2018'!AI182+'[1]2019'!AI182+'[1]2020'!AI182</f>
        <v>0</v>
      </c>
      <c r="AJ173" s="11">
        <f>'[1]2018'!AJ182+'[1]2019'!AJ182+'[1]2020'!AJ182</f>
        <v>11</v>
      </c>
      <c r="AK173" s="11">
        <f>'[1]2018'!AK182+'[1]2019'!AK182+'[1]2020'!AK182</f>
        <v>0</v>
      </c>
      <c r="AL173" s="11">
        <f>'[1]2018'!AL182+'[1]2019'!AL182+'[1]2020'!AL182</f>
        <v>0</v>
      </c>
      <c r="AM173" s="11">
        <f>'[1]2018'!AM182+'[1]2019'!AM182+'[1]2020'!AM182</f>
        <v>0</v>
      </c>
      <c r="AN173" s="11">
        <f>'[1]2018'!AN182+'[1]2019'!AN182+'[1]2020'!AN182</f>
        <v>0</v>
      </c>
      <c r="AO173" s="11">
        <f>'[1]2018'!AO182+'[1]2019'!AO182+'[1]2020'!AO182</f>
        <v>0</v>
      </c>
      <c r="AP173" s="11">
        <f>'[1]2018'!AP182+'[1]2019'!AP182+'[1]2020'!AP182</f>
        <v>0</v>
      </c>
      <c r="AQ173" s="11">
        <f>'[1]2018'!AQ182+'[1]2019'!AQ182+'[1]2020'!AQ182</f>
        <v>0</v>
      </c>
      <c r="AR173" s="11">
        <f>'[1]2018'!AR182+'[1]2019'!AR182+'[1]2020'!AR182</f>
        <v>0</v>
      </c>
      <c r="AS173" s="11">
        <f>'[1]2018'!AS182+'[1]2019'!AS182+'[1]2020'!AS182</f>
        <v>0</v>
      </c>
      <c r="AT173" s="11">
        <f>'[1]2018'!AT182+'[1]2019'!AT182+'[1]2020'!AT182</f>
        <v>0</v>
      </c>
      <c r="AU173" s="11">
        <f>'[1]2018'!AU182+'[1]2019'!AU182+'[1]2020'!AU182</f>
        <v>0</v>
      </c>
      <c r="AV173" s="11">
        <f>'[1]2018'!AV182+'[1]2019'!AV182+'[1]2020'!AV182</f>
        <v>0</v>
      </c>
      <c r="AW173" s="41">
        <f t="shared" si="19"/>
        <v>12</v>
      </c>
      <c r="AX173" s="14">
        <f t="shared" si="20"/>
        <v>3870.6866666666665</v>
      </c>
      <c r="AY173" s="2">
        <f>'[1]2018'!AX182+'[1]2019'!AX182+'[1]2020'!AX182</f>
        <v>11612.06</v>
      </c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136" x14ac:dyDescent="0.25">
      <c r="A174" s="10" t="s">
        <v>255</v>
      </c>
      <c r="B174" s="46">
        <f>'[1]2018'!B183+'[1]2019'!B183+'[1]2020'!B183</f>
        <v>93</v>
      </c>
      <c r="C174" s="46">
        <f>'[1]2018'!C183+'[1]2019'!C183+'[1]2020'!C183</f>
        <v>1</v>
      </c>
      <c r="D174" s="46">
        <f>'[1]2018'!D183+'[1]2019'!D183+'[1]2020'!D183</f>
        <v>224</v>
      </c>
      <c r="E174" s="46">
        <f>'[1]2018'!E183+'[1]2019'!E183+'[1]2020'!E183</f>
        <v>2</v>
      </c>
      <c r="F174" s="46">
        <f>'[1]2018'!F183+'[1]2019'!F183+'[1]2020'!F183</f>
        <v>0</v>
      </c>
      <c r="G174" s="46">
        <f>'[1]2018'!G183+'[1]2019'!G183+'[1]2020'!G183</f>
        <v>0</v>
      </c>
      <c r="H174" s="46">
        <f>'[1]2018'!H183+'[1]2019'!H183+'[1]2020'!H183</f>
        <v>18</v>
      </c>
      <c r="I174" s="46">
        <f>'[1]2018'!I183+'[1]2019'!I183+'[1]2020'!I183</f>
        <v>0</v>
      </c>
      <c r="J174" s="46">
        <f>'[1]2018'!J183+'[1]2019'!J183+'[1]2020'!J183</f>
        <v>0</v>
      </c>
      <c r="K174" s="46">
        <f>'[1]2018'!K183+'[1]2019'!K183+'[1]2020'!K183</f>
        <v>106</v>
      </c>
      <c r="L174" s="46">
        <f>'[1]2018'!L183+'[1]2019'!L183+'[1]2020'!L183</f>
        <v>29</v>
      </c>
      <c r="M174" s="46">
        <f>'[1]2018'!M183+'[1]2019'!M183+'[1]2020'!M183</f>
        <v>3</v>
      </c>
      <c r="N174" s="46">
        <f>'[1]2018'!N183+'[1]2019'!N183+'[1]2020'!N183</f>
        <v>5</v>
      </c>
      <c r="O174" s="46">
        <f>'[1]2018'!O183+'[1]2019'!O183+'[1]2020'!O183</f>
        <v>2</v>
      </c>
      <c r="P174" s="46">
        <f>'[1]2018'!P183+'[1]2019'!P183+'[1]2020'!P183</f>
        <v>4</v>
      </c>
      <c r="Q174" s="46">
        <f>'[1]2018'!Q183+'[1]2019'!Q183+'[1]2020'!Q183</f>
        <v>49</v>
      </c>
      <c r="R174" s="46">
        <f>'[1]2018'!R183+'[1]2019'!R183+'[1]2020'!R183</f>
        <v>3</v>
      </c>
      <c r="S174" s="46">
        <f>'[1]2018'!S183+'[1]2019'!S183+'[1]2020'!S183</f>
        <v>0</v>
      </c>
      <c r="T174" s="46">
        <f>'[1]2018'!T183+'[1]2019'!T183+'[1]2020'!T183</f>
        <v>2</v>
      </c>
      <c r="U174" s="46">
        <f>'[1]2018'!U183+'[1]2019'!U183+'[1]2020'!U183</f>
        <v>2</v>
      </c>
      <c r="V174" s="46">
        <f>'[1]2018'!V183+'[1]2019'!V183+'[1]2020'!V183</f>
        <v>1</v>
      </c>
      <c r="W174" s="46">
        <f>'[1]2018'!W183+'[1]2019'!W183+'[1]2020'!W183</f>
        <v>0</v>
      </c>
      <c r="X174" s="46">
        <f>'[1]2018'!X183+'[1]2019'!X183+'[1]2020'!X183</f>
        <v>0</v>
      </c>
      <c r="Y174" s="41">
        <f t="shared" si="18"/>
        <v>224</v>
      </c>
      <c r="Z174" s="11">
        <f>'[1]2018'!Z183+'[1]2019'!Z183+'[1]2020'!Z183</f>
        <v>89</v>
      </c>
      <c r="AA174" s="11">
        <f>'[1]2018'!AA183+'[1]2019'!AA183+'[1]2020'!AA183</f>
        <v>1</v>
      </c>
      <c r="AB174" s="11">
        <f>'[1]2018'!AB183+'[1]2019'!AB183+'[1]2020'!AB183</f>
        <v>172</v>
      </c>
      <c r="AC174" s="11">
        <f>'[1]2018'!AC183+'[1]2019'!AC183+'[1]2020'!AC183</f>
        <v>2</v>
      </c>
      <c r="AD174" s="11">
        <f>'[1]2018'!AD183+'[1]2019'!AD183+'[1]2020'!AD183</f>
        <v>0</v>
      </c>
      <c r="AE174" s="11">
        <f>'[1]2018'!AE183+'[1]2019'!AE183+'[1]2020'!AE183</f>
        <v>0</v>
      </c>
      <c r="AF174" s="11">
        <f>'[1]2018'!AF183+'[1]2019'!AF183+'[1]2020'!AF183</f>
        <v>20</v>
      </c>
      <c r="AG174" s="11">
        <f>'[1]2018'!AG183+'[1]2019'!AG183+'[1]2020'!AG183</f>
        <v>0</v>
      </c>
      <c r="AH174" s="11">
        <f>'[1]2018'!AH183+'[1]2019'!AH183+'[1]2020'!AH183</f>
        <v>6</v>
      </c>
      <c r="AI174" s="11">
        <f>'[1]2018'!AI183+'[1]2019'!AI183+'[1]2020'!AI183</f>
        <v>82</v>
      </c>
      <c r="AJ174" s="11">
        <f>'[1]2018'!AJ183+'[1]2019'!AJ183+'[1]2020'!AJ183</f>
        <v>11</v>
      </c>
      <c r="AK174" s="11">
        <f>'[1]2018'!AK183+'[1]2019'!AK183+'[1]2020'!AK183</f>
        <v>0</v>
      </c>
      <c r="AL174" s="11">
        <f>'[1]2018'!AL183+'[1]2019'!AL183+'[1]2020'!AL183</f>
        <v>3</v>
      </c>
      <c r="AM174" s="11">
        <f>'[1]2018'!AM183+'[1]2019'!AM183+'[1]2020'!AM183</f>
        <v>1</v>
      </c>
      <c r="AN174" s="11">
        <f>'[1]2018'!AN183+'[1]2019'!AN183+'[1]2020'!AN183</f>
        <v>3</v>
      </c>
      <c r="AO174" s="11">
        <f>'[1]2018'!AO183+'[1]2019'!AO183+'[1]2020'!AO183</f>
        <v>43</v>
      </c>
      <c r="AP174" s="11">
        <f>'[1]2018'!AP183+'[1]2019'!AP183+'[1]2020'!AP183</f>
        <v>0</v>
      </c>
      <c r="AQ174" s="11">
        <f>'[1]2018'!AQ183+'[1]2019'!AQ183+'[1]2020'!AQ183</f>
        <v>0</v>
      </c>
      <c r="AR174" s="11">
        <f>'[1]2018'!AR183+'[1]2019'!AR183+'[1]2020'!AR183</f>
        <v>0</v>
      </c>
      <c r="AS174" s="11">
        <f>'[1]2018'!AS183+'[1]2019'!AS183+'[1]2020'!AS183</f>
        <v>2</v>
      </c>
      <c r="AT174" s="11">
        <f>'[1]2018'!AT183+'[1]2019'!AT183+'[1]2020'!AT183</f>
        <v>1</v>
      </c>
      <c r="AU174" s="11">
        <f>'[1]2018'!AU183+'[1]2019'!AU183+'[1]2020'!AU183</f>
        <v>0</v>
      </c>
      <c r="AV174" s="11">
        <f>'[1]2018'!AV183+'[1]2019'!AV183+'[1]2020'!AV183</f>
        <v>0</v>
      </c>
      <c r="AW174" s="41">
        <f t="shared" si="19"/>
        <v>172</v>
      </c>
      <c r="AX174" s="14">
        <f t="shared" si="20"/>
        <v>2644.2813645224173</v>
      </c>
      <c r="AY174" s="2">
        <f>'[1]2018'!AX183+'[1]2019'!AX183+'[1]2020'!AX183</f>
        <v>7932.8440935672515</v>
      </c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136" x14ac:dyDescent="0.25">
      <c r="A175" s="10" t="s">
        <v>256</v>
      </c>
      <c r="B175" s="46">
        <f>'[1]2018'!B184+'[1]2019'!B184+'[1]2020'!B184</f>
        <v>1</v>
      </c>
      <c r="C175" s="46">
        <f>'[1]2018'!C184+'[1]2019'!C184+'[1]2020'!C184</f>
        <v>0</v>
      </c>
      <c r="D175" s="46">
        <f>'[1]2018'!D184+'[1]2019'!D184+'[1]2020'!D184</f>
        <v>5</v>
      </c>
      <c r="E175" s="46">
        <f>'[1]2018'!E184+'[1]2019'!E184+'[1]2020'!E184</f>
        <v>0</v>
      </c>
      <c r="F175" s="46">
        <f>'[1]2018'!F184+'[1]2019'!F184+'[1]2020'!F184</f>
        <v>0</v>
      </c>
      <c r="G175" s="46">
        <f>'[1]2018'!G184+'[1]2019'!G184+'[1]2020'!G184</f>
        <v>0</v>
      </c>
      <c r="H175" s="46">
        <f>'[1]2018'!H184+'[1]2019'!H184+'[1]2020'!H184</f>
        <v>0</v>
      </c>
      <c r="I175" s="46">
        <f>'[1]2018'!I184+'[1]2019'!I184+'[1]2020'!I184</f>
        <v>0</v>
      </c>
      <c r="J175" s="46">
        <f>'[1]2018'!J184+'[1]2019'!J184+'[1]2020'!J184</f>
        <v>0</v>
      </c>
      <c r="K175" s="46">
        <f>'[1]2018'!K184+'[1]2019'!K184+'[1]2020'!K184</f>
        <v>0</v>
      </c>
      <c r="L175" s="46">
        <f>'[1]2018'!L184+'[1]2019'!L184+'[1]2020'!L184</f>
        <v>0</v>
      </c>
      <c r="M175" s="46">
        <f>'[1]2018'!M184+'[1]2019'!M184+'[1]2020'!M184</f>
        <v>0</v>
      </c>
      <c r="N175" s="46">
        <f>'[1]2018'!N184+'[1]2019'!N184+'[1]2020'!N184</f>
        <v>0</v>
      </c>
      <c r="O175" s="46">
        <f>'[1]2018'!O184+'[1]2019'!O184+'[1]2020'!O184</f>
        <v>0</v>
      </c>
      <c r="P175" s="46">
        <f>'[1]2018'!P184+'[1]2019'!P184+'[1]2020'!P184</f>
        <v>0</v>
      </c>
      <c r="Q175" s="46">
        <f>'[1]2018'!Q184+'[1]2019'!Q184+'[1]2020'!Q184</f>
        <v>0</v>
      </c>
      <c r="R175" s="46">
        <f>'[1]2018'!R184+'[1]2019'!R184+'[1]2020'!R184</f>
        <v>0</v>
      </c>
      <c r="S175" s="46">
        <f>'[1]2018'!S184+'[1]2019'!S184+'[1]2020'!S184</f>
        <v>5</v>
      </c>
      <c r="T175" s="46">
        <f>'[1]2018'!T184+'[1]2019'!T184+'[1]2020'!T184</f>
        <v>0</v>
      </c>
      <c r="U175" s="46">
        <f>'[1]2018'!U184+'[1]2019'!U184+'[1]2020'!U184</f>
        <v>0</v>
      </c>
      <c r="V175" s="46">
        <f>'[1]2018'!V184+'[1]2019'!V184+'[1]2020'!V184</f>
        <v>0</v>
      </c>
      <c r="W175" s="46">
        <f>'[1]2018'!W184+'[1]2019'!W184+'[1]2020'!W184</f>
        <v>0</v>
      </c>
      <c r="X175" s="46">
        <f>'[1]2018'!X184+'[1]2019'!X184+'[1]2020'!X184</f>
        <v>0</v>
      </c>
      <c r="Y175" s="41">
        <f t="shared" si="18"/>
        <v>5</v>
      </c>
      <c r="Z175" s="11">
        <f>'[1]2018'!Z184+'[1]2019'!Z184+'[1]2020'!Z184</f>
        <v>1</v>
      </c>
      <c r="AA175" s="11">
        <f>'[1]2018'!AA184+'[1]2019'!AA184+'[1]2020'!AA184</f>
        <v>0</v>
      </c>
      <c r="AB175" s="11">
        <f>'[1]2018'!AB184+'[1]2019'!AB184+'[1]2020'!AB184</f>
        <v>4</v>
      </c>
      <c r="AC175" s="11">
        <f>'[1]2018'!AC184+'[1]2019'!AC184+'[1]2020'!AC184</f>
        <v>0</v>
      </c>
      <c r="AD175" s="11">
        <f>'[1]2018'!AD184+'[1]2019'!AD184+'[1]2020'!AD184</f>
        <v>0</v>
      </c>
      <c r="AE175" s="11">
        <f>'[1]2018'!AE184+'[1]2019'!AE184+'[1]2020'!AE184</f>
        <v>0</v>
      </c>
      <c r="AF175" s="11">
        <f>'[1]2018'!AF184+'[1]2019'!AF184+'[1]2020'!AF184</f>
        <v>0</v>
      </c>
      <c r="AG175" s="11">
        <f>'[1]2018'!AG184+'[1]2019'!AG184+'[1]2020'!AG184</f>
        <v>0</v>
      </c>
      <c r="AH175" s="11">
        <f>'[1]2018'!AH184+'[1]2019'!AH184+'[1]2020'!AH184</f>
        <v>0</v>
      </c>
      <c r="AI175" s="11">
        <f>'[1]2018'!AI184+'[1]2019'!AI184+'[1]2020'!AI184</f>
        <v>0</v>
      </c>
      <c r="AJ175" s="11">
        <f>'[1]2018'!AJ184+'[1]2019'!AJ184+'[1]2020'!AJ184</f>
        <v>0</v>
      </c>
      <c r="AK175" s="11">
        <f>'[1]2018'!AK184+'[1]2019'!AK184+'[1]2020'!AK184</f>
        <v>0</v>
      </c>
      <c r="AL175" s="11">
        <f>'[1]2018'!AL184+'[1]2019'!AL184+'[1]2020'!AL184</f>
        <v>0</v>
      </c>
      <c r="AM175" s="11">
        <f>'[1]2018'!AM184+'[1]2019'!AM184+'[1]2020'!AM184</f>
        <v>0</v>
      </c>
      <c r="AN175" s="11">
        <f>'[1]2018'!AN184+'[1]2019'!AN184+'[1]2020'!AN184</f>
        <v>0</v>
      </c>
      <c r="AO175" s="11">
        <f>'[1]2018'!AO184+'[1]2019'!AO184+'[1]2020'!AO184</f>
        <v>0</v>
      </c>
      <c r="AP175" s="11">
        <f>'[1]2018'!AP184+'[1]2019'!AP184+'[1]2020'!AP184</f>
        <v>0</v>
      </c>
      <c r="AQ175" s="11">
        <f>'[1]2018'!AQ184+'[1]2019'!AQ184+'[1]2020'!AQ184</f>
        <v>4</v>
      </c>
      <c r="AR175" s="11">
        <f>'[1]2018'!AR184+'[1]2019'!AR184+'[1]2020'!AR184</f>
        <v>0</v>
      </c>
      <c r="AS175" s="11">
        <f>'[1]2018'!AS184+'[1]2019'!AS184+'[1]2020'!AS184</f>
        <v>0</v>
      </c>
      <c r="AT175" s="11">
        <f>'[1]2018'!AT184+'[1]2019'!AT184+'[1]2020'!AT184</f>
        <v>0</v>
      </c>
      <c r="AU175" s="11">
        <f>'[1]2018'!AU184+'[1]2019'!AU184+'[1]2020'!AU184</f>
        <v>0</v>
      </c>
      <c r="AV175" s="11">
        <f>'[1]2018'!AV184+'[1]2019'!AV184+'[1]2020'!AV184</f>
        <v>0</v>
      </c>
      <c r="AW175" s="41">
        <f t="shared" si="19"/>
        <v>4</v>
      </c>
      <c r="AX175" s="14">
        <f t="shared" si="20"/>
        <v>700</v>
      </c>
      <c r="AY175" s="2">
        <f>'[1]2018'!AX184+'[1]2019'!AX184+'[1]2020'!AX184</f>
        <v>2100</v>
      </c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136" x14ac:dyDescent="0.25">
      <c r="A176" s="10" t="s">
        <v>257</v>
      </c>
      <c r="B176" s="46">
        <f>'[1]2018'!B185+'[1]2019'!B185+'[1]2020'!B185</f>
        <v>2</v>
      </c>
      <c r="C176" s="46">
        <f>'[1]2018'!C185+'[1]2019'!C185+'[1]2020'!C185</f>
        <v>1</v>
      </c>
      <c r="D176" s="46">
        <f>'[1]2018'!D185+'[1]2019'!D185+'[1]2020'!D185</f>
        <v>2</v>
      </c>
      <c r="E176" s="46">
        <f>'[1]2018'!E185+'[1]2019'!E185+'[1]2020'!E185</f>
        <v>1</v>
      </c>
      <c r="F176" s="46">
        <f>'[1]2018'!F185+'[1]2019'!F185+'[1]2020'!F185</f>
        <v>0</v>
      </c>
      <c r="G176" s="46">
        <f>'[1]2018'!G185+'[1]2019'!G185+'[1]2020'!G185</f>
        <v>0</v>
      </c>
      <c r="H176" s="46">
        <f>'[1]2018'!H185+'[1]2019'!H185+'[1]2020'!H185</f>
        <v>0</v>
      </c>
      <c r="I176" s="46">
        <f>'[1]2018'!I185+'[1]2019'!I185+'[1]2020'!I185</f>
        <v>0</v>
      </c>
      <c r="J176" s="46">
        <f>'[1]2018'!J185+'[1]2019'!J185+'[1]2020'!J185</f>
        <v>0</v>
      </c>
      <c r="K176" s="46">
        <f>'[1]2018'!K185+'[1]2019'!K185+'[1]2020'!K185</f>
        <v>0</v>
      </c>
      <c r="L176" s="46">
        <f>'[1]2018'!L185+'[1]2019'!L185+'[1]2020'!L185</f>
        <v>0</v>
      </c>
      <c r="M176" s="46">
        <f>'[1]2018'!M185+'[1]2019'!M185+'[1]2020'!M185</f>
        <v>0</v>
      </c>
      <c r="N176" s="46">
        <f>'[1]2018'!N185+'[1]2019'!N185+'[1]2020'!N185</f>
        <v>0</v>
      </c>
      <c r="O176" s="46">
        <f>'[1]2018'!O185+'[1]2019'!O185+'[1]2020'!O185</f>
        <v>0</v>
      </c>
      <c r="P176" s="46">
        <f>'[1]2018'!P185+'[1]2019'!P185+'[1]2020'!P185</f>
        <v>0</v>
      </c>
      <c r="Q176" s="46">
        <f>'[1]2018'!Q185+'[1]2019'!Q185+'[1]2020'!Q185</f>
        <v>0</v>
      </c>
      <c r="R176" s="46">
        <f>'[1]2018'!R185+'[1]2019'!R185+'[1]2020'!R185</f>
        <v>0</v>
      </c>
      <c r="S176" s="46">
        <f>'[1]2018'!S185+'[1]2019'!S185+'[1]2020'!S185</f>
        <v>0</v>
      </c>
      <c r="T176" s="46">
        <f>'[1]2018'!T185+'[1]2019'!T185+'[1]2020'!T185</f>
        <v>0</v>
      </c>
      <c r="U176" s="46">
        <f>'[1]2018'!U185+'[1]2019'!U185+'[1]2020'!U185</f>
        <v>0</v>
      </c>
      <c r="V176" s="46">
        <f>'[1]2018'!V185+'[1]2019'!V185+'[1]2020'!V185</f>
        <v>1</v>
      </c>
      <c r="W176" s="46">
        <f>'[1]2018'!W185+'[1]2019'!W185+'[1]2020'!W185</f>
        <v>0</v>
      </c>
      <c r="X176" s="46">
        <f>'[1]2018'!X185+'[1]2019'!X185+'[1]2020'!X185</f>
        <v>1</v>
      </c>
      <c r="Y176" s="41">
        <f t="shared" si="18"/>
        <v>2</v>
      </c>
      <c r="Z176" s="11">
        <f>'[1]2018'!Z185+'[1]2019'!Z185+'[1]2020'!Z185</f>
        <v>2</v>
      </c>
      <c r="AA176" s="11">
        <f>'[1]2018'!AA185+'[1]2019'!AA185+'[1]2020'!AA185</f>
        <v>1</v>
      </c>
      <c r="AB176" s="11">
        <f>'[1]2018'!AB185+'[1]2019'!AB185+'[1]2020'!AB185</f>
        <v>2</v>
      </c>
      <c r="AC176" s="11">
        <f>'[1]2018'!AC185+'[1]2019'!AC185+'[1]2020'!AC185</f>
        <v>1</v>
      </c>
      <c r="AD176" s="11">
        <f>'[1]2018'!AD185+'[1]2019'!AD185+'[1]2020'!AD185</f>
        <v>0</v>
      </c>
      <c r="AE176" s="11">
        <f>'[1]2018'!AE185+'[1]2019'!AE185+'[1]2020'!AE185</f>
        <v>0</v>
      </c>
      <c r="AF176" s="11">
        <f>'[1]2018'!AF185+'[1]2019'!AF185+'[1]2020'!AF185</f>
        <v>0</v>
      </c>
      <c r="AG176" s="11">
        <f>'[1]2018'!AG185+'[1]2019'!AG185+'[1]2020'!AG185</f>
        <v>0</v>
      </c>
      <c r="AH176" s="11">
        <f>'[1]2018'!AH185+'[1]2019'!AH185+'[1]2020'!AH185</f>
        <v>0</v>
      </c>
      <c r="AI176" s="11">
        <f>'[1]2018'!AI185+'[1]2019'!AI185+'[1]2020'!AI185</f>
        <v>0</v>
      </c>
      <c r="AJ176" s="11">
        <f>'[1]2018'!AJ185+'[1]2019'!AJ185+'[1]2020'!AJ185</f>
        <v>0</v>
      </c>
      <c r="AK176" s="11">
        <f>'[1]2018'!AK185+'[1]2019'!AK185+'[1]2020'!AK185</f>
        <v>0</v>
      </c>
      <c r="AL176" s="11">
        <f>'[1]2018'!AL185+'[1]2019'!AL185+'[1]2020'!AL185</f>
        <v>0</v>
      </c>
      <c r="AM176" s="11">
        <f>'[1]2018'!AM185+'[1]2019'!AM185+'[1]2020'!AM185</f>
        <v>0</v>
      </c>
      <c r="AN176" s="11">
        <f>'[1]2018'!AN185+'[1]2019'!AN185+'[1]2020'!AN185</f>
        <v>0</v>
      </c>
      <c r="AO176" s="11">
        <f>'[1]2018'!AO185+'[1]2019'!AO185+'[1]2020'!AO185</f>
        <v>0</v>
      </c>
      <c r="AP176" s="11">
        <f>'[1]2018'!AP185+'[1]2019'!AP185+'[1]2020'!AP185</f>
        <v>0</v>
      </c>
      <c r="AQ176" s="11">
        <f>'[1]2018'!AQ185+'[1]2019'!AQ185+'[1]2020'!AQ185</f>
        <v>0</v>
      </c>
      <c r="AR176" s="11">
        <f>'[1]2018'!AR185+'[1]2019'!AR185+'[1]2020'!AR185</f>
        <v>0</v>
      </c>
      <c r="AS176" s="11">
        <f>'[1]2018'!AS185+'[1]2019'!AS185+'[1]2020'!AS185</f>
        <v>0</v>
      </c>
      <c r="AT176" s="11">
        <f>'[1]2018'!AT185+'[1]2019'!AT185+'[1]2020'!AT185</f>
        <v>1</v>
      </c>
      <c r="AU176" s="11">
        <f>'[1]2018'!AU185+'[1]2019'!AU185+'[1]2020'!AU185</f>
        <v>0</v>
      </c>
      <c r="AV176" s="11">
        <f>'[1]2018'!AV185+'[1]2019'!AV185+'[1]2020'!AV185</f>
        <v>1</v>
      </c>
      <c r="AW176" s="41">
        <f t="shared" si="19"/>
        <v>2</v>
      </c>
      <c r="AX176" s="14">
        <f t="shared" si="20"/>
        <v>6613.333333333333</v>
      </c>
      <c r="AY176" s="2">
        <f>'[1]2018'!AX185+'[1]2019'!AX185+'[1]2020'!AX185</f>
        <v>19840</v>
      </c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136" x14ac:dyDescent="0.25">
      <c r="A177" s="10" t="s">
        <v>258</v>
      </c>
      <c r="B177" s="46">
        <f>'[1]2018'!B186+'[1]2019'!B186+'[1]2020'!B186</f>
        <v>10</v>
      </c>
      <c r="C177" s="46">
        <f>'[1]2018'!C186+'[1]2019'!C186+'[1]2020'!C186</f>
        <v>0</v>
      </c>
      <c r="D177" s="46">
        <f>'[1]2018'!D186+'[1]2019'!D186+'[1]2020'!D186</f>
        <v>56</v>
      </c>
      <c r="E177" s="46">
        <f>'[1]2018'!E186+'[1]2019'!E186+'[1]2020'!E186</f>
        <v>0</v>
      </c>
      <c r="F177" s="46">
        <f>'[1]2018'!F186+'[1]2019'!F186+'[1]2020'!F186</f>
        <v>0</v>
      </c>
      <c r="G177" s="46">
        <f>'[1]2018'!G186+'[1]2019'!G186+'[1]2020'!G186</f>
        <v>0</v>
      </c>
      <c r="H177" s="46">
        <f>'[1]2018'!H186+'[1]2019'!H186+'[1]2020'!H186</f>
        <v>0</v>
      </c>
      <c r="I177" s="46">
        <f>'[1]2018'!I186+'[1]2019'!I186+'[1]2020'!I186</f>
        <v>0</v>
      </c>
      <c r="J177" s="46">
        <f>'[1]2018'!J186+'[1]2019'!J186+'[1]2020'!J186</f>
        <v>56</v>
      </c>
      <c r="K177" s="46">
        <f>'[1]2018'!K186+'[1]2019'!K186+'[1]2020'!K186</f>
        <v>0</v>
      </c>
      <c r="L177" s="46">
        <f>'[1]2018'!L186+'[1]2019'!L186+'[1]2020'!L186</f>
        <v>0</v>
      </c>
      <c r="M177" s="46">
        <f>'[1]2018'!M186+'[1]2019'!M186+'[1]2020'!M186</f>
        <v>0</v>
      </c>
      <c r="N177" s="46">
        <f>'[1]2018'!N186+'[1]2019'!N186+'[1]2020'!N186</f>
        <v>0</v>
      </c>
      <c r="O177" s="46">
        <f>'[1]2018'!O186+'[1]2019'!O186+'[1]2020'!O186</f>
        <v>0</v>
      </c>
      <c r="P177" s="46">
        <f>'[1]2018'!P186+'[1]2019'!P186+'[1]2020'!P186</f>
        <v>0</v>
      </c>
      <c r="Q177" s="46">
        <f>'[1]2018'!Q186+'[1]2019'!Q186+'[1]2020'!Q186</f>
        <v>0</v>
      </c>
      <c r="R177" s="46">
        <f>'[1]2018'!R186+'[1]2019'!R186+'[1]2020'!R186</f>
        <v>0</v>
      </c>
      <c r="S177" s="46">
        <f>'[1]2018'!S186+'[1]2019'!S186+'[1]2020'!S186</f>
        <v>0</v>
      </c>
      <c r="T177" s="46">
        <f>'[1]2018'!T186+'[1]2019'!T186+'[1]2020'!T186</f>
        <v>0</v>
      </c>
      <c r="U177" s="46">
        <f>'[1]2018'!U186+'[1]2019'!U186+'[1]2020'!U186</f>
        <v>0</v>
      </c>
      <c r="V177" s="46">
        <f>'[1]2018'!V186+'[1]2019'!V186+'[1]2020'!V186</f>
        <v>0</v>
      </c>
      <c r="W177" s="46">
        <f>'[1]2018'!W186+'[1]2019'!W186+'[1]2020'!W186</f>
        <v>0</v>
      </c>
      <c r="X177" s="46">
        <f>'[1]2018'!X186+'[1]2019'!X186+'[1]2020'!X186</f>
        <v>0</v>
      </c>
      <c r="Y177" s="41">
        <f t="shared" si="18"/>
        <v>56</v>
      </c>
      <c r="Z177" s="11">
        <f>'[1]2018'!Z186+'[1]2019'!Z186+'[1]2020'!Z186</f>
        <v>8</v>
      </c>
      <c r="AA177" s="11">
        <f>'[1]2018'!AA186+'[1]2019'!AA186+'[1]2020'!AA186</f>
        <v>0</v>
      </c>
      <c r="AB177" s="11">
        <f>'[1]2018'!AB186+'[1]2019'!AB186+'[1]2020'!AB186</f>
        <v>37</v>
      </c>
      <c r="AC177" s="11">
        <f>'[1]2018'!AC186+'[1]2019'!AC186+'[1]2020'!AC186</f>
        <v>0</v>
      </c>
      <c r="AD177" s="11">
        <f>'[1]2018'!AD186+'[1]2019'!AD186+'[1]2020'!AD186</f>
        <v>0</v>
      </c>
      <c r="AE177" s="11">
        <f>'[1]2018'!AE186+'[1]2019'!AE186+'[1]2020'!AE186</f>
        <v>0</v>
      </c>
      <c r="AF177" s="11">
        <f>'[1]2018'!AF186+'[1]2019'!AF186+'[1]2020'!AF186</f>
        <v>0</v>
      </c>
      <c r="AG177" s="11">
        <f>'[1]2018'!AG186+'[1]2019'!AG186+'[1]2020'!AG186</f>
        <v>0</v>
      </c>
      <c r="AH177" s="11">
        <f>'[1]2018'!AH186+'[1]2019'!AH186+'[1]2020'!AH186</f>
        <v>37</v>
      </c>
      <c r="AI177" s="11">
        <f>'[1]2018'!AI186+'[1]2019'!AI186+'[1]2020'!AI186</f>
        <v>0</v>
      </c>
      <c r="AJ177" s="11">
        <f>'[1]2018'!AJ186+'[1]2019'!AJ186+'[1]2020'!AJ186</f>
        <v>0</v>
      </c>
      <c r="AK177" s="11">
        <f>'[1]2018'!AK186+'[1]2019'!AK186+'[1]2020'!AK186</f>
        <v>0</v>
      </c>
      <c r="AL177" s="11">
        <f>'[1]2018'!AL186+'[1]2019'!AL186+'[1]2020'!AL186</f>
        <v>0</v>
      </c>
      <c r="AM177" s="11">
        <f>'[1]2018'!AM186+'[1]2019'!AM186+'[1]2020'!AM186</f>
        <v>0</v>
      </c>
      <c r="AN177" s="11">
        <f>'[1]2018'!AN186+'[1]2019'!AN186+'[1]2020'!AN186</f>
        <v>0</v>
      </c>
      <c r="AO177" s="11">
        <f>'[1]2018'!AO186+'[1]2019'!AO186+'[1]2020'!AO186</f>
        <v>0</v>
      </c>
      <c r="AP177" s="11">
        <f>'[1]2018'!AP186+'[1]2019'!AP186+'[1]2020'!AP186</f>
        <v>0</v>
      </c>
      <c r="AQ177" s="11">
        <f>'[1]2018'!AQ186+'[1]2019'!AQ186+'[1]2020'!AQ186</f>
        <v>0</v>
      </c>
      <c r="AR177" s="11">
        <f>'[1]2018'!AR186+'[1]2019'!AR186+'[1]2020'!AR186</f>
        <v>0</v>
      </c>
      <c r="AS177" s="11">
        <f>'[1]2018'!AS186+'[1]2019'!AS186+'[1]2020'!AS186</f>
        <v>0</v>
      </c>
      <c r="AT177" s="11">
        <f>'[1]2018'!AT186+'[1]2019'!AT186+'[1]2020'!AT186</f>
        <v>0</v>
      </c>
      <c r="AU177" s="11">
        <f>'[1]2018'!AU186+'[1]2019'!AU186+'[1]2020'!AU186</f>
        <v>0</v>
      </c>
      <c r="AV177" s="11">
        <f>'[1]2018'!AV186+'[1]2019'!AV186+'[1]2020'!AV186</f>
        <v>0</v>
      </c>
      <c r="AW177" s="41">
        <f t="shared" si="19"/>
        <v>37</v>
      </c>
      <c r="AX177" s="14">
        <f t="shared" si="20"/>
        <v>226.5</v>
      </c>
      <c r="AY177" s="2">
        <f>'[1]2018'!AX186+'[1]2019'!AX186+'[1]2020'!AX186</f>
        <v>679.5</v>
      </c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136" x14ac:dyDescent="0.25">
      <c r="A178" s="40" t="s">
        <v>44</v>
      </c>
      <c r="B178" s="48">
        <f t="shared" ref="B178:X178" si="21">SUM(B179:B180)</f>
        <v>21</v>
      </c>
      <c r="C178" s="48">
        <f t="shared" si="21"/>
        <v>3</v>
      </c>
      <c r="D178" s="48">
        <f t="shared" si="21"/>
        <v>38</v>
      </c>
      <c r="E178" s="48">
        <f t="shared" si="21"/>
        <v>5</v>
      </c>
      <c r="F178" s="48">
        <f t="shared" si="21"/>
        <v>0</v>
      </c>
      <c r="G178" s="48">
        <f t="shared" si="21"/>
        <v>0</v>
      </c>
      <c r="H178" s="48">
        <f t="shared" si="21"/>
        <v>10</v>
      </c>
      <c r="I178" s="48">
        <f t="shared" si="21"/>
        <v>0</v>
      </c>
      <c r="J178" s="48">
        <f t="shared" si="21"/>
        <v>0</v>
      </c>
      <c r="K178" s="48">
        <f t="shared" si="21"/>
        <v>5</v>
      </c>
      <c r="L178" s="48">
        <f t="shared" si="21"/>
        <v>2</v>
      </c>
      <c r="M178" s="48">
        <f t="shared" si="21"/>
        <v>5</v>
      </c>
      <c r="N178" s="48">
        <f t="shared" si="21"/>
        <v>1</v>
      </c>
      <c r="O178" s="48">
        <f t="shared" si="21"/>
        <v>2</v>
      </c>
      <c r="P178" s="48">
        <f t="shared" si="21"/>
        <v>0</v>
      </c>
      <c r="Q178" s="48">
        <f t="shared" si="21"/>
        <v>0</v>
      </c>
      <c r="R178" s="48">
        <f t="shared" si="21"/>
        <v>2</v>
      </c>
      <c r="S178" s="48">
        <f t="shared" si="21"/>
        <v>0</v>
      </c>
      <c r="T178" s="48">
        <f t="shared" si="21"/>
        <v>1</v>
      </c>
      <c r="U178" s="48">
        <f t="shared" si="21"/>
        <v>3</v>
      </c>
      <c r="V178" s="48">
        <f t="shared" si="21"/>
        <v>2</v>
      </c>
      <c r="W178" s="48">
        <f t="shared" si="21"/>
        <v>4</v>
      </c>
      <c r="X178" s="48">
        <f t="shared" si="21"/>
        <v>1</v>
      </c>
      <c r="Y178" s="41">
        <f t="shared" si="18"/>
        <v>38</v>
      </c>
      <c r="Z178" s="41">
        <f t="shared" ref="Z178:AV178" si="22">Z179+Z180</f>
        <v>15</v>
      </c>
      <c r="AA178" s="41">
        <f t="shared" si="22"/>
        <v>1</v>
      </c>
      <c r="AB178" s="41">
        <f t="shared" si="22"/>
        <v>25</v>
      </c>
      <c r="AC178" s="41">
        <f t="shared" si="22"/>
        <v>2</v>
      </c>
      <c r="AD178" s="41">
        <f t="shared" si="22"/>
        <v>0</v>
      </c>
      <c r="AE178" s="41">
        <f t="shared" si="22"/>
        <v>0</v>
      </c>
      <c r="AF178" s="41">
        <f t="shared" si="22"/>
        <v>7</v>
      </c>
      <c r="AG178" s="41">
        <f t="shared" si="22"/>
        <v>0</v>
      </c>
      <c r="AH178" s="41">
        <f t="shared" si="22"/>
        <v>0</v>
      </c>
      <c r="AI178" s="41">
        <f t="shared" si="22"/>
        <v>0</v>
      </c>
      <c r="AJ178" s="41">
        <f t="shared" si="22"/>
        <v>1</v>
      </c>
      <c r="AK178" s="41">
        <f t="shared" si="22"/>
        <v>5</v>
      </c>
      <c r="AL178" s="41">
        <f t="shared" si="22"/>
        <v>2</v>
      </c>
      <c r="AM178" s="41">
        <f t="shared" si="22"/>
        <v>3</v>
      </c>
      <c r="AN178" s="41">
        <f t="shared" si="22"/>
        <v>0</v>
      </c>
      <c r="AO178" s="41">
        <f t="shared" si="22"/>
        <v>0</v>
      </c>
      <c r="AP178" s="41">
        <f t="shared" si="22"/>
        <v>1</v>
      </c>
      <c r="AQ178" s="41">
        <f t="shared" si="22"/>
        <v>0</v>
      </c>
      <c r="AR178" s="41">
        <f t="shared" si="22"/>
        <v>0</v>
      </c>
      <c r="AS178" s="41">
        <f t="shared" si="22"/>
        <v>2</v>
      </c>
      <c r="AT178" s="41">
        <f t="shared" si="22"/>
        <v>2</v>
      </c>
      <c r="AU178" s="41">
        <f t="shared" si="22"/>
        <v>2</v>
      </c>
      <c r="AV178" s="41">
        <f t="shared" si="22"/>
        <v>0</v>
      </c>
      <c r="AW178" s="41">
        <f t="shared" si="19"/>
        <v>25</v>
      </c>
      <c r="AX178" s="42">
        <f t="shared" si="20"/>
        <v>4329.0599999999995</v>
      </c>
      <c r="AY178" s="43">
        <f>'[1]2018'!AX187+'[1]2019'!AX187+'[1]2020'!AX187</f>
        <v>12987.179999999998</v>
      </c>
      <c r="AZ178" s="42">
        <f>AB178*100/D178</f>
        <v>65.78947368421052</v>
      </c>
      <c r="BA178" s="44"/>
      <c r="BB178" s="44"/>
      <c r="BC178" s="44"/>
      <c r="BD178" s="44"/>
      <c r="BE178" s="44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</row>
    <row r="179" spans="1:136" x14ac:dyDescent="0.25">
      <c r="A179" s="10" t="s">
        <v>128</v>
      </c>
      <c r="B179" s="46">
        <f>'[1]2018'!B188+'[1]2019'!B188+'[1]2020'!B188</f>
        <v>21</v>
      </c>
      <c r="C179" s="46">
        <f>'[1]2018'!C188+'[1]2019'!C188+'[1]2020'!C188</f>
        <v>3</v>
      </c>
      <c r="D179" s="46">
        <f>'[1]2018'!D188+'[1]2019'!D188+'[1]2020'!D188</f>
        <v>38</v>
      </c>
      <c r="E179" s="46">
        <f>'[1]2018'!E188+'[1]2019'!E188+'[1]2020'!E188</f>
        <v>5</v>
      </c>
      <c r="F179" s="46">
        <f>'[1]2018'!F188+'[1]2019'!F188+'[1]2020'!F188</f>
        <v>0</v>
      </c>
      <c r="G179" s="46">
        <f>'[1]2018'!G188+'[1]2019'!G188+'[1]2020'!G188</f>
        <v>0</v>
      </c>
      <c r="H179" s="46">
        <f>'[1]2018'!H188+'[1]2019'!H188+'[1]2020'!H188</f>
        <v>10</v>
      </c>
      <c r="I179" s="46">
        <f>'[1]2018'!I188+'[1]2019'!I188+'[1]2020'!I188</f>
        <v>0</v>
      </c>
      <c r="J179" s="46">
        <f>'[1]2018'!J188+'[1]2019'!J188+'[1]2020'!J188</f>
        <v>0</v>
      </c>
      <c r="K179" s="46">
        <f>'[1]2018'!K188+'[1]2019'!K188+'[1]2020'!K188</f>
        <v>5</v>
      </c>
      <c r="L179" s="46">
        <f>'[1]2018'!L188+'[1]2019'!L188+'[1]2020'!L188</f>
        <v>2</v>
      </c>
      <c r="M179" s="46">
        <f>'[1]2018'!M188+'[1]2019'!M188+'[1]2020'!M188</f>
        <v>5</v>
      </c>
      <c r="N179" s="46">
        <f>'[1]2018'!N188+'[1]2019'!N188+'[1]2020'!N188</f>
        <v>1</v>
      </c>
      <c r="O179" s="46">
        <f>'[1]2018'!O188+'[1]2019'!O188+'[1]2020'!O188</f>
        <v>2</v>
      </c>
      <c r="P179" s="46">
        <f>'[1]2018'!P188+'[1]2019'!P188+'[1]2020'!P188</f>
        <v>0</v>
      </c>
      <c r="Q179" s="46">
        <f>'[1]2018'!Q188+'[1]2019'!Q188+'[1]2020'!Q188</f>
        <v>0</v>
      </c>
      <c r="R179" s="46">
        <f>'[1]2018'!R188+'[1]2019'!R188+'[1]2020'!R188</f>
        <v>2</v>
      </c>
      <c r="S179" s="46">
        <f>'[1]2018'!S188+'[1]2019'!S188+'[1]2020'!S188</f>
        <v>0</v>
      </c>
      <c r="T179" s="46">
        <f>'[1]2018'!T188+'[1]2019'!T188+'[1]2020'!T188</f>
        <v>1</v>
      </c>
      <c r="U179" s="46">
        <f>'[1]2018'!U188+'[1]2019'!U188+'[1]2020'!U188</f>
        <v>3</v>
      </c>
      <c r="V179" s="46">
        <f>'[1]2018'!V188+'[1]2019'!V188+'[1]2020'!V188</f>
        <v>2</v>
      </c>
      <c r="W179" s="46">
        <f>'[1]2018'!W188+'[1]2019'!W188+'[1]2020'!W188</f>
        <v>4</v>
      </c>
      <c r="X179" s="46">
        <f>'[1]2018'!X188+'[1]2019'!X188+'[1]2020'!X188</f>
        <v>1</v>
      </c>
      <c r="Y179" s="41">
        <f t="shared" si="18"/>
        <v>38</v>
      </c>
      <c r="Z179" s="11">
        <f>'[1]2018'!Z188+'[1]2019'!Z188+'[1]2020'!Z188</f>
        <v>15</v>
      </c>
      <c r="AA179" s="11">
        <f>'[1]2018'!AA188+'[1]2019'!AA188+'[1]2020'!AA188</f>
        <v>1</v>
      </c>
      <c r="AB179" s="11">
        <f>'[1]2018'!AB188+'[1]2019'!AB188+'[1]2020'!AB188</f>
        <v>25</v>
      </c>
      <c r="AC179" s="11">
        <f>'[1]2018'!AC188+'[1]2019'!AC188+'[1]2020'!AC188</f>
        <v>2</v>
      </c>
      <c r="AD179" s="11">
        <f>'[1]2018'!AD188+'[1]2019'!AD188+'[1]2020'!AD188</f>
        <v>0</v>
      </c>
      <c r="AE179" s="11">
        <f>'[1]2018'!AE188+'[1]2019'!AE188+'[1]2020'!AE188</f>
        <v>0</v>
      </c>
      <c r="AF179" s="11">
        <f>'[1]2018'!AF188+'[1]2019'!AF188+'[1]2020'!AF188</f>
        <v>7</v>
      </c>
      <c r="AG179" s="11">
        <f>'[1]2018'!AG188+'[1]2019'!AG188+'[1]2020'!AG188</f>
        <v>0</v>
      </c>
      <c r="AH179" s="11">
        <f>'[1]2018'!AH188+'[1]2019'!AH188+'[1]2020'!AH188</f>
        <v>0</v>
      </c>
      <c r="AI179" s="11">
        <f>'[1]2018'!AI188+'[1]2019'!AI188+'[1]2020'!AI188</f>
        <v>0</v>
      </c>
      <c r="AJ179" s="11">
        <f>'[1]2018'!AJ188+'[1]2019'!AJ188+'[1]2020'!AJ188</f>
        <v>1</v>
      </c>
      <c r="AK179" s="11">
        <f>'[1]2018'!AK188+'[1]2019'!AK188+'[1]2020'!AK188</f>
        <v>5</v>
      </c>
      <c r="AL179" s="11">
        <f>'[1]2018'!AL188+'[1]2019'!AL188+'[1]2020'!AL188</f>
        <v>2</v>
      </c>
      <c r="AM179" s="11">
        <f>'[1]2018'!AM188+'[1]2019'!AM188+'[1]2020'!AM188</f>
        <v>3</v>
      </c>
      <c r="AN179" s="11">
        <f>'[1]2018'!AN188+'[1]2019'!AN188+'[1]2020'!AN188</f>
        <v>0</v>
      </c>
      <c r="AO179" s="11">
        <f>'[1]2018'!AO188+'[1]2019'!AO188+'[1]2020'!AO188</f>
        <v>0</v>
      </c>
      <c r="AP179" s="11">
        <f>'[1]2018'!AP188+'[1]2019'!AP188+'[1]2020'!AP188</f>
        <v>1</v>
      </c>
      <c r="AQ179" s="11">
        <f>'[1]2018'!AQ188+'[1]2019'!AQ188+'[1]2020'!AQ188</f>
        <v>0</v>
      </c>
      <c r="AR179" s="11">
        <f>'[1]2018'!AR188+'[1]2019'!AR188+'[1]2020'!AR188</f>
        <v>0</v>
      </c>
      <c r="AS179" s="11">
        <f>'[1]2018'!AS188+'[1]2019'!AS188+'[1]2020'!AS188</f>
        <v>2</v>
      </c>
      <c r="AT179" s="11">
        <f>'[1]2018'!AT188+'[1]2019'!AT188+'[1]2020'!AT188</f>
        <v>2</v>
      </c>
      <c r="AU179" s="11">
        <f>'[1]2018'!AU188+'[1]2019'!AU188+'[1]2020'!AU188</f>
        <v>2</v>
      </c>
      <c r="AV179" s="11">
        <f>'[1]2018'!AV188+'[1]2019'!AV188+'[1]2020'!AV188</f>
        <v>0</v>
      </c>
      <c r="AW179" s="41">
        <f t="shared" si="19"/>
        <v>25</v>
      </c>
      <c r="AX179" s="14">
        <f t="shared" si="20"/>
        <v>4329.0622222222219</v>
      </c>
      <c r="AY179" s="2">
        <f>'[1]2018'!AX188+'[1]2019'!AX188+'[1]2020'!AX188</f>
        <v>12987.186666666666</v>
      </c>
    </row>
    <row r="180" spans="1:136" x14ac:dyDescent="0.25">
      <c r="A180" s="10" t="s">
        <v>129</v>
      </c>
      <c r="B180" s="46">
        <f>'[1]2018'!B189+'[1]2019'!B189+'[1]2020'!B189</f>
        <v>0</v>
      </c>
      <c r="C180" s="46">
        <f>'[1]2018'!C189+'[1]2019'!C189+'[1]2020'!C189</f>
        <v>0</v>
      </c>
      <c r="D180" s="46">
        <f>'[1]2018'!D189+'[1]2019'!D189+'[1]2020'!D189</f>
        <v>0</v>
      </c>
      <c r="E180" s="46">
        <f>'[1]2018'!E189+'[1]2019'!E189+'[1]2020'!E189</f>
        <v>0</v>
      </c>
      <c r="F180" s="46">
        <f>'[1]2018'!F189+'[1]2019'!F189+'[1]2020'!F189</f>
        <v>0</v>
      </c>
      <c r="G180" s="46">
        <f>'[1]2018'!G189+'[1]2019'!G189+'[1]2020'!G189</f>
        <v>0</v>
      </c>
      <c r="H180" s="46">
        <f>'[1]2018'!H189+'[1]2019'!H189+'[1]2020'!H189</f>
        <v>0</v>
      </c>
      <c r="I180" s="46">
        <f>'[1]2018'!I189+'[1]2019'!I189+'[1]2020'!I189</f>
        <v>0</v>
      </c>
      <c r="J180" s="46">
        <f>'[1]2018'!J189+'[1]2019'!J189+'[1]2020'!J189</f>
        <v>0</v>
      </c>
      <c r="K180" s="46">
        <f>'[1]2018'!K189+'[1]2019'!K189+'[1]2020'!K189</f>
        <v>0</v>
      </c>
      <c r="L180" s="46">
        <f>'[1]2018'!L189+'[1]2019'!L189+'[1]2020'!L189</f>
        <v>0</v>
      </c>
      <c r="M180" s="46">
        <f>'[1]2018'!M189+'[1]2019'!M189+'[1]2020'!M189</f>
        <v>0</v>
      </c>
      <c r="N180" s="46">
        <f>'[1]2018'!N189+'[1]2019'!N189+'[1]2020'!N189</f>
        <v>0</v>
      </c>
      <c r="O180" s="46">
        <f>'[1]2018'!O189+'[1]2019'!O189+'[1]2020'!O189</f>
        <v>0</v>
      </c>
      <c r="P180" s="46">
        <f>'[1]2018'!P189+'[1]2019'!P189+'[1]2020'!P189</f>
        <v>0</v>
      </c>
      <c r="Q180" s="46">
        <f>'[1]2018'!Q189+'[1]2019'!Q189+'[1]2020'!Q189</f>
        <v>0</v>
      </c>
      <c r="R180" s="46">
        <f>'[1]2018'!R189+'[1]2019'!R189+'[1]2020'!R189</f>
        <v>0</v>
      </c>
      <c r="S180" s="46">
        <f>'[1]2018'!S189+'[1]2019'!S189+'[1]2020'!S189</f>
        <v>0</v>
      </c>
      <c r="T180" s="46">
        <f>'[1]2018'!T189+'[1]2019'!T189+'[1]2020'!T189</f>
        <v>0</v>
      </c>
      <c r="U180" s="46">
        <f>'[1]2018'!U189+'[1]2019'!U189+'[1]2020'!U189</f>
        <v>0</v>
      </c>
      <c r="V180" s="46">
        <f>'[1]2018'!V189+'[1]2019'!V189+'[1]2020'!V189</f>
        <v>0</v>
      </c>
      <c r="W180" s="46">
        <f>'[1]2018'!W189+'[1]2019'!W189+'[1]2020'!W189</f>
        <v>0</v>
      </c>
      <c r="X180" s="46">
        <f>'[1]2018'!X189+'[1]2019'!X189+'[1]2020'!X189</f>
        <v>0</v>
      </c>
      <c r="Y180" s="41">
        <f t="shared" si="18"/>
        <v>0</v>
      </c>
      <c r="Z180" s="11">
        <f>'[1]2018'!Z189+'[1]2019'!Z189+'[1]2020'!Z189</f>
        <v>0</v>
      </c>
      <c r="AA180" s="11">
        <f>'[1]2018'!AA189+'[1]2019'!AA189+'[1]2020'!AA189</f>
        <v>0</v>
      </c>
      <c r="AB180" s="11">
        <f>'[1]2018'!AB189+'[1]2019'!AB189+'[1]2020'!AB189</f>
        <v>0</v>
      </c>
      <c r="AC180" s="11">
        <f>'[1]2018'!AC189+'[1]2019'!AC189+'[1]2020'!AC189</f>
        <v>0</v>
      </c>
      <c r="AD180" s="11">
        <f>'[1]2018'!AD189+'[1]2019'!AD189+'[1]2020'!AD189</f>
        <v>0</v>
      </c>
      <c r="AE180" s="11">
        <f>'[1]2018'!AE189+'[1]2019'!AE189+'[1]2020'!AE189</f>
        <v>0</v>
      </c>
      <c r="AF180" s="11">
        <f>'[1]2018'!AF189+'[1]2019'!AF189+'[1]2020'!AF189</f>
        <v>0</v>
      </c>
      <c r="AG180" s="11">
        <f>'[1]2018'!AG189+'[1]2019'!AG189+'[1]2020'!AG189</f>
        <v>0</v>
      </c>
      <c r="AH180" s="11">
        <f>'[1]2018'!AH189+'[1]2019'!AH189+'[1]2020'!AH189</f>
        <v>0</v>
      </c>
      <c r="AI180" s="11">
        <f>'[1]2018'!AI189+'[1]2019'!AI189+'[1]2020'!AI189</f>
        <v>0</v>
      </c>
      <c r="AJ180" s="11">
        <f>'[1]2018'!AJ189+'[1]2019'!AJ189+'[1]2020'!AJ189</f>
        <v>0</v>
      </c>
      <c r="AK180" s="11">
        <f>'[1]2018'!AK189+'[1]2019'!AK189+'[1]2020'!AK189</f>
        <v>0</v>
      </c>
      <c r="AL180" s="11">
        <f>'[1]2018'!AL189+'[1]2019'!AL189+'[1]2020'!AL189</f>
        <v>0</v>
      </c>
      <c r="AM180" s="11">
        <f>'[1]2018'!AM189+'[1]2019'!AM189+'[1]2020'!AM189</f>
        <v>0</v>
      </c>
      <c r="AN180" s="11">
        <f>'[1]2018'!AN189+'[1]2019'!AN189+'[1]2020'!AN189</f>
        <v>0</v>
      </c>
      <c r="AO180" s="11">
        <f>'[1]2018'!AO189+'[1]2019'!AO189+'[1]2020'!AO189</f>
        <v>0</v>
      </c>
      <c r="AP180" s="11">
        <f>'[1]2018'!AP189+'[1]2019'!AP189+'[1]2020'!AP189</f>
        <v>0</v>
      </c>
      <c r="AQ180" s="11">
        <f>'[1]2018'!AQ189+'[1]2019'!AQ189+'[1]2020'!AQ189</f>
        <v>0</v>
      </c>
      <c r="AR180" s="11">
        <f>'[1]2018'!AR189+'[1]2019'!AR189+'[1]2020'!AR189</f>
        <v>0</v>
      </c>
      <c r="AS180" s="11">
        <f>'[1]2018'!AS189+'[1]2019'!AS189+'[1]2020'!AS189</f>
        <v>0</v>
      </c>
      <c r="AT180" s="11">
        <f>'[1]2018'!AT189+'[1]2019'!AT189+'[1]2020'!AT189</f>
        <v>0</v>
      </c>
      <c r="AU180" s="11">
        <f>'[1]2018'!AU189+'[1]2019'!AU189+'[1]2020'!AU189</f>
        <v>0</v>
      </c>
      <c r="AV180" s="11">
        <f>'[1]2018'!AV189+'[1]2019'!AV189+'[1]2020'!AV189</f>
        <v>0</v>
      </c>
      <c r="AW180" s="41">
        <f t="shared" si="19"/>
        <v>0</v>
      </c>
      <c r="AX180" s="14">
        <f t="shared" si="20"/>
        <v>0</v>
      </c>
      <c r="AY180" s="2">
        <f>'[1]2018'!AX189+'[1]2019'!AX189+'[1]2020'!AX189</f>
        <v>0</v>
      </c>
    </row>
    <row r="181" spans="1:136" x14ac:dyDescent="0.25">
      <c r="A181" s="40" t="s">
        <v>45</v>
      </c>
      <c r="B181" s="48">
        <f t="shared" ref="B181:X181" si="23">SUM(B182:B194)</f>
        <v>424</v>
      </c>
      <c r="C181" s="48">
        <f t="shared" si="23"/>
        <v>263</v>
      </c>
      <c r="D181" s="48">
        <f t="shared" si="23"/>
        <v>1618</v>
      </c>
      <c r="E181" s="48">
        <f t="shared" si="23"/>
        <v>1087</v>
      </c>
      <c r="F181" s="48">
        <f t="shared" si="23"/>
        <v>0</v>
      </c>
      <c r="G181" s="48">
        <f t="shared" si="23"/>
        <v>0</v>
      </c>
      <c r="H181" s="48">
        <f t="shared" si="23"/>
        <v>2</v>
      </c>
      <c r="I181" s="48">
        <f t="shared" si="23"/>
        <v>0</v>
      </c>
      <c r="J181" s="48">
        <f t="shared" si="23"/>
        <v>0</v>
      </c>
      <c r="K181" s="48">
        <f t="shared" si="23"/>
        <v>0</v>
      </c>
      <c r="L181" s="48">
        <f t="shared" si="23"/>
        <v>0</v>
      </c>
      <c r="M181" s="48">
        <f t="shared" si="23"/>
        <v>0</v>
      </c>
      <c r="N181" s="48">
        <f t="shared" si="23"/>
        <v>0</v>
      </c>
      <c r="O181" s="48">
        <f t="shared" si="23"/>
        <v>0</v>
      </c>
      <c r="P181" s="48">
        <f t="shared" si="23"/>
        <v>0</v>
      </c>
      <c r="Q181" s="48">
        <f t="shared" si="23"/>
        <v>0</v>
      </c>
      <c r="R181" s="48">
        <f t="shared" si="23"/>
        <v>26</v>
      </c>
      <c r="S181" s="48">
        <f t="shared" si="23"/>
        <v>1</v>
      </c>
      <c r="T181" s="48">
        <f t="shared" si="23"/>
        <v>25</v>
      </c>
      <c r="U181" s="48">
        <f t="shared" si="23"/>
        <v>495</v>
      </c>
      <c r="V181" s="48">
        <f t="shared" si="23"/>
        <v>721</v>
      </c>
      <c r="W181" s="48">
        <f t="shared" si="23"/>
        <v>20</v>
      </c>
      <c r="X181" s="48">
        <f t="shared" si="23"/>
        <v>328</v>
      </c>
      <c r="Y181" s="41">
        <f t="shared" si="18"/>
        <v>1618</v>
      </c>
      <c r="Z181" s="41">
        <f t="shared" ref="Z181:AV181" si="24">SUM(Z182:Z194)</f>
        <v>306</v>
      </c>
      <c r="AA181" s="41">
        <f t="shared" si="24"/>
        <v>197</v>
      </c>
      <c r="AB181" s="41">
        <f t="shared" si="24"/>
        <v>1331</v>
      </c>
      <c r="AC181" s="41">
        <f t="shared" si="24"/>
        <v>947</v>
      </c>
      <c r="AD181" s="41">
        <f t="shared" si="24"/>
        <v>0</v>
      </c>
      <c r="AE181" s="41">
        <f t="shared" si="24"/>
        <v>0</v>
      </c>
      <c r="AF181" s="41">
        <f t="shared" si="24"/>
        <v>1</v>
      </c>
      <c r="AG181" s="41">
        <f t="shared" si="24"/>
        <v>0</v>
      </c>
      <c r="AH181" s="41">
        <f t="shared" si="24"/>
        <v>0</v>
      </c>
      <c r="AI181" s="41">
        <f t="shared" si="24"/>
        <v>0</v>
      </c>
      <c r="AJ181" s="41">
        <f t="shared" si="24"/>
        <v>0</v>
      </c>
      <c r="AK181" s="41">
        <f t="shared" si="24"/>
        <v>0</v>
      </c>
      <c r="AL181" s="41">
        <f t="shared" si="24"/>
        <v>0</v>
      </c>
      <c r="AM181" s="41">
        <f t="shared" si="24"/>
        <v>0</v>
      </c>
      <c r="AN181" s="41">
        <f t="shared" si="24"/>
        <v>0</v>
      </c>
      <c r="AO181" s="41">
        <f t="shared" si="24"/>
        <v>0</v>
      </c>
      <c r="AP181" s="41">
        <f t="shared" si="24"/>
        <v>30</v>
      </c>
      <c r="AQ181" s="41">
        <f t="shared" si="24"/>
        <v>1</v>
      </c>
      <c r="AR181" s="41">
        <f t="shared" si="24"/>
        <v>20</v>
      </c>
      <c r="AS181" s="41">
        <f t="shared" si="24"/>
        <v>447</v>
      </c>
      <c r="AT181" s="41">
        <f t="shared" si="24"/>
        <v>640</v>
      </c>
      <c r="AU181" s="41">
        <f t="shared" si="24"/>
        <v>20</v>
      </c>
      <c r="AV181" s="41">
        <f t="shared" si="24"/>
        <v>172</v>
      </c>
      <c r="AW181" s="41">
        <f t="shared" si="19"/>
        <v>1331</v>
      </c>
      <c r="AX181" s="42">
        <f t="shared" si="20"/>
        <v>2355.3098442028986</v>
      </c>
      <c r="AY181" s="43">
        <f>'[1]2018'!AX190+'[1]2019'!AX190+'[1]2020'!AX190</f>
        <v>7065.9295326086958</v>
      </c>
      <c r="AZ181" s="42">
        <f>AB181*100/D181</f>
        <v>82.262051915945605</v>
      </c>
      <c r="BA181" s="44"/>
      <c r="BB181" s="44"/>
      <c r="BC181" s="44"/>
      <c r="BD181" s="44"/>
      <c r="BE181" s="44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</row>
    <row r="182" spans="1:136" x14ac:dyDescent="0.25">
      <c r="A182" s="10" t="s">
        <v>259</v>
      </c>
      <c r="B182" s="46">
        <f>'[1]2018'!B192+'[1]2019'!B192+'[1]2020'!B192</f>
        <v>231</v>
      </c>
      <c r="C182" s="46">
        <f>'[1]2018'!C192+'[1]2019'!C192+'[1]2020'!C192</f>
        <v>140</v>
      </c>
      <c r="D182" s="46">
        <f>'[1]2018'!D192+'[1]2019'!D192+'[1]2020'!D192</f>
        <v>993</v>
      </c>
      <c r="E182" s="46">
        <f>'[1]2018'!E192+'[1]2019'!E192+'[1]2020'!E192</f>
        <v>715</v>
      </c>
      <c r="F182" s="46">
        <f>'[1]2018'!F192+'[1]2019'!F192+'[1]2020'!F192</f>
        <v>0</v>
      </c>
      <c r="G182" s="46">
        <f>'[1]2018'!G192+'[1]2019'!G192+'[1]2020'!G192</f>
        <v>0</v>
      </c>
      <c r="H182" s="46">
        <f>'[1]2018'!H192+'[1]2019'!H192+'[1]2020'!H192</f>
        <v>0</v>
      </c>
      <c r="I182" s="46">
        <f>'[1]2018'!I192+'[1]2019'!I192+'[1]2020'!I192</f>
        <v>0</v>
      </c>
      <c r="J182" s="46">
        <f>'[1]2018'!J192+'[1]2019'!J192+'[1]2020'!J192</f>
        <v>0</v>
      </c>
      <c r="K182" s="46">
        <f>'[1]2018'!K192+'[1]2019'!K192+'[1]2020'!K192</f>
        <v>0</v>
      </c>
      <c r="L182" s="46">
        <f>'[1]2018'!L192+'[1]2019'!L192+'[1]2020'!L192</f>
        <v>0</v>
      </c>
      <c r="M182" s="46">
        <f>'[1]2018'!M192+'[1]2019'!M192+'[1]2020'!M192</f>
        <v>0</v>
      </c>
      <c r="N182" s="46">
        <f>'[1]2018'!N192+'[1]2019'!N192+'[1]2020'!N192</f>
        <v>0</v>
      </c>
      <c r="O182" s="46">
        <f>'[1]2018'!O192+'[1]2019'!O192+'[1]2020'!O192</f>
        <v>0</v>
      </c>
      <c r="P182" s="46">
        <f>'[1]2018'!P192+'[1]2019'!P192+'[1]2020'!P192</f>
        <v>0</v>
      </c>
      <c r="Q182" s="46">
        <f>'[1]2018'!Q192+'[1]2019'!Q192+'[1]2020'!Q192</f>
        <v>0</v>
      </c>
      <c r="R182" s="46">
        <f>'[1]2018'!R192+'[1]2019'!R192+'[1]2020'!R192</f>
        <v>19</v>
      </c>
      <c r="S182" s="46">
        <f>'[1]2018'!S192+'[1]2019'!S192+'[1]2020'!S192</f>
        <v>1</v>
      </c>
      <c r="T182" s="46">
        <f>'[1]2018'!T192+'[1]2019'!T192+'[1]2020'!T192</f>
        <v>3</v>
      </c>
      <c r="U182" s="46">
        <f>'[1]2018'!U192+'[1]2019'!U192+'[1]2020'!U192</f>
        <v>248</v>
      </c>
      <c r="V182" s="46">
        <f>'[1]2018'!V192+'[1]2019'!V192+'[1]2020'!V192</f>
        <v>504</v>
      </c>
      <c r="W182" s="46">
        <f>'[1]2018'!W192+'[1]2019'!W192+'[1]2020'!W192</f>
        <v>0</v>
      </c>
      <c r="X182" s="46">
        <f>'[1]2018'!X192+'[1]2019'!X192+'[1]2020'!X192</f>
        <v>218</v>
      </c>
      <c r="Y182" s="41">
        <f t="shared" si="18"/>
        <v>993</v>
      </c>
      <c r="Z182" s="11">
        <f>'[1]2018'!Z192+'[1]2019'!Z192+'[1]2020'!Z192</f>
        <v>161</v>
      </c>
      <c r="AA182" s="11">
        <f>'[1]2018'!AA192+'[1]2019'!AA192+'[1]2020'!AA192</f>
        <v>108</v>
      </c>
      <c r="AB182" s="11">
        <f>'[1]2018'!AB192+'[1]2019'!AB192+'[1]2020'!AB192</f>
        <v>885</v>
      </c>
      <c r="AC182" s="11">
        <f>'[1]2018'!AC192+'[1]2019'!AC192+'[1]2020'!AC192</f>
        <v>635</v>
      </c>
      <c r="AD182" s="11">
        <f>'[1]2018'!AD192+'[1]2019'!AD192+'[1]2020'!AD192</f>
        <v>0</v>
      </c>
      <c r="AE182" s="11">
        <f>'[1]2018'!AE192+'[1]2019'!AE192+'[1]2020'!AE192</f>
        <v>0</v>
      </c>
      <c r="AF182" s="11">
        <f>'[1]2018'!AF192+'[1]2019'!AF192+'[1]2020'!AF192</f>
        <v>0</v>
      </c>
      <c r="AG182" s="11">
        <f>'[1]2018'!AG192+'[1]2019'!AG192+'[1]2020'!AG192</f>
        <v>0</v>
      </c>
      <c r="AH182" s="11">
        <f>'[1]2018'!AH192+'[1]2019'!AH192+'[1]2020'!AH192</f>
        <v>0</v>
      </c>
      <c r="AI182" s="11">
        <f>'[1]2018'!AI192+'[1]2019'!AI192+'[1]2020'!AI192</f>
        <v>0</v>
      </c>
      <c r="AJ182" s="11">
        <f>'[1]2018'!AJ192+'[1]2019'!AJ192+'[1]2020'!AJ192</f>
        <v>0</v>
      </c>
      <c r="AK182" s="11">
        <f>'[1]2018'!AK192+'[1]2019'!AK192+'[1]2020'!AK192</f>
        <v>0</v>
      </c>
      <c r="AL182" s="11">
        <f>'[1]2018'!AL192+'[1]2019'!AL192+'[1]2020'!AL192</f>
        <v>0</v>
      </c>
      <c r="AM182" s="11">
        <f>'[1]2018'!AM192+'[1]2019'!AM192+'[1]2020'!AM192</f>
        <v>0</v>
      </c>
      <c r="AN182" s="11">
        <f>'[1]2018'!AN192+'[1]2019'!AN192+'[1]2020'!AN192</f>
        <v>0</v>
      </c>
      <c r="AO182" s="11">
        <f>'[1]2018'!AO192+'[1]2019'!AO192+'[1]2020'!AO192</f>
        <v>0</v>
      </c>
      <c r="AP182" s="11">
        <f>'[1]2018'!AP192+'[1]2019'!AP192+'[1]2020'!AP192</f>
        <v>28</v>
      </c>
      <c r="AQ182" s="11">
        <f>'[1]2018'!AQ192+'[1]2019'!AQ192+'[1]2020'!AQ192</f>
        <v>1</v>
      </c>
      <c r="AR182" s="11">
        <f>'[1]2018'!AR192+'[1]2019'!AR192+'[1]2020'!AR192</f>
        <v>0</v>
      </c>
      <c r="AS182" s="11">
        <f>'[1]2018'!AS192+'[1]2019'!AS192+'[1]2020'!AS192</f>
        <v>264</v>
      </c>
      <c r="AT182" s="11">
        <f>'[1]2018'!AT192+'[1]2019'!AT192+'[1]2020'!AT192</f>
        <v>464</v>
      </c>
      <c r="AU182" s="11">
        <f>'[1]2018'!AU192+'[1]2019'!AU192+'[1]2020'!AU192</f>
        <v>0</v>
      </c>
      <c r="AV182" s="11">
        <f>'[1]2018'!AV192+'[1]2019'!AV192+'[1]2020'!AV192</f>
        <v>128</v>
      </c>
      <c r="AW182" s="41">
        <f t="shared" si="19"/>
        <v>885</v>
      </c>
      <c r="AX182" s="14">
        <f t="shared" si="20"/>
        <v>2409.9649033816427</v>
      </c>
      <c r="AY182" s="2">
        <f>'[1]2018'!AX192+'[1]2019'!AX192+'[1]2020'!AX192</f>
        <v>7229.8947101449285</v>
      </c>
    </row>
    <row r="183" spans="1:136" x14ac:dyDescent="0.25">
      <c r="A183" s="10" t="s">
        <v>260</v>
      </c>
      <c r="B183" s="46">
        <f>'[1]2018'!B193+'[1]2019'!B193+'[1]2020'!B193</f>
        <v>77</v>
      </c>
      <c r="C183" s="46">
        <f>'[1]2018'!C193+'[1]2019'!C193+'[1]2020'!C193</f>
        <v>34</v>
      </c>
      <c r="D183" s="46">
        <f>'[1]2018'!D193+'[1]2019'!D193+'[1]2020'!D193</f>
        <v>256</v>
      </c>
      <c r="E183" s="46">
        <f>'[1]2018'!E193+'[1]2019'!E193+'[1]2020'!E193</f>
        <v>124</v>
      </c>
      <c r="F183" s="46">
        <f>'[1]2018'!F193+'[1]2019'!F193+'[1]2020'!F193</f>
        <v>0</v>
      </c>
      <c r="G183" s="46">
        <f>'[1]2018'!G193+'[1]2019'!G193+'[1]2020'!G193</f>
        <v>0</v>
      </c>
      <c r="H183" s="46">
        <f>'[1]2018'!H193+'[1]2019'!H193+'[1]2020'!H193</f>
        <v>1</v>
      </c>
      <c r="I183" s="46">
        <f>'[1]2018'!I193+'[1]2019'!I193+'[1]2020'!I193</f>
        <v>0</v>
      </c>
      <c r="J183" s="46">
        <f>'[1]2018'!J193+'[1]2019'!J193+'[1]2020'!J193</f>
        <v>0</v>
      </c>
      <c r="K183" s="46">
        <f>'[1]2018'!K193+'[1]2019'!K193+'[1]2020'!K193</f>
        <v>0</v>
      </c>
      <c r="L183" s="46">
        <f>'[1]2018'!L193+'[1]2019'!L193+'[1]2020'!L193</f>
        <v>0</v>
      </c>
      <c r="M183" s="46">
        <f>'[1]2018'!M193+'[1]2019'!M193+'[1]2020'!M193</f>
        <v>0</v>
      </c>
      <c r="N183" s="46">
        <f>'[1]2018'!N193+'[1]2019'!N193+'[1]2020'!N193</f>
        <v>0</v>
      </c>
      <c r="O183" s="46">
        <f>'[1]2018'!O193+'[1]2019'!O193+'[1]2020'!O193</f>
        <v>0</v>
      </c>
      <c r="P183" s="46">
        <f>'[1]2018'!P193+'[1]2019'!P193+'[1]2020'!P193</f>
        <v>0</v>
      </c>
      <c r="Q183" s="46">
        <f>'[1]2018'!Q193+'[1]2019'!Q193+'[1]2020'!Q193</f>
        <v>0</v>
      </c>
      <c r="R183" s="46">
        <f>'[1]2018'!R193+'[1]2019'!R193+'[1]2020'!R193</f>
        <v>6</v>
      </c>
      <c r="S183" s="46">
        <f>'[1]2018'!S193+'[1]2019'!S193+'[1]2020'!S193</f>
        <v>0</v>
      </c>
      <c r="T183" s="46">
        <f>'[1]2018'!T193+'[1]2019'!T193+'[1]2020'!T193</f>
        <v>0</v>
      </c>
      <c r="U183" s="46">
        <f>'[1]2018'!U193+'[1]2019'!U193+'[1]2020'!U193</f>
        <v>115</v>
      </c>
      <c r="V183" s="46">
        <f>'[1]2018'!V193+'[1]2019'!V193+'[1]2020'!V193</f>
        <v>79</v>
      </c>
      <c r="W183" s="46">
        <f>'[1]2018'!W193+'[1]2019'!W193+'[1]2020'!W193</f>
        <v>10</v>
      </c>
      <c r="X183" s="46">
        <f>'[1]2018'!X193+'[1]2019'!X193+'[1]2020'!X193</f>
        <v>45</v>
      </c>
      <c r="Y183" s="41">
        <f t="shared" si="18"/>
        <v>256</v>
      </c>
      <c r="Z183" s="11">
        <f>'[1]2018'!Z193+'[1]2019'!Z193+'[1]2020'!Z193</f>
        <v>64</v>
      </c>
      <c r="AA183" s="11">
        <f>'[1]2018'!AA193+'[1]2019'!AA193+'[1]2020'!AA193</f>
        <v>29</v>
      </c>
      <c r="AB183" s="11">
        <f>'[1]2018'!AB193+'[1]2019'!AB193+'[1]2020'!AB193</f>
        <v>169</v>
      </c>
      <c r="AC183" s="11">
        <f>'[1]2018'!AC193+'[1]2019'!AC193+'[1]2020'!AC193</f>
        <v>99</v>
      </c>
      <c r="AD183" s="11">
        <f>'[1]2018'!AD193+'[1]2019'!AD193+'[1]2020'!AD193</f>
        <v>0</v>
      </c>
      <c r="AE183" s="11">
        <f>'[1]2018'!AE193+'[1]2019'!AE193+'[1]2020'!AE193</f>
        <v>0</v>
      </c>
      <c r="AF183" s="11">
        <f>'[1]2018'!AF193+'[1]2019'!AF193+'[1]2020'!AF193</f>
        <v>1</v>
      </c>
      <c r="AG183" s="11">
        <f>'[1]2018'!AG193+'[1]2019'!AG193+'[1]2020'!AG193</f>
        <v>0</v>
      </c>
      <c r="AH183" s="11">
        <f>'[1]2018'!AH193+'[1]2019'!AH193+'[1]2020'!AH193</f>
        <v>0</v>
      </c>
      <c r="AI183" s="11">
        <f>'[1]2018'!AI193+'[1]2019'!AI193+'[1]2020'!AI193</f>
        <v>0</v>
      </c>
      <c r="AJ183" s="11">
        <f>'[1]2018'!AJ193+'[1]2019'!AJ193+'[1]2020'!AJ193</f>
        <v>0</v>
      </c>
      <c r="AK183" s="11">
        <f>'[1]2018'!AK193+'[1]2019'!AK193+'[1]2020'!AK193</f>
        <v>0</v>
      </c>
      <c r="AL183" s="11">
        <f>'[1]2018'!AL193+'[1]2019'!AL193+'[1]2020'!AL193</f>
        <v>0</v>
      </c>
      <c r="AM183" s="11">
        <f>'[1]2018'!AM193+'[1]2019'!AM193+'[1]2020'!AM193</f>
        <v>0</v>
      </c>
      <c r="AN183" s="11">
        <f>'[1]2018'!AN193+'[1]2019'!AN193+'[1]2020'!AN193</f>
        <v>0</v>
      </c>
      <c r="AO183" s="11">
        <f>'[1]2018'!AO193+'[1]2019'!AO193+'[1]2020'!AO193</f>
        <v>0</v>
      </c>
      <c r="AP183" s="11">
        <f>'[1]2018'!AP193+'[1]2019'!AP193+'[1]2020'!AP193</f>
        <v>2</v>
      </c>
      <c r="AQ183" s="11">
        <f>'[1]2018'!AQ193+'[1]2019'!AQ193+'[1]2020'!AQ193</f>
        <v>0</v>
      </c>
      <c r="AR183" s="11">
        <f>'[1]2018'!AR193+'[1]2019'!AR193+'[1]2020'!AR193</f>
        <v>0</v>
      </c>
      <c r="AS183" s="11">
        <f>'[1]2018'!AS193+'[1]2019'!AS193+'[1]2020'!AS193</f>
        <v>76</v>
      </c>
      <c r="AT183" s="11">
        <f>'[1]2018'!AT193+'[1]2019'!AT193+'[1]2020'!AT193</f>
        <v>59</v>
      </c>
      <c r="AU183" s="11">
        <f>'[1]2018'!AU193+'[1]2019'!AU193+'[1]2020'!AU193</f>
        <v>10</v>
      </c>
      <c r="AV183" s="11">
        <f>'[1]2018'!AV193+'[1]2019'!AV193+'[1]2020'!AV193</f>
        <v>21</v>
      </c>
      <c r="AW183" s="41">
        <f t="shared" si="19"/>
        <v>169</v>
      </c>
      <c r="AX183" s="14">
        <f t="shared" si="20"/>
        <v>2091.3317037037036</v>
      </c>
      <c r="AY183" s="2">
        <f>'[1]2018'!AX193+'[1]2019'!AX193+'[1]2020'!AX193</f>
        <v>6273.9951111111113</v>
      </c>
    </row>
    <row r="184" spans="1:136" x14ac:dyDescent="0.25">
      <c r="A184" s="10" t="s">
        <v>261</v>
      </c>
      <c r="B184" s="46">
        <f>'[1]2018'!B194+'[1]2019'!B194+'[1]2020'!B194</f>
        <v>23</v>
      </c>
      <c r="C184" s="46">
        <f>'[1]2018'!C194+'[1]2019'!C194+'[1]2020'!C194</f>
        <v>19</v>
      </c>
      <c r="D184" s="46">
        <f>'[1]2018'!D194+'[1]2019'!D194+'[1]2020'!D194</f>
        <v>47</v>
      </c>
      <c r="E184" s="46">
        <f>'[1]2018'!E194+'[1]2019'!E194+'[1]2020'!E194</f>
        <v>24</v>
      </c>
      <c r="F184" s="46">
        <f>'[1]2018'!F194+'[1]2019'!F194+'[1]2020'!F194</f>
        <v>0</v>
      </c>
      <c r="G184" s="46">
        <f>'[1]2018'!G194+'[1]2019'!G194+'[1]2020'!G194</f>
        <v>0</v>
      </c>
      <c r="H184" s="46">
        <f>'[1]2018'!H194+'[1]2019'!H194+'[1]2020'!H194</f>
        <v>0</v>
      </c>
      <c r="I184" s="46">
        <f>'[1]2018'!I194+'[1]2019'!I194+'[1]2020'!I194</f>
        <v>0</v>
      </c>
      <c r="J184" s="46">
        <f>'[1]2018'!J194+'[1]2019'!J194+'[1]2020'!J194</f>
        <v>0</v>
      </c>
      <c r="K184" s="46">
        <f>'[1]2018'!K194+'[1]2019'!K194+'[1]2020'!K194</f>
        <v>0</v>
      </c>
      <c r="L184" s="46">
        <f>'[1]2018'!L194+'[1]2019'!L194+'[1]2020'!L194</f>
        <v>0</v>
      </c>
      <c r="M184" s="46">
        <f>'[1]2018'!M194+'[1]2019'!M194+'[1]2020'!M194</f>
        <v>0</v>
      </c>
      <c r="N184" s="46">
        <f>'[1]2018'!N194+'[1]2019'!N194+'[1]2020'!N194</f>
        <v>0</v>
      </c>
      <c r="O184" s="46">
        <f>'[1]2018'!O194+'[1]2019'!O194+'[1]2020'!O194</f>
        <v>0</v>
      </c>
      <c r="P184" s="46">
        <f>'[1]2018'!P194+'[1]2019'!P194+'[1]2020'!P194</f>
        <v>0</v>
      </c>
      <c r="Q184" s="46">
        <f>'[1]2018'!Q194+'[1]2019'!Q194+'[1]2020'!Q194</f>
        <v>0</v>
      </c>
      <c r="R184" s="46">
        <f>'[1]2018'!R194+'[1]2019'!R194+'[1]2020'!R194</f>
        <v>0</v>
      </c>
      <c r="S184" s="46">
        <f>'[1]2018'!S194+'[1]2019'!S194+'[1]2020'!S194</f>
        <v>0</v>
      </c>
      <c r="T184" s="46">
        <f>'[1]2018'!T194+'[1]2019'!T194+'[1]2020'!T194</f>
        <v>0</v>
      </c>
      <c r="U184" s="46">
        <f>'[1]2018'!U194+'[1]2019'!U194+'[1]2020'!U194</f>
        <v>25</v>
      </c>
      <c r="V184" s="46">
        <f>'[1]2018'!V194+'[1]2019'!V194+'[1]2020'!V194</f>
        <v>1</v>
      </c>
      <c r="W184" s="46">
        <f>'[1]2018'!W194+'[1]2019'!W194+'[1]2020'!W194</f>
        <v>0</v>
      </c>
      <c r="X184" s="46">
        <f>'[1]2018'!X194+'[1]2019'!X194+'[1]2020'!X194</f>
        <v>21</v>
      </c>
      <c r="Y184" s="41">
        <f t="shared" si="18"/>
        <v>47</v>
      </c>
      <c r="Z184" s="11">
        <f>'[1]2018'!Z194+'[1]2019'!Z194+'[1]2020'!Z194</f>
        <v>15</v>
      </c>
      <c r="AA184" s="11">
        <f>'[1]2018'!AA194+'[1]2019'!AA194+'[1]2020'!AA194</f>
        <v>13</v>
      </c>
      <c r="AB184" s="11">
        <f>'[1]2018'!AB194+'[1]2019'!AB194+'[1]2020'!AB194</f>
        <v>19</v>
      </c>
      <c r="AC184" s="11">
        <f>'[1]2018'!AC194+'[1]2019'!AC194+'[1]2020'!AC194</f>
        <v>16</v>
      </c>
      <c r="AD184" s="11">
        <f>'[1]2018'!AD194+'[1]2019'!AD194+'[1]2020'!AD194</f>
        <v>0</v>
      </c>
      <c r="AE184" s="11">
        <f>'[1]2018'!AE194+'[1]2019'!AE194+'[1]2020'!AE194</f>
        <v>0</v>
      </c>
      <c r="AF184" s="11">
        <f>'[1]2018'!AF194+'[1]2019'!AF194+'[1]2020'!AF194</f>
        <v>0</v>
      </c>
      <c r="AG184" s="11">
        <f>'[1]2018'!AG194+'[1]2019'!AG194+'[1]2020'!AG194</f>
        <v>0</v>
      </c>
      <c r="AH184" s="11">
        <f>'[1]2018'!AH194+'[1]2019'!AH194+'[1]2020'!AH194</f>
        <v>0</v>
      </c>
      <c r="AI184" s="11">
        <f>'[1]2018'!AI194+'[1]2019'!AI194+'[1]2020'!AI194</f>
        <v>0</v>
      </c>
      <c r="AJ184" s="11">
        <f>'[1]2018'!AJ194+'[1]2019'!AJ194+'[1]2020'!AJ194</f>
        <v>0</v>
      </c>
      <c r="AK184" s="11">
        <f>'[1]2018'!AK194+'[1]2019'!AK194+'[1]2020'!AK194</f>
        <v>0</v>
      </c>
      <c r="AL184" s="11">
        <f>'[1]2018'!AL194+'[1]2019'!AL194+'[1]2020'!AL194</f>
        <v>0</v>
      </c>
      <c r="AM184" s="11">
        <f>'[1]2018'!AM194+'[1]2019'!AM194+'[1]2020'!AM194</f>
        <v>0</v>
      </c>
      <c r="AN184" s="11">
        <f>'[1]2018'!AN194+'[1]2019'!AN194+'[1]2020'!AN194</f>
        <v>0</v>
      </c>
      <c r="AO184" s="11">
        <f>'[1]2018'!AO194+'[1]2019'!AO194+'[1]2020'!AO194</f>
        <v>0</v>
      </c>
      <c r="AP184" s="11">
        <f>'[1]2018'!AP194+'[1]2019'!AP194+'[1]2020'!AP194</f>
        <v>0</v>
      </c>
      <c r="AQ184" s="11">
        <f>'[1]2018'!AQ194+'[1]2019'!AQ194+'[1]2020'!AQ194</f>
        <v>0</v>
      </c>
      <c r="AR184" s="11">
        <f>'[1]2018'!AR194+'[1]2019'!AR194+'[1]2020'!AR194</f>
        <v>0</v>
      </c>
      <c r="AS184" s="11">
        <f>'[1]2018'!AS194+'[1]2019'!AS194+'[1]2020'!AS194</f>
        <v>18</v>
      </c>
      <c r="AT184" s="11">
        <f>'[1]2018'!AT194+'[1]2019'!AT194+'[1]2020'!AT194</f>
        <v>0</v>
      </c>
      <c r="AU184" s="11">
        <f>'[1]2018'!AU194+'[1]2019'!AU194+'[1]2020'!AU194</f>
        <v>0</v>
      </c>
      <c r="AV184" s="11">
        <f>'[1]2018'!AV194+'[1]2019'!AV194+'[1]2020'!AV194</f>
        <v>1</v>
      </c>
      <c r="AW184" s="41">
        <f t="shared" si="19"/>
        <v>19</v>
      </c>
      <c r="AX184" s="14">
        <f t="shared" si="20"/>
        <v>961.06666666666661</v>
      </c>
      <c r="AY184" s="2">
        <f>'[1]2018'!AX194+'[1]2019'!AX194+'[1]2020'!AX194</f>
        <v>2883.2</v>
      </c>
    </row>
    <row r="185" spans="1:136" x14ac:dyDescent="0.25">
      <c r="A185" s="10" t="s">
        <v>262</v>
      </c>
      <c r="B185" s="46">
        <f>'[1]2018'!B195+'[1]2019'!B195+'[1]2020'!B195</f>
        <v>8</v>
      </c>
      <c r="C185" s="46">
        <f>'[1]2018'!C195+'[1]2019'!C195+'[1]2020'!C195</f>
        <v>6</v>
      </c>
      <c r="D185" s="46">
        <f>'[1]2018'!D195+'[1]2019'!D195+'[1]2020'!D195</f>
        <v>37</v>
      </c>
      <c r="E185" s="46">
        <f>'[1]2018'!E195+'[1]2019'!E195+'[1]2020'!E195</f>
        <v>30</v>
      </c>
      <c r="F185" s="46">
        <f>'[1]2018'!F195+'[1]2019'!F195+'[1]2020'!F195</f>
        <v>0</v>
      </c>
      <c r="G185" s="46">
        <f>'[1]2018'!G195+'[1]2019'!G195+'[1]2020'!G195</f>
        <v>0</v>
      </c>
      <c r="H185" s="46">
        <f>'[1]2018'!H195+'[1]2019'!H195+'[1]2020'!H195</f>
        <v>0</v>
      </c>
      <c r="I185" s="46">
        <f>'[1]2018'!I195+'[1]2019'!I195+'[1]2020'!I195</f>
        <v>0</v>
      </c>
      <c r="J185" s="46">
        <f>'[1]2018'!J195+'[1]2019'!J195+'[1]2020'!J195</f>
        <v>0</v>
      </c>
      <c r="K185" s="46">
        <f>'[1]2018'!K195+'[1]2019'!K195+'[1]2020'!K195</f>
        <v>0</v>
      </c>
      <c r="L185" s="46">
        <f>'[1]2018'!L195+'[1]2019'!L195+'[1]2020'!L195</f>
        <v>0</v>
      </c>
      <c r="M185" s="46">
        <f>'[1]2018'!M195+'[1]2019'!M195+'[1]2020'!M195</f>
        <v>0</v>
      </c>
      <c r="N185" s="46">
        <f>'[1]2018'!N195+'[1]2019'!N195+'[1]2020'!N195</f>
        <v>0</v>
      </c>
      <c r="O185" s="46">
        <f>'[1]2018'!O195+'[1]2019'!O195+'[1]2020'!O195</f>
        <v>0</v>
      </c>
      <c r="P185" s="46">
        <f>'[1]2018'!P195+'[1]2019'!P195+'[1]2020'!P195</f>
        <v>0</v>
      </c>
      <c r="Q185" s="46">
        <f>'[1]2018'!Q195+'[1]2019'!Q195+'[1]2020'!Q195</f>
        <v>0</v>
      </c>
      <c r="R185" s="46">
        <f>'[1]2018'!R195+'[1]2019'!R195+'[1]2020'!R195</f>
        <v>0</v>
      </c>
      <c r="S185" s="46">
        <f>'[1]2018'!S195+'[1]2019'!S195+'[1]2020'!S195</f>
        <v>0</v>
      </c>
      <c r="T185" s="46">
        <f>'[1]2018'!T195+'[1]2019'!T195+'[1]2020'!T195</f>
        <v>22</v>
      </c>
      <c r="U185" s="46">
        <f>'[1]2018'!U195+'[1]2019'!U195+'[1]2020'!U195</f>
        <v>3</v>
      </c>
      <c r="V185" s="46">
        <f>'[1]2018'!V195+'[1]2019'!V195+'[1]2020'!V195</f>
        <v>8</v>
      </c>
      <c r="W185" s="46">
        <f>'[1]2018'!W195+'[1]2019'!W195+'[1]2020'!W195</f>
        <v>0</v>
      </c>
      <c r="X185" s="46">
        <f>'[1]2018'!X195+'[1]2019'!X195+'[1]2020'!X195</f>
        <v>4</v>
      </c>
      <c r="Y185" s="41">
        <f t="shared" si="18"/>
        <v>37</v>
      </c>
      <c r="Z185" s="11">
        <f>'[1]2018'!Z195+'[1]2019'!Z195+'[1]2020'!Z195</f>
        <v>7</v>
      </c>
      <c r="AA185" s="11">
        <f>'[1]2018'!AA195+'[1]2019'!AA195+'[1]2020'!AA195</f>
        <v>5</v>
      </c>
      <c r="AB185" s="11">
        <f>'[1]2018'!AB195+'[1]2019'!AB195+'[1]2020'!AB195</f>
        <v>34</v>
      </c>
      <c r="AC185" s="11">
        <f>'[1]2018'!AC195+'[1]2019'!AC195+'[1]2020'!AC195</f>
        <v>27</v>
      </c>
      <c r="AD185" s="11">
        <f>'[1]2018'!AD195+'[1]2019'!AD195+'[1]2020'!AD195</f>
        <v>0</v>
      </c>
      <c r="AE185" s="11">
        <f>'[1]2018'!AE195+'[1]2019'!AE195+'[1]2020'!AE195</f>
        <v>0</v>
      </c>
      <c r="AF185" s="11">
        <f>'[1]2018'!AF195+'[1]2019'!AF195+'[1]2020'!AF195</f>
        <v>0</v>
      </c>
      <c r="AG185" s="11">
        <f>'[1]2018'!AG195+'[1]2019'!AG195+'[1]2020'!AG195</f>
        <v>0</v>
      </c>
      <c r="AH185" s="11">
        <f>'[1]2018'!AH195+'[1]2019'!AH195+'[1]2020'!AH195</f>
        <v>0</v>
      </c>
      <c r="AI185" s="11">
        <f>'[1]2018'!AI195+'[1]2019'!AI195+'[1]2020'!AI195</f>
        <v>0</v>
      </c>
      <c r="AJ185" s="11">
        <f>'[1]2018'!AJ195+'[1]2019'!AJ195+'[1]2020'!AJ195</f>
        <v>0</v>
      </c>
      <c r="AK185" s="11">
        <f>'[1]2018'!AK195+'[1]2019'!AK195+'[1]2020'!AK195</f>
        <v>0</v>
      </c>
      <c r="AL185" s="11">
        <f>'[1]2018'!AL195+'[1]2019'!AL195+'[1]2020'!AL195</f>
        <v>0</v>
      </c>
      <c r="AM185" s="11">
        <f>'[1]2018'!AM195+'[1]2019'!AM195+'[1]2020'!AM195</f>
        <v>0</v>
      </c>
      <c r="AN185" s="11">
        <f>'[1]2018'!AN195+'[1]2019'!AN195+'[1]2020'!AN195</f>
        <v>0</v>
      </c>
      <c r="AO185" s="11">
        <f>'[1]2018'!AO195+'[1]2019'!AO195+'[1]2020'!AO195</f>
        <v>0</v>
      </c>
      <c r="AP185" s="11">
        <f>'[1]2018'!AP195+'[1]2019'!AP195+'[1]2020'!AP195</f>
        <v>0</v>
      </c>
      <c r="AQ185" s="11">
        <f>'[1]2018'!AQ195+'[1]2019'!AQ195+'[1]2020'!AQ195</f>
        <v>0</v>
      </c>
      <c r="AR185" s="11">
        <f>'[1]2018'!AR195+'[1]2019'!AR195+'[1]2020'!AR195</f>
        <v>20</v>
      </c>
      <c r="AS185" s="11">
        <f>'[1]2018'!AS195+'[1]2019'!AS195+'[1]2020'!AS195</f>
        <v>3</v>
      </c>
      <c r="AT185" s="11">
        <f>'[1]2018'!AT195+'[1]2019'!AT195+'[1]2020'!AT195</f>
        <v>7</v>
      </c>
      <c r="AU185" s="11">
        <f>'[1]2018'!AU195+'[1]2019'!AU195+'[1]2020'!AU195</f>
        <v>0</v>
      </c>
      <c r="AV185" s="11">
        <f>'[1]2018'!AV195+'[1]2019'!AV195+'[1]2020'!AV195</f>
        <v>4</v>
      </c>
      <c r="AW185" s="41">
        <f t="shared" si="19"/>
        <v>34</v>
      </c>
      <c r="AX185" s="14">
        <f t="shared" si="20"/>
        <v>2238.1</v>
      </c>
      <c r="AY185" s="2">
        <f>'[1]2018'!AX195+'[1]2019'!AX195+'[1]2020'!AX195</f>
        <v>6714.2999999999993</v>
      </c>
    </row>
    <row r="186" spans="1:136" x14ac:dyDescent="0.25">
      <c r="A186" s="10" t="s">
        <v>263</v>
      </c>
      <c r="B186" s="46">
        <f>'[1]2018'!B196+'[1]2019'!B196+'[1]2020'!B196</f>
        <v>3</v>
      </c>
      <c r="C186" s="46">
        <f>'[1]2018'!C196+'[1]2019'!C196+'[1]2020'!C196</f>
        <v>2</v>
      </c>
      <c r="D186" s="46">
        <f>'[1]2018'!D196+'[1]2019'!D196+'[1]2020'!D196</f>
        <v>3</v>
      </c>
      <c r="E186" s="46">
        <f>'[1]2018'!E196+'[1]2019'!E196+'[1]2020'!E196</f>
        <v>2</v>
      </c>
      <c r="F186" s="46">
        <f>'[1]2018'!F196+'[1]2019'!F196+'[1]2020'!F196</f>
        <v>0</v>
      </c>
      <c r="G186" s="46">
        <f>'[1]2018'!G196+'[1]2019'!G196+'[1]2020'!G196</f>
        <v>0</v>
      </c>
      <c r="H186" s="46">
        <f>'[1]2018'!H196+'[1]2019'!H196+'[1]2020'!H196</f>
        <v>0</v>
      </c>
      <c r="I186" s="46">
        <f>'[1]2018'!I196+'[1]2019'!I196+'[1]2020'!I196</f>
        <v>0</v>
      </c>
      <c r="J186" s="46">
        <f>'[1]2018'!J196+'[1]2019'!J196+'[1]2020'!J196</f>
        <v>0</v>
      </c>
      <c r="K186" s="46">
        <f>'[1]2018'!K196+'[1]2019'!K196+'[1]2020'!K196</f>
        <v>0</v>
      </c>
      <c r="L186" s="46">
        <f>'[1]2018'!L196+'[1]2019'!L196+'[1]2020'!L196</f>
        <v>0</v>
      </c>
      <c r="M186" s="46">
        <f>'[1]2018'!M196+'[1]2019'!M196+'[1]2020'!M196</f>
        <v>0</v>
      </c>
      <c r="N186" s="46">
        <f>'[1]2018'!N196+'[1]2019'!N196+'[1]2020'!N196</f>
        <v>0</v>
      </c>
      <c r="O186" s="46">
        <f>'[1]2018'!O196+'[1]2019'!O196+'[1]2020'!O196</f>
        <v>0</v>
      </c>
      <c r="P186" s="46">
        <f>'[1]2018'!P196+'[1]2019'!P196+'[1]2020'!P196</f>
        <v>0</v>
      </c>
      <c r="Q186" s="46">
        <f>'[1]2018'!Q196+'[1]2019'!Q196+'[1]2020'!Q196</f>
        <v>0</v>
      </c>
      <c r="R186" s="46">
        <f>'[1]2018'!R196+'[1]2019'!R196+'[1]2020'!R196</f>
        <v>0</v>
      </c>
      <c r="S186" s="46">
        <f>'[1]2018'!S196+'[1]2019'!S196+'[1]2020'!S196</f>
        <v>0</v>
      </c>
      <c r="T186" s="46">
        <f>'[1]2018'!T196+'[1]2019'!T196+'[1]2020'!T196</f>
        <v>0</v>
      </c>
      <c r="U186" s="46">
        <f>'[1]2018'!U196+'[1]2019'!U196+'[1]2020'!U196</f>
        <v>0</v>
      </c>
      <c r="V186" s="46">
        <f>'[1]2018'!V196+'[1]2019'!V196+'[1]2020'!V196</f>
        <v>3</v>
      </c>
      <c r="W186" s="46">
        <f>'[1]2018'!W196+'[1]2019'!W196+'[1]2020'!W196</f>
        <v>0</v>
      </c>
      <c r="X186" s="46">
        <f>'[1]2018'!X196+'[1]2019'!X196+'[1]2020'!X196</f>
        <v>0</v>
      </c>
      <c r="Y186" s="41">
        <f t="shared" si="18"/>
        <v>3</v>
      </c>
      <c r="Z186" s="11">
        <f>'[1]2018'!Z196+'[1]2019'!Z196+'[1]2020'!Z196</f>
        <v>2</v>
      </c>
      <c r="AA186" s="11">
        <f>'[1]2018'!AA196+'[1]2019'!AA196+'[1]2020'!AA196</f>
        <v>1</v>
      </c>
      <c r="AB186" s="11">
        <f>'[1]2018'!AB196+'[1]2019'!AB196+'[1]2020'!AB196</f>
        <v>2</v>
      </c>
      <c r="AC186" s="11">
        <f>'[1]2018'!AC196+'[1]2019'!AC196+'[1]2020'!AC196</f>
        <v>1</v>
      </c>
      <c r="AD186" s="11">
        <f>'[1]2018'!AD196+'[1]2019'!AD196+'[1]2020'!AD196</f>
        <v>0</v>
      </c>
      <c r="AE186" s="11">
        <f>'[1]2018'!AE196+'[1]2019'!AE196+'[1]2020'!AE196</f>
        <v>0</v>
      </c>
      <c r="AF186" s="11">
        <f>'[1]2018'!AF196+'[1]2019'!AF196+'[1]2020'!AF196</f>
        <v>0</v>
      </c>
      <c r="AG186" s="11">
        <f>'[1]2018'!AG196+'[1]2019'!AG196+'[1]2020'!AG196</f>
        <v>0</v>
      </c>
      <c r="AH186" s="11">
        <f>'[1]2018'!AH196+'[1]2019'!AH196+'[1]2020'!AH196</f>
        <v>0</v>
      </c>
      <c r="AI186" s="11">
        <f>'[1]2018'!AI196+'[1]2019'!AI196+'[1]2020'!AI196</f>
        <v>0</v>
      </c>
      <c r="AJ186" s="11">
        <f>'[1]2018'!AJ196+'[1]2019'!AJ196+'[1]2020'!AJ196</f>
        <v>0</v>
      </c>
      <c r="AK186" s="11">
        <f>'[1]2018'!AK196+'[1]2019'!AK196+'[1]2020'!AK196</f>
        <v>0</v>
      </c>
      <c r="AL186" s="11">
        <f>'[1]2018'!AL196+'[1]2019'!AL196+'[1]2020'!AL196</f>
        <v>0</v>
      </c>
      <c r="AM186" s="11">
        <f>'[1]2018'!AM196+'[1]2019'!AM196+'[1]2020'!AM196</f>
        <v>0</v>
      </c>
      <c r="AN186" s="11">
        <f>'[1]2018'!AN196+'[1]2019'!AN196+'[1]2020'!AN196</f>
        <v>0</v>
      </c>
      <c r="AO186" s="11">
        <f>'[1]2018'!AO196+'[1]2019'!AO196+'[1]2020'!AO196</f>
        <v>0</v>
      </c>
      <c r="AP186" s="11">
        <f>'[1]2018'!AP196+'[1]2019'!AP196+'[1]2020'!AP196</f>
        <v>0</v>
      </c>
      <c r="AQ186" s="11">
        <f>'[1]2018'!AQ196+'[1]2019'!AQ196+'[1]2020'!AQ196</f>
        <v>0</v>
      </c>
      <c r="AR186" s="11">
        <f>'[1]2018'!AR196+'[1]2019'!AR196+'[1]2020'!AR196</f>
        <v>0</v>
      </c>
      <c r="AS186" s="11">
        <f>'[1]2018'!AS196+'[1]2019'!AS196+'[1]2020'!AS196</f>
        <v>0</v>
      </c>
      <c r="AT186" s="11">
        <f>'[1]2018'!AT196+'[1]2019'!AT196+'[1]2020'!AT196</f>
        <v>2</v>
      </c>
      <c r="AU186" s="11">
        <f>'[1]2018'!AU196+'[1]2019'!AU196+'[1]2020'!AU196</f>
        <v>0</v>
      </c>
      <c r="AV186" s="11">
        <f>'[1]2018'!AV196+'[1]2019'!AV196+'[1]2020'!AV196</f>
        <v>0</v>
      </c>
      <c r="AW186" s="41">
        <f t="shared" si="19"/>
        <v>2</v>
      </c>
      <c r="AX186" s="14">
        <f t="shared" si="20"/>
        <v>1165.3333333333333</v>
      </c>
      <c r="AY186" s="2">
        <f>'[1]2018'!AX196+'[1]2019'!AX196+'[1]2020'!AX196</f>
        <v>3496</v>
      </c>
    </row>
    <row r="187" spans="1:136" x14ac:dyDescent="0.25">
      <c r="A187" s="10" t="s">
        <v>264</v>
      </c>
      <c r="B187" s="46">
        <f>'[1]2018'!B197+'[1]2019'!B197+'[1]2020'!B197</f>
        <v>7</v>
      </c>
      <c r="C187" s="46">
        <f>'[1]2018'!C197+'[1]2019'!C197+'[1]2020'!C197</f>
        <v>1</v>
      </c>
      <c r="D187" s="46">
        <f>'[1]2018'!D197+'[1]2019'!D197+'[1]2020'!D197</f>
        <v>33</v>
      </c>
      <c r="E187" s="46">
        <f>'[1]2018'!E197+'[1]2019'!E197+'[1]2020'!E197</f>
        <v>1</v>
      </c>
      <c r="F187" s="46">
        <f>'[1]2018'!F197+'[1]2019'!F197+'[1]2020'!F197</f>
        <v>0</v>
      </c>
      <c r="G187" s="46">
        <f>'[1]2018'!G197+'[1]2019'!G197+'[1]2020'!G197</f>
        <v>0</v>
      </c>
      <c r="H187" s="46">
        <f>'[1]2018'!H197+'[1]2019'!H197+'[1]2020'!H197</f>
        <v>0</v>
      </c>
      <c r="I187" s="46">
        <f>'[1]2018'!I197+'[1]2019'!I197+'[1]2020'!I197</f>
        <v>0</v>
      </c>
      <c r="J187" s="46">
        <f>'[1]2018'!J197+'[1]2019'!J197+'[1]2020'!J197</f>
        <v>0</v>
      </c>
      <c r="K187" s="46">
        <f>'[1]2018'!K197+'[1]2019'!K197+'[1]2020'!K197</f>
        <v>0</v>
      </c>
      <c r="L187" s="46">
        <f>'[1]2018'!L197+'[1]2019'!L197+'[1]2020'!L197</f>
        <v>0</v>
      </c>
      <c r="M187" s="46">
        <f>'[1]2018'!M197+'[1]2019'!M197+'[1]2020'!M197</f>
        <v>0</v>
      </c>
      <c r="N187" s="46">
        <f>'[1]2018'!N197+'[1]2019'!N197+'[1]2020'!N197</f>
        <v>0</v>
      </c>
      <c r="O187" s="46">
        <f>'[1]2018'!O197+'[1]2019'!O197+'[1]2020'!O197</f>
        <v>0</v>
      </c>
      <c r="P187" s="46">
        <f>'[1]2018'!P197+'[1]2019'!P197+'[1]2020'!P197</f>
        <v>0</v>
      </c>
      <c r="Q187" s="46">
        <f>'[1]2018'!Q197+'[1]2019'!Q197+'[1]2020'!Q197</f>
        <v>0</v>
      </c>
      <c r="R187" s="46">
        <f>'[1]2018'!R197+'[1]2019'!R197+'[1]2020'!R197</f>
        <v>0</v>
      </c>
      <c r="S187" s="46">
        <f>'[1]2018'!S197+'[1]2019'!S197+'[1]2020'!S197</f>
        <v>0</v>
      </c>
      <c r="T187" s="46">
        <f>'[1]2018'!T197+'[1]2019'!T197+'[1]2020'!T197</f>
        <v>0</v>
      </c>
      <c r="U187" s="46">
        <f>'[1]2018'!U197+'[1]2019'!U197+'[1]2020'!U197</f>
        <v>0</v>
      </c>
      <c r="V187" s="46">
        <f>'[1]2018'!V197+'[1]2019'!V197+'[1]2020'!V197</f>
        <v>13</v>
      </c>
      <c r="W187" s="46">
        <f>'[1]2018'!W197+'[1]2019'!W197+'[1]2020'!W197</f>
        <v>10</v>
      </c>
      <c r="X187" s="46">
        <f>'[1]2018'!X197+'[1]2019'!X197+'[1]2020'!X197</f>
        <v>10</v>
      </c>
      <c r="Y187" s="41">
        <f t="shared" si="18"/>
        <v>33</v>
      </c>
      <c r="Z187" s="11">
        <f>'[1]2018'!Z197+'[1]2019'!Z197+'[1]2020'!Z197</f>
        <v>5</v>
      </c>
      <c r="AA187" s="11">
        <f>'[1]2018'!AA197+'[1]2019'!AA197+'[1]2020'!AA197</f>
        <v>1</v>
      </c>
      <c r="AB187" s="11">
        <f>'[1]2018'!AB197+'[1]2019'!AB197+'[1]2020'!AB197</f>
        <v>22</v>
      </c>
      <c r="AC187" s="11">
        <f>'[1]2018'!AC197+'[1]2019'!AC197+'[1]2020'!AC197</f>
        <v>1</v>
      </c>
      <c r="AD187" s="11">
        <f>'[1]2018'!AD197+'[1]2019'!AD197+'[1]2020'!AD197</f>
        <v>0</v>
      </c>
      <c r="AE187" s="11">
        <f>'[1]2018'!AE197+'[1]2019'!AE197+'[1]2020'!AE197</f>
        <v>0</v>
      </c>
      <c r="AF187" s="11">
        <f>'[1]2018'!AF197+'[1]2019'!AF197+'[1]2020'!AF197</f>
        <v>0</v>
      </c>
      <c r="AG187" s="11">
        <f>'[1]2018'!AG197+'[1]2019'!AG197+'[1]2020'!AG197</f>
        <v>0</v>
      </c>
      <c r="AH187" s="11">
        <f>'[1]2018'!AH197+'[1]2019'!AH197+'[1]2020'!AH197</f>
        <v>0</v>
      </c>
      <c r="AI187" s="11">
        <f>'[1]2018'!AI197+'[1]2019'!AI197+'[1]2020'!AI197</f>
        <v>0</v>
      </c>
      <c r="AJ187" s="11">
        <f>'[1]2018'!AJ197+'[1]2019'!AJ197+'[1]2020'!AJ197</f>
        <v>0</v>
      </c>
      <c r="AK187" s="11">
        <f>'[1]2018'!AK197+'[1]2019'!AK197+'[1]2020'!AK197</f>
        <v>0</v>
      </c>
      <c r="AL187" s="11">
        <f>'[1]2018'!AL197+'[1]2019'!AL197+'[1]2020'!AL197</f>
        <v>0</v>
      </c>
      <c r="AM187" s="11">
        <f>'[1]2018'!AM197+'[1]2019'!AM197+'[1]2020'!AM197</f>
        <v>0</v>
      </c>
      <c r="AN187" s="11">
        <f>'[1]2018'!AN197+'[1]2019'!AN197+'[1]2020'!AN197</f>
        <v>0</v>
      </c>
      <c r="AO187" s="11">
        <f>'[1]2018'!AO197+'[1]2019'!AO197+'[1]2020'!AO197</f>
        <v>0</v>
      </c>
      <c r="AP187" s="11">
        <f>'[1]2018'!AP197+'[1]2019'!AP197+'[1]2020'!AP197</f>
        <v>0</v>
      </c>
      <c r="AQ187" s="11">
        <f>'[1]2018'!AQ197+'[1]2019'!AQ197+'[1]2020'!AQ197</f>
        <v>0</v>
      </c>
      <c r="AR187" s="11">
        <f>'[1]2018'!AR197+'[1]2019'!AR197+'[1]2020'!AR197</f>
        <v>0</v>
      </c>
      <c r="AS187" s="11">
        <f>'[1]2018'!AS197+'[1]2019'!AS197+'[1]2020'!AS197</f>
        <v>0</v>
      </c>
      <c r="AT187" s="11">
        <f>'[1]2018'!AT197+'[1]2019'!AT197+'[1]2020'!AT197</f>
        <v>2</v>
      </c>
      <c r="AU187" s="11">
        <f>'[1]2018'!AU197+'[1]2019'!AU197+'[1]2020'!AU197</f>
        <v>10</v>
      </c>
      <c r="AV187" s="11">
        <f>'[1]2018'!AV197+'[1]2019'!AV197+'[1]2020'!AV197</f>
        <v>10</v>
      </c>
      <c r="AW187" s="41">
        <f t="shared" si="19"/>
        <v>22</v>
      </c>
      <c r="AX187" s="14">
        <f t="shared" si="20"/>
        <v>1787.9555555555555</v>
      </c>
      <c r="AY187" s="2">
        <f>'[1]2018'!AX197+'[1]2019'!AX197+'[1]2020'!AX197</f>
        <v>5363.8666666666668</v>
      </c>
    </row>
    <row r="188" spans="1:136" x14ac:dyDescent="0.25">
      <c r="A188" s="10" t="s">
        <v>265</v>
      </c>
      <c r="B188" s="46">
        <f>'[1]2018'!B198+'[1]2019'!B198+'[1]2020'!B198</f>
        <v>19</v>
      </c>
      <c r="C188" s="46">
        <f>'[1]2018'!C198+'[1]2019'!C198+'[1]2020'!C198</f>
        <v>16</v>
      </c>
      <c r="D188" s="46">
        <f>'[1]2018'!D198+'[1]2019'!D198+'[1]2020'!D198</f>
        <v>34</v>
      </c>
      <c r="E188" s="46">
        <f>'[1]2018'!E198+'[1]2019'!E198+'[1]2020'!E198</f>
        <v>23</v>
      </c>
      <c r="F188" s="46">
        <f>'[1]2018'!F198+'[1]2019'!F198+'[1]2020'!F198</f>
        <v>0</v>
      </c>
      <c r="G188" s="46">
        <f>'[1]2018'!G198+'[1]2019'!G198+'[1]2020'!G198</f>
        <v>0</v>
      </c>
      <c r="H188" s="46">
        <f>'[1]2018'!H198+'[1]2019'!H198+'[1]2020'!H198</f>
        <v>1</v>
      </c>
      <c r="I188" s="46">
        <f>'[1]2018'!I198+'[1]2019'!I198+'[1]2020'!I198</f>
        <v>0</v>
      </c>
      <c r="J188" s="46">
        <f>'[1]2018'!J198+'[1]2019'!J198+'[1]2020'!J198</f>
        <v>0</v>
      </c>
      <c r="K188" s="46">
        <f>'[1]2018'!K198+'[1]2019'!K198+'[1]2020'!K198</f>
        <v>0</v>
      </c>
      <c r="L188" s="46">
        <f>'[1]2018'!L198+'[1]2019'!L198+'[1]2020'!L198</f>
        <v>0</v>
      </c>
      <c r="M188" s="46">
        <f>'[1]2018'!M198+'[1]2019'!M198+'[1]2020'!M198</f>
        <v>0</v>
      </c>
      <c r="N188" s="46">
        <f>'[1]2018'!N198+'[1]2019'!N198+'[1]2020'!N198</f>
        <v>0</v>
      </c>
      <c r="O188" s="46">
        <f>'[1]2018'!O198+'[1]2019'!O198+'[1]2020'!O198</f>
        <v>0</v>
      </c>
      <c r="P188" s="46">
        <f>'[1]2018'!P198+'[1]2019'!P198+'[1]2020'!P198</f>
        <v>0</v>
      </c>
      <c r="Q188" s="46">
        <f>'[1]2018'!Q198+'[1]2019'!Q198+'[1]2020'!Q198</f>
        <v>0</v>
      </c>
      <c r="R188" s="46">
        <f>'[1]2018'!R198+'[1]2019'!R198+'[1]2020'!R198</f>
        <v>0</v>
      </c>
      <c r="S188" s="46">
        <f>'[1]2018'!S198+'[1]2019'!S198+'[1]2020'!S198</f>
        <v>0</v>
      </c>
      <c r="T188" s="46">
        <f>'[1]2018'!T198+'[1]2019'!T198+'[1]2020'!T198</f>
        <v>0</v>
      </c>
      <c r="U188" s="46">
        <f>'[1]2018'!U198+'[1]2019'!U198+'[1]2020'!U198</f>
        <v>22</v>
      </c>
      <c r="V188" s="46">
        <f>'[1]2018'!V198+'[1]2019'!V198+'[1]2020'!V198</f>
        <v>6</v>
      </c>
      <c r="W188" s="46">
        <f>'[1]2018'!W198+'[1]2019'!W198+'[1]2020'!W198</f>
        <v>0</v>
      </c>
      <c r="X188" s="46">
        <f>'[1]2018'!X198+'[1]2019'!X198+'[1]2020'!X198</f>
        <v>5</v>
      </c>
      <c r="Y188" s="41">
        <f t="shared" ref="Y188:Y231" si="25">SUM(F188:X188)</f>
        <v>34</v>
      </c>
      <c r="Z188" s="11">
        <f>'[1]2018'!Z198+'[1]2019'!Z198+'[1]2020'!Z198</f>
        <v>14</v>
      </c>
      <c r="AA188" s="11">
        <f>'[1]2018'!AA198+'[1]2019'!AA198+'[1]2020'!AA198</f>
        <v>9</v>
      </c>
      <c r="AB188" s="11">
        <f>'[1]2018'!AB198+'[1]2019'!AB198+'[1]2020'!AB198</f>
        <v>26</v>
      </c>
      <c r="AC188" s="11">
        <f>'[1]2018'!AC198+'[1]2019'!AC198+'[1]2020'!AC198</f>
        <v>20</v>
      </c>
      <c r="AD188" s="11">
        <f>'[1]2018'!AD198+'[1]2019'!AD198+'[1]2020'!AD198</f>
        <v>0</v>
      </c>
      <c r="AE188" s="11">
        <f>'[1]2018'!AE198+'[1]2019'!AE198+'[1]2020'!AE198</f>
        <v>0</v>
      </c>
      <c r="AF188" s="11">
        <f>'[1]2018'!AF198+'[1]2019'!AF198+'[1]2020'!AF198</f>
        <v>0</v>
      </c>
      <c r="AG188" s="11">
        <f>'[1]2018'!AG198+'[1]2019'!AG198+'[1]2020'!AG198</f>
        <v>0</v>
      </c>
      <c r="AH188" s="11">
        <f>'[1]2018'!AH198+'[1]2019'!AH198+'[1]2020'!AH198</f>
        <v>0</v>
      </c>
      <c r="AI188" s="11">
        <f>'[1]2018'!AI198+'[1]2019'!AI198+'[1]2020'!AI198</f>
        <v>0</v>
      </c>
      <c r="AJ188" s="11">
        <f>'[1]2018'!AJ198+'[1]2019'!AJ198+'[1]2020'!AJ198</f>
        <v>0</v>
      </c>
      <c r="AK188" s="11">
        <f>'[1]2018'!AK198+'[1]2019'!AK198+'[1]2020'!AK198</f>
        <v>0</v>
      </c>
      <c r="AL188" s="11">
        <f>'[1]2018'!AL198+'[1]2019'!AL198+'[1]2020'!AL198</f>
        <v>0</v>
      </c>
      <c r="AM188" s="11">
        <f>'[1]2018'!AM198+'[1]2019'!AM198+'[1]2020'!AM198</f>
        <v>0</v>
      </c>
      <c r="AN188" s="11">
        <f>'[1]2018'!AN198+'[1]2019'!AN198+'[1]2020'!AN198</f>
        <v>0</v>
      </c>
      <c r="AO188" s="11">
        <f>'[1]2018'!AO198+'[1]2019'!AO198+'[1]2020'!AO198</f>
        <v>0</v>
      </c>
      <c r="AP188" s="11">
        <f>'[1]2018'!AP198+'[1]2019'!AP198+'[1]2020'!AP198</f>
        <v>0</v>
      </c>
      <c r="AQ188" s="11">
        <f>'[1]2018'!AQ198+'[1]2019'!AQ198+'[1]2020'!AQ198</f>
        <v>0</v>
      </c>
      <c r="AR188" s="11">
        <f>'[1]2018'!AR198+'[1]2019'!AR198+'[1]2020'!AR198</f>
        <v>0</v>
      </c>
      <c r="AS188" s="11">
        <f>'[1]2018'!AS198+'[1]2019'!AS198+'[1]2020'!AS198</f>
        <v>17</v>
      </c>
      <c r="AT188" s="11">
        <f>'[1]2018'!AT198+'[1]2019'!AT198+'[1]2020'!AT198</f>
        <v>6</v>
      </c>
      <c r="AU188" s="11">
        <f>'[1]2018'!AU198+'[1]2019'!AU198+'[1]2020'!AU198</f>
        <v>0</v>
      </c>
      <c r="AV188" s="11">
        <f>'[1]2018'!AV198+'[1]2019'!AV198+'[1]2020'!AV198</f>
        <v>3</v>
      </c>
      <c r="AW188" s="41">
        <f t="shared" ref="AW188:AW231" si="26">SUM(AD188:AV188)</f>
        <v>26</v>
      </c>
      <c r="AX188" s="14">
        <f t="shared" ref="AX188:AX231" si="27">AY188/3</f>
        <v>2900.2222222222222</v>
      </c>
      <c r="AY188" s="2">
        <f>'[1]2018'!AX198+'[1]2019'!AX198+'[1]2020'!AX198</f>
        <v>8700.6666666666661</v>
      </c>
    </row>
    <row r="189" spans="1:136" x14ac:dyDescent="0.25">
      <c r="A189" s="10" t="s">
        <v>266</v>
      </c>
      <c r="B189" s="46">
        <f>'[1]2018'!B199+'[1]2019'!B199+'[1]2020'!B199</f>
        <v>21</v>
      </c>
      <c r="C189" s="46">
        <f>'[1]2018'!C199+'[1]2019'!C199+'[1]2020'!C199</f>
        <v>12</v>
      </c>
      <c r="D189" s="46">
        <f>'[1]2018'!D199+'[1]2019'!D199+'[1]2020'!D199</f>
        <v>61</v>
      </c>
      <c r="E189" s="46">
        <f>'[1]2018'!E199+'[1]2019'!E199+'[1]2020'!E199</f>
        <v>18</v>
      </c>
      <c r="F189" s="46">
        <f>'[1]2018'!F199+'[1]2019'!F199+'[1]2020'!F199</f>
        <v>0</v>
      </c>
      <c r="G189" s="46">
        <f>'[1]2018'!G199+'[1]2019'!G199+'[1]2020'!G199</f>
        <v>0</v>
      </c>
      <c r="H189" s="46">
        <f>'[1]2018'!H199+'[1]2019'!H199+'[1]2020'!H199</f>
        <v>0</v>
      </c>
      <c r="I189" s="46">
        <f>'[1]2018'!I199+'[1]2019'!I199+'[1]2020'!I199</f>
        <v>0</v>
      </c>
      <c r="J189" s="46">
        <f>'[1]2018'!J199+'[1]2019'!J199+'[1]2020'!J199</f>
        <v>0</v>
      </c>
      <c r="K189" s="46">
        <f>'[1]2018'!K199+'[1]2019'!K199+'[1]2020'!K199</f>
        <v>0</v>
      </c>
      <c r="L189" s="46">
        <f>'[1]2018'!L199+'[1]2019'!L199+'[1]2020'!L199</f>
        <v>0</v>
      </c>
      <c r="M189" s="46">
        <f>'[1]2018'!M199+'[1]2019'!M199+'[1]2020'!M199</f>
        <v>0</v>
      </c>
      <c r="N189" s="46">
        <f>'[1]2018'!N199+'[1]2019'!N199+'[1]2020'!N199</f>
        <v>0</v>
      </c>
      <c r="O189" s="46">
        <f>'[1]2018'!O199+'[1]2019'!O199+'[1]2020'!O199</f>
        <v>0</v>
      </c>
      <c r="P189" s="46">
        <f>'[1]2018'!P199+'[1]2019'!P199+'[1]2020'!P199</f>
        <v>0</v>
      </c>
      <c r="Q189" s="46">
        <f>'[1]2018'!Q199+'[1]2019'!Q199+'[1]2020'!Q199</f>
        <v>0</v>
      </c>
      <c r="R189" s="46">
        <f>'[1]2018'!R199+'[1]2019'!R199+'[1]2020'!R199</f>
        <v>1</v>
      </c>
      <c r="S189" s="46">
        <f>'[1]2018'!S199+'[1]2019'!S199+'[1]2020'!S199</f>
        <v>0</v>
      </c>
      <c r="T189" s="46">
        <f>'[1]2018'!T199+'[1]2019'!T199+'[1]2020'!T199</f>
        <v>0</v>
      </c>
      <c r="U189" s="46">
        <f>'[1]2018'!U199+'[1]2019'!U199+'[1]2020'!U199</f>
        <v>21</v>
      </c>
      <c r="V189" s="46">
        <f>'[1]2018'!V199+'[1]2019'!V199+'[1]2020'!V199</f>
        <v>16</v>
      </c>
      <c r="W189" s="46">
        <f>'[1]2018'!W199+'[1]2019'!W199+'[1]2020'!W199</f>
        <v>0</v>
      </c>
      <c r="X189" s="46">
        <f>'[1]2018'!X199+'[1]2019'!X199+'[1]2020'!X199</f>
        <v>23</v>
      </c>
      <c r="Y189" s="41">
        <f t="shared" si="25"/>
        <v>61</v>
      </c>
      <c r="Z189" s="11">
        <f>'[1]2018'!Z199+'[1]2019'!Z199+'[1]2020'!Z199</f>
        <v>16</v>
      </c>
      <c r="AA189" s="11">
        <f>'[1]2018'!AA199+'[1]2019'!AA199+'[1]2020'!AA199</f>
        <v>11</v>
      </c>
      <c r="AB189" s="11">
        <f>'[1]2018'!AB199+'[1]2019'!AB199+'[1]2020'!AB199</f>
        <v>33</v>
      </c>
      <c r="AC189" s="11">
        <f>'[1]2018'!AC199+'[1]2019'!AC199+'[1]2020'!AC199</f>
        <v>15</v>
      </c>
      <c r="AD189" s="11">
        <f>'[1]2018'!AD199+'[1]2019'!AD199+'[1]2020'!AD199</f>
        <v>0</v>
      </c>
      <c r="AE189" s="11">
        <f>'[1]2018'!AE199+'[1]2019'!AE199+'[1]2020'!AE199</f>
        <v>0</v>
      </c>
      <c r="AF189" s="11">
        <f>'[1]2018'!AF199+'[1]2019'!AF199+'[1]2020'!AF199</f>
        <v>0</v>
      </c>
      <c r="AG189" s="11">
        <f>'[1]2018'!AG199+'[1]2019'!AG199+'[1]2020'!AG199</f>
        <v>0</v>
      </c>
      <c r="AH189" s="11">
        <f>'[1]2018'!AH199+'[1]2019'!AH199+'[1]2020'!AH199</f>
        <v>0</v>
      </c>
      <c r="AI189" s="11">
        <f>'[1]2018'!AI199+'[1]2019'!AI199+'[1]2020'!AI199</f>
        <v>0</v>
      </c>
      <c r="AJ189" s="11">
        <f>'[1]2018'!AJ199+'[1]2019'!AJ199+'[1]2020'!AJ199</f>
        <v>0</v>
      </c>
      <c r="AK189" s="11">
        <f>'[1]2018'!AK199+'[1]2019'!AK199+'[1]2020'!AK199</f>
        <v>0</v>
      </c>
      <c r="AL189" s="11">
        <f>'[1]2018'!AL199+'[1]2019'!AL199+'[1]2020'!AL199</f>
        <v>0</v>
      </c>
      <c r="AM189" s="11">
        <f>'[1]2018'!AM199+'[1]2019'!AM199+'[1]2020'!AM199</f>
        <v>0</v>
      </c>
      <c r="AN189" s="11">
        <f>'[1]2018'!AN199+'[1]2019'!AN199+'[1]2020'!AN199</f>
        <v>0</v>
      </c>
      <c r="AO189" s="11">
        <f>'[1]2018'!AO199+'[1]2019'!AO199+'[1]2020'!AO199</f>
        <v>0</v>
      </c>
      <c r="AP189" s="11">
        <f>'[1]2018'!AP199+'[1]2019'!AP199+'[1]2020'!AP199</f>
        <v>0</v>
      </c>
      <c r="AQ189" s="11">
        <f>'[1]2018'!AQ199+'[1]2019'!AQ199+'[1]2020'!AQ199</f>
        <v>0</v>
      </c>
      <c r="AR189" s="11">
        <f>'[1]2018'!AR199+'[1]2019'!AR199+'[1]2020'!AR199</f>
        <v>0</v>
      </c>
      <c r="AS189" s="11">
        <f>'[1]2018'!AS199+'[1]2019'!AS199+'[1]2020'!AS199</f>
        <v>15</v>
      </c>
      <c r="AT189" s="11">
        <f>'[1]2018'!AT199+'[1]2019'!AT199+'[1]2020'!AT199</f>
        <v>15</v>
      </c>
      <c r="AU189" s="11">
        <f>'[1]2018'!AU199+'[1]2019'!AU199+'[1]2020'!AU199</f>
        <v>0</v>
      </c>
      <c r="AV189" s="11">
        <f>'[1]2018'!AV199+'[1]2019'!AV199+'[1]2020'!AV199</f>
        <v>3</v>
      </c>
      <c r="AW189" s="41">
        <f t="shared" si="26"/>
        <v>33</v>
      </c>
      <c r="AX189" s="14">
        <f t="shared" si="27"/>
        <v>2039.1350000000002</v>
      </c>
      <c r="AY189" s="2">
        <f>'[1]2018'!AX199+'[1]2019'!AX199+'[1]2020'!AX199</f>
        <v>6117.4050000000007</v>
      </c>
    </row>
    <row r="190" spans="1:136" x14ac:dyDescent="0.25">
      <c r="A190" s="10" t="s">
        <v>267</v>
      </c>
      <c r="B190" s="46">
        <f>'[1]2018'!B200+'[1]2019'!B200+'[1]2020'!B200</f>
        <v>8</v>
      </c>
      <c r="C190" s="46">
        <f>'[1]2018'!C200+'[1]2019'!C200+'[1]2020'!C200</f>
        <v>7</v>
      </c>
      <c r="D190" s="46">
        <f>'[1]2018'!D200+'[1]2019'!D200+'[1]2020'!D200</f>
        <v>14</v>
      </c>
      <c r="E190" s="46">
        <f>'[1]2018'!E200+'[1]2019'!E200+'[1]2020'!E200</f>
        <v>13</v>
      </c>
      <c r="F190" s="46">
        <f>'[1]2018'!F200+'[1]2019'!F200+'[1]2020'!F200</f>
        <v>0</v>
      </c>
      <c r="G190" s="46">
        <f>'[1]2018'!G200+'[1]2019'!G200+'[1]2020'!G200</f>
        <v>0</v>
      </c>
      <c r="H190" s="46">
        <f>'[1]2018'!H200+'[1]2019'!H200+'[1]2020'!H200</f>
        <v>0</v>
      </c>
      <c r="I190" s="46">
        <f>'[1]2018'!I200+'[1]2019'!I200+'[1]2020'!I200</f>
        <v>0</v>
      </c>
      <c r="J190" s="46">
        <f>'[1]2018'!J200+'[1]2019'!J200+'[1]2020'!J200</f>
        <v>0</v>
      </c>
      <c r="K190" s="46">
        <f>'[1]2018'!K200+'[1]2019'!K200+'[1]2020'!K200</f>
        <v>0</v>
      </c>
      <c r="L190" s="46">
        <f>'[1]2018'!L200+'[1]2019'!L200+'[1]2020'!L200</f>
        <v>0</v>
      </c>
      <c r="M190" s="46">
        <f>'[1]2018'!M200+'[1]2019'!M200+'[1]2020'!M200</f>
        <v>0</v>
      </c>
      <c r="N190" s="46">
        <f>'[1]2018'!N200+'[1]2019'!N200+'[1]2020'!N200</f>
        <v>0</v>
      </c>
      <c r="O190" s="46">
        <f>'[1]2018'!O200+'[1]2019'!O200+'[1]2020'!O200</f>
        <v>0</v>
      </c>
      <c r="P190" s="46">
        <f>'[1]2018'!P200+'[1]2019'!P200+'[1]2020'!P200</f>
        <v>0</v>
      </c>
      <c r="Q190" s="46">
        <f>'[1]2018'!Q200+'[1]2019'!Q200+'[1]2020'!Q200</f>
        <v>0</v>
      </c>
      <c r="R190" s="46">
        <f>'[1]2018'!R200+'[1]2019'!R200+'[1]2020'!R200</f>
        <v>0</v>
      </c>
      <c r="S190" s="46">
        <f>'[1]2018'!S200+'[1]2019'!S200+'[1]2020'!S200</f>
        <v>0</v>
      </c>
      <c r="T190" s="46">
        <f>'[1]2018'!T200+'[1]2019'!T200+'[1]2020'!T200</f>
        <v>0</v>
      </c>
      <c r="U190" s="46">
        <f>'[1]2018'!U200+'[1]2019'!U200+'[1]2020'!U200</f>
        <v>12</v>
      </c>
      <c r="V190" s="46">
        <f>'[1]2018'!V200+'[1]2019'!V200+'[1]2020'!V200</f>
        <v>2</v>
      </c>
      <c r="W190" s="46">
        <f>'[1]2018'!W200+'[1]2019'!W200+'[1]2020'!W200</f>
        <v>0</v>
      </c>
      <c r="X190" s="46">
        <f>'[1]2018'!X200+'[1]2019'!X200+'[1]2020'!X200</f>
        <v>0</v>
      </c>
      <c r="Y190" s="41">
        <f t="shared" si="25"/>
        <v>14</v>
      </c>
      <c r="Z190" s="11">
        <f>'[1]2018'!Z200+'[1]2019'!Z200+'[1]2020'!Z200</f>
        <v>3</v>
      </c>
      <c r="AA190" s="11">
        <f>'[1]2018'!AA200+'[1]2019'!AA200+'[1]2020'!AA200</f>
        <v>3</v>
      </c>
      <c r="AB190" s="11">
        <f>'[1]2018'!AB200+'[1]2019'!AB200+'[1]2020'!AB200</f>
        <v>7</v>
      </c>
      <c r="AC190" s="11">
        <f>'[1]2018'!AC200+'[1]2019'!AC200+'[1]2020'!AC200</f>
        <v>7</v>
      </c>
      <c r="AD190" s="11">
        <f>'[1]2018'!AD200+'[1]2019'!AD200+'[1]2020'!AD200</f>
        <v>0</v>
      </c>
      <c r="AE190" s="11">
        <f>'[1]2018'!AE200+'[1]2019'!AE200+'[1]2020'!AE200</f>
        <v>0</v>
      </c>
      <c r="AF190" s="11">
        <f>'[1]2018'!AF200+'[1]2019'!AF200+'[1]2020'!AF200</f>
        <v>0</v>
      </c>
      <c r="AG190" s="11">
        <f>'[1]2018'!AG200+'[1]2019'!AG200+'[1]2020'!AG200</f>
        <v>0</v>
      </c>
      <c r="AH190" s="11">
        <f>'[1]2018'!AH200+'[1]2019'!AH200+'[1]2020'!AH200</f>
        <v>0</v>
      </c>
      <c r="AI190" s="11">
        <f>'[1]2018'!AI200+'[1]2019'!AI200+'[1]2020'!AI200</f>
        <v>0</v>
      </c>
      <c r="AJ190" s="11">
        <f>'[1]2018'!AJ200+'[1]2019'!AJ200+'[1]2020'!AJ200</f>
        <v>0</v>
      </c>
      <c r="AK190" s="11">
        <f>'[1]2018'!AK200+'[1]2019'!AK200+'[1]2020'!AK200</f>
        <v>0</v>
      </c>
      <c r="AL190" s="11">
        <f>'[1]2018'!AL200+'[1]2019'!AL200+'[1]2020'!AL200</f>
        <v>0</v>
      </c>
      <c r="AM190" s="11">
        <f>'[1]2018'!AM200+'[1]2019'!AM200+'[1]2020'!AM200</f>
        <v>0</v>
      </c>
      <c r="AN190" s="11">
        <f>'[1]2018'!AN200+'[1]2019'!AN200+'[1]2020'!AN200</f>
        <v>0</v>
      </c>
      <c r="AO190" s="11">
        <f>'[1]2018'!AO200+'[1]2019'!AO200+'[1]2020'!AO200</f>
        <v>0</v>
      </c>
      <c r="AP190" s="11">
        <f>'[1]2018'!AP200+'[1]2019'!AP200+'[1]2020'!AP200</f>
        <v>0</v>
      </c>
      <c r="AQ190" s="11">
        <f>'[1]2018'!AQ200+'[1]2019'!AQ200+'[1]2020'!AQ200</f>
        <v>0</v>
      </c>
      <c r="AR190" s="11">
        <f>'[1]2018'!AR200+'[1]2019'!AR200+'[1]2020'!AR200</f>
        <v>0</v>
      </c>
      <c r="AS190" s="11">
        <f>'[1]2018'!AS200+'[1]2019'!AS200+'[1]2020'!AS200</f>
        <v>7</v>
      </c>
      <c r="AT190" s="11">
        <f>'[1]2018'!AT200+'[1]2019'!AT200+'[1]2020'!AT200</f>
        <v>0</v>
      </c>
      <c r="AU190" s="11">
        <f>'[1]2018'!AU200+'[1]2019'!AU200+'[1]2020'!AU200</f>
        <v>0</v>
      </c>
      <c r="AV190" s="11">
        <f>'[1]2018'!AV200+'[1]2019'!AV200+'[1]2020'!AV200</f>
        <v>0</v>
      </c>
      <c r="AW190" s="41">
        <f t="shared" si="26"/>
        <v>7</v>
      </c>
      <c r="AX190" s="14">
        <f t="shared" si="27"/>
        <v>884.44444444444446</v>
      </c>
      <c r="AY190" s="2">
        <f>'[1]2018'!AX200+'[1]2019'!AX200+'[1]2020'!AX200</f>
        <v>2653.3333333333335</v>
      </c>
    </row>
    <row r="191" spans="1:136" x14ac:dyDescent="0.25">
      <c r="A191" s="10" t="s">
        <v>268</v>
      </c>
      <c r="B191" s="46">
        <f>'[1]2018'!B201+'[1]2019'!B201+'[1]2020'!B201</f>
        <v>8</v>
      </c>
      <c r="C191" s="46">
        <f>'[1]2018'!C201+'[1]2019'!C201+'[1]2020'!C201</f>
        <v>7</v>
      </c>
      <c r="D191" s="46">
        <f>'[1]2018'!D201+'[1]2019'!D201+'[1]2020'!D201</f>
        <v>14</v>
      </c>
      <c r="E191" s="46">
        <f>'[1]2018'!E201+'[1]2019'!E201+'[1]2020'!E201</f>
        <v>13</v>
      </c>
      <c r="F191" s="46">
        <f>'[1]2018'!F201+'[1]2019'!F201+'[1]2020'!F201</f>
        <v>0</v>
      </c>
      <c r="G191" s="46">
        <f>'[1]2018'!G201+'[1]2019'!G201+'[1]2020'!G201</f>
        <v>0</v>
      </c>
      <c r="H191" s="46">
        <f>'[1]2018'!H201+'[1]2019'!H201+'[1]2020'!H201</f>
        <v>0</v>
      </c>
      <c r="I191" s="46">
        <f>'[1]2018'!I201+'[1]2019'!I201+'[1]2020'!I201</f>
        <v>0</v>
      </c>
      <c r="J191" s="46">
        <f>'[1]2018'!J201+'[1]2019'!J201+'[1]2020'!J201</f>
        <v>0</v>
      </c>
      <c r="K191" s="46">
        <f>'[1]2018'!K201+'[1]2019'!K201+'[1]2020'!K201</f>
        <v>0</v>
      </c>
      <c r="L191" s="46">
        <f>'[1]2018'!L201+'[1]2019'!L201+'[1]2020'!L201</f>
        <v>0</v>
      </c>
      <c r="M191" s="46">
        <f>'[1]2018'!M201+'[1]2019'!M201+'[1]2020'!M201</f>
        <v>0</v>
      </c>
      <c r="N191" s="46">
        <f>'[1]2018'!N201+'[1]2019'!N201+'[1]2020'!N201</f>
        <v>0</v>
      </c>
      <c r="O191" s="46">
        <f>'[1]2018'!O201+'[1]2019'!O201+'[1]2020'!O201</f>
        <v>0</v>
      </c>
      <c r="P191" s="46">
        <f>'[1]2018'!P201+'[1]2019'!P201+'[1]2020'!P201</f>
        <v>0</v>
      </c>
      <c r="Q191" s="46">
        <f>'[1]2018'!Q201+'[1]2019'!Q201+'[1]2020'!Q201</f>
        <v>0</v>
      </c>
      <c r="R191" s="46">
        <f>'[1]2018'!R201+'[1]2019'!R201+'[1]2020'!R201</f>
        <v>0</v>
      </c>
      <c r="S191" s="46">
        <f>'[1]2018'!S201+'[1]2019'!S201+'[1]2020'!S201</f>
        <v>0</v>
      </c>
      <c r="T191" s="46">
        <f>'[1]2018'!T201+'[1]2019'!T201+'[1]2020'!T201</f>
        <v>0</v>
      </c>
      <c r="U191" s="46">
        <f>'[1]2018'!U201+'[1]2019'!U201+'[1]2020'!U201</f>
        <v>12</v>
      </c>
      <c r="V191" s="46">
        <f>'[1]2018'!V201+'[1]2019'!V201+'[1]2020'!V201</f>
        <v>2</v>
      </c>
      <c r="W191" s="46">
        <f>'[1]2018'!W201+'[1]2019'!W201+'[1]2020'!W201</f>
        <v>0</v>
      </c>
      <c r="X191" s="46">
        <f>'[1]2018'!X201+'[1]2019'!X201+'[1]2020'!X201</f>
        <v>0</v>
      </c>
      <c r="Y191" s="41">
        <f t="shared" si="25"/>
        <v>14</v>
      </c>
      <c r="Z191" s="11">
        <f>'[1]2018'!Z201+'[1]2019'!Z201+'[1]2020'!Z201</f>
        <v>3</v>
      </c>
      <c r="AA191" s="11">
        <f>'[1]2018'!AA201+'[1]2019'!AA201+'[1]2020'!AA201</f>
        <v>3</v>
      </c>
      <c r="AB191" s="11">
        <f>'[1]2018'!AB201+'[1]2019'!AB201+'[1]2020'!AB201</f>
        <v>9</v>
      </c>
      <c r="AC191" s="11">
        <f>'[1]2018'!AC201+'[1]2019'!AC201+'[1]2020'!AC201</f>
        <v>9</v>
      </c>
      <c r="AD191" s="11">
        <f>'[1]2018'!AD201+'[1]2019'!AD201+'[1]2020'!AD201</f>
        <v>0</v>
      </c>
      <c r="AE191" s="11">
        <f>'[1]2018'!AE201+'[1]2019'!AE201+'[1]2020'!AE201</f>
        <v>0</v>
      </c>
      <c r="AF191" s="11">
        <f>'[1]2018'!AF201+'[1]2019'!AF201+'[1]2020'!AF201</f>
        <v>0</v>
      </c>
      <c r="AG191" s="11">
        <f>'[1]2018'!AG201+'[1]2019'!AG201+'[1]2020'!AG201</f>
        <v>0</v>
      </c>
      <c r="AH191" s="11">
        <f>'[1]2018'!AH201+'[1]2019'!AH201+'[1]2020'!AH201</f>
        <v>0</v>
      </c>
      <c r="AI191" s="11">
        <f>'[1]2018'!AI201+'[1]2019'!AI201+'[1]2020'!AI201</f>
        <v>0</v>
      </c>
      <c r="AJ191" s="11">
        <f>'[1]2018'!AJ201+'[1]2019'!AJ201+'[1]2020'!AJ201</f>
        <v>0</v>
      </c>
      <c r="AK191" s="11">
        <f>'[1]2018'!AK201+'[1]2019'!AK201+'[1]2020'!AK201</f>
        <v>0</v>
      </c>
      <c r="AL191" s="11">
        <f>'[1]2018'!AL201+'[1]2019'!AL201+'[1]2020'!AL201</f>
        <v>0</v>
      </c>
      <c r="AM191" s="11">
        <f>'[1]2018'!AM201+'[1]2019'!AM201+'[1]2020'!AM201</f>
        <v>0</v>
      </c>
      <c r="AN191" s="11">
        <f>'[1]2018'!AN201+'[1]2019'!AN201+'[1]2020'!AN201</f>
        <v>0</v>
      </c>
      <c r="AO191" s="11">
        <f>'[1]2018'!AO201+'[1]2019'!AO201+'[1]2020'!AO201</f>
        <v>0</v>
      </c>
      <c r="AP191" s="11">
        <f>'[1]2018'!AP201+'[1]2019'!AP201+'[1]2020'!AP201</f>
        <v>0</v>
      </c>
      <c r="AQ191" s="11">
        <f>'[1]2018'!AQ201+'[1]2019'!AQ201+'[1]2020'!AQ201</f>
        <v>0</v>
      </c>
      <c r="AR191" s="11">
        <f>'[1]2018'!AR201+'[1]2019'!AR201+'[1]2020'!AR201</f>
        <v>0</v>
      </c>
      <c r="AS191" s="11">
        <f>'[1]2018'!AS201+'[1]2019'!AS201+'[1]2020'!AS201</f>
        <v>9</v>
      </c>
      <c r="AT191" s="11">
        <f>'[1]2018'!AT201+'[1]2019'!AT201+'[1]2020'!AT201</f>
        <v>0</v>
      </c>
      <c r="AU191" s="11">
        <f>'[1]2018'!AU201+'[1]2019'!AU201+'[1]2020'!AU201</f>
        <v>0</v>
      </c>
      <c r="AV191" s="11">
        <f>'[1]2018'!AV201+'[1]2019'!AV201+'[1]2020'!AV201</f>
        <v>0</v>
      </c>
      <c r="AW191" s="41">
        <f t="shared" si="26"/>
        <v>9</v>
      </c>
      <c r="AX191" s="14">
        <f t="shared" si="27"/>
        <v>1906.6666666666667</v>
      </c>
      <c r="AY191" s="2">
        <f>'[1]2018'!AX201+'[1]2019'!AX201+'[1]2020'!AX201</f>
        <v>5720</v>
      </c>
    </row>
    <row r="192" spans="1:136" x14ac:dyDescent="0.25">
      <c r="A192" s="10" t="s">
        <v>269</v>
      </c>
      <c r="B192" s="46">
        <f>'[1]2018'!B202+'[1]2019'!B202+'[1]2020'!B202</f>
        <v>3</v>
      </c>
      <c r="C192" s="46">
        <f>'[1]2018'!C202+'[1]2019'!C202+'[1]2020'!C202</f>
        <v>3</v>
      </c>
      <c r="D192" s="46">
        <f>'[1]2018'!D202+'[1]2019'!D202+'[1]2020'!D202</f>
        <v>31</v>
      </c>
      <c r="E192" s="46">
        <f>'[1]2018'!E202+'[1]2019'!E202+'[1]2020'!E202</f>
        <v>31</v>
      </c>
      <c r="F192" s="46">
        <f>'[1]2018'!F202+'[1]2019'!F202+'[1]2020'!F202</f>
        <v>0</v>
      </c>
      <c r="G192" s="46">
        <f>'[1]2018'!G202+'[1]2019'!G202+'[1]2020'!G202</f>
        <v>0</v>
      </c>
      <c r="H192" s="46">
        <f>'[1]2018'!H202+'[1]2019'!H202+'[1]2020'!H202</f>
        <v>0</v>
      </c>
      <c r="I192" s="46">
        <f>'[1]2018'!I202+'[1]2019'!I202+'[1]2020'!I202</f>
        <v>0</v>
      </c>
      <c r="J192" s="46">
        <f>'[1]2018'!J202+'[1]2019'!J202+'[1]2020'!J202</f>
        <v>0</v>
      </c>
      <c r="K192" s="46">
        <f>'[1]2018'!K202+'[1]2019'!K202+'[1]2020'!K202</f>
        <v>0</v>
      </c>
      <c r="L192" s="46">
        <f>'[1]2018'!L202+'[1]2019'!L202+'[1]2020'!L202</f>
        <v>0</v>
      </c>
      <c r="M192" s="46">
        <f>'[1]2018'!M202+'[1]2019'!M202+'[1]2020'!M202</f>
        <v>0</v>
      </c>
      <c r="N192" s="46">
        <f>'[1]2018'!N202+'[1]2019'!N202+'[1]2020'!N202</f>
        <v>0</v>
      </c>
      <c r="O192" s="46">
        <f>'[1]2018'!O202+'[1]2019'!O202+'[1]2020'!O202</f>
        <v>0</v>
      </c>
      <c r="P192" s="46">
        <f>'[1]2018'!P202+'[1]2019'!P202+'[1]2020'!P202</f>
        <v>0</v>
      </c>
      <c r="Q192" s="46">
        <f>'[1]2018'!Q202+'[1]2019'!Q202+'[1]2020'!Q202</f>
        <v>0</v>
      </c>
      <c r="R192" s="46">
        <f>'[1]2018'!R202+'[1]2019'!R202+'[1]2020'!R202</f>
        <v>0</v>
      </c>
      <c r="S192" s="46">
        <f>'[1]2018'!S202+'[1]2019'!S202+'[1]2020'!S202</f>
        <v>0</v>
      </c>
      <c r="T192" s="46">
        <f>'[1]2018'!T202+'[1]2019'!T202+'[1]2020'!T202</f>
        <v>0</v>
      </c>
      <c r="U192" s="46">
        <f>'[1]2018'!U202+'[1]2019'!U202+'[1]2020'!U202</f>
        <v>27</v>
      </c>
      <c r="V192" s="46">
        <f>'[1]2018'!V202+'[1]2019'!V202+'[1]2020'!V202</f>
        <v>4</v>
      </c>
      <c r="W192" s="46">
        <f>'[1]2018'!W202+'[1]2019'!W202+'[1]2020'!W202</f>
        <v>0</v>
      </c>
      <c r="X192" s="46">
        <f>'[1]2018'!X202+'[1]2019'!X202+'[1]2020'!X202</f>
        <v>0</v>
      </c>
      <c r="Y192" s="41">
        <f t="shared" si="25"/>
        <v>31</v>
      </c>
      <c r="Z192" s="11">
        <f>'[1]2018'!Z202+'[1]2019'!Z202+'[1]2020'!Z202</f>
        <v>3</v>
      </c>
      <c r="AA192" s="11">
        <f>'[1]2018'!AA202+'[1]2019'!AA202+'[1]2020'!AA202</f>
        <v>3</v>
      </c>
      <c r="AB192" s="11">
        <f>'[1]2018'!AB202+'[1]2019'!AB202+'[1]2020'!AB202</f>
        <v>31</v>
      </c>
      <c r="AC192" s="11">
        <f>'[1]2018'!AC202+'[1]2019'!AC202+'[1]2020'!AC202</f>
        <v>31</v>
      </c>
      <c r="AD192" s="11">
        <f>'[1]2018'!AD202+'[1]2019'!AD202+'[1]2020'!AD202</f>
        <v>0</v>
      </c>
      <c r="AE192" s="11">
        <f>'[1]2018'!AE202+'[1]2019'!AE202+'[1]2020'!AE202</f>
        <v>0</v>
      </c>
      <c r="AF192" s="11">
        <f>'[1]2018'!AF202+'[1]2019'!AF202+'[1]2020'!AF202</f>
        <v>0</v>
      </c>
      <c r="AG192" s="11">
        <f>'[1]2018'!AG202+'[1]2019'!AG202+'[1]2020'!AG202</f>
        <v>0</v>
      </c>
      <c r="AH192" s="11">
        <f>'[1]2018'!AH202+'[1]2019'!AH202+'[1]2020'!AH202</f>
        <v>0</v>
      </c>
      <c r="AI192" s="11">
        <f>'[1]2018'!AI202+'[1]2019'!AI202+'[1]2020'!AI202</f>
        <v>0</v>
      </c>
      <c r="AJ192" s="11">
        <f>'[1]2018'!AJ202+'[1]2019'!AJ202+'[1]2020'!AJ202</f>
        <v>0</v>
      </c>
      <c r="AK192" s="11">
        <f>'[1]2018'!AK202+'[1]2019'!AK202+'[1]2020'!AK202</f>
        <v>0</v>
      </c>
      <c r="AL192" s="11">
        <f>'[1]2018'!AL202+'[1]2019'!AL202+'[1]2020'!AL202</f>
        <v>0</v>
      </c>
      <c r="AM192" s="11">
        <f>'[1]2018'!AM202+'[1]2019'!AM202+'[1]2020'!AM202</f>
        <v>0</v>
      </c>
      <c r="AN192" s="11">
        <f>'[1]2018'!AN202+'[1]2019'!AN202+'[1]2020'!AN202</f>
        <v>0</v>
      </c>
      <c r="AO192" s="11">
        <f>'[1]2018'!AO202+'[1]2019'!AO202+'[1]2020'!AO202</f>
        <v>0</v>
      </c>
      <c r="AP192" s="11">
        <f>'[1]2018'!AP202+'[1]2019'!AP202+'[1]2020'!AP202</f>
        <v>0</v>
      </c>
      <c r="AQ192" s="11">
        <f>'[1]2018'!AQ202+'[1]2019'!AQ202+'[1]2020'!AQ202</f>
        <v>0</v>
      </c>
      <c r="AR192" s="11">
        <f>'[1]2018'!AR202+'[1]2019'!AR202+'[1]2020'!AR202</f>
        <v>0</v>
      </c>
      <c r="AS192" s="11">
        <f>'[1]2018'!AS202+'[1]2019'!AS202+'[1]2020'!AS202</f>
        <v>27</v>
      </c>
      <c r="AT192" s="11">
        <f>'[1]2018'!AT202+'[1]2019'!AT202+'[1]2020'!AT202</f>
        <v>4</v>
      </c>
      <c r="AU192" s="11">
        <f>'[1]2018'!AU202+'[1]2019'!AU202+'[1]2020'!AU202</f>
        <v>0</v>
      </c>
      <c r="AV192" s="11">
        <f>'[1]2018'!AV202+'[1]2019'!AV202+'[1]2020'!AV202</f>
        <v>0</v>
      </c>
      <c r="AW192" s="41">
        <f t="shared" si="26"/>
        <v>31</v>
      </c>
      <c r="AX192" s="14">
        <f t="shared" si="27"/>
        <v>183.70333333333335</v>
      </c>
      <c r="AY192" s="2">
        <f>'[1]2018'!AX202+'[1]2019'!AX202+'[1]2020'!AX202</f>
        <v>551.11</v>
      </c>
    </row>
    <row r="193" spans="1:136" x14ac:dyDescent="0.25">
      <c r="A193" s="10" t="s">
        <v>270</v>
      </c>
      <c r="B193" s="46">
        <f>'[1]2018'!B203+'[1]2019'!B203+'[1]2020'!B203</f>
        <v>10</v>
      </c>
      <c r="C193" s="46">
        <f>'[1]2018'!C203+'[1]2019'!C203+'[1]2020'!C203</f>
        <v>8</v>
      </c>
      <c r="D193" s="46">
        <f>'[1]2018'!D203+'[1]2019'!D203+'[1]2020'!D203</f>
        <v>21</v>
      </c>
      <c r="E193" s="46">
        <f>'[1]2018'!E203+'[1]2019'!E203+'[1]2020'!E203</f>
        <v>19</v>
      </c>
      <c r="F193" s="46">
        <f>'[1]2018'!F203+'[1]2019'!F203+'[1]2020'!F203</f>
        <v>0</v>
      </c>
      <c r="G193" s="46">
        <f>'[1]2018'!G203+'[1]2019'!G203+'[1]2020'!G203</f>
        <v>0</v>
      </c>
      <c r="H193" s="46">
        <f>'[1]2018'!H203+'[1]2019'!H203+'[1]2020'!H203</f>
        <v>0</v>
      </c>
      <c r="I193" s="46">
        <f>'[1]2018'!I203+'[1]2019'!I203+'[1]2020'!I203</f>
        <v>0</v>
      </c>
      <c r="J193" s="46">
        <f>'[1]2018'!J203+'[1]2019'!J203+'[1]2020'!J203</f>
        <v>0</v>
      </c>
      <c r="K193" s="46">
        <f>'[1]2018'!K203+'[1]2019'!K203+'[1]2020'!K203</f>
        <v>0</v>
      </c>
      <c r="L193" s="46">
        <f>'[1]2018'!L203+'[1]2019'!L203+'[1]2020'!L203</f>
        <v>0</v>
      </c>
      <c r="M193" s="46">
        <f>'[1]2018'!M203+'[1]2019'!M203+'[1]2020'!M203</f>
        <v>0</v>
      </c>
      <c r="N193" s="46">
        <f>'[1]2018'!N203+'[1]2019'!N203+'[1]2020'!N203</f>
        <v>0</v>
      </c>
      <c r="O193" s="46">
        <f>'[1]2018'!O203+'[1]2019'!O203+'[1]2020'!O203</f>
        <v>0</v>
      </c>
      <c r="P193" s="46">
        <f>'[1]2018'!P203+'[1]2019'!P203+'[1]2020'!P203</f>
        <v>0</v>
      </c>
      <c r="Q193" s="46">
        <f>'[1]2018'!Q203+'[1]2019'!Q203+'[1]2020'!Q203</f>
        <v>0</v>
      </c>
      <c r="R193" s="46">
        <f>'[1]2018'!R203+'[1]2019'!R203+'[1]2020'!R203</f>
        <v>0</v>
      </c>
      <c r="S193" s="46">
        <f>'[1]2018'!S203+'[1]2019'!S203+'[1]2020'!S203</f>
        <v>0</v>
      </c>
      <c r="T193" s="46">
        <f>'[1]2018'!T203+'[1]2019'!T203+'[1]2020'!T203</f>
        <v>0</v>
      </c>
      <c r="U193" s="46">
        <f>'[1]2018'!U203+'[1]2019'!U203+'[1]2020'!U203</f>
        <v>3</v>
      </c>
      <c r="V193" s="46">
        <f>'[1]2018'!V203+'[1]2019'!V203+'[1]2020'!V203</f>
        <v>16</v>
      </c>
      <c r="W193" s="46">
        <f>'[1]2018'!W203+'[1]2019'!W203+'[1]2020'!W203</f>
        <v>0</v>
      </c>
      <c r="X193" s="46">
        <f>'[1]2018'!X203+'[1]2019'!X203+'[1]2020'!X203</f>
        <v>2</v>
      </c>
      <c r="Y193" s="41">
        <f t="shared" si="25"/>
        <v>21</v>
      </c>
      <c r="Z193" s="11">
        <f>'[1]2018'!Z203+'[1]2019'!Z203+'[1]2020'!Z203</f>
        <v>7</v>
      </c>
      <c r="AA193" s="11">
        <f>'[1]2018'!AA203+'[1]2019'!AA203+'[1]2020'!AA203</f>
        <v>5</v>
      </c>
      <c r="AB193" s="11">
        <f>'[1]2018'!AB203+'[1]2019'!AB203+'[1]2020'!AB203</f>
        <v>20</v>
      </c>
      <c r="AC193" s="11">
        <f>'[1]2018'!AC203+'[1]2019'!AC203+'[1]2020'!AC203</f>
        <v>12</v>
      </c>
      <c r="AD193" s="11">
        <f>'[1]2018'!AD203+'[1]2019'!AD203+'[1]2020'!AD203</f>
        <v>0</v>
      </c>
      <c r="AE193" s="11">
        <f>'[1]2018'!AE203+'[1]2019'!AE203+'[1]2020'!AE203</f>
        <v>0</v>
      </c>
      <c r="AF193" s="11">
        <f>'[1]2018'!AF203+'[1]2019'!AF203+'[1]2020'!AF203</f>
        <v>0</v>
      </c>
      <c r="AG193" s="11">
        <f>'[1]2018'!AG203+'[1]2019'!AG203+'[1]2020'!AG203</f>
        <v>0</v>
      </c>
      <c r="AH193" s="11">
        <f>'[1]2018'!AH203+'[1]2019'!AH203+'[1]2020'!AH203</f>
        <v>0</v>
      </c>
      <c r="AI193" s="11">
        <f>'[1]2018'!AI203+'[1]2019'!AI203+'[1]2020'!AI203</f>
        <v>0</v>
      </c>
      <c r="AJ193" s="11">
        <f>'[1]2018'!AJ203+'[1]2019'!AJ203+'[1]2020'!AJ203</f>
        <v>0</v>
      </c>
      <c r="AK193" s="11">
        <f>'[1]2018'!AK203+'[1]2019'!AK203+'[1]2020'!AK203</f>
        <v>0</v>
      </c>
      <c r="AL193" s="11">
        <f>'[1]2018'!AL203+'[1]2019'!AL203+'[1]2020'!AL203</f>
        <v>0</v>
      </c>
      <c r="AM193" s="11">
        <f>'[1]2018'!AM203+'[1]2019'!AM203+'[1]2020'!AM203</f>
        <v>0</v>
      </c>
      <c r="AN193" s="11">
        <f>'[1]2018'!AN203+'[1]2019'!AN203+'[1]2020'!AN203</f>
        <v>0</v>
      </c>
      <c r="AO193" s="11">
        <f>'[1]2018'!AO203+'[1]2019'!AO203+'[1]2020'!AO203</f>
        <v>0</v>
      </c>
      <c r="AP193" s="11">
        <f>'[1]2018'!AP203+'[1]2019'!AP203+'[1]2020'!AP203</f>
        <v>0</v>
      </c>
      <c r="AQ193" s="11">
        <f>'[1]2018'!AQ203+'[1]2019'!AQ203+'[1]2020'!AQ203</f>
        <v>0</v>
      </c>
      <c r="AR193" s="11">
        <f>'[1]2018'!AR203+'[1]2019'!AR203+'[1]2020'!AR203</f>
        <v>0</v>
      </c>
      <c r="AS193" s="11">
        <f>'[1]2018'!AS203+'[1]2019'!AS203+'[1]2020'!AS203</f>
        <v>4</v>
      </c>
      <c r="AT193" s="11">
        <f>'[1]2018'!AT203+'[1]2019'!AT203+'[1]2020'!AT203</f>
        <v>14</v>
      </c>
      <c r="AU193" s="11">
        <f>'[1]2018'!AU203+'[1]2019'!AU203+'[1]2020'!AU203</f>
        <v>0</v>
      </c>
      <c r="AV193" s="11">
        <f>'[1]2018'!AV203+'[1]2019'!AV203+'[1]2020'!AV203</f>
        <v>2</v>
      </c>
      <c r="AW193" s="41">
        <f t="shared" si="26"/>
        <v>20</v>
      </c>
      <c r="AX193" s="14">
        <f t="shared" si="27"/>
        <v>3758.8888888888891</v>
      </c>
      <c r="AY193" s="2">
        <f>'[1]2018'!AX203+'[1]2019'!AX203+'[1]2020'!AX203</f>
        <v>11276.666666666668</v>
      </c>
    </row>
    <row r="194" spans="1:136" x14ac:dyDescent="0.25">
      <c r="A194" s="10" t="s">
        <v>271</v>
      </c>
      <c r="B194" s="46">
        <f>'[1]2018'!B204+'[1]2019'!B204+'[1]2020'!B204</f>
        <v>6</v>
      </c>
      <c r="C194" s="46">
        <f>'[1]2018'!C204+'[1]2019'!C204+'[1]2020'!C204</f>
        <v>8</v>
      </c>
      <c r="D194" s="46">
        <f>'[1]2018'!D204+'[1]2019'!D204+'[1]2020'!D204</f>
        <v>74</v>
      </c>
      <c r="E194" s="46">
        <f>'[1]2018'!E204+'[1]2019'!E204+'[1]2020'!E204</f>
        <v>74</v>
      </c>
      <c r="F194" s="46">
        <f>'[1]2018'!F204+'[1]2019'!F204+'[1]2020'!F204</f>
        <v>0</v>
      </c>
      <c r="G194" s="46">
        <f>'[1]2018'!G204+'[1]2019'!G204+'[1]2020'!G204</f>
        <v>0</v>
      </c>
      <c r="H194" s="46">
        <f>'[1]2018'!H204+'[1]2019'!H204+'[1]2020'!H204</f>
        <v>0</v>
      </c>
      <c r="I194" s="46">
        <f>'[1]2018'!I204+'[1]2019'!I204+'[1]2020'!I204</f>
        <v>0</v>
      </c>
      <c r="J194" s="46">
        <f>'[1]2018'!J204+'[1]2019'!J204+'[1]2020'!J204</f>
        <v>0</v>
      </c>
      <c r="K194" s="46">
        <f>'[1]2018'!K204+'[1]2019'!K204+'[1]2020'!K204</f>
        <v>0</v>
      </c>
      <c r="L194" s="46">
        <f>'[1]2018'!L204+'[1]2019'!L204+'[1]2020'!L204</f>
        <v>0</v>
      </c>
      <c r="M194" s="46">
        <f>'[1]2018'!M204+'[1]2019'!M204+'[1]2020'!M204</f>
        <v>0</v>
      </c>
      <c r="N194" s="46">
        <f>'[1]2018'!N204+'[1]2019'!N204+'[1]2020'!N204</f>
        <v>0</v>
      </c>
      <c r="O194" s="46">
        <f>'[1]2018'!O204+'[1]2019'!O204+'[1]2020'!O204</f>
        <v>0</v>
      </c>
      <c r="P194" s="46">
        <f>'[1]2018'!P204+'[1]2019'!P204+'[1]2020'!P204</f>
        <v>0</v>
      </c>
      <c r="Q194" s="46">
        <f>'[1]2018'!Q204+'[1]2019'!Q204+'[1]2020'!Q204</f>
        <v>0</v>
      </c>
      <c r="R194" s="46">
        <f>'[1]2018'!R204+'[1]2019'!R204+'[1]2020'!R204</f>
        <v>0</v>
      </c>
      <c r="S194" s="46">
        <f>'[1]2018'!S204+'[1]2019'!S204+'[1]2020'!S204</f>
        <v>0</v>
      </c>
      <c r="T194" s="46">
        <f>'[1]2018'!T204+'[1]2019'!T204+'[1]2020'!T204</f>
        <v>0</v>
      </c>
      <c r="U194" s="46">
        <f>'[1]2018'!U204+'[1]2019'!U204+'[1]2020'!U204</f>
        <v>7</v>
      </c>
      <c r="V194" s="46">
        <f>'[1]2018'!V204+'[1]2019'!V204+'[1]2020'!V204</f>
        <v>67</v>
      </c>
      <c r="W194" s="46">
        <f>'[1]2018'!W204+'[1]2019'!W204+'[1]2020'!W204</f>
        <v>0</v>
      </c>
      <c r="X194" s="46">
        <f>'[1]2018'!X204+'[1]2019'!X204+'[1]2020'!X204</f>
        <v>0</v>
      </c>
      <c r="Y194" s="41">
        <f t="shared" si="25"/>
        <v>74</v>
      </c>
      <c r="Z194" s="11">
        <f>'[1]2018'!Z204+'[1]2019'!Z204+'[1]2020'!Z204</f>
        <v>6</v>
      </c>
      <c r="AA194" s="11">
        <f>'[1]2018'!AA204+'[1]2019'!AA204+'[1]2020'!AA204</f>
        <v>6</v>
      </c>
      <c r="AB194" s="11">
        <f>'[1]2018'!AB204+'[1]2019'!AB204+'[1]2020'!AB204</f>
        <v>74</v>
      </c>
      <c r="AC194" s="11">
        <f>'[1]2018'!AC204+'[1]2019'!AC204+'[1]2020'!AC204</f>
        <v>74</v>
      </c>
      <c r="AD194" s="11">
        <f>'[1]2018'!AD204+'[1]2019'!AD204+'[1]2020'!AD204</f>
        <v>0</v>
      </c>
      <c r="AE194" s="11">
        <f>'[1]2018'!AE204+'[1]2019'!AE204+'[1]2020'!AE204</f>
        <v>0</v>
      </c>
      <c r="AF194" s="11">
        <f>'[1]2018'!AF204+'[1]2019'!AF204+'[1]2020'!AF204</f>
        <v>0</v>
      </c>
      <c r="AG194" s="11">
        <f>'[1]2018'!AG204+'[1]2019'!AG204+'[1]2020'!AG204</f>
        <v>0</v>
      </c>
      <c r="AH194" s="11">
        <f>'[1]2018'!AH204+'[1]2019'!AH204+'[1]2020'!AH204</f>
        <v>0</v>
      </c>
      <c r="AI194" s="11">
        <f>'[1]2018'!AI204+'[1]2019'!AI204+'[1]2020'!AI204</f>
        <v>0</v>
      </c>
      <c r="AJ194" s="11">
        <f>'[1]2018'!AJ204+'[1]2019'!AJ204+'[1]2020'!AJ204</f>
        <v>0</v>
      </c>
      <c r="AK194" s="11">
        <f>'[1]2018'!AK204+'[1]2019'!AK204+'[1]2020'!AK204</f>
        <v>0</v>
      </c>
      <c r="AL194" s="11">
        <f>'[1]2018'!AL204+'[1]2019'!AL204+'[1]2020'!AL204</f>
        <v>0</v>
      </c>
      <c r="AM194" s="11">
        <f>'[1]2018'!AM204+'[1]2019'!AM204+'[1]2020'!AM204</f>
        <v>0</v>
      </c>
      <c r="AN194" s="11">
        <f>'[1]2018'!AN204+'[1]2019'!AN204+'[1]2020'!AN204</f>
        <v>0</v>
      </c>
      <c r="AO194" s="11">
        <f>'[1]2018'!AO204+'[1]2019'!AO204+'[1]2020'!AO204</f>
        <v>0</v>
      </c>
      <c r="AP194" s="11">
        <f>'[1]2018'!AP204+'[1]2019'!AP204+'[1]2020'!AP204</f>
        <v>0</v>
      </c>
      <c r="AQ194" s="11">
        <f>'[1]2018'!AQ204+'[1]2019'!AQ204+'[1]2020'!AQ204</f>
        <v>0</v>
      </c>
      <c r="AR194" s="11">
        <f>'[1]2018'!AR204+'[1]2019'!AR204+'[1]2020'!AR204</f>
        <v>0</v>
      </c>
      <c r="AS194" s="11">
        <f>'[1]2018'!AS204+'[1]2019'!AS204+'[1]2020'!AS204</f>
        <v>7</v>
      </c>
      <c r="AT194" s="11">
        <f>'[1]2018'!AT204+'[1]2019'!AT204+'[1]2020'!AT204</f>
        <v>67</v>
      </c>
      <c r="AU194" s="11">
        <f>'[1]2018'!AU204+'[1]2019'!AU204+'[1]2020'!AU204</f>
        <v>0</v>
      </c>
      <c r="AV194" s="11">
        <f>'[1]2018'!AV204+'[1]2019'!AV204+'[1]2020'!AV204</f>
        <v>0</v>
      </c>
      <c r="AW194" s="41">
        <f t="shared" si="26"/>
        <v>74</v>
      </c>
      <c r="AX194" s="14">
        <f t="shared" si="27"/>
        <v>406.4444444444444</v>
      </c>
      <c r="AY194" s="2">
        <f>'[1]2018'!AX204+'[1]2019'!AX204+'[1]2020'!AX204</f>
        <v>1219.3333333333333</v>
      </c>
    </row>
    <row r="195" spans="1:136" s="45" customFormat="1" x14ac:dyDescent="0.25">
      <c r="A195" s="40" t="s">
        <v>46</v>
      </c>
      <c r="B195" s="48">
        <f t="shared" ref="B195:X195" si="28">SUM(B196:B222)</f>
        <v>121</v>
      </c>
      <c r="C195" s="48">
        <f t="shared" si="28"/>
        <v>77</v>
      </c>
      <c r="D195" s="48">
        <f t="shared" si="28"/>
        <v>561</v>
      </c>
      <c r="E195" s="48">
        <f t="shared" si="28"/>
        <v>315</v>
      </c>
      <c r="F195" s="48">
        <f t="shared" si="28"/>
        <v>0</v>
      </c>
      <c r="G195" s="48">
        <f t="shared" si="28"/>
        <v>0</v>
      </c>
      <c r="H195" s="48">
        <f t="shared" si="28"/>
        <v>1</v>
      </c>
      <c r="I195" s="48">
        <f t="shared" si="28"/>
        <v>0</v>
      </c>
      <c r="J195" s="48">
        <f t="shared" si="28"/>
        <v>0</v>
      </c>
      <c r="K195" s="48">
        <f t="shared" si="28"/>
        <v>0</v>
      </c>
      <c r="L195" s="48">
        <f t="shared" si="28"/>
        <v>10</v>
      </c>
      <c r="M195" s="48">
        <f t="shared" si="28"/>
        <v>0</v>
      </c>
      <c r="N195" s="48">
        <f t="shared" si="28"/>
        <v>0</v>
      </c>
      <c r="O195" s="48">
        <f t="shared" si="28"/>
        <v>0</v>
      </c>
      <c r="P195" s="48">
        <f t="shared" si="28"/>
        <v>0</v>
      </c>
      <c r="Q195" s="48">
        <f t="shared" si="28"/>
        <v>0</v>
      </c>
      <c r="R195" s="48">
        <f t="shared" si="28"/>
        <v>5</v>
      </c>
      <c r="S195" s="48">
        <f t="shared" si="28"/>
        <v>1</v>
      </c>
      <c r="T195" s="48">
        <f t="shared" si="28"/>
        <v>2</v>
      </c>
      <c r="U195" s="48">
        <f t="shared" si="28"/>
        <v>295</v>
      </c>
      <c r="V195" s="48">
        <f t="shared" si="28"/>
        <v>223</v>
      </c>
      <c r="W195" s="48">
        <f t="shared" si="28"/>
        <v>0</v>
      </c>
      <c r="X195" s="48">
        <f t="shared" si="28"/>
        <v>24</v>
      </c>
      <c r="Y195" s="41">
        <f t="shared" si="25"/>
        <v>561</v>
      </c>
      <c r="Z195" s="48">
        <f t="shared" ref="Z195:AV195" si="29">SUM(Z196:Z222)</f>
        <v>88</v>
      </c>
      <c r="AA195" s="48">
        <f t="shared" si="29"/>
        <v>66</v>
      </c>
      <c r="AB195" s="48">
        <f t="shared" si="29"/>
        <v>531</v>
      </c>
      <c r="AC195" s="48">
        <f t="shared" si="29"/>
        <v>312</v>
      </c>
      <c r="AD195" s="48">
        <f t="shared" si="29"/>
        <v>0</v>
      </c>
      <c r="AE195" s="48">
        <f t="shared" si="29"/>
        <v>0</v>
      </c>
      <c r="AF195" s="48">
        <f t="shared" si="29"/>
        <v>0</v>
      </c>
      <c r="AG195" s="48">
        <f t="shared" si="29"/>
        <v>0</v>
      </c>
      <c r="AH195" s="48">
        <f t="shared" si="29"/>
        <v>0</v>
      </c>
      <c r="AI195" s="48">
        <f t="shared" si="29"/>
        <v>0</v>
      </c>
      <c r="AJ195" s="48">
        <f t="shared" si="29"/>
        <v>3</v>
      </c>
      <c r="AK195" s="48">
        <f t="shared" si="29"/>
        <v>0</v>
      </c>
      <c r="AL195" s="48">
        <f t="shared" si="29"/>
        <v>0</v>
      </c>
      <c r="AM195" s="48">
        <f t="shared" si="29"/>
        <v>0</v>
      </c>
      <c r="AN195" s="48">
        <f t="shared" si="29"/>
        <v>0</v>
      </c>
      <c r="AO195" s="48">
        <f t="shared" si="29"/>
        <v>0</v>
      </c>
      <c r="AP195" s="48">
        <f t="shared" si="29"/>
        <v>8</v>
      </c>
      <c r="AQ195" s="48">
        <f t="shared" si="29"/>
        <v>0</v>
      </c>
      <c r="AR195" s="48">
        <f t="shared" si="29"/>
        <v>0</v>
      </c>
      <c r="AS195" s="48">
        <f t="shared" si="29"/>
        <v>152</v>
      </c>
      <c r="AT195" s="48">
        <f t="shared" si="29"/>
        <v>351</v>
      </c>
      <c r="AU195" s="48">
        <f t="shared" si="29"/>
        <v>0</v>
      </c>
      <c r="AV195" s="48">
        <f t="shared" si="29"/>
        <v>17</v>
      </c>
      <c r="AW195" s="41">
        <f t="shared" si="26"/>
        <v>531</v>
      </c>
      <c r="AX195" s="42">
        <f t="shared" si="27"/>
        <v>2591.6516959876544</v>
      </c>
      <c r="AY195" s="43">
        <f>'[1]2018'!AX205+'[1]2019'!AX205+'[1]2020'!AX205</f>
        <v>7774.9550879629633</v>
      </c>
      <c r="AZ195" s="42">
        <f>AB195*100/D195</f>
        <v>94.652406417112303</v>
      </c>
      <c r="BA195" s="40"/>
      <c r="BB195" s="40"/>
      <c r="BC195" s="40"/>
      <c r="BD195" s="40"/>
      <c r="BE195" s="40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</row>
    <row r="196" spans="1:136" x14ac:dyDescent="0.25">
      <c r="A196" s="10" t="s">
        <v>115</v>
      </c>
      <c r="B196" s="46">
        <f>'[1]2018'!B206+'[1]2019'!B206+'[1]2020'!B206</f>
        <v>32</v>
      </c>
      <c r="C196" s="46">
        <f>'[1]2018'!C206+'[1]2019'!C206+'[1]2020'!C206</f>
        <v>13</v>
      </c>
      <c r="D196" s="46">
        <f>'[1]2018'!D206+'[1]2019'!D206+'[1]2020'!D206</f>
        <v>232</v>
      </c>
      <c r="E196" s="46">
        <f>'[1]2018'!E206+'[1]2019'!E206+'[1]2020'!E206</f>
        <v>45</v>
      </c>
      <c r="F196" s="46">
        <f>'[1]2018'!F206+'[1]2019'!F206+'[1]2020'!F206</f>
        <v>0</v>
      </c>
      <c r="G196" s="46">
        <f>'[1]2018'!G206+'[1]2019'!G206+'[1]2020'!G206</f>
        <v>0</v>
      </c>
      <c r="H196" s="46">
        <f>'[1]2018'!H206+'[1]2019'!H206+'[1]2020'!H206</f>
        <v>0</v>
      </c>
      <c r="I196" s="46">
        <f>'[1]2018'!I206+'[1]2019'!I206+'[1]2020'!I206</f>
        <v>0</v>
      </c>
      <c r="J196" s="46">
        <f>'[1]2018'!J206+'[1]2019'!J206+'[1]2020'!J206</f>
        <v>0</v>
      </c>
      <c r="K196" s="46">
        <f>'[1]2018'!K206+'[1]2019'!K206+'[1]2020'!K206</f>
        <v>0</v>
      </c>
      <c r="L196" s="46">
        <f>'[1]2018'!L206+'[1]2019'!L206+'[1]2020'!L206</f>
        <v>0</v>
      </c>
      <c r="M196" s="46">
        <f>'[1]2018'!M206+'[1]2019'!M206+'[1]2020'!M206</f>
        <v>0</v>
      </c>
      <c r="N196" s="46">
        <f>'[1]2018'!N206+'[1]2019'!N206+'[1]2020'!N206</f>
        <v>0</v>
      </c>
      <c r="O196" s="46">
        <f>'[1]2018'!O206+'[1]2019'!O206+'[1]2020'!O206</f>
        <v>0</v>
      </c>
      <c r="P196" s="46">
        <f>'[1]2018'!P206+'[1]2019'!P206+'[1]2020'!P206</f>
        <v>0</v>
      </c>
      <c r="Q196" s="46">
        <f>'[1]2018'!Q206+'[1]2019'!Q206+'[1]2020'!Q206</f>
        <v>0</v>
      </c>
      <c r="R196" s="46">
        <f>'[1]2018'!R206+'[1]2019'!R206+'[1]2020'!R206</f>
        <v>3</v>
      </c>
      <c r="S196" s="46">
        <f>'[1]2018'!S206+'[1]2019'!S206+'[1]2020'!S206</f>
        <v>0</v>
      </c>
      <c r="T196" s="46">
        <f>'[1]2018'!T206+'[1]2019'!T206+'[1]2020'!T206</f>
        <v>0</v>
      </c>
      <c r="U196" s="46">
        <f>'[1]2018'!U206+'[1]2019'!U206+'[1]2020'!U206</f>
        <v>30</v>
      </c>
      <c r="V196" s="46">
        <f>'[1]2018'!V206+'[1]2019'!V206+'[1]2020'!V206</f>
        <v>193</v>
      </c>
      <c r="W196" s="46">
        <f>'[1]2018'!W206+'[1]2019'!W206+'[1]2020'!W206</f>
        <v>0</v>
      </c>
      <c r="X196" s="46">
        <f>'[1]2018'!X206+'[1]2019'!X206+'[1]2020'!X206</f>
        <v>6</v>
      </c>
      <c r="Y196" s="41">
        <f t="shared" si="25"/>
        <v>232</v>
      </c>
      <c r="Z196" s="11">
        <f>'[1]2018'!Z206+'[1]2019'!Z206+'[1]2020'!Z206</f>
        <v>22</v>
      </c>
      <c r="AA196" s="11">
        <f>'[1]2018'!AA206+'[1]2019'!AA206+'[1]2020'!AA206</f>
        <v>13</v>
      </c>
      <c r="AB196" s="11">
        <f>'[1]2018'!AB206+'[1]2019'!AB206+'[1]2020'!AB206</f>
        <v>243</v>
      </c>
      <c r="AC196" s="11">
        <f>'[1]2018'!AC206+'[1]2019'!AC206+'[1]2020'!AC206</f>
        <v>45</v>
      </c>
      <c r="AD196" s="11">
        <f>'[1]2018'!AD206+'[1]2019'!AD206+'[1]2020'!AD206</f>
        <v>0</v>
      </c>
      <c r="AE196" s="11">
        <f>'[1]2018'!AE206+'[1]2019'!AE206+'[1]2020'!AE206</f>
        <v>0</v>
      </c>
      <c r="AF196" s="11">
        <f>'[1]2018'!AF206+'[1]2019'!AF206+'[1]2020'!AF206</f>
        <v>0</v>
      </c>
      <c r="AG196" s="11">
        <f>'[1]2018'!AG206+'[1]2019'!AG206+'[1]2020'!AG206</f>
        <v>0</v>
      </c>
      <c r="AH196" s="11">
        <f>'[1]2018'!AH206+'[1]2019'!AH206+'[1]2020'!AH206</f>
        <v>0</v>
      </c>
      <c r="AI196" s="11">
        <f>'[1]2018'!AI206+'[1]2019'!AI206+'[1]2020'!AI206</f>
        <v>0</v>
      </c>
      <c r="AJ196" s="11">
        <f>'[1]2018'!AJ206+'[1]2019'!AJ206+'[1]2020'!AJ206</f>
        <v>0</v>
      </c>
      <c r="AK196" s="11">
        <f>'[1]2018'!AK206+'[1]2019'!AK206+'[1]2020'!AK206</f>
        <v>0</v>
      </c>
      <c r="AL196" s="11">
        <f>'[1]2018'!AL206+'[1]2019'!AL206+'[1]2020'!AL206</f>
        <v>0</v>
      </c>
      <c r="AM196" s="11">
        <f>'[1]2018'!AM206+'[1]2019'!AM206+'[1]2020'!AM206</f>
        <v>0</v>
      </c>
      <c r="AN196" s="11">
        <f>'[1]2018'!AN206+'[1]2019'!AN206+'[1]2020'!AN206</f>
        <v>0</v>
      </c>
      <c r="AO196" s="11">
        <f>'[1]2018'!AO206+'[1]2019'!AO206+'[1]2020'!AO206</f>
        <v>0</v>
      </c>
      <c r="AP196" s="11">
        <f>'[1]2018'!AP206+'[1]2019'!AP206+'[1]2020'!AP206</f>
        <v>7</v>
      </c>
      <c r="AQ196" s="11">
        <f>'[1]2018'!AQ206+'[1]2019'!AQ206+'[1]2020'!AQ206</f>
        <v>0</v>
      </c>
      <c r="AR196" s="11">
        <f>'[1]2018'!AR206+'[1]2019'!AR206+'[1]2020'!AR206</f>
        <v>0</v>
      </c>
      <c r="AS196" s="11">
        <f>'[1]2018'!AS206+'[1]2019'!AS206+'[1]2020'!AS206</f>
        <v>48</v>
      </c>
      <c r="AT196" s="11">
        <f>'[1]2018'!AT206+'[1]2019'!AT206+'[1]2020'!AT206</f>
        <v>182</v>
      </c>
      <c r="AU196" s="11">
        <f>'[1]2018'!AU206+'[1]2019'!AU206+'[1]2020'!AU206</f>
        <v>0</v>
      </c>
      <c r="AV196" s="11">
        <f>'[1]2018'!AV206+'[1]2019'!AV206+'[1]2020'!AV206</f>
        <v>6</v>
      </c>
      <c r="AW196" s="41">
        <f t="shared" si="26"/>
        <v>243</v>
      </c>
      <c r="AX196" s="14">
        <f t="shared" si="27"/>
        <v>2321.9582777777782</v>
      </c>
      <c r="AY196" s="2">
        <f>'[1]2018'!AX206+'[1]2019'!AX206+'[1]2020'!AX206</f>
        <v>6965.8748333333342</v>
      </c>
    </row>
    <row r="197" spans="1:136" s="13" customFormat="1" x14ac:dyDescent="0.25">
      <c r="A197" s="10" t="s">
        <v>116</v>
      </c>
      <c r="B197" s="46">
        <f>'[1]2018'!B207+'[1]2019'!B207+'[1]2020'!B207</f>
        <v>10</v>
      </c>
      <c r="C197" s="46">
        <f>'[1]2018'!C207+'[1]2019'!C207+'[1]2020'!C207</f>
        <v>9</v>
      </c>
      <c r="D197" s="46">
        <f>'[1]2018'!D207+'[1]2019'!D207+'[1]2020'!D207</f>
        <v>10</v>
      </c>
      <c r="E197" s="46">
        <f>'[1]2018'!E207+'[1]2019'!E207+'[1]2020'!E207</f>
        <v>9</v>
      </c>
      <c r="F197" s="46">
        <f>'[1]2018'!F207+'[1]2019'!F207+'[1]2020'!F207</f>
        <v>0</v>
      </c>
      <c r="G197" s="46">
        <f>'[1]2018'!G207+'[1]2019'!G207+'[1]2020'!G207</f>
        <v>0</v>
      </c>
      <c r="H197" s="46">
        <f>'[1]2018'!H207+'[1]2019'!H207+'[1]2020'!H207</f>
        <v>0</v>
      </c>
      <c r="I197" s="46">
        <f>'[1]2018'!I207+'[1]2019'!I207+'[1]2020'!I207</f>
        <v>0</v>
      </c>
      <c r="J197" s="46">
        <f>'[1]2018'!J207+'[1]2019'!J207+'[1]2020'!J207</f>
        <v>0</v>
      </c>
      <c r="K197" s="46">
        <f>'[1]2018'!K207+'[1]2019'!K207+'[1]2020'!K207</f>
        <v>0</v>
      </c>
      <c r="L197" s="46">
        <f>'[1]2018'!L207+'[1]2019'!L207+'[1]2020'!L207</f>
        <v>0</v>
      </c>
      <c r="M197" s="46">
        <f>'[1]2018'!M207+'[1]2019'!M207+'[1]2020'!M207</f>
        <v>0</v>
      </c>
      <c r="N197" s="46">
        <f>'[1]2018'!N207+'[1]2019'!N207+'[1]2020'!N207</f>
        <v>0</v>
      </c>
      <c r="O197" s="46">
        <f>'[1]2018'!O207+'[1]2019'!O207+'[1]2020'!O207</f>
        <v>0</v>
      </c>
      <c r="P197" s="46">
        <f>'[1]2018'!P207+'[1]2019'!P207+'[1]2020'!P207</f>
        <v>0</v>
      </c>
      <c r="Q197" s="46">
        <f>'[1]2018'!Q207+'[1]2019'!Q207+'[1]2020'!Q207</f>
        <v>0</v>
      </c>
      <c r="R197" s="46">
        <f>'[1]2018'!R207+'[1]2019'!R207+'[1]2020'!R207</f>
        <v>1</v>
      </c>
      <c r="S197" s="46">
        <f>'[1]2018'!S207+'[1]2019'!S207+'[1]2020'!S207</f>
        <v>1</v>
      </c>
      <c r="T197" s="46">
        <f>'[1]2018'!T207+'[1]2019'!T207+'[1]2020'!T207</f>
        <v>1</v>
      </c>
      <c r="U197" s="46">
        <f>'[1]2018'!U207+'[1]2019'!U207+'[1]2020'!U207</f>
        <v>4</v>
      </c>
      <c r="V197" s="46">
        <f>'[1]2018'!V207+'[1]2019'!V207+'[1]2020'!V207</f>
        <v>2</v>
      </c>
      <c r="W197" s="46">
        <f>'[1]2018'!W207+'[1]2019'!W207+'[1]2020'!W207</f>
        <v>0</v>
      </c>
      <c r="X197" s="46">
        <f>'[1]2018'!X207+'[1]2019'!X207+'[1]2020'!X207</f>
        <v>1</v>
      </c>
      <c r="Y197" s="41">
        <f t="shared" si="25"/>
        <v>10</v>
      </c>
      <c r="Z197" s="11">
        <f>'[1]2018'!Z207+'[1]2019'!Z207+'[1]2020'!Z207</f>
        <v>6</v>
      </c>
      <c r="AA197" s="11">
        <f>'[1]2018'!AA207+'[1]2019'!AA207+'[1]2020'!AA207</f>
        <v>6</v>
      </c>
      <c r="AB197" s="11">
        <f>'[1]2018'!AB207+'[1]2019'!AB207+'[1]2020'!AB207</f>
        <v>6</v>
      </c>
      <c r="AC197" s="11">
        <f>'[1]2018'!AC207+'[1]2019'!AC207+'[1]2020'!AC207</f>
        <v>6</v>
      </c>
      <c r="AD197" s="11">
        <f>'[1]2018'!AD207+'[1]2019'!AD207+'[1]2020'!AD207</f>
        <v>0</v>
      </c>
      <c r="AE197" s="11">
        <f>'[1]2018'!AE207+'[1]2019'!AE207+'[1]2020'!AE207</f>
        <v>0</v>
      </c>
      <c r="AF197" s="11">
        <f>'[1]2018'!AF207+'[1]2019'!AF207+'[1]2020'!AF207</f>
        <v>0</v>
      </c>
      <c r="AG197" s="11">
        <f>'[1]2018'!AG207+'[1]2019'!AG207+'[1]2020'!AG207</f>
        <v>0</v>
      </c>
      <c r="AH197" s="11">
        <f>'[1]2018'!AH207+'[1]2019'!AH207+'[1]2020'!AH207</f>
        <v>0</v>
      </c>
      <c r="AI197" s="11">
        <f>'[1]2018'!AI207+'[1]2019'!AI207+'[1]2020'!AI207</f>
        <v>0</v>
      </c>
      <c r="AJ197" s="11">
        <f>'[1]2018'!AJ207+'[1]2019'!AJ207+'[1]2020'!AJ207</f>
        <v>0</v>
      </c>
      <c r="AK197" s="11">
        <f>'[1]2018'!AK207+'[1]2019'!AK207+'[1]2020'!AK207</f>
        <v>0</v>
      </c>
      <c r="AL197" s="11">
        <f>'[1]2018'!AL207+'[1]2019'!AL207+'[1]2020'!AL207</f>
        <v>0</v>
      </c>
      <c r="AM197" s="11">
        <f>'[1]2018'!AM207+'[1]2019'!AM207+'[1]2020'!AM207</f>
        <v>0</v>
      </c>
      <c r="AN197" s="11">
        <f>'[1]2018'!AN207+'[1]2019'!AN207+'[1]2020'!AN207</f>
        <v>0</v>
      </c>
      <c r="AO197" s="11">
        <f>'[1]2018'!AO207+'[1]2019'!AO207+'[1]2020'!AO207</f>
        <v>0</v>
      </c>
      <c r="AP197" s="11">
        <f>'[1]2018'!AP207+'[1]2019'!AP207+'[1]2020'!AP207</f>
        <v>0</v>
      </c>
      <c r="AQ197" s="11">
        <f>'[1]2018'!AQ207+'[1]2019'!AQ207+'[1]2020'!AQ207</f>
        <v>0</v>
      </c>
      <c r="AR197" s="11">
        <f>'[1]2018'!AR207+'[1]2019'!AR207+'[1]2020'!AR207</f>
        <v>0</v>
      </c>
      <c r="AS197" s="11">
        <f>'[1]2018'!AS207+'[1]2019'!AS207+'[1]2020'!AS207</f>
        <v>4</v>
      </c>
      <c r="AT197" s="11">
        <f>'[1]2018'!AT207+'[1]2019'!AT207+'[1]2020'!AT207</f>
        <v>2</v>
      </c>
      <c r="AU197" s="11">
        <f>'[1]2018'!AU207+'[1]2019'!AU207+'[1]2020'!AU207</f>
        <v>0</v>
      </c>
      <c r="AV197" s="11">
        <f>'[1]2018'!AV207+'[1]2019'!AV207+'[1]2020'!AV207</f>
        <v>0</v>
      </c>
      <c r="AW197" s="41">
        <f t="shared" si="26"/>
        <v>6</v>
      </c>
      <c r="AX197" s="14">
        <f t="shared" si="27"/>
        <v>1342.2222222222222</v>
      </c>
      <c r="AY197" s="2">
        <f>'[1]2018'!AX207+'[1]2019'!AX207+'[1]2020'!AX207</f>
        <v>4026.6666666666665</v>
      </c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</row>
    <row r="198" spans="1:136" x14ac:dyDescent="0.25">
      <c r="A198" s="10" t="s">
        <v>59</v>
      </c>
      <c r="B198" s="46">
        <f>'[1]2018'!B208+'[1]2019'!B208+'[1]2020'!B208</f>
        <v>1</v>
      </c>
      <c r="C198" s="46">
        <f>'[1]2018'!C208+'[1]2019'!C208+'[1]2020'!C208</f>
        <v>1</v>
      </c>
      <c r="D198" s="46">
        <f>'[1]2018'!D208+'[1]2019'!D208+'[1]2020'!D208</f>
        <v>1</v>
      </c>
      <c r="E198" s="46">
        <f>'[1]2018'!E208+'[1]2019'!E208+'[1]2020'!E208</f>
        <v>1</v>
      </c>
      <c r="F198" s="46">
        <f>'[1]2018'!F208+'[1]2019'!F208+'[1]2020'!F208</f>
        <v>0</v>
      </c>
      <c r="G198" s="46">
        <f>'[1]2018'!G208+'[1]2019'!G208+'[1]2020'!G208</f>
        <v>0</v>
      </c>
      <c r="H198" s="46">
        <f>'[1]2018'!H208+'[1]2019'!H208+'[1]2020'!H208</f>
        <v>0</v>
      </c>
      <c r="I198" s="46">
        <f>'[1]2018'!I208+'[1]2019'!I208+'[1]2020'!I208</f>
        <v>0</v>
      </c>
      <c r="J198" s="46">
        <f>'[1]2018'!J208+'[1]2019'!J208+'[1]2020'!J208</f>
        <v>0</v>
      </c>
      <c r="K198" s="46">
        <f>'[1]2018'!K208+'[1]2019'!K208+'[1]2020'!K208</f>
        <v>0</v>
      </c>
      <c r="L198" s="46">
        <f>'[1]2018'!L208+'[1]2019'!L208+'[1]2020'!L208</f>
        <v>0</v>
      </c>
      <c r="M198" s="46">
        <f>'[1]2018'!M208+'[1]2019'!M208+'[1]2020'!M208</f>
        <v>0</v>
      </c>
      <c r="N198" s="46">
        <f>'[1]2018'!N208+'[1]2019'!N208+'[1]2020'!N208</f>
        <v>0</v>
      </c>
      <c r="O198" s="46">
        <f>'[1]2018'!O208+'[1]2019'!O208+'[1]2020'!O208</f>
        <v>0</v>
      </c>
      <c r="P198" s="46">
        <f>'[1]2018'!P208+'[1]2019'!P208+'[1]2020'!P208</f>
        <v>0</v>
      </c>
      <c r="Q198" s="46">
        <f>'[1]2018'!Q208+'[1]2019'!Q208+'[1]2020'!Q208</f>
        <v>0</v>
      </c>
      <c r="R198" s="46">
        <f>'[1]2018'!R208+'[1]2019'!R208+'[1]2020'!R208</f>
        <v>0</v>
      </c>
      <c r="S198" s="46">
        <f>'[1]2018'!S208+'[1]2019'!S208+'[1]2020'!S208</f>
        <v>0</v>
      </c>
      <c r="T198" s="46">
        <f>'[1]2018'!T208+'[1]2019'!T208+'[1]2020'!T208</f>
        <v>0</v>
      </c>
      <c r="U198" s="46">
        <f>'[1]2018'!U208+'[1]2019'!U208+'[1]2020'!U208</f>
        <v>1</v>
      </c>
      <c r="V198" s="46">
        <f>'[1]2018'!V208+'[1]2019'!V208+'[1]2020'!V208</f>
        <v>0</v>
      </c>
      <c r="W198" s="46">
        <f>'[1]2018'!W208+'[1]2019'!W208+'[1]2020'!W208</f>
        <v>0</v>
      </c>
      <c r="X198" s="46">
        <f>'[1]2018'!X208+'[1]2019'!X208+'[1]2020'!X208</f>
        <v>0</v>
      </c>
      <c r="Y198" s="41">
        <f t="shared" si="25"/>
        <v>1</v>
      </c>
      <c r="Z198" s="11">
        <f>'[1]2018'!Z208+'[1]2019'!Z208+'[1]2020'!Z208</f>
        <v>1</v>
      </c>
      <c r="AA198" s="11">
        <f>'[1]2018'!AA208+'[1]2019'!AA208+'[1]2020'!AA208</f>
        <v>1</v>
      </c>
      <c r="AB198" s="11">
        <f>'[1]2018'!AB208+'[1]2019'!AB208+'[1]2020'!AB208</f>
        <v>1</v>
      </c>
      <c r="AC198" s="11">
        <f>'[1]2018'!AC208+'[1]2019'!AC208+'[1]2020'!AC208</f>
        <v>1</v>
      </c>
      <c r="AD198" s="11">
        <f>'[1]2018'!AD208+'[1]2019'!AD208+'[1]2020'!AD208</f>
        <v>0</v>
      </c>
      <c r="AE198" s="11">
        <f>'[1]2018'!AE208+'[1]2019'!AE208+'[1]2020'!AE208</f>
        <v>0</v>
      </c>
      <c r="AF198" s="11">
        <f>'[1]2018'!AF208+'[1]2019'!AF208+'[1]2020'!AF208</f>
        <v>0</v>
      </c>
      <c r="AG198" s="11">
        <f>'[1]2018'!AG208+'[1]2019'!AG208+'[1]2020'!AG208</f>
        <v>0</v>
      </c>
      <c r="AH198" s="11">
        <f>'[1]2018'!AH208+'[1]2019'!AH208+'[1]2020'!AH208</f>
        <v>0</v>
      </c>
      <c r="AI198" s="11">
        <f>'[1]2018'!AI208+'[1]2019'!AI208+'[1]2020'!AI208</f>
        <v>0</v>
      </c>
      <c r="AJ198" s="11">
        <f>'[1]2018'!AJ208+'[1]2019'!AJ208+'[1]2020'!AJ208</f>
        <v>0</v>
      </c>
      <c r="AK198" s="11">
        <f>'[1]2018'!AK208+'[1]2019'!AK208+'[1]2020'!AK208</f>
        <v>0</v>
      </c>
      <c r="AL198" s="11">
        <f>'[1]2018'!AL208+'[1]2019'!AL208+'[1]2020'!AL208</f>
        <v>0</v>
      </c>
      <c r="AM198" s="11">
        <f>'[1]2018'!AM208+'[1]2019'!AM208+'[1]2020'!AM208</f>
        <v>0</v>
      </c>
      <c r="AN198" s="11">
        <f>'[1]2018'!AN208+'[1]2019'!AN208+'[1]2020'!AN208</f>
        <v>0</v>
      </c>
      <c r="AO198" s="11">
        <f>'[1]2018'!AO208+'[1]2019'!AO208+'[1]2020'!AO208</f>
        <v>0</v>
      </c>
      <c r="AP198" s="11">
        <f>'[1]2018'!AP208+'[1]2019'!AP208+'[1]2020'!AP208</f>
        <v>0</v>
      </c>
      <c r="AQ198" s="11">
        <f>'[1]2018'!AQ208+'[1]2019'!AQ208+'[1]2020'!AQ208</f>
        <v>0</v>
      </c>
      <c r="AR198" s="11">
        <f>'[1]2018'!AR208+'[1]2019'!AR208+'[1]2020'!AR208</f>
        <v>0</v>
      </c>
      <c r="AS198" s="11">
        <f>'[1]2018'!AS208+'[1]2019'!AS208+'[1]2020'!AS208</f>
        <v>1</v>
      </c>
      <c r="AT198" s="11">
        <f>'[1]2018'!AT208+'[1]2019'!AT208+'[1]2020'!AT208</f>
        <v>0</v>
      </c>
      <c r="AU198" s="11">
        <f>'[1]2018'!AU208+'[1]2019'!AU208+'[1]2020'!AU208</f>
        <v>0</v>
      </c>
      <c r="AV198" s="11">
        <f>'[1]2018'!AV208+'[1]2019'!AV208+'[1]2020'!AV208</f>
        <v>0</v>
      </c>
      <c r="AW198" s="41">
        <f t="shared" si="26"/>
        <v>1</v>
      </c>
      <c r="AX198" s="14">
        <f t="shared" si="27"/>
        <v>1333.3333333333333</v>
      </c>
      <c r="AY198" s="2">
        <f>'[1]2018'!AX208+'[1]2019'!AX208+'[1]2020'!AX208</f>
        <v>4000</v>
      </c>
    </row>
    <row r="199" spans="1:136" x14ac:dyDescent="0.25">
      <c r="A199" s="10" t="s">
        <v>60</v>
      </c>
      <c r="B199" s="46">
        <f>'[1]2018'!B209+'[1]2019'!B209+'[1]2020'!B209</f>
        <v>2</v>
      </c>
      <c r="C199" s="46">
        <f>'[1]2018'!C209+'[1]2019'!C209+'[1]2020'!C209</f>
        <v>2</v>
      </c>
      <c r="D199" s="46">
        <f>'[1]2018'!D209+'[1]2019'!D209+'[1]2020'!D209</f>
        <v>54</v>
      </c>
      <c r="E199" s="46">
        <f>'[1]2018'!E209+'[1]2019'!E209+'[1]2020'!E209</f>
        <v>54</v>
      </c>
      <c r="F199" s="46">
        <f>'[1]2018'!F209+'[1]2019'!F209+'[1]2020'!F209</f>
        <v>0</v>
      </c>
      <c r="G199" s="46">
        <f>'[1]2018'!G209+'[1]2019'!G209+'[1]2020'!G209</f>
        <v>0</v>
      </c>
      <c r="H199" s="46">
        <f>'[1]2018'!H209+'[1]2019'!H209+'[1]2020'!H209</f>
        <v>0</v>
      </c>
      <c r="I199" s="46">
        <f>'[1]2018'!I209+'[1]2019'!I209+'[1]2020'!I209</f>
        <v>0</v>
      </c>
      <c r="J199" s="46">
        <f>'[1]2018'!J209+'[1]2019'!J209+'[1]2020'!J209</f>
        <v>0</v>
      </c>
      <c r="K199" s="46">
        <f>'[1]2018'!K209+'[1]2019'!K209+'[1]2020'!K209</f>
        <v>0</v>
      </c>
      <c r="L199" s="46">
        <f>'[1]2018'!L209+'[1]2019'!L209+'[1]2020'!L209</f>
        <v>0</v>
      </c>
      <c r="M199" s="46">
        <f>'[1]2018'!M209+'[1]2019'!M209+'[1]2020'!M209</f>
        <v>0</v>
      </c>
      <c r="N199" s="46">
        <f>'[1]2018'!N209+'[1]2019'!N209+'[1]2020'!N209</f>
        <v>0</v>
      </c>
      <c r="O199" s="46">
        <f>'[1]2018'!O209+'[1]2019'!O209+'[1]2020'!O209</f>
        <v>0</v>
      </c>
      <c r="P199" s="46">
        <f>'[1]2018'!P209+'[1]2019'!P209+'[1]2020'!P209</f>
        <v>0</v>
      </c>
      <c r="Q199" s="46">
        <f>'[1]2018'!Q209+'[1]2019'!Q209+'[1]2020'!Q209</f>
        <v>0</v>
      </c>
      <c r="R199" s="46">
        <f>'[1]2018'!R209+'[1]2019'!R209+'[1]2020'!R209</f>
        <v>0</v>
      </c>
      <c r="S199" s="46">
        <f>'[1]2018'!S209+'[1]2019'!S209+'[1]2020'!S209</f>
        <v>0</v>
      </c>
      <c r="T199" s="46">
        <f>'[1]2018'!T209+'[1]2019'!T209+'[1]2020'!T209</f>
        <v>0</v>
      </c>
      <c r="U199" s="46">
        <f>'[1]2018'!U209+'[1]2019'!U209+'[1]2020'!U209</f>
        <v>54</v>
      </c>
      <c r="V199" s="46">
        <f>'[1]2018'!V209+'[1]2019'!V209+'[1]2020'!V209</f>
        <v>0</v>
      </c>
      <c r="W199" s="46">
        <f>'[1]2018'!W209+'[1]2019'!W209+'[1]2020'!W209</f>
        <v>0</v>
      </c>
      <c r="X199" s="46">
        <f>'[1]2018'!X209+'[1]2019'!X209+'[1]2020'!X209</f>
        <v>0</v>
      </c>
      <c r="Y199" s="41">
        <f t="shared" si="25"/>
        <v>54</v>
      </c>
      <c r="Z199" s="11">
        <f>'[1]2018'!Z209+'[1]2019'!Z209+'[1]2020'!Z209</f>
        <v>2</v>
      </c>
      <c r="AA199" s="11">
        <f>'[1]2018'!AA209+'[1]2019'!AA209+'[1]2020'!AA209</f>
        <v>2</v>
      </c>
      <c r="AB199" s="11">
        <f>'[1]2018'!AB209+'[1]2019'!AB209+'[1]2020'!AB209</f>
        <v>54</v>
      </c>
      <c r="AC199" s="11">
        <f>'[1]2018'!AC209+'[1]2019'!AC209+'[1]2020'!AC209</f>
        <v>54</v>
      </c>
      <c r="AD199" s="11">
        <f>'[1]2018'!AD209+'[1]2019'!AD209+'[1]2020'!AD209</f>
        <v>0</v>
      </c>
      <c r="AE199" s="11">
        <f>'[1]2018'!AE209+'[1]2019'!AE209+'[1]2020'!AE209</f>
        <v>0</v>
      </c>
      <c r="AF199" s="11">
        <f>'[1]2018'!AF209+'[1]2019'!AF209+'[1]2020'!AF209</f>
        <v>0</v>
      </c>
      <c r="AG199" s="11">
        <f>'[1]2018'!AG209+'[1]2019'!AG209+'[1]2020'!AG209</f>
        <v>0</v>
      </c>
      <c r="AH199" s="11">
        <f>'[1]2018'!AH209+'[1]2019'!AH209+'[1]2020'!AH209</f>
        <v>0</v>
      </c>
      <c r="AI199" s="11">
        <f>'[1]2018'!AI209+'[1]2019'!AI209+'[1]2020'!AI209</f>
        <v>0</v>
      </c>
      <c r="AJ199" s="11">
        <f>'[1]2018'!AJ209+'[1]2019'!AJ209+'[1]2020'!AJ209</f>
        <v>0</v>
      </c>
      <c r="AK199" s="11">
        <f>'[1]2018'!AK209+'[1]2019'!AK209+'[1]2020'!AK209</f>
        <v>0</v>
      </c>
      <c r="AL199" s="11">
        <f>'[1]2018'!AL209+'[1]2019'!AL209+'[1]2020'!AL209</f>
        <v>0</v>
      </c>
      <c r="AM199" s="11">
        <f>'[1]2018'!AM209+'[1]2019'!AM209+'[1]2020'!AM209</f>
        <v>0</v>
      </c>
      <c r="AN199" s="11">
        <f>'[1]2018'!AN209+'[1]2019'!AN209+'[1]2020'!AN209</f>
        <v>0</v>
      </c>
      <c r="AO199" s="11">
        <f>'[1]2018'!AO209+'[1]2019'!AO209+'[1]2020'!AO209</f>
        <v>0</v>
      </c>
      <c r="AP199" s="11">
        <f>'[1]2018'!AP209+'[1]2019'!AP209+'[1]2020'!AP209</f>
        <v>0</v>
      </c>
      <c r="AQ199" s="11">
        <f>'[1]2018'!AQ209+'[1]2019'!AQ209+'[1]2020'!AQ209</f>
        <v>0</v>
      </c>
      <c r="AR199" s="11">
        <f>'[1]2018'!AR209+'[1]2019'!AR209+'[1]2020'!AR209</f>
        <v>0</v>
      </c>
      <c r="AS199" s="11">
        <f>'[1]2018'!AS209+'[1]2019'!AS209+'[1]2020'!AS209</f>
        <v>54</v>
      </c>
      <c r="AT199" s="11">
        <f>'[1]2018'!AT209+'[1]2019'!AT209+'[1]2020'!AT209</f>
        <v>0</v>
      </c>
      <c r="AU199" s="11">
        <f>'[1]2018'!AU209+'[1]2019'!AU209+'[1]2020'!AU209</f>
        <v>0</v>
      </c>
      <c r="AV199" s="11">
        <f>'[1]2018'!AV209+'[1]2019'!AV209+'[1]2020'!AV209</f>
        <v>0</v>
      </c>
      <c r="AW199" s="41">
        <f t="shared" si="26"/>
        <v>54</v>
      </c>
      <c r="AX199" s="14">
        <f t="shared" si="27"/>
        <v>22.666666666666668</v>
      </c>
      <c r="AY199" s="2">
        <f>'[1]2018'!AX209+'[1]2019'!AX209+'[1]2020'!AX209</f>
        <v>68</v>
      </c>
    </row>
    <row r="200" spans="1:136" x14ac:dyDescent="0.25">
      <c r="A200" s="10" t="s">
        <v>117</v>
      </c>
      <c r="B200" s="46">
        <f>'[1]2018'!B210+'[1]2019'!B210+'[1]2020'!B210</f>
        <v>3</v>
      </c>
      <c r="C200" s="46">
        <f>'[1]2018'!C210+'[1]2019'!C210+'[1]2020'!C210</f>
        <v>3</v>
      </c>
      <c r="D200" s="46">
        <f>'[1]2018'!D210+'[1]2019'!D210+'[1]2020'!D210</f>
        <v>3</v>
      </c>
      <c r="E200" s="46">
        <f>'[1]2018'!E210+'[1]2019'!E210+'[1]2020'!E210</f>
        <v>3</v>
      </c>
      <c r="F200" s="46">
        <f>'[1]2018'!F210+'[1]2019'!F210+'[1]2020'!F210</f>
        <v>0</v>
      </c>
      <c r="G200" s="46">
        <f>'[1]2018'!G210+'[1]2019'!G210+'[1]2020'!G210</f>
        <v>0</v>
      </c>
      <c r="H200" s="46">
        <f>'[1]2018'!H210+'[1]2019'!H210+'[1]2020'!H210</f>
        <v>0</v>
      </c>
      <c r="I200" s="46">
        <f>'[1]2018'!I210+'[1]2019'!I210+'[1]2020'!I210</f>
        <v>0</v>
      </c>
      <c r="J200" s="46">
        <f>'[1]2018'!J210+'[1]2019'!J210+'[1]2020'!J210</f>
        <v>0</v>
      </c>
      <c r="K200" s="46">
        <f>'[1]2018'!K210+'[1]2019'!K210+'[1]2020'!K210</f>
        <v>0</v>
      </c>
      <c r="L200" s="46">
        <f>'[1]2018'!L210+'[1]2019'!L210+'[1]2020'!L210</f>
        <v>0</v>
      </c>
      <c r="M200" s="46">
        <f>'[1]2018'!M210+'[1]2019'!M210+'[1]2020'!M210</f>
        <v>0</v>
      </c>
      <c r="N200" s="46">
        <f>'[1]2018'!N210+'[1]2019'!N210+'[1]2020'!N210</f>
        <v>0</v>
      </c>
      <c r="O200" s="46">
        <f>'[1]2018'!O210+'[1]2019'!O210+'[1]2020'!O210</f>
        <v>0</v>
      </c>
      <c r="P200" s="46">
        <f>'[1]2018'!P210+'[1]2019'!P210+'[1]2020'!P210</f>
        <v>0</v>
      </c>
      <c r="Q200" s="46">
        <f>'[1]2018'!Q210+'[1]2019'!Q210+'[1]2020'!Q210</f>
        <v>0</v>
      </c>
      <c r="R200" s="46">
        <f>'[1]2018'!R210+'[1]2019'!R210+'[1]2020'!R210</f>
        <v>0</v>
      </c>
      <c r="S200" s="46">
        <f>'[1]2018'!S210+'[1]2019'!S210+'[1]2020'!S210</f>
        <v>0</v>
      </c>
      <c r="T200" s="46">
        <f>'[1]2018'!T210+'[1]2019'!T210+'[1]2020'!T210</f>
        <v>0</v>
      </c>
      <c r="U200" s="46">
        <f>'[1]2018'!U210+'[1]2019'!U210+'[1]2020'!U210</f>
        <v>3</v>
      </c>
      <c r="V200" s="46">
        <f>'[1]2018'!V210+'[1]2019'!V210+'[1]2020'!V210</f>
        <v>0</v>
      </c>
      <c r="W200" s="46">
        <f>'[1]2018'!W210+'[1]2019'!W210+'[1]2020'!W210</f>
        <v>0</v>
      </c>
      <c r="X200" s="46">
        <f>'[1]2018'!X210+'[1]2019'!X210+'[1]2020'!X210</f>
        <v>0</v>
      </c>
      <c r="Y200" s="41">
        <f t="shared" si="25"/>
        <v>3</v>
      </c>
      <c r="Z200" s="11">
        <f>'[1]2018'!Z210+'[1]2019'!Z210+'[1]2020'!Z210</f>
        <v>3</v>
      </c>
      <c r="AA200" s="11">
        <f>'[1]2018'!AA210+'[1]2019'!AA210+'[1]2020'!AA210</f>
        <v>3</v>
      </c>
      <c r="AB200" s="11">
        <f>'[1]2018'!AB210+'[1]2019'!AB210+'[1]2020'!AB210</f>
        <v>3</v>
      </c>
      <c r="AC200" s="11">
        <f>'[1]2018'!AC210+'[1]2019'!AC210+'[1]2020'!AC210</f>
        <v>3</v>
      </c>
      <c r="AD200" s="11">
        <f>'[1]2018'!AD210+'[1]2019'!AD210+'[1]2020'!AD210</f>
        <v>0</v>
      </c>
      <c r="AE200" s="11">
        <f>'[1]2018'!AE210+'[1]2019'!AE210+'[1]2020'!AE210</f>
        <v>0</v>
      </c>
      <c r="AF200" s="11">
        <f>'[1]2018'!AF210+'[1]2019'!AF210+'[1]2020'!AF210</f>
        <v>0</v>
      </c>
      <c r="AG200" s="11">
        <f>'[1]2018'!AG210+'[1]2019'!AG210+'[1]2020'!AG210</f>
        <v>0</v>
      </c>
      <c r="AH200" s="11">
        <f>'[1]2018'!AH210+'[1]2019'!AH210+'[1]2020'!AH210</f>
        <v>0</v>
      </c>
      <c r="AI200" s="11">
        <f>'[1]2018'!AI210+'[1]2019'!AI210+'[1]2020'!AI210</f>
        <v>0</v>
      </c>
      <c r="AJ200" s="11">
        <f>'[1]2018'!AJ210+'[1]2019'!AJ210+'[1]2020'!AJ210</f>
        <v>0</v>
      </c>
      <c r="AK200" s="11">
        <f>'[1]2018'!AK210+'[1]2019'!AK210+'[1]2020'!AK210</f>
        <v>0</v>
      </c>
      <c r="AL200" s="11">
        <f>'[1]2018'!AL210+'[1]2019'!AL210+'[1]2020'!AL210</f>
        <v>0</v>
      </c>
      <c r="AM200" s="11">
        <f>'[1]2018'!AM210+'[1]2019'!AM210+'[1]2020'!AM210</f>
        <v>0</v>
      </c>
      <c r="AN200" s="11">
        <f>'[1]2018'!AN210+'[1]2019'!AN210+'[1]2020'!AN210</f>
        <v>0</v>
      </c>
      <c r="AO200" s="11">
        <f>'[1]2018'!AO210+'[1]2019'!AO210+'[1]2020'!AO210</f>
        <v>0</v>
      </c>
      <c r="AP200" s="11">
        <f>'[1]2018'!AP210+'[1]2019'!AP210+'[1]2020'!AP210</f>
        <v>0</v>
      </c>
      <c r="AQ200" s="11">
        <f>'[1]2018'!AQ210+'[1]2019'!AQ210+'[1]2020'!AQ210</f>
        <v>0</v>
      </c>
      <c r="AR200" s="11">
        <f>'[1]2018'!AR210+'[1]2019'!AR210+'[1]2020'!AR210</f>
        <v>0</v>
      </c>
      <c r="AS200" s="11">
        <f>'[1]2018'!AS210+'[1]2019'!AS210+'[1]2020'!AS210</f>
        <v>3</v>
      </c>
      <c r="AT200" s="11">
        <f>'[1]2018'!AT210+'[1]2019'!AT210+'[1]2020'!AT210</f>
        <v>0</v>
      </c>
      <c r="AU200" s="11">
        <f>'[1]2018'!AU210+'[1]2019'!AU210+'[1]2020'!AU210</f>
        <v>0</v>
      </c>
      <c r="AV200" s="11">
        <f>'[1]2018'!AV210+'[1]2019'!AV210+'[1]2020'!AV210</f>
        <v>0</v>
      </c>
      <c r="AW200" s="41">
        <f t="shared" si="26"/>
        <v>3</v>
      </c>
      <c r="AX200" s="14">
        <f t="shared" si="27"/>
        <v>1841.1666666666667</v>
      </c>
      <c r="AY200" s="2">
        <f>'[1]2018'!AX210+'[1]2019'!AX210+'[1]2020'!AX210</f>
        <v>5523.5</v>
      </c>
    </row>
    <row r="201" spans="1:136" x14ac:dyDescent="0.25">
      <c r="A201" s="10" t="s">
        <v>118</v>
      </c>
      <c r="B201" s="46">
        <f>'[1]2018'!B211+'[1]2019'!B211+'[1]2020'!B211</f>
        <v>1</v>
      </c>
      <c r="C201" s="46">
        <f>'[1]2018'!C211+'[1]2019'!C211+'[1]2020'!C211</f>
        <v>1</v>
      </c>
      <c r="D201" s="46">
        <f>'[1]2018'!D211+'[1]2019'!D211+'[1]2020'!D211</f>
        <v>1</v>
      </c>
      <c r="E201" s="46">
        <f>'[1]2018'!E211+'[1]2019'!E211+'[1]2020'!E211</f>
        <v>1</v>
      </c>
      <c r="F201" s="46">
        <f>'[1]2018'!F211+'[1]2019'!F211+'[1]2020'!F211</f>
        <v>0</v>
      </c>
      <c r="G201" s="46">
        <f>'[1]2018'!G211+'[1]2019'!G211+'[1]2020'!G211</f>
        <v>0</v>
      </c>
      <c r="H201" s="46">
        <f>'[1]2018'!H211+'[1]2019'!H211+'[1]2020'!H211</f>
        <v>0</v>
      </c>
      <c r="I201" s="46">
        <f>'[1]2018'!I211+'[1]2019'!I211+'[1]2020'!I211</f>
        <v>0</v>
      </c>
      <c r="J201" s="46">
        <f>'[1]2018'!J211+'[1]2019'!J211+'[1]2020'!J211</f>
        <v>0</v>
      </c>
      <c r="K201" s="46">
        <f>'[1]2018'!K211+'[1]2019'!K211+'[1]2020'!K211</f>
        <v>0</v>
      </c>
      <c r="L201" s="46">
        <f>'[1]2018'!L211+'[1]2019'!L211+'[1]2020'!L211</f>
        <v>0</v>
      </c>
      <c r="M201" s="46">
        <f>'[1]2018'!M211+'[1]2019'!M211+'[1]2020'!M211</f>
        <v>0</v>
      </c>
      <c r="N201" s="46">
        <f>'[1]2018'!N211+'[1]2019'!N211+'[1]2020'!N211</f>
        <v>0</v>
      </c>
      <c r="O201" s="46">
        <f>'[1]2018'!O211+'[1]2019'!O211+'[1]2020'!O211</f>
        <v>0</v>
      </c>
      <c r="P201" s="46">
        <f>'[1]2018'!P211+'[1]2019'!P211+'[1]2020'!P211</f>
        <v>0</v>
      </c>
      <c r="Q201" s="46">
        <f>'[1]2018'!Q211+'[1]2019'!Q211+'[1]2020'!Q211</f>
        <v>0</v>
      </c>
      <c r="R201" s="46">
        <f>'[1]2018'!R211+'[1]2019'!R211+'[1]2020'!R211</f>
        <v>0</v>
      </c>
      <c r="S201" s="46">
        <f>'[1]2018'!S211+'[1]2019'!S211+'[1]2020'!S211</f>
        <v>0</v>
      </c>
      <c r="T201" s="46">
        <f>'[1]2018'!T211+'[1]2019'!T211+'[1]2020'!T211</f>
        <v>0</v>
      </c>
      <c r="U201" s="46">
        <f>'[1]2018'!U211+'[1]2019'!U211+'[1]2020'!U211</f>
        <v>1</v>
      </c>
      <c r="V201" s="46">
        <f>'[1]2018'!V211+'[1]2019'!V211+'[1]2020'!V211</f>
        <v>0</v>
      </c>
      <c r="W201" s="46">
        <f>'[1]2018'!W211+'[1]2019'!W211+'[1]2020'!W211</f>
        <v>0</v>
      </c>
      <c r="X201" s="46">
        <f>'[1]2018'!X211+'[1]2019'!X211+'[1]2020'!X211</f>
        <v>0</v>
      </c>
      <c r="Y201" s="41">
        <f t="shared" si="25"/>
        <v>1</v>
      </c>
      <c r="Z201" s="11">
        <f>'[1]2018'!Z211+'[1]2019'!Z211+'[1]2020'!Z211</f>
        <v>1</v>
      </c>
      <c r="AA201" s="11">
        <f>'[1]2018'!AA211+'[1]2019'!AA211+'[1]2020'!AA211</f>
        <v>1</v>
      </c>
      <c r="AB201" s="11">
        <f>'[1]2018'!AB211+'[1]2019'!AB211+'[1]2020'!AB211</f>
        <v>1</v>
      </c>
      <c r="AC201" s="11">
        <f>'[1]2018'!AC211+'[1]2019'!AC211+'[1]2020'!AC211</f>
        <v>1</v>
      </c>
      <c r="AD201" s="11">
        <f>'[1]2018'!AD211+'[1]2019'!AD211+'[1]2020'!AD211</f>
        <v>0</v>
      </c>
      <c r="AE201" s="11">
        <f>'[1]2018'!AE211+'[1]2019'!AE211+'[1]2020'!AE211</f>
        <v>0</v>
      </c>
      <c r="AF201" s="11">
        <f>'[1]2018'!AF211+'[1]2019'!AF211+'[1]2020'!AF211</f>
        <v>0</v>
      </c>
      <c r="AG201" s="11">
        <f>'[1]2018'!AG211+'[1]2019'!AG211+'[1]2020'!AG211</f>
        <v>0</v>
      </c>
      <c r="AH201" s="11">
        <f>'[1]2018'!AH211+'[1]2019'!AH211+'[1]2020'!AH211</f>
        <v>0</v>
      </c>
      <c r="AI201" s="11">
        <f>'[1]2018'!AI211+'[1]2019'!AI211+'[1]2020'!AI211</f>
        <v>0</v>
      </c>
      <c r="AJ201" s="11">
        <f>'[1]2018'!AJ211+'[1]2019'!AJ211+'[1]2020'!AJ211</f>
        <v>0</v>
      </c>
      <c r="AK201" s="11">
        <f>'[1]2018'!AK211+'[1]2019'!AK211+'[1]2020'!AK211</f>
        <v>0</v>
      </c>
      <c r="AL201" s="11">
        <f>'[1]2018'!AL211+'[1]2019'!AL211+'[1]2020'!AL211</f>
        <v>0</v>
      </c>
      <c r="AM201" s="11">
        <f>'[1]2018'!AM211+'[1]2019'!AM211+'[1]2020'!AM211</f>
        <v>0</v>
      </c>
      <c r="AN201" s="11">
        <f>'[1]2018'!AN211+'[1]2019'!AN211+'[1]2020'!AN211</f>
        <v>0</v>
      </c>
      <c r="AO201" s="11">
        <f>'[1]2018'!AO211+'[1]2019'!AO211+'[1]2020'!AO211</f>
        <v>0</v>
      </c>
      <c r="AP201" s="11">
        <f>'[1]2018'!AP211+'[1]2019'!AP211+'[1]2020'!AP211</f>
        <v>0</v>
      </c>
      <c r="AQ201" s="11">
        <f>'[1]2018'!AQ211+'[1]2019'!AQ211+'[1]2020'!AQ211</f>
        <v>0</v>
      </c>
      <c r="AR201" s="11">
        <f>'[1]2018'!AR211+'[1]2019'!AR211+'[1]2020'!AR211</f>
        <v>0</v>
      </c>
      <c r="AS201" s="11">
        <f>'[1]2018'!AS211+'[1]2019'!AS211+'[1]2020'!AS211</f>
        <v>1</v>
      </c>
      <c r="AT201" s="11">
        <f>'[1]2018'!AT211+'[1]2019'!AT211+'[1]2020'!AT211</f>
        <v>0</v>
      </c>
      <c r="AU201" s="11">
        <f>'[1]2018'!AU211+'[1]2019'!AU211+'[1]2020'!AU211</f>
        <v>0</v>
      </c>
      <c r="AV201" s="11">
        <f>'[1]2018'!AV211+'[1]2019'!AV211+'[1]2020'!AV211</f>
        <v>0</v>
      </c>
      <c r="AW201" s="41">
        <f t="shared" si="26"/>
        <v>1</v>
      </c>
      <c r="AX201" s="14">
        <f t="shared" si="27"/>
        <v>866.66666666666663</v>
      </c>
      <c r="AY201" s="2">
        <f>'[1]2018'!AX211+'[1]2019'!AX211+'[1]2020'!AX211</f>
        <v>2600</v>
      </c>
    </row>
    <row r="202" spans="1:136" x14ac:dyDescent="0.25">
      <c r="A202" s="10" t="s">
        <v>119</v>
      </c>
      <c r="B202" s="46">
        <f>'[1]2018'!B212+'[1]2019'!B212+'[1]2020'!B212</f>
        <v>2</v>
      </c>
      <c r="C202" s="46">
        <f>'[1]2018'!C212+'[1]2019'!C212+'[1]2020'!C212</f>
        <v>2</v>
      </c>
      <c r="D202" s="46">
        <f>'[1]2018'!D212+'[1]2019'!D212+'[1]2020'!D212</f>
        <v>2</v>
      </c>
      <c r="E202" s="46">
        <f>'[1]2018'!E212+'[1]2019'!E212+'[1]2020'!E212</f>
        <v>2</v>
      </c>
      <c r="F202" s="46">
        <f>'[1]2018'!F212+'[1]2019'!F212+'[1]2020'!F212</f>
        <v>0</v>
      </c>
      <c r="G202" s="46">
        <f>'[1]2018'!G212+'[1]2019'!G212+'[1]2020'!G212</f>
        <v>0</v>
      </c>
      <c r="H202" s="46">
        <f>'[1]2018'!H212+'[1]2019'!H212+'[1]2020'!H212</f>
        <v>0</v>
      </c>
      <c r="I202" s="46">
        <f>'[1]2018'!I212+'[1]2019'!I212+'[1]2020'!I212</f>
        <v>0</v>
      </c>
      <c r="J202" s="46">
        <f>'[1]2018'!J212+'[1]2019'!J212+'[1]2020'!J212</f>
        <v>0</v>
      </c>
      <c r="K202" s="46">
        <f>'[1]2018'!K212+'[1]2019'!K212+'[1]2020'!K212</f>
        <v>0</v>
      </c>
      <c r="L202" s="46">
        <f>'[1]2018'!L212+'[1]2019'!L212+'[1]2020'!L212</f>
        <v>0</v>
      </c>
      <c r="M202" s="46">
        <f>'[1]2018'!M212+'[1]2019'!M212+'[1]2020'!M212</f>
        <v>0</v>
      </c>
      <c r="N202" s="46">
        <f>'[1]2018'!N212+'[1]2019'!N212+'[1]2020'!N212</f>
        <v>0</v>
      </c>
      <c r="O202" s="46">
        <f>'[1]2018'!O212+'[1]2019'!O212+'[1]2020'!O212</f>
        <v>0</v>
      </c>
      <c r="P202" s="46">
        <f>'[1]2018'!P212+'[1]2019'!P212+'[1]2020'!P212</f>
        <v>0</v>
      </c>
      <c r="Q202" s="46">
        <f>'[1]2018'!Q212+'[1]2019'!Q212+'[1]2020'!Q212</f>
        <v>0</v>
      </c>
      <c r="R202" s="46">
        <f>'[1]2018'!R212+'[1]2019'!R212+'[1]2020'!R212</f>
        <v>0</v>
      </c>
      <c r="S202" s="46">
        <f>'[1]2018'!S212+'[1]2019'!S212+'[1]2020'!S212</f>
        <v>0</v>
      </c>
      <c r="T202" s="46">
        <f>'[1]2018'!T212+'[1]2019'!T212+'[1]2020'!T212</f>
        <v>0</v>
      </c>
      <c r="U202" s="46">
        <f>'[1]2018'!U212+'[1]2019'!U212+'[1]2020'!U212</f>
        <v>2</v>
      </c>
      <c r="V202" s="46">
        <f>'[1]2018'!V212+'[1]2019'!V212+'[1]2020'!V212</f>
        <v>0</v>
      </c>
      <c r="W202" s="46">
        <f>'[1]2018'!W212+'[1]2019'!W212+'[1]2020'!W212</f>
        <v>0</v>
      </c>
      <c r="X202" s="46">
        <f>'[1]2018'!X212+'[1]2019'!X212+'[1]2020'!X212</f>
        <v>0</v>
      </c>
      <c r="Y202" s="41">
        <f t="shared" si="25"/>
        <v>2</v>
      </c>
      <c r="Z202" s="11">
        <f>'[1]2018'!Z212+'[1]2019'!Z212+'[1]2020'!Z212</f>
        <v>2</v>
      </c>
      <c r="AA202" s="11">
        <f>'[1]2018'!AA212+'[1]2019'!AA212+'[1]2020'!AA212</f>
        <v>2</v>
      </c>
      <c r="AB202" s="11">
        <f>'[1]2018'!AB212+'[1]2019'!AB212+'[1]2020'!AB212</f>
        <v>2</v>
      </c>
      <c r="AC202" s="11">
        <f>'[1]2018'!AC212+'[1]2019'!AC212+'[1]2020'!AC212</f>
        <v>2</v>
      </c>
      <c r="AD202" s="11">
        <f>'[1]2018'!AD212+'[1]2019'!AD212+'[1]2020'!AD212</f>
        <v>0</v>
      </c>
      <c r="AE202" s="11">
        <f>'[1]2018'!AE212+'[1]2019'!AE212+'[1]2020'!AE212</f>
        <v>0</v>
      </c>
      <c r="AF202" s="11">
        <f>'[1]2018'!AF212+'[1]2019'!AF212+'[1]2020'!AF212</f>
        <v>0</v>
      </c>
      <c r="AG202" s="11">
        <f>'[1]2018'!AG212+'[1]2019'!AG212+'[1]2020'!AG212</f>
        <v>0</v>
      </c>
      <c r="AH202" s="11">
        <f>'[1]2018'!AH212+'[1]2019'!AH212+'[1]2020'!AH212</f>
        <v>0</v>
      </c>
      <c r="AI202" s="11">
        <f>'[1]2018'!AI212+'[1]2019'!AI212+'[1]2020'!AI212</f>
        <v>0</v>
      </c>
      <c r="AJ202" s="11">
        <f>'[1]2018'!AJ212+'[1]2019'!AJ212+'[1]2020'!AJ212</f>
        <v>0</v>
      </c>
      <c r="AK202" s="11">
        <f>'[1]2018'!AK212+'[1]2019'!AK212+'[1]2020'!AK212</f>
        <v>0</v>
      </c>
      <c r="AL202" s="11">
        <f>'[1]2018'!AL212+'[1]2019'!AL212+'[1]2020'!AL212</f>
        <v>0</v>
      </c>
      <c r="AM202" s="11">
        <f>'[1]2018'!AM212+'[1]2019'!AM212+'[1]2020'!AM212</f>
        <v>0</v>
      </c>
      <c r="AN202" s="11">
        <f>'[1]2018'!AN212+'[1]2019'!AN212+'[1]2020'!AN212</f>
        <v>0</v>
      </c>
      <c r="AO202" s="11">
        <f>'[1]2018'!AO212+'[1]2019'!AO212+'[1]2020'!AO212</f>
        <v>0</v>
      </c>
      <c r="AP202" s="11">
        <f>'[1]2018'!AP212+'[1]2019'!AP212+'[1]2020'!AP212</f>
        <v>0</v>
      </c>
      <c r="AQ202" s="11">
        <f>'[1]2018'!AQ212+'[1]2019'!AQ212+'[1]2020'!AQ212</f>
        <v>0</v>
      </c>
      <c r="AR202" s="11">
        <f>'[1]2018'!AR212+'[1]2019'!AR212+'[1]2020'!AR212</f>
        <v>0</v>
      </c>
      <c r="AS202" s="11">
        <f>'[1]2018'!AS212+'[1]2019'!AS212+'[1]2020'!AS212</f>
        <v>2</v>
      </c>
      <c r="AT202" s="11">
        <f>'[1]2018'!AT212+'[1]2019'!AT212+'[1]2020'!AT212</f>
        <v>0</v>
      </c>
      <c r="AU202" s="11">
        <f>'[1]2018'!AU212+'[1]2019'!AU212+'[1]2020'!AU212</f>
        <v>0</v>
      </c>
      <c r="AV202" s="11">
        <f>'[1]2018'!AV212+'[1]2019'!AV212+'[1]2020'!AV212</f>
        <v>0</v>
      </c>
      <c r="AW202" s="41">
        <f t="shared" si="26"/>
        <v>2</v>
      </c>
      <c r="AX202" s="14">
        <f t="shared" si="27"/>
        <v>892</v>
      </c>
      <c r="AY202" s="2">
        <f>'[1]2018'!AX212+'[1]2019'!AX212+'[1]2020'!AX212</f>
        <v>2676</v>
      </c>
    </row>
    <row r="203" spans="1:136" x14ac:dyDescent="0.25">
      <c r="A203" s="10" t="s">
        <v>120</v>
      </c>
      <c r="B203" s="46">
        <f>'[1]2018'!B213+'[1]2019'!B213+'[1]2020'!B213</f>
        <v>4</v>
      </c>
      <c r="C203" s="46">
        <f>'[1]2018'!C213+'[1]2019'!C213+'[1]2020'!C213</f>
        <v>3</v>
      </c>
      <c r="D203" s="46">
        <f>'[1]2018'!D213+'[1]2019'!D213+'[1]2020'!D213</f>
        <v>4</v>
      </c>
      <c r="E203" s="46">
        <f>'[1]2018'!E213+'[1]2019'!E213+'[1]2020'!E213</f>
        <v>3</v>
      </c>
      <c r="F203" s="46">
        <f>'[1]2018'!F213+'[1]2019'!F213+'[1]2020'!F213</f>
        <v>0</v>
      </c>
      <c r="G203" s="46">
        <f>'[1]2018'!G213+'[1]2019'!G213+'[1]2020'!G213</f>
        <v>0</v>
      </c>
      <c r="H203" s="46">
        <f>'[1]2018'!H213+'[1]2019'!H213+'[1]2020'!H213</f>
        <v>0</v>
      </c>
      <c r="I203" s="46">
        <f>'[1]2018'!I213+'[1]2019'!I213+'[1]2020'!I213</f>
        <v>0</v>
      </c>
      <c r="J203" s="46">
        <f>'[1]2018'!J213+'[1]2019'!J213+'[1]2020'!J213</f>
        <v>0</v>
      </c>
      <c r="K203" s="46">
        <f>'[1]2018'!K213+'[1]2019'!K213+'[1]2020'!K213</f>
        <v>0</v>
      </c>
      <c r="L203" s="46">
        <f>'[1]2018'!L213+'[1]2019'!L213+'[1]2020'!L213</f>
        <v>0</v>
      </c>
      <c r="M203" s="46">
        <f>'[1]2018'!M213+'[1]2019'!M213+'[1]2020'!M213</f>
        <v>0</v>
      </c>
      <c r="N203" s="46">
        <f>'[1]2018'!N213+'[1]2019'!N213+'[1]2020'!N213</f>
        <v>0</v>
      </c>
      <c r="O203" s="46">
        <f>'[1]2018'!O213+'[1]2019'!O213+'[1]2020'!O213</f>
        <v>0</v>
      </c>
      <c r="P203" s="46">
        <f>'[1]2018'!P213+'[1]2019'!P213+'[1]2020'!P213</f>
        <v>0</v>
      </c>
      <c r="Q203" s="46">
        <f>'[1]2018'!Q213+'[1]2019'!Q213+'[1]2020'!Q213</f>
        <v>0</v>
      </c>
      <c r="R203" s="46">
        <f>'[1]2018'!R213+'[1]2019'!R213+'[1]2020'!R213</f>
        <v>0</v>
      </c>
      <c r="S203" s="46">
        <f>'[1]2018'!S213+'[1]2019'!S213+'[1]2020'!S213</f>
        <v>0</v>
      </c>
      <c r="T203" s="46">
        <f>'[1]2018'!T213+'[1]2019'!T213+'[1]2020'!T213</f>
        <v>0</v>
      </c>
      <c r="U203" s="46">
        <f>'[1]2018'!U213+'[1]2019'!U213+'[1]2020'!U213</f>
        <v>3</v>
      </c>
      <c r="V203" s="46">
        <f>'[1]2018'!V213+'[1]2019'!V213+'[1]2020'!V213</f>
        <v>0</v>
      </c>
      <c r="W203" s="46">
        <f>'[1]2018'!W213+'[1]2019'!W213+'[1]2020'!W213</f>
        <v>0</v>
      </c>
      <c r="X203" s="46">
        <f>'[1]2018'!X213+'[1]2019'!X213+'[1]2020'!X213</f>
        <v>1</v>
      </c>
      <c r="Y203" s="41">
        <f t="shared" si="25"/>
        <v>4</v>
      </c>
      <c r="Z203" s="11">
        <f>'[1]2018'!Z213+'[1]2019'!Z213+'[1]2020'!Z213</f>
        <v>2</v>
      </c>
      <c r="AA203" s="11">
        <f>'[1]2018'!AA213+'[1]2019'!AA213+'[1]2020'!AA213</f>
        <v>1</v>
      </c>
      <c r="AB203" s="11">
        <f>'[1]2018'!AB213+'[1]2019'!AB213+'[1]2020'!AB213</f>
        <v>2</v>
      </c>
      <c r="AC203" s="11">
        <f>'[1]2018'!AC213+'[1]2019'!AC213+'[1]2020'!AC213</f>
        <v>1</v>
      </c>
      <c r="AD203" s="11">
        <f>'[1]2018'!AD213+'[1]2019'!AD213+'[1]2020'!AD213</f>
        <v>0</v>
      </c>
      <c r="AE203" s="11">
        <f>'[1]2018'!AE213+'[1]2019'!AE213+'[1]2020'!AE213</f>
        <v>0</v>
      </c>
      <c r="AF203" s="11">
        <f>'[1]2018'!AF213+'[1]2019'!AF213+'[1]2020'!AF213</f>
        <v>0</v>
      </c>
      <c r="AG203" s="11">
        <f>'[1]2018'!AG213+'[1]2019'!AG213+'[1]2020'!AG213</f>
        <v>0</v>
      </c>
      <c r="AH203" s="11">
        <f>'[1]2018'!AH213+'[1]2019'!AH213+'[1]2020'!AH213</f>
        <v>0</v>
      </c>
      <c r="AI203" s="11">
        <f>'[1]2018'!AI213+'[1]2019'!AI213+'[1]2020'!AI213</f>
        <v>0</v>
      </c>
      <c r="AJ203" s="11">
        <f>'[1]2018'!AJ213+'[1]2019'!AJ213+'[1]2020'!AJ213</f>
        <v>0</v>
      </c>
      <c r="AK203" s="11">
        <f>'[1]2018'!AK213+'[1]2019'!AK213+'[1]2020'!AK213</f>
        <v>0</v>
      </c>
      <c r="AL203" s="11">
        <f>'[1]2018'!AL213+'[1]2019'!AL213+'[1]2020'!AL213</f>
        <v>0</v>
      </c>
      <c r="AM203" s="11">
        <f>'[1]2018'!AM213+'[1]2019'!AM213+'[1]2020'!AM213</f>
        <v>0</v>
      </c>
      <c r="AN203" s="11">
        <f>'[1]2018'!AN213+'[1]2019'!AN213+'[1]2020'!AN213</f>
        <v>0</v>
      </c>
      <c r="AO203" s="11">
        <f>'[1]2018'!AO213+'[1]2019'!AO213+'[1]2020'!AO213</f>
        <v>0</v>
      </c>
      <c r="AP203" s="11">
        <f>'[1]2018'!AP213+'[1]2019'!AP213+'[1]2020'!AP213</f>
        <v>0</v>
      </c>
      <c r="AQ203" s="11">
        <f>'[1]2018'!AQ213+'[1]2019'!AQ213+'[1]2020'!AQ213</f>
        <v>0</v>
      </c>
      <c r="AR203" s="11">
        <f>'[1]2018'!AR213+'[1]2019'!AR213+'[1]2020'!AR213</f>
        <v>0</v>
      </c>
      <c r="AS203" s="11">
        <f>'[1]2018'!AS213+'[1]2019'!AS213+'[1]2020'!AS213</f>
        <v>1</v>
      </c>
      <c r="AT203" s="11">
        <f>'[1]2018'!AT213+'[1]2019'!AT213+'[1]2020'!AT213</f>
        <v>0</v>
      </c>
      <c r="AU203" s="11">
        <f>'[1]2018'!AU213+'[1]2019'!AU213+'[1]2020'!AU213</f>
        <v>0</v>
      </c>
      <c r="AV203" s="11">
        <f>'[1]2018'!AV213+'[1]2019'!AV213+'[1]2020'!AV213</f>
        <v>1</v>
      </c>
      <c r="AW203" s="41">
        <f t="shared" si="26"/>
        <v>2</v>
      </c>
      <c r="AX203" s="14">
        <f t="shared" si="27"/>
        <v>760</v>
      </c>
      <c r="AY203" s="2">
        <f>'[1]2018'!AX213+'[1]2019'!AX213+'[1]2020'!AX213</f>
        <v>2280</v>
      </c>
    </row>
    <row r="204" spans="1:136" x14ac:dyDescent="0.25">
      <c r="A204" s="15" t="s">
        <v>121</v>
      </c>
      <c r="B204" s="46">
        <f>'[1]2018'!B214+'[1]2019'!B214+'[1]2020'!B214</f>
        <v>1</v>
      </c>
      <c r="C204" s="46">
        <f>'[1]2018'!C214+'[1]2019'!C214+'[1]2020'!C214</f>
        <v>1</v>
      </c>
      <c r="D204" s="46">
        <f>'[1]2018'!D214+'[1]2019'!D214+'[1]2020'!D214</f>
        <v>2</v>
      </c>
      <c r="E204" s="46">
        <f>'[1]2018'!E214+'[1]2019'!E214+'[1]2020'!E214</f>
        <v>2</v>
      </c>
      <c r="F204" s="46">
        <f>'[1]2018'!F214+'[1]2019'!F214+'[1]2020'!F214</f>
        <v>0</v>
      </c>
      <c r="G204" s="46">
        <f>'[1]2018'!G214+'[1]2019'!G214+'[1]2020'!G214</f>
        <v>0</v>
      </c>
      <c r="H204" s="46">
        <f>'[1]2018'!H214+'[1]2019'!H214+'[1]2020'!H214</f>
        <v>0</v>
      </c>
      <c r="I204" s="46">
        <f>'[1]2018'!I214+'[1]2019'!I214+'[1]2020'!I214</f>
        <v>0</v>
      </c>
      <c r="J204" s="46">
        <f>'[1]2018'!J214+'[1]2019'!J214+'[1]2020'!J214</f>
        <v>0</v>
      </c>
      <c r="K204" s="46">
        <f>'[1]2018'!K214+'[1]2019'!K214+'[1]2020'!K214</f>
        <v>0</v>
      </c>
      <c r="L204" s="46">
        <f>'[1]2018'!L214+'[1]2019'!L214+'[1]2020'!L214</f>
        <v>0</v>
      </c>
      <c r="M204" s="46">
        <f>'[1]2018'!M214+'[1]2019'!M214+'[1]2020'!M214</f>
        <v>0</v>
      </c>
      <c r="N204" s="46">
        <f>'[1]2018'!N214+'[1]2019'!N214+'[1]2020'!N214</f>
        <v>0</v>
      </c>
      <c r="O204" s="46">
        <f>'[1]2018'!O214+'[1]2019'!O214+'[1]2020'!O214</f>
        <v>0</v>
      </c>
      <c r="P204" s="46">
        <f>'[1]2018'!P214+'[1]2019'!P214+'[1]2020'!P214</f>
        <v>0</v>
      </c>
      <c r="Q204" s="46">
        <f>'[1]2018'!Q214+'[1]2019'!Q214+'[1]2020'!Q214</f>
        <v>0</v>
      </c>
      <c r="R204" s="46">
        <f>'[1]2018'!R214+'[1]2019'!R214+'[1]2020'!R214</f>
        <v>0</v>
      </c>
      <c r="S204" s="46">
        <f>'[1]2018'!S214+'[1]2019'!S214+'[1]2020'!S214</f>
        <v>0</v>
      </c>
      <c r="T204" s="46">
        <f>'[1]2018'!T214+'[1]2019'!T214+'[1]2020'!T214</f>
        <v>0</v>
      </c>
      <c r="U204" s="46">
        <f>'[1]2018'!U214+'[1]2019'!U214+'[1]2020'!U214</f>
        <v>2</v>
      </c>
      <c r="V204" s="46">
        <f>'[1]2018'!V214+'[1]2019'!V214+'[1]2020'!V214</f>
        <v>0</v>
      </c>
      <c r="W204" s="46">
        <f>'[1]2018'!W214+'[1]2019'!W214+'[1]2020'!W214</f>
        <v>0</v>
      </c>
      <c r="X204" s="46">
        <f>'[1]2018'!X214+'[1]2019'!X214+'[1]2020'!X214</f>
        <v>0</v>
      </c>
      <c r="Y204" s="41">
        <f t="shared" si="25"/>
        <v>2</v>
      </c>
      <c r="Z204" s="11">
        <f>'[1]2018'!Z214+'[1]2019'!Z214+'[1]2020'!Z214</f>
        <v>1</v>
      </c>
      <c r="AA204" s="11">
        <f>'[1]2018'!AA214+'[1]2019'!AA214+'[1]2020'!AA214</f>
        <v>1</v>
      </c>
      <c r="AB204" s="11">
        <f>'[1]2018'!AB214+'[1]2019'!AB214+'[1]2020'!AB214</f>
        <v>2</v>
      </c>
      <c r="AC204" s="11">
        <f>'[1]2018'!AC214+'[1]2019'!AC214+'[1]2020'!AC214</f>
        <v>2</v>
      </c>
      <c r="AD204" s="11">
        <f>'[1]2018'!AD214+'[1]2019'!AD214+'[1]2020'!AD214</f>
        <v>0</v>
      </c>
      <c r="AE204" s="11">
        <f>'[1]2018'!AE214+'[1]2019'!AE214+'[1]2020'!AE214</f>
        <v>0</v>
      </c>
      <c r="AF204" s="11">
        <f>'[1]2018'!AF214+'[1]2019'!AF214+'[1]2020'!AF214</f>
        <v>0</v>
      </c>
      <c r="AG204" s="11">
        <f>'[1]2018'!AG214+'[1]2019'!AG214+'[1]2020'!AG214</f>
        <v>0</v>
      </c>
      <c r="AH204" s="11">
        <f>'[1]2018'!AH214+'[1]2019'!AH214+'[1]2020'!AH214</f>
        <v>0</v>
      </c>
      <c r="AI204" s="11">
        <f>'[1]2018'!AI214+'[1]2019'!AI214+'[1]2020'!AI214</f>
        <v>0</v>
      </c>
      <c r="AJ204" s="11">
        <f>'[1]2018'!AJ214+'[1]2019'!AJ214+'[1]2020'!AJ214</f>
        <v>0</v>
      </c>
      <c r="AK204" s="11">
        <f>'[1]2018'!AK214+'[1]2019'!AK214+'[1]2020'!AK214</f>
        <v>0</v>
      </c>
      <c r="AL204" s="11">
        <f>'[1]2018'!AL214+'[1]2019'!AL214+'[1]2020'!AL214</f>
        <v>0</v>
      </c>
      <c r="AM204" s="11">
        <f>'[1]2018'!AM214+'[1]2019'!AM214+'[1]2020'!AM214</f>
        <v>0</v>
      </c>
      <c r="AN204" s="11">
        <f>'[1]2018'!AN214+'[1]2019'!AN214+'[1]2020'!AN214</f>
        <v>0</v>
      </c>
      <c r="AO204" s="11">
        <f>'[1]2018'!AO214+'[1]2019'!AO214+'[1]2020'!AO214</f>
        <v>0</v>
      </c>
      <c r="AP204" s="11">
        <f>'[1]2018'!AP214+'[1]2019'!AP214+'[1]2020'!AP214</f>
        <v>0</v>
      </c>
      <c r="AQ204" s="11">
        <f>'[1]2018'!AQ214+'[1]2019'!AQ214+'[1]2020'!AQ214</f>
        <v>0</v>
      </c>
      <c r="AR204" s="11">
        <f>'[1]2018'!AR214+'[1]2019'!AR214+'[1]2020'!AR214</f>
        <v>0</v>
      </c>
      <c r="AS204" s="11">
        <f>'[1]2018'!AS214+'[1]2019'!AS214+'[1]2020'!AS214</f>
        <v>2</v>
      </c>
      <c r="AT204" s="11">
        <f>'[1]2018'!AT214+'[1]2019'!AT214+'[1]2020'!AT214</f>
        <v>0</v>
      </c>
      <c r="AU204" s="11">
        <f>'[1]2018'!AU214+'[1]2019'!AU214+'[1]2020'!AU214</f>
        <v>0</v>
      </c>
      <c r="AV204" s="11">
        <f>'[1]2018'!AV214+'[1]2019'!AV214+'[1]2020'!AV214</f>
        <v>0</v>
      </c>
      <c r="AW204" s="41">
        <f t="shared" si="26"/>
        <v>2</v>
      </c>
      <c r="AX204" s="14">
        <f t="shared" si="27"/>
        <v>440</v>
      </c>
      <c r="AY204" s="2">
        <f>'[1]2018'!AX214+'[1]2019'!AX214+'[1]2020'!AX214</f>
        <v>1320</v>
      </c>
    </row>
    <row r="205" spans="1:136" x14ac:dyDescent="0.25">
      <c r="A205" s="15" t="s">
        <v>122</v>
      </c>
      <c r="B205" s="46">
        <f>'[1]2018'!B215+'[1]2019'!B215+'[1]2020'!B215</f>
        <v>13</v>
      </c>
      <c r="C205" s="46">
        <f>'[1]2018'!C215+'[1]2019'!C215+'[1]2020'!C215</f>
        <v>5</v>
      </c>
      <c r="D205" s="46">
        <f>'[1]2018'!D215+'[1]2019'!D215+'[1]2020'!D215</f>
        <v>15</v>
      </c>
      <c r="E205" s="46">
        <f>'[1]2018'!E215+'[1]2019'!E215+'[1]2020'!E215</f>
        <v>5</v>
      </c>
      <c r="F205" s="46">
        <f>'[1]2018'!F215+'[1]2019'!F215+'[1]2020'!F215</f>
        <v>0</v>
      </c>
      <c r="G205" s="46">
        <f>'[1]2018'!G215+'[1]2019'!G215+'[1]2020'!G215</f>
        <v>0</v>
      </c>
      <c r="H205" s="46">
        <f>'[1]2018'!H215+'[1]2019'!H215+'[1]2020'!H215</f>
        <v>0</v>
      </c>
      <c r="I205" s="46">
        <f>'[1]2018'!I215+'[1]2019'!I215+'[1]2020'!I215</f>
        <v>0</v>
      </c>
      <c r="J205" s="46">
        <f>'[1]2018'!J215+'[1]2019'!J215+'[1]2020'!J215</f>
        <v>0</v>
      </c>
      <c r="K205" s="46">
        <f>'[1]2018'!K215+'[1]2019'!K215+'[1]2020'!K215</f>
        <v>0</v>
      </c>
      <c r="L205" s="46">
        <f>'[1]2018'!L215+'[1]2019'!L215+'[1]2020'!L215</f>
        <v>2</v>
      </c>
      <c r="M205" s="46">
        <f>'[1]2018'!M215+'[1]2019'!M215+'[1]2020'!M215</f>
        <v>0</v>
      </c>
      <c r="N205" s="46">
        <f>'[1]2018'!N215+'[1]2019'!N215+'[1]2020'!N215</f>
        <v>0</v>
      </c>
      <c r="O205" s="46">
        <f>'[1]2018'!O215+'[1]2019'!O215+'[1]2020'!O215</f>
        <v>0</v>
      </c>
      <c r="P205" s="46">
        <f>'[1]2018'!P215+'[1]2019'!P215+'[1]2020'!P215</f>
        <v>0</v>
      </c>
      <c r="Q205" s="46">
        <f>'[1]2018'!Q215+'[1]2019'!Q215+'[1]2020'!Q215</f>
        <v>0</v>
      </c>
      <c r="R205" s="46">
        <f>'[1]2018'!R215+'[1]2019'!R215+'[1]2020'!R215</f>
        <v>0</v>
      </c>
      <c r="S205" s="46">
        <f>'[1]2018'!S215+'[1]2019'!S215+'[1]2020'!S215</f>
        <v>0</v>
      </c>
      <c r="T205" s="46">
        <f>'[1]2018'!T215+'[1]2019'!T215+'[1]2020'!T215</f>
        <v>0</v>
      </c>
      <c r="U205" s="46">
        <f>'[1]2018'!U215+'[1]2019'!U215+'[1]2020'!U215</f>
        <v>3</v>
      </c>
      <c r="V205" s="46">
        <f>'[1]2018'!V215+'[1]2019'!V215+'[1]2020'!V215</f>
        <v>3</v>
      </c>
      <c r="W205" s="46">
        <f>'[1]2018'!W215+'[1]2019'!W215+'[1]2020'!W215</f>
        <v>0</v>
      </c>
      <c r="X205" s="46">
        <f>'[1]2018'!X215+'[1]2019'!X215+'[1]2020'!X215</f>
        <v>7</v>
      </c>
      <c r="Y205" s="41">
        <f t="shared" si="25"/>
        <v>15</v>
      </c>
      <c r="Z205" s="11">
        <f>'[1]2018'!Z215+'[1]2019'!Z215+'[1]2020'!Z215</f>
        <v>9</v>
      </c>
      <c r="AA205" s="11">
        <f>'[1]2018'!AA215+'[1]2019'!AA215+'[1]2020'!AA215</f>
        <v>3</v>
      </c>
      <c r="AB205" s="11">
        <f>'[1]2018'!AB215+'[1]2019'!AB215+'[1]2020'!AB215</f>
        <v>9</v>
      </c>
      <c r="AC205" s="11">
        <f>'[1]2018'!AC215+'[1]2019'!AC215+'[1]2020'!AC215</f>
        <v>3</v>
      </c>
      <c r="AD205" s="11">
        <f>'[1]2018'!AD215+'[1]2019'!AD215+'[1]2020'!AD215</f>
        <v>0</v>
      </c>
      <c r="AE205" s="11">
        <f>'[1]2018'!AE215+'[1]2019'!AE215+'[1]2020'!AE215</f>
        <v>0</v>
      </c>
      <c r="AF205" s="11">
        <f>'[1]2018'!AF215+'[1]2019'!AF215+'[1]2020'!AF215</f>
        <v>0</v>
      </c>
      <c r="AG205" s="11">
        <f>'[1]2018'!AG215+'[1]2019'!AG215+'[1]2020'!AG215</f>
        <v>0</v>
      </c>
      <c r="AH205" s="11">
        <f>'[1]2018'!AH215+'[1]2019'!AH215+'[1]2020'!AH215</f>
        <v>0</v>
      </c>
      <c r="AI205" s="11">
        <f>'[1]2018'!AI215+'[1]2019'!AI215+'[1]2020'!AI215</f>
        <v>0</v>
      </c>
      <c r="AJ205" s="11">
        <f>'[1]2018'!AJ215+'[1]2019'!AJ215+'[1]2020'!AJ215</f>
        <v>1</v>
      </c>
      <c r="AK205" s="11">
        <f>'[1]2018'!AK215+'[1]2019'!AK215+'[1]2020'!AK215</f>
        <v>0</v>
      </c>
      <c r="AL205" s="11">
        <f>'[1]2018'!AL215+'[1]2019'!AL215+'[1]2020'!AL215</f>
        <v>0</v>
      </c>
      <c r="AM205" s="11">
        <f>'[1]2018'!AM215+'[1]2019'!AM215+'[1]2020'!AM215</f>
        <v>0</v>
      </c>
      <c r="AN205" s="11">
        <f>'[1]2018'!AN215+'[1]2019'!AN215+'[1]2020'!AN215</f>
        <v>0</v>
      </c>
      <c r="AO205" s="11">
        <f>'[1]2018'!AO215+'[1]2019'!AO215+'[1]2020'!AO215</f>
        <v>0</v>
      </c>
      <c r="AP205" s="11">
        <f>'[1]2018'!AP215+'[1]2019'!AP215+'[1]2020'!AP215</f>
        <v>0</v>
      </c>
      <c r="AQ205" s="11">
        <f>'[1]2018'!AQ215+'[1]2019'!AQ215+'[1]2020'!AQ215</f>
        <v>0</v>
      </c>
      <c r="AR205" s="11">
        <f>'[1]2018'!AR215+'[1]2019'!AR215+'[1]2020'!AR215</f>
        <v>0</v>
      </c>
      <c r="AS205" s="11">
        <f>'[1]2018'!AS215+'[1]2019'!AS215+'[1]2020'!AS215</f>
        <v>2</v>
      </c>
      <c r="AT205" s="11">
        <f>'[1]2018'!AT215+'[1]2019'!AT215+'[1]2020'!AT215</f>
        <v>2</v>
      </c>
      <c r="AU205" s="11">
        <f>'[1]2018'!AU215+'[1]2019'!AU215+'[1]2020'!AU215</f>
        <v>0</v>
      </c>
      <c r="AV205" s="11">
        <f>'[1]2018'!AV215+'[1]2019'!AV215+'[1]2020'!AV215</f>
        <v>4</v>
      </c>
      <c r="AW205" s="41">
        <f t="shared" si="26"/>
        <v>9</v>
      </c>
      <c r="AX205" s="14">
        <f t="shared" si="27"/>
        <v>1673.5555555555557</v>
      </c>
      <c r="AY205" s="2">
        <f>'[1]2018'!AX215+'[1]2019'!AX215+'[1]2020'!AX215</f>
        <v>5020.666666666667</v>
      </c>
    </row>
    <row r="206" spans="1:136" x14ac:dyDescent="0.25">
      <c r="A206" s="15" t="s">
        <v>123</v>
      </c>
      <c r="B206" s="46">
        <f>'[1]2018'!B216+'[1]2019'!B216+'[1]2020'!B216</f>
        <v>5</v>
      </c>
      <c r="C206" s="46">
        <f>'[1]2018'!C216+'[1]2019'!C216+'[1]2020'!C216</f>
        <v>3</v>
      </c>
      <c r="D206" s="46">
        <f>'[1]2018'!D216+'[1]2019'!D216+'[1]2020'!D216</f>
        <v>23</v>
      </c>
      <c r="E206" s="46">
        <f>'[1]2018'!E216+'[1]2019'!E216+'[1]2020'!E216</f>
        <v>5</v>
      </c>
      <c r="F206" s="46">
        <f>'[1]2018'!F216+'[1]2019'!F216+'[1]2020'!F216</f>
        <v>0</v>
      </c>
      <c r="G206" s="46">
        <f>'[1]2018'!G216+'[1]2019'!G216+'[1]2020'!G216</f>
        <v>0</v>
      </c>
      <c r="H206" s="46">
        <f>'[1]2018'!H216+'[1]2019'!H216+'[1]2020'!H216</f>
        <v>0</v>
      </c>
      <c r="I206" s="46">
        <f>'[1]2018'!I216+'[1]2019'!I216+'[1]2020'!I216</f>
        <v>0</v>
      </c>
      <c r="J206" s="46">
        <f>'[1]2018'!J216+'[1]2019'!J216+'[1]2020'!J216</f>
        <v>0</v>
      </c>
      <c r="K206" s="46">
        <f>'[1]2018'!K216+'[1]2019'!K216+'[1]2020'!K216</f>
        <v>0</v>
      </c>
      <c r="L206" s="46">
        <f>'[1]2018'!L216+'[1]2019'!L216+'[1]2020'!L216</f>
        <v>0</v>
      </c>
      <c r="M206" s="46">
        <f>'[1]2018'!M216+'[1]2019'!M216+'[1]2020'!M216</f>
        <v>0</v>
      </c>
      <c r="N206" s="46">
        <f>'[1]2018'!N216+'[1]2019'!N216+'[1]2020'!N216</f>
        <v>0</v>
      </c>
      <c r="O206" s="46">
        <f>'[1]2018'!O216+'[1]2019'!O216+'[1]2020'!O216</f>
        <v>0</v>
      </c>
      <c r="P206" s="46">
        <f>'[1]2018'!P216+'[1]2019'!P216+'[1]2020'!P216</f>
        <v>0</v>
      </c>
      <c r="Q206" s="46">
        <f>'[1]2018'!Q216+'[1]2019'!Q216+'[1]2020'!Q216</f>
        <v>0</v>
      </c>
      <c r="R206" s="46">
        <f>'[1]2018'!R216+'[1]2019'!R216+'[1]2020'!R216</f>
        <v>0</v>
      </c>
      <c r="S206" s="46">
        <f>'[1]2018'!S216+'[1]2019'!S216+'[1]2020'!S216</f>
        <v>0</v>
      </c>
      <c r="T206" s="46">
        <f>'[1]2018'!T216+'[1]2019'!T216+'[1]2020'!T216</f>
        <v>0</v>
      </c>
      <c r="U206" s="46">
        <f>'[1]2018'!U216+'[1]2019'!U216+'[1]2020'!U216</f>
        <v>23</v>
      </c>
      <c r="V206" s="46">
        <f>'[1]2018'!V216+'[1]2019'!V216+'[1]2020'!V216</f>
        <v>0</v>
      </c>
      <c r="W206" s="46">
        <f>'[1]2018'!W216+'[1]2019'!W216+'[1]2020'!W216</f>
        <v>0</v>
      </c>
      <c r="X206" s="46">
        <f>'[1]2018'!X216+'[1]2019'!X216+'[1]2020'!X216</f>
        <v>0</v>
      </c>
      <c r="Y206" s="41">
        <f t="shared" si="25"/>
        <v>23</v>
      </c>
      <c r="Z206" s="11">
        <f>'[1]2018'!Z216+'[1]2019'!Z216+'[1]2020'!Z216</f>
        <v>4</v>
      </c>
      <c r="AA206" s="11">
        <f>'[1]2018'!AA216+'[1]2019'!AA216+'[1]2020'!AA216</f>
        <v>3</v>
      </c>
      <c r="AB206" s="11">
        <f>'[1]2018'!AB216+'[1]2019'!AB216+'[1]2020'!AB216</f>
        <v>14</v>
      </c>
      <c r="AC206" s="11">
        <f>'[1]2018'!AC216+'[1]2019'!AC216+'[1]2020'!AC216</f>
        <v>5</v>
      </c>
      <c r="AD206" s="11">
        <f>'[1]2018'!AD216+'[1]2019'!AD216+'[1]2020'!AD216</f>
        <v>0</v>
      </c>
      <c r="AE206" s="11">
        <f>'[1]2018'!AE216+'[1]2019'!AE216+'[1]2020'!AE216</f>
        <v>0</v>
      </c>
      <c r="AF206" s="11">
        <f>'[1]2018'!AF216+'[1]2019'!AF216+'[1]2020'!AF216</f>
        <v>0</v>
      </c>
      <c r="AG206" s="11">
        <f>'[1]2018'!AG216+'[1]2019'!AG216+'[1]2020'!AG216</f>
        <v>0</v>
      </c>
      <c r="AH206" s="11">
        <f>'[1]2018'!AH216+'[1]2019'!AH216+'[1]2020'!AH216</f>
        <v>0</v>
      </c>
      <c r="AI206" s="11">
        <f>'[1]2018'!AI216+'[1]2019'!AI216+'[1]2020'!AI216</f>
        <v>0</v>
      </c>
      <c r="AJ206" s="11">
        <f>'[1]2018'!AJ216+'[1]2019'!AJ216+'[1]2020'!AJ216</f>
        <v>0</v>
      </c>
      <c r="AK206" s="11">
        <f>'[1]2018'!AK216+'[1]2019'!AK216+'[1]2020'!AK216</f>
        <v>0</v>
      </c>
      <c r="AL206" s="11">
        <f>'[1]2018'!AL216+'[1]2019'!AL216+'[1]2020'!AL216</f>
        <v>0</v>
      </c>
      <c r="AM206" s="11">
        <f>'[1]2018'!AM216+'[1]2019'!AM216+'[1]2020'!AM216</f>
        <v>0</v>
      </c>
      <c r="AN206" s="11">
        <f>'[1]2018'!AN216+'[1]2019'!AN216+'[1]2020'!AN216</f>
        <v>0</v>
      </c>
      <c r="AO206" s="11">
        <f>'[1]2018'!AO216+'[1]2019'!AO216+'[1]2020'!AO216</f>
        <v>0</v>
      </c>
      <c r="AP206" s="11">
        <f>'[1]2018'!AP216+'[1]2019'!AP216+'[1]2020'!AP216</f>
        <v>0</v>
      </c>
      <c r="AQ206" s="11">
        <f>'[1]2018'!AQ216+'[1]2019'!AQ216+'[1]2020'!AQ216</f>
        <v>0</v>
      </c>
      <c r="AR206" s="11">
        <f>'[1]2018'!AR216+'[1]2019'!AR216+'[1]2020'!AR216</f>
        <v>0</v>
      </c>
      <c r="AS206" s="11">
        <f>'[1]2018'!AS216+'[1]2019'!AS216+'[1]2020'!AS216</f>
        <v>14</v>
      </c>
      <c r="AT206" s="11">
        <f>'[1]2018'!AT216+'[1]2019'!AT216+'[1]2020'!AT216</f>
        <v>0</v>
      </c>
      <c r="AU206" s="11">
        <f>'[1]2018'!AU216+'[1]2019'!AU216+'[1]2020'!AU216</f>
        <v>0</v>
      </c>
      <c r="AV206" s="11">
        <f>'[1]2018'!AV216+'[1]2019'!AV216+'[1]2020'!AV216</f>
        <v>0</v>
      </c>
      <c r="AW206" s="41">
        <f t="shared" si="26"/>
        <v>14</v>
      </c>
      <c r="AX206" s="14">
        <f t="shared" si="27"/>
        <v>2977.7766666666666</v>
      </c>
      <c r="AY206" s="2">
        <f>'[1]2018'!AX216+'[1]2019'!AX216+'[1]2020'!AX216</f>
        <v>8933.33</v>
      </c>
    </row>
    <row r="207" spans="1:136" x14ac:dyDescent="0.25">
      <c r="A207" s="10" t="s">
        <v>61</v>
      </c>
      <c r="B207" s="46">
        <f>'[1]2018'!B217+'[1]2019'!B217+'[1]2020'!B217</f>
        <v>4</v>
      </c>
      <c r="C207" s="46">
        <f>'[1]2018'!C217+'[1]2019'!C217+'[1]2020'!C217</f>
        <v>3</v>
      </c>
      <c r="D207" s="46">
        <f>'[1]2018'!D217+'[1]2019'!D217+'[1]2020'!D217</f>
        <v>5</v>
      </c>
      <c r="E207" s="46">
        <f>'[1]2018'!E217+'[1]2019'!E217+'[1]2020'!E217</f>
        <v>4</v>
      </c>
      <c r="F207" s="46">
        <f>'[1]2018'!F217+'[1]2019'!F217+'[1]2020'!F217</f>
        <v>0</v>
      </c>
      <c r="G207" s="46">
        <f>'[1]2018'!G217+'[1]2019'!G217+'[1]2020'!G217</f>
        <v>0</v>
      </c>
      <c r="H207" s="46">
        <f>'[1]2018'!H217+'[1]2019'!H217+'[1]2020'!H217</f>
        <v>0</v>
      </c>
      <c r="I207" s="46">
        <f>'[1]2018'!I217+'[1]2019'!I217+'[1]2020'!I217</f>
        <v>0</v>
      </c>
      <c r="J207" s="46">
        <f>'[1]2018'!J217+'[1]2019'!J217+'[1]2020'!J217</f>
        <v>0</v>
      </c>
      <c r="K207" s="46">
        <f>'[1]2018'!K217+'[1]2019'!K217+'[1]2020'!K217</f>
        <v>0</v>
      </c>
      <c r="L207" s="46">
        <f>'[1]2018'!L217+'[1]2019'!L217+'[1]2020'!L217</f>
        <v>0</v>
      </c>
      <c r="M207" s="46">
        <f>'[1]2018'!M217+'[1]2019'!M217+'[1]2020'!M217</f>
        <v>0</v>
      </c>
      <c r="N207" s="46">
        <f>'[1]2018'!N217+'[1]2019'!N217+'[1]2020'!N217</f>
        <v>0</v>
      </c>
      <c r="O207" s="46">
        <f>'[1]2018'!O217+'[1]2019'!O217+'[1]2020'!O217</f>
        <v>0</v>
      </c>
      <c r="P207" s="46">
        <f>'[1]2018'!P217+'[1]2019'!P217+'[1]2020'!P217</f>
        <v>0</v>
      </c>
      <c r="Q207" s="46">
        <f>'[1]2018'!Q217+'[1]2019'!Q217+'[1]2020'!Q217</f>
        <v>0</v>
      </c>
      <c r="R207" s="46">
        <f>'[1]2018'!R217+'[1]2019'!R217+'[1]2020'!R217</f>
        <v>0</v>
      </c>
      <c r="S207" s="46">
        <f>'[1]2018'!S217+'[1]2019'!S217+'[1]2020'!S217</f>
        <v>0</v>
      </c>
      <c r="T207" s="46">
        <f>'[1]2018'!T217+'[1]2019'!T217+'[1]2020'!T217</f>
        <v>0</v>
      </c>
      <c r="U207" s="46">
        <f>'[1]2018'!U217+'[1]2019'!U217+'[1]2020'!U217</f>
        <v>3</v>
      </c>
      <c r="V207" s="46">
        <f>'[1]2018'!V217+'[1]2019'!V217+'[1]2020'!V217</f>
        <v>2</v>
      </c>
      <c r="W207" s="46">
        <f>'[1]2018'!W217+'[1]2019'!W217+'[1]2020'!W217</f>
        <v>0</v>
      </c>
      <c r="X207" s="46">
        <f>'[1]2018'!X217+'[1]2019'!X217+'[1]2020'!X217</f>
        <v>0</v>
      </c>
      <c r="Y207" s="41">
        <f t="shared" si="25"/>
        <v>5</v>
      </c>
      <c r="Z207" s="11">
        <f>'[1]2018'!Z217+'[1]2019'!Z217+'[1]2020'!Z217</f>
        <v>4</v>
      </c>
      <c r="AA207" s="11">
        <f>'[1]2018'!AA217+'[1]2019'!AA217+'[1]2020'!AA217</f>
        <v>3</v>
      </c>
      <c r="AB207" s="11">
        <f>'[1]2018'!AB217+'[1]2019'!AB217+'[1]2020'!AB217</f>
        <v>5</v>
      </c>
      <c r="AC207" s="11">
        <f>'[1]2018'!AC217+'[1]2019'!AC217+'[1]2020'!AC217</f>
        <v>4</v>
      </c>
      <c r="AD207" s="11">
        <f>'[1]2018'!AD217+'[1]2019'!AD217+'[1]2020'!AD217</f>
        <v>0</v>
      </c>
      <c r="AE207" s="11">
        <f>'[1]2018'!AE217+'[1]2019'!AE217+'[1]2020'!AE217</f>
        <v>0</v>
      </c>
      <c r="AF207" s="11">
        <f>'[1]2018'!AF217+'[1]2019'!AF217+'[1]2020'!AF217</f>
        <v>0</v>
      </c>
      <c r="AG207" s="11">
        <f>'[1]2018'!AG217+'[1]2019'!AG217+'[1]2020'!AG217</f>
        <v>0</v>
      </c>
      <c r="AH207" s="11">
        <f>'[1]2018'!AH217+'[1]2019'!AH217+'[1]2020'!AH217</f>
        <v>0</v>
      </c>
      <c r="AI207" s="11">
        <f>'[1]2018'!AI217+'[1]2019'!AI217+'[1]2020'!AI217</f>
        <v>0</v>
      </c>
      <c r="AJ207" s="11">
        <f>'[1]2018'!AJ217+'[1]2019'!AJ217+'[1]2020'!AJ217</f>
        <v>0</v>
      </c>
      <c r="AK207" s="11">
        <f>'[1]2018'!AK217+'[1]2019'!AK217+'[1]2020'!AK217</f>
        <v>0</v>
      </c>
      <c r="AL207" s="11">
        <f>'[1]2018'!AL217+'[1]2019'!AL217+'[1]2020'!AL217</f>
        <v>0</v>
      </c>
      <c r="AM207" s="11">
        <f>'[1]2018'!AM217+'[1]2019'!AM217+'[1]2020'!AM217</f>
        <v>0</v>
      </c>
      <c r="AN207" s="11">
        <f>'[1]2018'!AN217+'[1]2019'!AN217+'[1]2020'!AN217</f>
        <v>0</v>
      </c>
      <c r="AO207" s="11">
        <f>'[1]2018'!AO217+'[1]2019'!AO217+'[1]2020'!AO217</f>
        <v>0</v>
      </c>
      <c r="AP207" s="11">
        <f>'[1]2018'!AP217+'[1]2019'!AP217+'[1]2020'!AP217</f>
        <v>0</v>
      </c>
      <c r="AQ207" s="11">
        <f>'[1]2018'!AQ217+'[1]2019'!AQ217+'[1]2020'!AQ217</f>
        <v>0</v>
      </c>
      <c r="AR207" s="11">
        <f>'[1]2018'!AR217+'[1]2019'!AR217+'[1]2020'!AR217</f>
        <v>0</v>
      </c>
      <c r="AS207" s="11">
        <f>'[1]2018'!AS217+'[1]2019'!AS217+'[1]2020'!AS217</f>
        <v>3</v>
      </c>
      <c r="AT207" s="11">
        <f>'[1]2018'!AT217+'[1]2019'!AT217+'[1]2020'!AT217</f>
        <v>2</v>
      </c>
      <c r="AU207" s="11">
        <f>'[1]2018'!AU217+'[1]2019'!AU217+'[1]2020'!AU217</f>
        <v>0</v>
      </c>
      <c r="AV207" s="11">
        <f>'[1]2018'!AV217+'[1]2019'!AV217+'[1]2020'!AV217</f>
        <v>0</v>
      </c>
      <c r="AW207" s="41">
        <f t="shared" si="26"/>
        <v>5</v>
      </c>
      <c r="AX207" s="14">
        <f t="shared" si="27"/>
        <v>2513.3333333333335</v>
      </c>
      <c r="AY207" s="2">
        <f>'[1]2018'!AX217+'[1]2019'!AX217+'[1]2020'!AX217</f>
        <v>7540</v>
      </c>
    </row>
    <row r="208" spans="1:136" x14ac:dyDescent="0.25">
      <c r="A208" s="10" t="s">
        <v>62</v>
      </c>
      <c r="B208" s="46">
        <f>'[1]2018'!B218+'[1]2019'!B218+'[1]2020'!B218</f>
        <v>10</v>
      </c>
      <c r="C208" s="46">
        <f>'[1]2018'!C218+'[1]2019'!C218+'[1]2020'!C218</f>
        <v>6</v>
      </c>
      <c r="D208" s="46">
        <f>'[1]2018'!D218+'[1]2019'!D218+'[1]2020'!D218</f>
        <v>169</v>
      </c>
      <c r="E208" s="46">
        <f>'[1]2018'!E218+'[1]2019'!E218+'[1]2020'!E218</f>
        <v>154</v>
      </c>
      <c r="F208" s="46">
        <f>'[1]2018'!F218+'[1]2019'!F218+'[1]2020'!F218</f>
        <v>0</v>
      </c>
      <c r="G208" s="46">
        <f>'[1]2018'!G218+'[1]2019'!G218+'[1]2020'!G218</f>
        <v>0</v>
      </c>
      <c r="H208" s="46">
        <f>'[1]2018'!H218+'[1]2019'!H218+'[1]2020'!H218</f>
        <v>1</v>
      </c>
      <c r="I208" s="46">
        <f>'[1]2018'!I218+'[1]2019'!I218+'[1]2020'!I218</f>
        <v>0</v>
      </c>
      <c r="J208" s="46">
        <f>'[1]2018'!J218+'[1]2019'!J218+'[1]2020'!J218</f>
        <v>0</v>
      </c>
      <c r="K208" s="46">
        <f>'[1]2018'!K218+'[1]2019'!K218+'[1]2020'!K218</f>
        <v>0</v>
      </c>
      <c r="L208" s="46">
        <f>'[1]2018'!L218+'[1]2019'!L218+'[1]2020'!L218</f>
        <v>6</v>
      </c>
      <c r="M208" s="46">
        <f>'[1]2018'!M218+'[1]2019'!M218+'[1]2020'!M218</f>
        <v>0</v>
      </c>
      <c r="N208" s="46">
        <f>'[1]2018'!N218+'[1]2019'!N218+'[1]2020'!N218</f>
        <v>0</v>
      </c>
      <c r="O208" s="46">
        <f>'[1]2018'!O218+'[1]2019'!O218+'[1]2020'!O218</f>
        <v>0</v>
      </c>
      <c r="P208" s="46">
        <f>'[1]2018'!P218+'[1]2019'!P218+'[1]2020'!P218</f>
        <v>0</v>
      </c>
      <c r="Q208" s="46">
        <f>'[1]2018'!Q218+'[1]2019'!Q218+'[1]2020'!Q218</f>
        <v>0</v>
      </c>
      <c r="R208" s="46">
        <f>'[1]2018'!R218+'[1]2019'!R218+'[1]2020'!R218</f>
        <v>1</v>
      </c>
      <c r="S208" s="46">
        <f>'[1]2018'!S218+'[1]2019'!S218+'[1]2020'!S218</f>
        <v>0</v>
      </c>
      <c r="T208" s="46">
        <f>'[1]2018'!T218+'[1]2019'!T218+'[1]2020'!T218</f>
        <v>1</v>
      </c>
      <c r="U208" s="46">
        <f>'[1]2018'!U218+'[1]2019'!U218+'[1]2020'!U218</f>
        <v>143</v>
      </c>
      <c r="V208" s="46">
        <f>'[1]2018'!V218+'[1]2019'!V218+'[1]2020'!V218</f>
        <v>15</v>
      </c>
      <c r="W208" s="46">
        <f>'[1]2018'!W218+'[1]2019'!W218+'[1]2020'!W218</f>
        <v>0</v>
      </c>
      <c r="X208" s="46">
        <f>'[1]2018'!X218+'[1]2019'!X218+'[1]2020'!X218</f>
        <v>2</v>
      </c>
      <c r="Y208" s="41">
        <f t="shared" si="25"/>
        <v>169</v>
      </c>
      <c r="Z208" s="11">
        <f>'[1]2018'!Z218+'[1]2019'!Z218+'[1]2020'!Z218</f>
        <v>6</v>
      </c>
      <c r="AA208" s="11">
        <f>'[1]2018'!AA218+'[1]2019'!AA218+'[1]2020'!AA218</f>
        <v>5</v>
      </c>
      <c r="AB208" s="11">
        <f>'[1]2018'!AB218+'[1]2019'!AB218+'[1]2020'!AB218</f>
        <v>163</v>
      </c>
      <c r="AC208" s="11">
        <f>'[1]2018'!AC218+'[1]2019'!AC218+'[1]2020'!AC218</f>
        <v>163</v>
      </c>
      <c r="AD208" s="11">
        <f>'[1]2018'!AD218+'[1]2019'!AD218+'[1]2020'!AD218</f>
        <v>0</v>
      </c>
      <c r="AE208" s="11">
        <f>'[1]2018'!AE218+'[1]2019'!AE218+'[1]2020'!AE218</f>
        <v>0</v>
      </c>
      <c r="AF208" s="11">
        <f>'[1]2018'!AF218+'[1]2019'!AF218+'[1]2020'!AF218</f>
        <v>0</v>
      </c>
      <c r="AG208" s="11">
        <f>'[1]2018'!AG218+'[1]2019'!AG218+'[1]2020'!AG218</f>
        <v>0</v>
      </c>
      <c r="AH208" s="11">
        <f>'[1]2018'!AH218+'[1]2019'!AH218+'[1]2020'!AH218</f>
        <v>0</v>
      </c>
      <c r="AI208" s="11">
        <f>'[1]2018'!AI218+'[1]2019'!AI218+'[1]2020'!AI218</f>
        <v>0</v>
      </c>
      <c r="AJ208" s="11">
        <f>'[1]2018'!AJ218+'[1]2019'!AJ218+'[1]2020'!AJ218</f>
        <v>2</v>
      </c>
      <c r="AK208" s="11">
        <f>'[1]2018'!AK218+'[1]2019'!AK218+'[1]2020'!AK218</f>
        <v>0</v>
      </c>
      <c r="AL208" s="11">
        <f>'[1]2018'!AL218+'[1]2019'!AL218+'[1]2020'!AL218</f>
        <v>0</v>
      </c>
      <c r="AM208" s="11">
        <f>'[1]2018'!AM218+'[1]2019'!AM218+'[1]2020'!AM218</f>
        <v>0</v>
      </c>
      <c r="AN208" s="11">
        <f>'[1]2018'!AN218+'[1]2019'!AN218+'[1]2020'!AN218</f>
        <v>0</v>
      </c>
      <c r="AO208" s="11">
        <f>'[1]2018'!AO218+'[1]2019'!AO218+'[1]2020'!AO218</f>
        <v>0</v>
      </c>
      <c r="AP208" s="11">
        <f>'[1]2018'!AP218+'[1]2019'!AP218+'[1]2020'!AP218</f>
        <v>0</v>
      </c>
      <c r="AQ208" s="11">
        <f>'[1]2018'!AQ218+'[1]2019'!AQ218+'[1]2020'!AQ218</f>
        <v>0</v>
      </c>
      <c r="AR208" s="11">
        <f>'[1]2018'!AR218+'[1]2019'!AR218+'[1]2020'!AR218</f>
        <v>0</v>
      </c>
      <c r="AS208" s="11">
        <f>'[1]2018'!AS218+'[1]2019'!AS218+'[1]2020'!AS218</f>
        <v>0</v>
      </c>
      <c r="AT208" s="11">
        <f>'[1]2018'!AT218+'[1]2019'!AT218+'[1]2020'!AT218</f>
        <v>157</v>
      </c>
      <c r="AU208" s="11">
        <f>'[1]2018'!AU218+'[1]2019'!AU218+'[1]2020'!AU218</f>
        <v>0</v>
      </c>
      <c r="AV208" s="11">
        <f>'[1]2018'!AV218+'[1]2019'!AV218+'[1]2020'!AV218</f>
        <v>4</v>
      </c>
      <c r="AW208" s="41">
        <f t="shared" si="26"/>
        <v>163</v>
      </c>
      <c r="AX208" s="14">
        <f t="shared" si="27"/>
        <v>671.77777777777771</v>
      </c>
      <c r="AY208" s="2">
        <f>'[1]2018'!AX218+'[1]2019'!AX218+'[1]2020'!AX218</f>
        <v>2015.3333333333333</v>
      </c>
    </row>
    <row r="209" spans="1:136" x14ac:dyDescent="0.25">
      <c r="A209" s="10" t="s">
        <v>63</v>
      </c>
      <c r="B209" s="46">
        <f>'[1]2018'!B219+'[1]2019'!B219+'[1]2020'!B219</f>
        <v>6</v>
      </c>
      <c r="C209" s="46">
        <f>'[1]2018'!C219+'[1]2019'!C219+'[1]2020'!C219</f>
        <v>6</v>
      </c>
      <c r="D209" s="46">
        <f>'[1]2018'!D219+'[1]2019'!D219+'[1]2020'!D219</f>
        <v>6</v>
      </c>
      <c r="E209" s="46">
        <f>'[1]2018'!E219+'[1]2019'!E219+'[1]2020'!E219</f>
        <v>6</v>
      </c>
      <c r="F209" s="46">
        <f>'[1]2018'!F219+'[1]2019'!F219+'[1]2020'!F219</f>
        <v>0</v>
      </c>
      <c r="G209" s="46">
        <f>'[1]2018'!G219+'[1]2019'!G219+'[1]2020'!G219</f>
        <v>0</v>
      </c>
      <c r="H209" s="46">
        <f>'[1]2018'!H219+'[1]2019'!H219+'[1]2020'!H219</f>
        <v>0</v>
      </c>
      <c r="I209" s="46">
        <f>'[1]2018'!I219+'[1]2019'!I219+'[1]2020'!I219</f>
        <v>0</v>
      </c>
      <c r="J209" s="46">
        <f>'[1]2018'!J219+'[1]2019'!J219+'[1]2020'!J219</f>
        <v>0</v>
      </c>
      <c r="K209" s="46">
        <f>'[1]2018'!K219+'[1]2019'!K219+'[1]2020'!K219</f>
        <v>0</v>
      </c>
      <c r="L209" s="46">
        <f>'[1]2018'!L219+'[1]2019'!L219+'[1]2020'!L219</f>
        <v>0</v>
      </c>
      <c r="M209" s="46">
        <f>'[1]2018'!M219+'[1]2019'!M219+'[1]2020'!M219</f>
        <v>0</v>
      </c>
      <c r="N209" s="46">
        <f>'[1]2018'!N219+'[1]2019'!N219+'[1]2020'!N219</f>
        <v>0</v>
      </c>
      <c r="O209" s="46">
        <f>'[1]2018'!O219+'[1]2019'!O219+'[1]2020'!O219</f>
        <v>0</v>
      </c>
      <c r="P209" s="46">
        <f>'[1]2018'!P219+'[1]2019'!P219+'[1]2020'!P219</f>
        <v>0</v>
      </c>
      <c r="Q209" s="46">
        <f>'[1]2018'!Q219+'[1]2019'!Q219+'[1]2020'!Q219</f>
        <v>0</v>
      </c>
      <c r="R209" s="46">
        <f>'[1]2018'!R219+'[1]2019'!R219+'[1]2020'!R219</f>
        <v>0</v>
      </c>
      <c r="S209" s="46">
        <f>'[1]2018'!S219+'[1]2019'!S219+'[1]2020'!S219</f>
        <v>0</v>
      </c>
      <c r="T209" s="46">
        <f>'[1]2018'!T219+'[1]2019'!T219+'[1]2020'!T219</f>
        <v>0</v>
      </c>
      <c r="U209" s="46">
        <f>'[1]2018'!U219+'[1]2019'!U219+'[1]2020'!U219</f>
        <v>4</v>
      </c>
      <c r="V209" s="46">
        <f>'[1]2018'!V219+'[1]2019'!V219+'[1]2020'!V219</f>
        <v>2</v>
      </c>
      <c r="W209" s="46">
        <f>'[1]2018'!W219+'[1]2019'!W219+'[1]2020'!W219</f>
        <v>0</v>
      </c>
      <c r="X209" s="46">
        <f>'[1]2018'!X219+'[1]2019'!X219+'[1]2020'!X219</f>
        <v>0</v>
      </c>
      <c r="Y209" s="41">
        <f t="shared" si="25"/>
        <v>6</v>
      </c>
      <c r="Z209" s="11">
        <f>'[1]2018'!Z219+'[1]2019'!Z219+'[1]2020'!Z219</f>
        <v>6</v>
      </c>
      <c r="AA209" s="11">
        <f>'[1]2018'!AA219+'[1]2019'!AA219+'[1]2020'!AA219</f>
        <v>6</v>
      </c>
      <c r="AB209" s="11">
        <f>'[1]2018'!AB219+'[1]2019'!AB219+'[1]2020'!AB219</f>
        <v>6</v>
      </c>
      <c r="AC209" s="11">
        <f>'[1]2018'!AC219+'[1]2019'!AC219+'[1]2020'!AC219</f>
        <v>6</v>
      </c>
      <c r="AD209" s="11">
        <f>'[1]2018'!AD219+'[1]2019'!AD219+'[1]2020'!AD219</f>
        <v>0</v>
      </c>
      <c r="AE209" s="11">
        <f>'[1]2018'!AE219+'[1]2019'!AE219+'[1]2020'!AE219</f>
        <v>0</v>
      </c>
      <c r="AF209" s="11">
        <f>'[1]2018'!AF219+'[1]2019'!AF219+'[1]2020'!AF219</f>
        <v>0</v>
      </c>
      <c r="AG209" s="11">
        <f>'[1]2018'!AG219+'[1]2019'!AG219+'[1]2020'!AG219</f>
        <v>0</v>
      </c>
      <c r="AH209" s="11">
        <f>'[1]2018'!AH219+'[1]2019'!AH219+'[1]2020'!AH219</f>
        <v>0</v>
      </c>
      <c r="AI209" s="11">
        <f>'[1]2018'!AI219+'[1]2019'!AI219+'[1]2020'!AI219</f>
        <v>0</v>
      </c>
      <c r="AJ209" s="11">
        <f>'[1]2018'!AJ219+'[1]2019'!AJ219+'[1]2020'!AJ219</f>
        <v>0</v>
      </c>
      <c r="AK209" s="11">
        <f>'[1]2018'!AK219+'[1]2019'!AK219+'[1]2020'!AK219</f>
        <v>0</v>
      </c>
      <c r="AL209" s="11">
        <f>'[1]2018'!AL219+'[1]2019'!AL219+'[1]2020'!AL219</f>
        <v>0</v>
      </c>
      <c r="AM209" s="11">
        <f>'[1]2018'!AM219+'[1]2019'!AM219+'[1]2020'!AM219</f>
        <v>0</v>
      </c>
      <c r="AN209" s="11">
        <f>'[1]2018'!AN219+'[1]2019'!AN219+'[1]2020'!AN219</f>
        <v>0</v>
      </c>
      <c r="AO209" s="11">
        <f>'[1]2018'!AO219+'[1]2019'!AO219+'[1]2020'!AO219</f>
        <v>0</v>
      </c>
      <c r="AP209" s="11">
        <f>'[1]2018'!AP219+'[1]2019'!AP219+'[1]2020'!AP219</f>
        <v>0</v>
      </c>
      <c r="AQ209" s="11">
        <f>'[1]2018'!AQ219+'[1]2019'!AQ219+'[1]2020'!AQ219</f>
        <v>0</v>
      </c>
      <c r="AR209" s="11">
        <f>'[1]2018'!AR219+'[1]2019'!AR219+'[1]2020'!AR219</f>
        <v>0</v>
      </c>
      <c r="AS209" s="11">
        <f>'[1]2018'!AS219+'[1]2019'!AS219+'[1]2020'!AS219</f>
        <v>4</v>
      </c>
      <c r="AT209" s="11">
        <f>'[1]2018'!AT219+'[1]2019'!AT219+'[1]2020'!AT219</f>
        <v>2</v>
      </c>
      <c r="AU209" s="11">
        <f>'[1]2018'!AU219+'[1]2019'!AU219+'[1]2020'!AU219</f>
        <v>0</v>
      </c>
      <c r="AV209" s="11">
        <f>'[1]2018'!AV219+'[1]2019'!AV219+'[1]2020'!AV219</f>
        <v>0</v>
      </c>
      <c r="AW209" s="41">
        <f t="shared" si="26"/>
        <v>6</v>
      </c>
      <c r="AX209" s="14">
        <f t="shared" si="27"/>
        <v>1893.3333333333333</v>
      </c>
      <c r="AY209" s="2">
        <f>'[1]2018'!AX219+'[1]2019'!AX219+'[1]2020'!AX219</f>
        <v>5680</v>
      </c>
    </row>
    <row r="210" spans="1:136" x14ac:dyDescent="0.25">
      <c r="A210" s="10" t="s">
        <v>64</v>
      </c>
      <c r="B210" s="46">
        <f>'[1]2018'!B220+'[1]2019'!B220+'[1]2020'!B220</f>
        <v>3</v>
      </c>
      <c r="C210" s="46">
        <f>'[1]2018'!C220+'[1]2019'!C220+'[1]2020'!C220</f>
        <v>2</v>
      </c>
      <c r="D210" s="46">
        <f>'[1]2018'!D220+'[1]2019'!D220+'[1]2020'!D220</f>
        <v>3</v>
      </c>
      <c r="E210" s="46">
        <f>'[1]2018'!E220+'[1]2019'!E220+'[1]2020'!E220</f>
        <v>2</v>
      </c>
      <c r="F210" s="46">
        <f>'[1]2018'!F220+'[1]2019'!F220+'[1]2020'!F220</f>
        <v>0</v>
      </c>
      <c r="G210" s="46">
        <f>'[1]2018'!G220+'[1]2019'!G220+'[1]2020'!G220</f>
        <v>0</v>
      </c>
      <c r="H210" s="46">
        <f>'[1]2018'!H220+'[1]2019'!H220+'[1]2020'!H220</f>
        <v>0</v>
      </c>
      <c r="I210" s="46">
        <f>'[1]2018'!I220+'[1]2019'!I220+'[1]2020'!I220</f>
        <v>0</v>
      </c>
      <c r="J210" s="46">
        <f>'[1]2018'!J220+'[1]2019'!J220+'[1]2020'!J220</f>
        <v>0</v>
      </c>
      <c r="K210" s="46">
        <f>'[1]2018'!K220+'[1]2019'!K220+'[1]2020'!K220</f>
        <v>0</v>
      </c>
      <c r="L210" s="46">
        <f>'[1]2018'!L220+'[1]2019'!L220+'[1]2020'!L220</f>
        <v>0</v>
      </c>
      <c r="M210" s="46">
        <f>'[1]2018'!M220+'[1]2019'!M220+'[1]2020'!M220</f>
        <v>0</v>
      </c>
      <c r="N210" s="46">
        <f>'[1]2018'!N220+'[1]2019'!N220+'[1]2020'!N220</f>
        <v>0</v>
      </c>
      <c r="O210" s="46">
        <f>'[1]2018'!O220+'[1]2019'!O220+'[1]2020'!O220</f>
        <v>0</v>
      </c>
      <c r="P210" s="46">
        <f>'[1]2018'!P220+'[1]2019'!P220+'[1]2020'!P220</f>
        <v>0</v>
      </c>
      <c r="Q210" s="46">
        <f>'[1]2018'!Q220+'[1]2019'!Q220+'[1]2020'!Q220</f>
        <v>0</v>
      </c>
      <c r="R210" s="46">
        <f>'[1]2018'!R220+'[1]2019'!R220+'[1]2020'!R220</f>
        <v>0</v>
      </c>
      <c r="S210" s="46">
        <f>'[1]2018'!S220+'[1]2019'!S220+'[1]2020'!S220</f>
        <v>0</v>
      </c>
      <c r="T210" s="46">
        <f>'[1]2018'!T220+'[1]2019'!T220+'[1]2020'!T220</f>
        <v>0</v>
      </c>
      <c r="U210" s="46">
        <f>'[1]2018'!U220+'[1]2019'!U220+'[1]2020'!U220</f>
        <v>3</v>
      </c>
      <c r="V210" s="46">
        <f>'[1]2018'!V220+'[1]2019'!V220+'[1]2020'!V220</f>
        <v>0</v>
      </c>
      <c r="W210" s="46">
        <f>'[1]2018'!W220+'[1]2019'!W220+'[1]2020'!W220</f>
        <v>0</v>
      </c>
      <c r="X210" s="46">
        <f>'[1]2018'!X220+'[1]2019'!X220+'[1]2020'!X220</f>
        <v>0</v>
      </c>
      <c r="Y210" s="41">
        <f t="shared" si="25"/>
        <v>3</v>
      </c>
      <c r="Z210" s="11">
        <f>'[1]2018'!Z220+'[1]2019'!Z220+'[1]2020'!Z220</f>
        <v>2</v>
      </c>
      <c r="AA210" s="11">
        <f>'[1]2018'!AA220+'[1]2019'!AA220+'[1]2020'!AA220</f>
        <v>1</v>
      </c>
      <c r="AB210" s="11">
        <f>'[1]2018'!AB220+'[1]2019'!AB220+'[1]2020'!AB220</f>
        <v>2</v>
      </c>
      <c r="AC210" s="11">
        <f>'[1]2018'!AC220+'[1]2019'!AC220+'[1]2020'!AC220</f>
        <v>1</v>
      </c>
      <c r="AD210" s="11">
        <f>'[1]2018'!AD220+'[1]2019'!AD220+'[1]2020'!AD220</f>
        <v>0</v>
      </c>
      <c r="AE210" s="11">
        <f>'[1]2018'!AE220+'[1]2019'!AE220+'[1]2020'!AE220</f>
        <v>0</v>
      </c>
      <c r="AF210" s="11">
        <f>'[1]2018'!AF220+'[1]2019'!AF220+'[1]2020'!AF220</f>
        <v>0</v>
      </c>
      <c r="AG210" s="11">
        <f>'[1]2018'!AG220+'[1]2019'!AG220+'[1]2020'!AG220</f>
        <v>0</v>
      </c>
      <c r="AH210" s="11">
        <f>'[1]2018'!AH220+'[1]2019'!AH220+'[1]2020'!AH220</f>
        <v>0</v>
      </c>
      <c r="AI210" s="11">
        <f>'[1]2018'!AI220+'[1]2019'!AI220+'[1]2020'!AI220</f>
        <v>0</v>
      </c>
      <c r="AJ210" s="11">
        <f>'[1]2018'!AJ220+'[1]2019'!AJ220+'[1]2020'!AJ220</f>
        <v>0</v>
      </c>
      <c r="AK210" s="11">
        <f>'[1]2018'!AK220+'[1]2019'!AK220+'[1]2020'!AK220</f>
        <v>0</v>
      </c>
      <c r="AL210" s="11">
        <f>'[1]2018'!AL220+'[1]2019'!AL220+'[1]2020'!AL220</f>
        <v>0</v>
      </c>
      <c r="AM210" s="11">
        <f>'[1]2018'!AM220+'[1]2019'!AM220+'[1]2020'!AM220</f>
        <v>0</v>
      </c>
      <c r="AN210" s="11">
        <f>'[1]2018'!AN220+'[1]2019'!AN220+'[1]2020'!AN220</f>
        <v>0</v>
      </c>
      <c r="AO210" s="11">
        <f>'[1]2018'!AO220+'[1]2019'!AO220+'[1]2020'!AO220</f>
        <v>0</v>
      </c>
      <c r="AP210" s="11">
        <f>'[1]2018'!AP220+'[1]2019'!AP220+'[1]2020'!AP220</f>
        <v>0</v>
      </c>
      <c r="AQ210" s="11">
        <f>'[1]2018'!AQ220+'[1]2019'!AQ220+'[1]2020'!AQ220</f>
        <v>0</v>
      </c>
      <c r="AR210" s="11">
        <f>'[1]2018'!AR220+'[1]2019'!AR220+'[1]2020'!AR220</f>
        <v>0</v>
      </c>
      <c r="AS210" s="11">
        <f>'[1]2018'!AS220+'[1]2019'!AS220+'[1]2020'!AS220</f>
        <v>2</v>
      </c>
      <c r="AT210" s="11">
        <f>'[1]2018'!AT220+'[1]2019'!AT220+'[1]2020'!AT220</f>
        <v>0</v>
      </c>
      <c r="AU210" s="11">
        <f>'[1]2018'!AU220+'[1]2019'!AU220+'[1]2020'!AU220</f>
        <v>0</v>
      </c>
      <c r="AV210" s="11">
        <f>'[1]2018'!AV220+'[1]2019'!AV220+'[1]2020'!AV220</f>
        <v>0</v>
      </c>
      <c r="AW210" s="41">
        <f t="shared" si="26"/>
        <v>2</v>
      </c>
      <c r="AX210" s="14">
        <f t="shared" si="27"/>
        <v>866.5</v>
      </c>
      <c r="AY210" s="2">
        <f>'[1]2018'!AX220+'[1]2019'!AX220+'[1]2020'!AX220</f>
        <v>2599.5</v>
      </c>
    </row>
    <row r="211" spans="1:136" x14ac:dyDescent="0.25">
      <c r="A211" s="10" t="s">
        <v>65</v>
      </c>
      <c r="B211" s="46">
        <f>'[1]2018'!B221+'[1]2019'!B221+'[1]2020'!B221</f>
        <v>1</v>
      </c>
      <c r="C211" s="46">
        <f>'[1]2018'!C221+'[1]2019'!C221+'[1]2020'!C221</f>
        <v>0</v>
      </c>
      <c r="D211" s="46">
        <f>'[1]2018'!D221+'[1]2019'!D221+'[1]2020'!D221</f>
        <v>1</v>
      </c>
      <c r="E211" s="46">
        <f>'[1]2018'!E221+'[1]2019'!E221+'[1]2020'!E221</f>
        <v>0</v>
      </c>
      <c r="F211" s="46">
        <f>'[1]2018'!F221+'[1]2019'!F221+'[1]2020'!F221</f>
        <v>0</v>
      </c>
      <c r="G211" s="46">
        <f>'[1]2018'!G221+'[1]2019'!G221+'[1]2020'!G221</f>
        <v>0</v>
      </c>
      <c r="H211" s="46">
        <f>'[1]2018'!H221+'[1]2019'!H221+'[1]2020'!H221</f>
        <v>0</v>
      </c>
      <c r="I211" s="46">
        <f>'[1]2018'!I221+'[1]2019'!I221+'[1]2020'!I221</f>
        <v>0</v>
      </c>
      <c r="J211" s="46">
        <f>'[1]2018'!J221+'[1]2019'!J221+'[1]2020'!J221</f>
        <v>0</v>
      </c>
      <c r="K211" s="46">
        <f>'[1]2018'!K221+'[1]2019'!K221+'[1]2020'!K221</f>
        <v>0</v>
      </c>
      <c r="L211" s="46">
        <f>'[1]2018'!L221+'[1]2019'!L221+'[1]2020'!L221</f>
        <v>0</v>
      </c>
      <c r="M211" s="46">
        <f>'[1]2018'!M221+'[1]2019'!M221+'[1]2020'!M221</f>
        <v>0</v>
      </c>
      <c r="N211" s="46">
        <f>'[1]2018'!N221+'[1]2019'!N221+'[1]2020'!N221</f>
        <v>0</v>
      </c>
      <c r="O211" s="46">
        <f>'[1]2018'!O221+'[1]2019'!O221+'[1]2020'!O221</f>
        <v>0</v>
      </c>
      <c r="P211" s="46">
        <f>'[1]2018'!P221+'[1]2019'!P221+'[1]2020'!P221</f>
        <v>0</v>
      </c>
      <c r="Q211" s="46">
        <f>'[1]2018'!Q221+'[1]2019'!Q221+'[1]2020'!Q221</f>
        <v>0</v>
      </c>
      <c r="R211" s="46">
        <f>'[1]2018'!R221+'[1]2019'!R221+'[1]2020'!R221</f>
        <v>0</v>
      </c>
      <c r="S211" s="46">
        <f>'[1]2018'!S221+'[1]2019'!S221+'[1]2020'!S221</f>
        <v>0</v>
      </c>
      <c r="T211" s="46">
        <f>'[1]2018'!T221+'[1]2019'!T221+'[1]2020'!T221</f>
        <v>0</v>
      </c>
      <c r="U211" s="46">
        <f>'[1]2018'!U221+'[1]2019'!U221+'[1]2020'!U221</f>
        <v>1</v>
      </c>
      <c r="V211" s="46">
        <f>'[1]2018'!V221+'[1]2019'!V221+'[1]2020'!V221</f>
        <v>0</v>
      </c>
      <c r="W211" s="46">
        <f>'[1]2018'!W221+'[1]2019'!W221+'[1]2020'!W221</f>
        <v>0</v>
      </c>
      <c r="X211" s="46">
        <f>'[1]2018'!X221+'[1]2019'!X221+'[1]2020'!X221</f>
        <v>0</v>
      </c>
      <c r="Y211" s="41">
        <f t="shared" si="25"/>
        <v>1</v>
      </c>
      <c r="Z211" s="11">
        <f>'[1]2018'!Z221+'[1]2019'!Z221+'[1]2020'!Z221</f>
        <v>1</v>
      </c>
      <c r="AA211" s="11">
        <f>'[1]2018'!AA221+'[1]2019'!AA221+'[1]2020'!AA221</f>
        <v>0</v>
      </c>
      <c r="AB211" s="11">
        <f>'[1]2018'!AB221+'[1]2019'!AB221+'[1]2020'!AB221</f>
        <v>1</v>
      </c>
      <c r="AC211" s="11">
        <f>'[1]2018'!AC221+'[1]2019'!AC221+'[1]2020'!AC221</f>
        <v>0</v>
      </c>
      <c r="AD211" s="11">
        <f>'[1]2018'!AD221+'[1]2019'!AD221+'[1]2020'!AD221</f>
        <v>0</v>
      </c>
      <c r="AE211" s="11">
        <f>'[1]2018'!AE221+'[1]2019'!AE221+'[1]2020'!AE221</f>
        <v>0</v>
      </c>
      <c r="AF211" s="11">
        <f>'[1]2018'!AF221+'[1]2019'!AF221+'[1]2020'!AF221</f>
        <v>0</v>
      </c>
      <c r="AG211" s="11">
        <f>'[1]2018'!AG221+'[1]2019'!AG221+'[1]2020'!AG221</f>
        <v>0</v>
      </c>
      <c r="AH211" s="11">
        <f>'[1]2018'!AH221+'[1]2019'!AH221+'[1]2020'!AH221</f>
        <v>0</v>
      </c>
      <c r="AI211" s="11">
        <f>'[1]2018'!AI221+'[1]2019'!AI221+'[1]2020'!AI221</f>
        <v>0</v>
      </c>
      <c r="AJ211" s="11">
        <f>'[1]2018'!AJ221+'[1]2019'!AJ221+'[1]2020'!AJ221</f>
        <v>0</v>
      </c>
      <c r="AK211" s="11">
        <f>'[1]2018'!AK221+'[1]2019'!AK221+'[1]2020'!AK221</f>
        <v>0</v>
      </c>
      <c r="AL211" s="11">
        <f>'[1]2018'!AL221+'[1]2019'!AL221+'[1]2020'!AL221</f>
        <v>0</v>
      </c>
      <c r="AM211" s="11">
        <f>'[1]2018'!AM221+'[1]2019'!AM221+'[1]2020'!AM221</f>
        <v>0</v>
      </c>
      <c r="AN211" s="11">
        <f>'[1]2018'!AN221+'[1]2019'!AN221+'[1]2020'!AN221</f>
        <v>0</v>
      </c>
      <c r="AO211" s="11">
        <f>'[1]2018'!AO221+'[1]2019'!AO221+'[1]2020'!AO221</f>
        <v>0</v>
      </c>
      <c r="AP211" s="11">
        <f>'[1]2018'!AP221+'[1]2019'!AP221+'[1]2020'!AP221</f>
        <v>0</v>
      </c>
      <c r="AQ211" s="11">
        <f>'[1]2018'!AQ221+'[1]2019'!AQ221+'[1]2020'!AQ221</f>
        <v>0</v>
      </c>
      <c r="AR211" s="11">
        <f>'[1]2018'!AR221+'[1]2019'!AR221+'[1]2020'!AR221</f>
        <v>0</v>
      </c>
      <c r="AS211" s="11">
        <f>'[1]2018'!AS221+'[1]2019'!AS221+'[1]2020'!AS221</f>
        <v>1</v>
      </c>
      <c r="AT211" s="11">
        <f>'[1]2018'!AT221+'[1]2019'!AT221+'[1]2020'!AT221</f>
        <v>0</v>
      </c>
      <c r="AU211" s="11">
        <f>'[1]2018'!AU221+'[1]2019'!AU221+'[1]2020'!AU221</f>
        <v>0</v>
      </c>
      <c r="AV211" s="11">
        <f>'[1]2018'!AV221+'[1]2019'!AV221+'[1]2020'!AV221</f>
        <v>0</v>
      </c>
      <c r="AW211" s="41">
        <f t="shared" si="26"/>
        <v>1</v>
      </c>
      <c r="AX211" s="14">
        <f t="shared" si="27"/>
        <v>1512</v>
      </c>
      <c r="AY211" s="2">
        <f>'[1]2018'!AX221+'[1]2019'!AX221+'[1]2020'!AX221</f>
        <v>4536</v>
      </c>
    </row>
    <row r="212" spans="1:136" x14ac:dyDescent="0.25">
      <c r="A212" s="10" t="s">
        <v>66</v>
      </c>
      <c r="B212" s="46">
        <f>'[1]2018'!B222+'[1]2019'!B222+'[1]2020'!B222</f>
        <v>1</v>
      </c>
      <c r="C212" s="46">
        <f>'[1]2018'!C222+'[1]2019'!C222+'[1]2020'!C222</f>
        <v>1</v>
      </c>
      <c r="D212" s="46">
        <f>'[1]2018'!D222+'[1]2019'!D222+'[1]2020'!D222</f>
        <v>1</v>
      </c>
      <c r="E212" s="46">
        <f>'[1]2018'!E222+'[1]2019'!E222+'[1]2020'!E222</f>
        <v>1</v>
      </c>
      <c r="F212" s="46">
        <f>'[1]2018'!F222+'[1]2019'!F222+'[1]2020'!F222</f>
        <v>0</v>
      </c>
      <c r="G212" s="46">
        <f>'[1]2018'!G222+'[1]2019'!G222+'[1]2020'!G222</f>
        <v>0</v>
      </c>
      <c r="H212" s="46">
        <f>'[1]2018'!H222+'[1]2019'!H222+'[1]2020'!H222</f>
        <v>0</v>
      </c>
      <c r="I212" s="46">
        <f>'[1]2018'!I222+'[1]2019'!I222+'[1]2020'!I222</f>
        <v>0</v>
      </c>
      <c r="J212" s="46">
        <f>'[1]2018'!J222+'[1]2019'!J222+'[1]2020'!J222</f>
        <v>0</v>
      </c>
      <c r="K212" s="46">
        <f>'[1]2018'!K222+'[1]2019'!K222+'[1]2020'!K222</f>
        <v>0</v>
      </c>
      <c r="L212" s="46">
        <f>'[1]2018'!L222+'[1]2019'!L222+'[1]2020'!L222</f>
        <v>0</v>
      </c>
      <c r="M212" s="46">
        <f>'[1]2018'!M222+'[1]2019'!M222+'[1]2020'!M222</f>
        <v>0</v>
      </c>
      <c r="N212" s="46">
        <f>'[1]2018'!N222+'[1]2019'!N222+'[1]2020'!N222</f>
        <v>0</v>
      </c>
      <c r="O212" s="46">
        <f>'[1]2018'!O222+'[1]2019'!O222+'[1]2020'!O222</f>
        <v>0</v>
      </c>
      <c r="P212" s="46">
        <f>'[1]2018'!P222+'[1]2019'!P222+'[1]2020'!P222</f>
        <v>0</v>
      </c>
      <c r="Q212" s="46">
        <f>'[1]2018'!Q222+'[1]2019'!Q222+'[1]2020'!Q222</f>
        <v>0</v>
      </c>
      <c r="R212" s="46">
        <f>'[1]2018'!R222+'[1]2019'!R222+'[1]2020'!R222</f>
        <v>0</v>
      </c>
      <c r="S212" s="46">
        <f>'[1]2018'!S222+'[1]2019'!S222+'[1]2020'!S222</f>
        <v>0</v>
      </c>
      <c r="T212" s="46">
        <f>'[1]2018'!T222+'[1]2019'!T222+'[1]2020'!T222</f>
        <v>0</v>
      </c>
      <c r="U212" s="46">
        <f>'[1]2018'!U222+'[1]2019'!U222+'[1]2020'!U222</f>
        <v>1</v>
      </c>
      <c r="V212" s="46">
        <f>'[1]2018'!V222+'[1]2019'!V222+'[1]2020'!V222</f>
        <v>0</v>
      </c>
      <c r="W212" s="46">
        <f>'[1]2018'!W222+'[1]2019'!W222+'[1]2020'!W222</f>
        <v>0</v>
      </c>
      <c r="X212" s="46">
        <f>'[1]2018'!X222+'[1]2019'!X222+'[1]2020'!X222</f>
        <v>0</v>
      </c>
      <c r="Y212" s="41">
        <f t="shared" si="25"/>
        <v>1</v>
      </c>
      <c r="Z212" s="11">
        <f>'[1]2018'!Z222+'[1]2019'!Z222+'[1]2020'!Z222</f>
        <v>0</v>
      </c>
      <c r="AA212" s="11">
        <f>'[1]2018'!AA222+'[1]2019'!AA222+'[1]2020'!AA222</f>
        <v>0</v>
      </c>
      <c r="AB212" s="11">
        <f>'[1]2018'!AB222+'[1]2019'!AB222+'[1]2020'!AB222</f>
        <v>0</v>
      </c>
      <c r="AC212" s="11">
        <f>'[1]2018'!AC222+'[1]2019'!AC222+'[1]2020'!AC222</f>
        <v>0</v>
      </c>
      <c r="AD212" s="11">
        <f>'[1]2018'!AD222+'[1]2019'!AD222+'[1]2020'!AD222</f>
        <v>0</v>
      </c>
      <c r="AE212" s="11">
        <f>'[1]2018'!AE222+'[1]2019'!AE222+'[1]2020'!AE222</f>
        <v>0</v>
      </c>
      <c r="AF212" s="11">
        <f>'[1]2018'!AF222+'[1]2019'!AF222+'[1]2020'!AF222</f>
        <v>0</v>
      </c>
      <c r="AG212" s="11">
        <f>'[1]2018'!AG222+'[1]2019'!AG222+'[1]2020'!AG222</f>
        <v>0</v>
      </c>
      <c r="AH212" s="11">
        <f>'[1]2018'!AH222+'[1]2019'!AH222+'[1]2020'!AH222</f>
        <v>0</v>
      </c>
      <c r="AI212" s="11">
        <f>'[1]2018'!AI222+'[1]2019'!AI222+'[1]2020'!AI222</f>
        <v>0</v>
      </c>
      <c r="AJ212" s="11">
        <f>'[1]2018'!AJ222+'[1]2019'!AJ222+'[1]2020'!AJ222</f>
        <v>0</v>
      </c>
      <c r="AK212" s="11">
        <f>'[1]2018'!AK222+'[1]2019'!AK222+'[1]2020'!AK222</f>
        <v>0</v>
      </c>
      <c r="AL212" s="11">
        <f>'[1]2018'!AL222+'[1]2019'!AL222+'[1]2020'!AL222</f>
        <v>0</v>
      </c>
      <c r="AM212" s="11">
        <f>'[1]2018'!AM222+'[1]2019'!AM222+'[1]2020'!AM222</f>
        <v>0</v>
      </c>
      <c r="AN212" s="11">
        <f>'[1]2018'!AN222+'[1]2019'!AN222+'[1]2020'!AN222</f>
        <v>0</v>
      </c>
      <c r="AO212" s="11">
        <f>'[1]2018'!AO222+'[1]2019'!AO222+'[1]2020'!AO222</f>
        <v>0</v>
      </c>
      <c r="AP212" s="11">
        <f>'[1]2018'!AP222+'[1]2019'!AP222+'[1]2020'!AP222</f>
        <v>0</v>
      </c>
      <c r="AQ212" s="11">
        <f>'[1]2018'!AQ222+'[1]2019'!AQ222+'[1]2020'!AQ222</f>
        <v>0</v>
      </c>
      <c r="AR212" s="11">
        <f>'[1]2018'!AR222+'[1]2019'!AR222+'[1]2020'!AR222</f>
        <v>0</v>
      </c>
      <c r="AS212" s="11">
        <f>'[1]2018'!AS222+'[1]2019'!AS222+'[1]2020'!AS222</f>
        <v>0</v>
      </c>
      <c r="AT212" s="11">
        <f>'[1]2018'!AT222+'[1]2019'!AT222+'[1]2020'!AT222</f>
        <v>0</v>
      </c>
      <c r="AU212" s="11">
        <f>'[1]2018'!AU222+'[1]2019'!AU222+'[1]2020'!AU222</f>
        <v>0</v>
      </c>
      <c r="AV212" s="11">
        <f>'[1]2018'!AV222+'[1]2019'!AV222+'[1]2020'!AV222</f>
        <v>0</v>
      </c>
      <c r="AW212" s="41">
        <f t="shared" si="26"/>
        <v>0</v>
      </c>
      <c r="AX212" s="14">
        <f t="shared" si="27"/>
        <v>0</v>
      </c>
      <c r="AY212" s="2">
        <f>'[1]2018'!AX222+'[1]2019'!AX222+'[1]2020'!AX222</f>
        <v>0</v>
      </c>
    </row>
    <row r="213" spans="1:136" s="45" customFormat="1" x14ac:dyDescent="0.25">
      <c r="A213" s="10" t="s">
        <v>67</v>
      </c>
      <c r="B213" s="46">
        <f>'[1]2018'!B223+'[1]2019'!B223+'[1]2020'!B223</f>
        <v>2</v>
      </c>
      <c r="C213" s="46">
        <f>'[1]2018'!C223+'[1]2019'!C223+'[1]2020'!C223</f>
        <v>0</v>
      </c>
      <c r="D213" s="46">
        <f>'[1]2018'!D223+'[1]2019'!D223+'[1]2020'!D223</f>
        <v>2</v>
      </c>
      <c r="E213" s="46">
        <f>'[1]2018'!E223+'[1]2019'!E223+'[1]2020'!E223</f>
        <v>0</v>
      </c>
      <c r="F213" s="46">
        <f>'[1]2018'!F223+'[1]2019'!F223+'[1]2020'!F223</f>
        <v>0</v>
      </c>
      <c r="G213" s="46">
        <f>'[1]2018'!G223+'[1]2019'!G223+'[1]2020'!G223</f>
        <v>0</v>
      </c>
      <c r="H213" s="46">
        <f>'[1]2018'!H223+'[1]2019'!H223+'[1]2020'!H223</f>
        <v>0</v>
      </c>
      <c r="I213" s="46">
        <f>'[1]2018'!I223+'[1]2019'!I223+'[1]2020'!I223</f>
        <v>0</v>
      </c>
      <c r="J213" s="46">
        <f>'[1]2018'!J223+'[1]2019'!J223+'[1]2020'!J223</f>
        <v>0</v>
      </c>
      <c r="K213" s="46">
        <f>'[1]2018'!K223+'[1]2019'!K223+'[1]2020'!K223</f>
        <v>0</v>
      </c>
      <c r="L213" s="46">
        <f>'[1]2018'!L223+'[1]2019'!L223+'[1]2020'!L223</f>
        <v>0</v>
      </c>
      <c r="M213" s="46">
        <f>'[1]2018'!M223+'[1]2019'!M223+'[1]2020'!M223</f>
        <v>0</v>
      </c>
      <c r="N213" s="46">
        <f>'[1]2018'!N223+'[1]2019'!N223+'[1]2020'!N223</f>
        <v>0</v>
      </c>
      <c r="O213" s="46">
        <f>'[1]2018'!O223+'[1]2019'!O223+'[1]2020'!O223</f>
        <v>0</v>
      </c>
      <c r="P213" s="46">
        <f>'[1]2018'!P223+'[1]2019'!P223+'[1]2020'!P223</f>
        <v>0</v>
      </c>
      <c r="Q213" s="46">
        <f>'[1]2018'!Q223+'[1]2019'!Q223+'[1]2020'!Q223</f>
        <v>0</v>
      </c>
      <c r="R213" s="46">
        <f>'[1]2018'!R223+'[1]2019'!R223+'[1]2020'!R223</f>
        <v>0</v>
      </c>
      <c r="S213" s="46">
        <f>'[1]2018'!S223+'[1]2019'!S223+'[1]2020'!S223</f>
        <v>0</v>
      </c>
      <c r="T213" s="46">
        <f>'[1]2018'!T223+'[1]2019'!T223+'[1]2020'!T223</f>
        <v>0</v>
      </c>
      <c r="U213" s="46">
        <f>'[1]2018'!U223+'[1]2019'!U223+'[1]2020'!U223</f>
        <v>2</v>
      </c>
      <c r="V213" s="46">
        <f>'[1]2018'!V223+'[1]2019'!V223+'[1]2020'!V223</f>
        <v>0</v>
      </c>
      <c r="W213" s="46">
        <f>'[1]2018'!W223+'[1]2019'!W223+'[1]2020'!W223</f>
        <v>0</v>
      </c>
      <c r="X213" s="46">
        <f>'[1]2018'!X223+'[1]2019'!X223+'[1]2020'!X223</f>
        <v>0</v>
      </c>
      <c r="Y213" s="41">
        <f t="shared" si="25"/>
        <v>2</v>
      </c>
      <c r="Z213" s="11">
        <f>'[1]2018'!Z223+'[1]2019'!Z223+'[1]2020'!Z223</f>
        <v>0</v>
      </c>
      <c r="AA213" s="11">
        <f>'[1]2018'!AA223+'[1]2019'!AA223+'[1]2020'!AA223</f>
        <v>0</v>
      </c>
      <c r="AB213" s="11">
        <f>'[1]2018'!AB223+'[1]2019'!AB223+'[1]2020'!AB223</f>
        <v>0</v>
      </c>
      <c r="AC213" s="11">
        <f>'[1]2018'!AC223+'[1]2019'!AC223+'[1]2020'!AC223</f>
        <v>0</v>
      </c>
      <c r="AD213" s="11">
        <f>'[1]2018'!AD223+'[1]2019'!AD223+'[1]2020'!AD223</f>
        <v>0</v>
      </c>
      <c r="AE213" s="11">
        <f>'[1]2018'!AE223+'[1]2019'!AE223+'[1]2020'!AE223</f>
        <v>0</v>
      </c>
      <c r="AF213" s="11">
        <f>'[1]2018'!AF223+'[1]2019'!AF223+'[1]2020'!AF223</f>
        <v>0</v>
      </c>
      <c r="AG213" s="11">
        <f>'[1]2018'!AG223+'[1]2019'!AG223+'[1]2020'!AG223</f>
        <v>0</v>
      </c>
      <c r="AH213" s="11">
        <f>'[1]2018'!AH223+'[1]2019'!AH223+'[1]2020'!AH223</f>
        <v>0</v>
      </c>
      <c r="AI213" s="11">
        <f>'[1]2018'!AI223+'[1]2019'!AI223+'[1]2020'!AI223</f>
        <v>0</v>
      </c>
      <c r="AJ213" s="11">
        <f>'[1]2018'!AJ223+'[1]2019'!AJ223+'[1]2020'!AJ223</f>
        <v>0</v>
      </c>
      <c r="AK213" s="11">
        <f>'[1]2018'!AK223+'[1]2019'!AK223+'[1]2020'!AK223</f>
        <v>0</v>
      </c>
      <c r="AL213" s="11">
        <f>'[1]2018'!AL223+'[1]2019'!AL223+'[1]2020'!AL223</f>
        <v>0</v>
      </c>
      <c r="AM213" s="11">
        <f>'[1]2018'!AM223+'[1]2019'!AM223+'[1]2020'!AM223</f>
        <v>0</v>
      </c>
      <c r="AN213" s="11">
        <f>'[1]2018'!AN223+'[1]2019'!AN223+'[1]2020'!AN223</f>
        <v>0</v>
      </c>
      <c r="AO213" s="11">
        <f>'[1]2018'!AO223+'[1]2019'!AO223+'[1]2020'!AO223</f>
        <v>0</v>
      </c>
      <c r="AP213" s="11">
        <f>'[1]2018'!AP223+'[1]2019'!AP223+'[1]2020'!AP223</f>
        <v>0</v>
      </c>
      <c r="AQ213" s="11">
        <f>'[1]2018'!AQ223+'[1]2019'!AQ223+'[1]2020'!AQ223</f>
        <v>0</v>
      </c>
      <c r="AR213" s="11">
        <f>'[1]2018'!AR223+'[1]2019'!AR223+'[1]2020'!AR223</f>
        <v>0</v>
      </c>
      <c r="AS213" s="11">
        <f>'[1]2018'!AS223+'[1]2019'!AS223+'[1]2020'!AS223</f>
        <v>0</v>
      </c>
      <c r="AT213" s="11">
        <f>'[1]2018'!AT223+'[1]2019'!AT223+'[1]2020'!AT223</f>
        <v>0</v>
      </c>
      <c r="AU213" s="11">
        <f>'[1]2018'!AU223+'[1]2019'!AU223+'[1]2020'!AU223</f>
        <v>0</v>
      </c>
      <c r="AV213" s="11">
        <f>'[1]2018'!AV223+'[1]2019'!AV223+'[1]2020'!AV223</f>
        <v>0</v>
      </c>
      <c r="AW213" s="41">
        <f t="shared" si="26"/>
        <v>0</v>
      </c>
      <c r="AX213" s="14">
        <f t="shared" si="27"/>
        <v>0</v>
      </c>
      <c r="AY213" s="2">
        <f>'[1]2018'!AX223+'[1]2019'!AX223+'[1]2020'!AX223</f>
        <v>0</v>
      </c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</row>
    <row r="214" spans="1:136" s="13" customFormat="1" x14ac:dyDescent="0.25">
      <c r="A214" s="10" t="s">
        <v>68</v>
      </c>
      <c r="B214" s="46">
        <f>'[1]2018'!B224+'[1]2019'!B224+'[1]2020'!B224</f>
        <v>2</v>
      </c>
      <c r="C214" s="46">
        <f>'[1]2018'!C224+'[1]2019'!C224+'[1]2020'!C224</f>
        <v>2</v>
      </c>
      <c r="D214" s="46">
        <f>'[1]2018'!D224+'[1]2019'!D224+'[1]2020'!D224</f>
        <v>4</v>
      </c>
      <c r="E214" s="46">
        <f>'[1]2018'!E224+'[1]2019'!E224+'[1]2020'!E224</f>
        <v>4</v>
      </c>
      <c r="F214" s="46">
        <f>'[1]2018'!F224+'[1]2019'!F224+'[1]2020'!F224</f>
        <v>0</v>
      </c>
      <c r="G214" s="46">
        <f>'[1]2018'!G224+'[1]2019'!G224+'[1]2020'!G224</f>
        <v>0</v>
      </c>
      <c r="H214" s="46">
        <f>'[1]2018'!H224+'[1]2019'!H224+'[1]2020'!H224</f>
        <v>0</v>
      </c>
      <c r="I214" s="46">
        <f>'[1]2018'!I224+'[1]2019'!I224+'[1]2020'!I224</f>
        <v>0</v>
      </c>
      <c r="J214" s="46">
        <f>'[1]2018'!J224+'[1]2019'!J224+'[1]2020'!J224</f>
        <v>0</v>
      </c>
      <c r="K214" s="46">
        <f>'[1]2018'!K224+'[1]2019'!K224+'[1]2020'!K224</f>
        <v>0</v>
      </c>
      <c r="L214" s="46">
        <f>'[1]2018'!L224+'[1]2019'!L224+'[1]2020'!L224</f>
        <v>0</v>
      </c>
      <c r="M214" s="46">
        <f>'[1]2018'!M224+'[1]2019'!M224+'[1]2020'!M224</f>
        <v>0</v>
      </c>
      <c r="N214" s="46">
        <f>'[1]2018'!N224+'[1]2019'!N224+'[1]2020'!N224</f>
        <v>0</v>
      </c>
      <c r="O214" s="46">
        <f>'[1]2018'!O224+'[1]2019'!O224+'[1]2020'!O224</f>
        <v>0</v>
      </c>
      <c r="P214" s="46">
        <f>'[1]2018'!P224+'[1]2019'!P224+'[1]2020'!P224</f>
        <v>0</v>
      </c>
      <c r="Q214" s="46">
        <f>'[1]2018'!Q224+'[1]2019'!Q224+'[1]2020'!Q224</f>
        <v>0</v>
      </c>
      <c r="R214" s="46">
        <f>'[1]2018'!R224+'[1]2019'!R224+'[1]2020'!R224</f>
        <v>0</v>
      </c>
      <c r="S214" s="46">
        <f>'[1]2018'!S224+'[1]2019'!S224+'[1]2020'!S224</f>
        <v>0</v>
      </c>
      <c r="T214" s="46">
        <f>'[1]2018'!T224+'[1]2019'!T224+'[1]2020'!T224</f>
        <v>0</v>
      </c>
      <c r="U214" s="46">
        <f>'[1]2018'!U224+'[1]2019'!U224+'[1]2020'!U224</f>
        <v>0</v>
      </c>
      <c r="V214" s="46">
        <f>'[1]2018'!V224+'[1]2019'!V224+'[1]2020'!V224</f>
        <v>4</v>
      </c>
      <c r="W214" s="46">
        <f>'[1]2018'!W224+'[1]2019'!W224+'[1]2020'!W224</f>
        <v>0</v>
      </c>
      <c r="X214" s="46">
        <f>'[1]2018'!X224+'[1]2019'!X224+'[1]2020'!X224</f>
        <v>0</v>
      </c>
      <c r="Y214" s="41">
        <f t="shared" si="25"/>
        <v>4</v>
      </c>
      <c r="Z214" s="11">
        <f>'[1]2018'!Z224+'[1]2019'!Z224+'[1]2020'!Z224</f>
        <v>2</v>
      </c>
      <c r="AA214" s="11">
        <f>'[1]2018'!AA224+'[1]2019'!AA224+'[1]2020'!AA224</f>
        <v>2</v>
      </c>
      <c r="AB214" s="11">
        <f>'[1]2018'!AB224+'[1]2019'!AB224+'[1]2020'!AB224</f>
        <v>2</v>
      </c>
      <c r="AC214" s="11">
        <f>'[1]2018'!AC224+'[1]2019'!AC224+'[1]2020'!AC224</f>
        <v>2</v>
      </c>
      <c r="AD214" s="11">
        <f>'[1]2018'!AD224+'[1]2019'!AD224+'[1]2020'!AD224</f>
        <v>0</v>
      </c>
      <c r="AE214" s="11">
        <f>'[1]2018'!AE224+'[1]2019'!AE224+'[1]2020'!AE224</f>
        <v>0</v>
      </c>
      <c r="AF214" s="11">
        <f>'[1]2018'!AF224+'[1]2019'!AF224+'[1]2020'!AF224</f>
        <v>0</v>
      </c>
      <c r="AG214" s="11">
        <f>'[1]2018'!AG224+'[1]2019'!AG224+'[1]2020'!AG224</f>
        <v>0</v>
      </c>
      <c r="AH214" s="11">
        <f>'[1]2018'!AH224+'[1]2019'!AH224+'[1]2020'!AH224</f>
        <v>0</v>
      </c>
      <c r="AI214" s="11">
        <f>'[1]2018'!AI224+'[1]2019'!AI224+'[1]2020'!AI224</f>
        <v>0</v>
      </c>
      <c r="AJ214" s="11">
        <f>'[1]2018'!AJ224+'[1]2019'!AJ224+'[1]2020'!AJ224</f>
        <v>0</v>
      </c>
      <c r="AK214" s="11">
        <f>'[1]2018'!AK224+'[1]2019'!AK224+'[1]2020'!AK224</f>
        <v>0</v>
      </c>
      <c r="AL214" s="11">
        <f>'[1]2018'!AL224+'[1]2019'!AL224+'[1]2020'!AL224</f>
        <v>0</v>
      </c>
      <c r="AM214" s="11">
        <f>'[1]2018'!AM224+'[1]2019'!AM224+'[1]2020'!AM224</f>
        <v>0</v>
      </c>
      <c r="AN214" s="11">
        <f>'[1]2018'!AN224+'[1]2019'!AN224+'[1]2020'!AN224</f>
        <v>0</v>
      </c>
      <c r="AO214" s="11">
        <f>'[1]2018'!AO224+'[1]2019'!AO224+'[1]2020'!AO224</f>
        <v>0</v>
      </c>
      <c r="AP214" s="11">
        <f>'[1]2018'!AP224+'[1]2019'!AP224+'[1]2020'!AP224</f>
        <v>0</v>
      </c>
      <c r="AQ214" s="11">
        <f>'[1]2018'!AQ224+'[1]2019'!AQ224+'[1]2020'!AQ224</f>
        <v>0</v>
      </c>
      <c r="AR214" s="11">
        <f>'[1]2018'!AR224+'[1]2019'!AR224+'[1]2020'!AR224</f>
        <v>0</v>
      </c>
      <c r="AS214" s="11">
        <f>'[1]2018'!AS224+'[1]2019'!AS224+'[1]2020'!AS224</f>
        <v>0</v>
      </c>
      <c r="AT214" s="11">
        <f>'[1]2018'!AT224+'[1]2019'!AT224+'[1]2020'!AT224</f>
        <v>2</v>
      </c>
      <c r="AU214" s="11">
        <f>'[1]2018'!AU224+'[1]2019'!AU224+'[1]2020'!AU224</f>
        <v>0</v>
      </c>
      <c r="AV214" s="11">
        <f>'[1]2018'!AV224+'[1]2019'!AV224+'[1]2020'!AV224</f>
        <v>0</v>
      </c>
      <c r="AW214" s="41">
        <f t="shared" si="26"/>
        <v>2</v>
      </c>
      <c r="AX214" s="14">
        <f t="shared" si="27"/>
        <v>800</v>
      </c>
      <c r="AY214" s="2">
        <f>'[1]2018'!AX224+'[1]2019'!AX224+'[1]2020'!AX224</f>
        <v>2400</v>
      </c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</row>
    <row r="215" spans="1:136" x14ac:dyDescent="0.25">
      <c r="A215" s="10" t="s">
        <v>69</v>
      </c>
      <c r="B215" s="46">
        <f>'[1]2018'!B225+'[1]2019'!B225+'[1]2020'!B225</f>
        <v>2</v>
      </c>
      <c r="C215" s="46">
        <f>'[1]2018'!C225+'[1]2019'!C225+'[1]2020'!C225</f>
        <v>2</v>
      </c>
      <c r="D215" s="46">
        <f>'[1]2018'!D225+'[1]2019'!D225+'[1]2020'!D225</f>
        <v>2</v>
      </c>
      <c r="E215" s="46">
        <f>'[1]2018'!E225+'[1]2019'!E225+'[1]2020'!E225</f>
        <v>2</v>
      </c>
      <c r="F215" s="46">
        <f>'[1]2018'!F225+'[1]2019'!F225+'[1]2020'!F225</f>
        <v>0</v>
      </c>
      <c r="G215" s="46">
        <f>'[1]2018'!G225+'[1]2019'!G225+'[1]2020'!G225</f>
        <v>0</v>
      </c>
      <c r="H215" s="46">
        <f>'[1]2018'!H225+'[1]2019'!H225+'[1]2020'!H225</f>
        <v>0</v>
      </c>
      <c r="I215" s="46">
        <f>'[1]2018'!I225+'[1]2019'!I225+'[1]2020'!I225</f>
        <v>0</v>
      </c>
      <c r="J215" s="46">
        <f>'[1]2018'!J225+'[1]2019'!J225+'[1]2020'!J225</f>
        <v>0</v>
      </c>
      <c r="K215" s="46">
        <f>'[1]2018'!K225+'[1]2019'!K225+'[1]2020'!K225</f>
        <v>0</v>
      </c>
      <c r="L215" s="46">
        <f>'[1]2018'!L225+'[1]2019'!L225+'[1]2020'!L225</f>
        <v>0</v>
      </c>
      <c r="M215" s="46">
        <f>'[1]2018'!M225+'[1]2019'!M225+'[1]2020'!M225</f>
        <v>0</v>
      </c>
      <c r="N215" s="46">
        <f>'[1]2018'!N225+'[1]2019'!N225+'[1]2020'!N225</f>
        <v>0</v>
      </c>
      <c r="O215" s="46">
        <f>'[1]2018'!O225+'[1]2019'!O225+'[1]2020'!O225</f>
        <v>0</v>
      </c>
      <c r="P215" s="46">
        <f>'[1]2018'!P225+'[1]2019'!P225+'[1]2020'!P225</f>
        <v>0</v>
      </c>
      <c r="Q215" s="46">
        <f>'[1]2018'!Q225+'[1]2019'!Q225+'[1]2020'!Q225</f>
        <v>0</v>
      </c>
      <c r="R215" s="46">
        <f>'[1]2018'!R225+'[1]2019'!R225+'[1]2020'!R225</f>
        <v>0</v>
      </c>
      <c r="S215" s="46">
        <f>'[1]2018'!S225+'[1]2019'!S225+'[1]2020'!S225</f>
        <v>0</v>
      </c>
      <c r="T215" s="46">
        <f>'[1]2018'!T225+'[1]2019'!T225+'[1]2020'!T225</f>
        <v>0</v>
      </c>
      <c r="U215" s="46">
        <f>'[1]2018'!U225+'[1]2019'!U225+'[1]2020'!U225</f>
        <v>1</v>
      </c>
      <c r="V215" s="46">
        <f>'[1]2018'!V225+'[1]2019'!V225+'[1]2020'!V225</f>
        <v>1</v>
      </c>
      <c r="W215" s="46">
        <f>'[1]2018'!W225+'[1]2019'!W225+'[1]2020'!W225</f>
        <v>0</v>
      </c>
      <c r="X215" s="46">
        <f>'[1]2018'!X225+'[1]2019'!X225+'[1]2020'!X225</f>
        <v>0</v>
      </c>
      <c r="Y215" s="41">
        <f t="shared" si="25"/>
        <v>2</v>
      </c>
      <c r="Z215" s="11">
        <f>'[1]2018'!Z225+'[1]2019'!Z225+'[1]2020'!Z225</f>
        <v>1</v>
      </c>
      <c r="AA215" s="11">
        <f>'[1]2018'!AA225+'[1]2019'!AA225+'[1]2020'!AA225</f>
        <v>1</v>
      </c>
      <c r="AB215" s="11">
        <f>'[1]2018'!AB225+'[1]2019'!AB225+'[1]2020'!AB225</f>
        <v>1</v>
      </c>
      <c r="AC215" s="11">
        <f>'[1]2018'!AC225+'[1]2019'!AC225+'[1]2020'!AC225</f>
        <v>1</v>
      </c>
      <c r="AD215" s="11">
        <f>'[1]2018'!AD225+'[1]2019'!AD225+'[1]2020'!AD225</f>
        <v>0</v>
      </c>
      <c r="AE215" s="11">
        <f>'[1]2018'!AE225+'[1]2019'!AE225+'[1]2020'!AE225</f>
        <v>0</v>
      </c>
      <c r="AF215" s="11">
        <f>'[1]2018'!AF225+'[1]2019'!AF225+'[1]2020'!AF225</f>
        <v>0</v>
      </c>
      <c r="AG215" s="11">
        <f>'[1]2018'!AG225+'[1]2019'!AG225+'[1]2020'!AG225</f>
        <v>0</v>
      </c>
      <c r="AH215" s="11">
        <f>'[1]2018'!AH225+'[1]2019'!AH225+'[1]2020'!AH225</f>
        <v>0</v>
      </c>
      <c r="AI215" s="11">
        <f>'[1]2018'!AI225+'[1]2019'!AI225+'[1]2020'!AI225</f>
        <v>0</v>
      </c>
      <c r="AJ215" s="11">
        <f>'[1]2018'!AJ225+'[1]2019'!AJ225+'[1]2020'!AJ225</f>
        <v>0</v>
      </c>
      <c r="AK215" s="11">
        <f>'[1]2018'!AK225+'[1]2019'!AK225+'[1]2020'!AK225</f>
        <v>0</v>
      </c>
      <c r="AL215" s="11">
        <f>'[1]2018'!AL225+'[1]2019'!AL225+'[1]2020'!AL225</f>
        <v>0</v>
      </c>
      <c r="AM215" s="11">
        <f>'[1]2018'!AM225+'[1]2019'!AM225+'[1]2020'!AM225</f>
        <v>0</v>
      </c>
      <c r="AN215" s="11">
        <f>'[1]2018'!AN225+'[1]2019'!AN225+'[1]2020'!AN225</f>
        <v>0</v>
      </c>
      <c r="AO215" s="11">
        <f>'[1]2018'!AO225+'[1]2019'!AO225+'[1]2020'!AO225</f>
        <v>0</v>
      </c>
      <c r="AP215" s="11">
        <f>'[1]2018'!AP225+'[1]2019'!AP225+'[1]2020'!AP225</f>
        <v>0</v>
      </c>
      <c r="AQ215" s="11">
        <f>'[1]2018'!AQ225+'[1]2019'!AQ225+'[1]2020'!AQ225</f>
        <v>0</v>
      </c>
      <c r="AR215" s="11">
        <f>'[1]2018'!AR225+'[1]2019'!AR225+'[1]2020'!AR225</f>
        <v>0</v>
      </c>
      <c r="AS215" s="11">
        <f>'[1]2018'!AS225+'[1]2019'!AS225+'[1]2020'!AS225</f>
        <v>0</v>
      </c>
      <c r="AT215" s="11">
        <f>'[1]2018'!AT225+'[1]2019'!AT225+'[1]2020'!AT225</f>
        <v>1</v>
      </c>
      <c r="AU215" s="11">
        <f>'[1]2018'!AU225+'[1]2019'!AU225+'[1]2020'!AU225</f>
        <v>0</v>
      </c>
      <c r="AV215" s="11">
        <f>'[1]2018'!AV225+'[1]2019'!AV225+'[1]2020'!AV225</f>
        <v>0</v>
      </c>
      <c r="AW215" s="41">
        <f t="shared" si="26"/>
        <v>1</v>
      </c>
      <c r="AX215" s="14">
        <f t="shared" si="27"/>
        <v>1040</v>
      </c>
      <c r="AY215" s="2">
        <f>'[1]2018'!AX225+'[1]2019'!AX225+'[1]2020'!AX225</f>
        <v>3120</v>
      </c>
    </row>
    <row r="216" spans="1:136" x14ac:dyDescent="0.25">
      <c r="A216" s="10" t="s">
        <v>70</v>
      </c>
      <c r="B216" s="46">
        <f>'[1]2018'!B226+'[1]2019'!B226+'[1]2020'!B226</f>
        <v>3</v>
      </c>
      <c r="C216" s="46">
        <f>'[1]2018'!C226+'[1]2019'!C226+'[1]2020'!C226</f>
        <v>3</v>
      </c>
      <c r="D216" s="46">
        <f>'[1]2018'!D226+'[1]2019'!D226+'[1]2020'!D226</f>
        <v>3</v>
      </c>
      <c r="E216" s="46">
        <f>'[1]2018'!E226+'[1]2019'!E226+'[1]2020'!E226</f>
        <v>3</v>
      </c>
      <c r="F216" s="46">
        <f>'[1]2018'!F226+'[1]2019'!F226+'[1]2020'!F226</f>
        <v>0</v>
      </c>
      <c r="G216" s="46">
        <f>'[1]2018'!G226+'[1]2019'!G226+'[1]2020'!G226</f>
        <v>0</v>
      </c>
      <c r="H216" s="46">
        <f>'[1]2018'!H226+'[1]2019'!H226+'[1]2020'!H226</f>
        <v>0</v>
      </c>
      <c r="I216" s="46">
        <f>'[1]2018'!I226+'[1]2019'!I226+'[1]2020'!I226</f>
        <v>0</v>
      </c>
      <c r="J216" s="46">
        <f>'[1]2018'!J226+'[1]2019'!J226+'[1]2020'!J226</f>
        <v>0</v>
      </c>
      <c r="K216" s="46">
        <f>'[1]2018'!K226+'[1]2019'!K226+'[1]2020'!K226</f>
        <v>0</v>
      </c>
      <c r="L216" s="46">
        <f>'[1]2018'!L226+'[1]2019'!L226+'[1]2020'!L226</f>
        <v>0</v>
      </c>
      <c r="M216" s="46">
        <f>'[1]2018'!M226+'[1]2019'!M226+'[1]2020'!M226</f>
        <v>0</v>
      </c>
      <c r="N216" s="46">
        <f>'[1]2018'!N226+'[1]2019'!N226+'[1]2020'!N226</f>
        <v>0</v>
      </c>
      <c r="O216" s="46">
        <f>'[1]2018'!O226+'[1]2019'!O226+'[1]2020'!O226</f>
        <v>0</v>
      </c>
      <c r="P216" s="46">
        <f>'[1]2018'!P226+'[1]2019'!P226+'[1]2020'!P226</f>
        <v>0</v>
      </c>
      <c r="Q216" s="46">
        <f>'[1]2018'!Q226+'[1]2019'!Q226+'[1]2020'!Q226</f>
        <v>0</v>
      </c>
      <c r="R216" s="46">
        <f>'[1]2018'!R226+'[1]2019'!R226+'[1]2020'!R226</f>
        <v>0</v>
      </c>
      <c r="S216" s="46">
        <f>'[1]2018'!S226+'[1]2019'!S226+'[1]2020'!S226</f>
        <v>0</v>
      </c>
      <c r="T216" s="46">
        <f>'[1]2018'!T226+'[1]2019'!T226+'[1]2020'!T226</f>
        <v>0</v>
      </c>
      <c r="U216" s="46">
        <f>'[1]2018'!U226+'[1]2019'!U226+'[1]2020'!U226</f>
        <v>3</v>
      </c>
      <c r="V216" s="46">
        <f>'[1]2018'!V226+'[1]2019'!V226+'[1]2020'!V226</f>
        <v>0</v>
      </c>
      <c r="W216" s="46">
        <f>'[1]2018'!W226+'[1]2019'!W226+'[1]2020'!W226</f>
        <v>0</v>
      </c>
      <c r="X216" s="46">
        <f>'[1]2018'!X226+'[1]2019'!X226+'[1]2020'!X226</f>
        <v>0</v>
      </c>
      <c r="Y216" s="41">
        <f t="shared" si="25"/>
        <v>3</v>
      </c>
      <c r="Z216" s="11">
        <f>'[1]2018'!Z226+'[1]2019'!Z226+'[1]2020'!Z226</f>
        <v>3</v>
      </c>
      <c r="AA216" s="11">
        <f>'[1]2018'!AA226+'[1]2019'!AA226+'[1]2020'!AA226</f>
        <v>3</v>
      </c>
      <c r="AB216" s="11">
        <f>'[1]2018'!AB226+'[1]2019'!AB226+'[1]2020'!AB226</f>
        <v>3</v>
      </c>
      <c r="AC216" s="11">
        <f>'[1]2018'!AC226+'[1]2019'!AC226+'[1]2020'!AC226</f>
        <v>3</v>
      </c>
      <c r="AD216" s="11">
        <f>'[1]2018'!AD226+'[1]2019'!AD226+'[1]2020'!AD226</f>
        <v>0</v>
      </c>
      <c r="AE216" s="11">
        <f>'[1]2018'!AE226+'[1]2019'!AE226+'[1]2020'!AE226</f>
        <v>0</v>
      </c>
      <c r="AF216" s="11">
        <f>'[1]2018'!AF226+'[1]2019'!AF226+'[1]2020'!AF226</f>
        <v>0</v>
      </c>
      <c r="AG216" s="11">
        <f>'[1]2018'!AG226+'[1]2019'!AG226+'[1]2020'!AG226</f>
        <v>0</v>
      </c>
      <c r="AH216" s="11">
        <f>'[1]2018'!AH226+'[1]2019'!AH226+'[1]2020'!AH226</f>
        <v>0</v>
      </c>
      <c r="AI216" s="11">
        <f>'[1]2018'!AI226+'[1]2019'!AI226+'[1]2020'!AI226</f>
        <v>0</v>
      </c>
      <c r="AJ216" s="11">
        <f>'[1]2018'!AJ226+'[1]2019'!AJ226+'[1]2020'!AJ226</f>
        <v>0</v>
      </c>
      <c r="AK216" s="11">
        <f>'[1]2018'!AK226+'[1]2019'!AK226+'[1]2020'!AK226</f>
        <v>0</v>
      </c>
      <c r="AL216" s="11">
        <f>'[1]2018'!AL226+'[1]2019'!AL226+'[1]2020'!AL226</f>
        <v>0</v>
      </c>
      <c r="AM216" s="11">
        <f>'[1]2018'!AM226+'[1]2019'!AM226+'[1]2020'!AM226</f>
        <v>0</v>
      </c>
      <c r="AN216" s="11">
        <f>'[1]2018'!AN226+'[1]2019'!AN226+'[1]2020'!AN226</f>
        <v>0</v>
      </c>
      <c r="AO216" s="11">
        <f>'[1]2018'!AO226+'[1]2019'!AO226+'[1]2020'!AO226</f>
        <v>0</v>
      </c>
      <c r="AP216" s="11">
        <f>'[1]2018'!AP226+'[1]2019'!AP226+'[1]2020'!AP226</f>
        <v>1</v>
      </c>
      <c r="AQ216" s="11">
        <f>'[1]2018'!AQ226+'[1]2019'!AQ226+'[1]2020'!AQ226</f>
        <v>0</v>
      </c>
      <c r="AR216" s="11">
        <f>'[1]2018'!AR226+'[1]2019'!AR226+'[1]2020'!AR226</f>
        <v>0</v>
      </c>
      <c r="AS216" s="11">
        <f>'[1]2018'!AS226+'[1]2019'!AS226+'[1]2020'!AS226</f>
        <v>2</v>
      </c>
      <c r="AT216" s="11">
        <f>'[1]2018'!AT226+'[1]2019'!AT226+'[1]2020'!AT226</f>
        <v>0</v>
      </c>
      <c r="AU216" s="11">
        <f>'[1]2018'!AU226+'[1]2019'!AU226+'[1]2020'!AU226</f>
        <v>0</v>
      </c>
      <c r="AV216" s="11">
        <f>'[1]2018'!AV226+'[1]2019'!AV226+'[1]2020'!AV226</f>
        <v>0</v>
      </c>
      <c r="AW216" s="41">
        <f t="shared" si="26"/>
        <v>3</v>
      </c>
      <c r="AX216" s="14">
        <f t="shared" si="27"/>
        <v>906.66666666666663</v>
      </c>
      <c r="AY216" s="2">
        <f>'[1]2018'!AX226+'[1]2019'!AX226+'[1]2020'!AX226</f>
        <v>2720</v>
      </c>
    </row>
    <row r="217" spans="1:136" x14ac:dyDescent="0.25">
      <c r="A217" s="10" t="s">
        <v>71</v>
      </c>
      <c r="B217" s="46">
        <f>'[1]2018'!B227+'[1]2019'!B227+'[1]2020'!B227</f>
        <v>4</v>
      </c>
      <c r="C217" s="46">
        <f>'[1]2018'!C227+'[1]2019'!C227+'[1]2020'!C227</f>
        <v>4</v>
      </c>
      <c r="D217" s="46">
        <f>'[1]2018'!D227+'[1]2019'!D227+'[1]2020'!D227</f>
        <v>4</v>
      </c>
      <c r="E217" s="46">
        <f>'[1]2018'!E227+'[1]2019'!E227+'[1]2020'!E227</f>
        <v>4</v>
      </c>
      <c r="F217" s="46">
        <f>'[1]2018'!F227+'[1]2019'!F227+'[1]2020'!F227</f>
        <v>0</v>
      </c>
      <c r="G217" s="46">
        <f>'[1]2018'!G227+'[1]2019'!G227+'[1]2020'!G227</f>
        <v>0</v>
      </c>
      <c r="H217" s="46">
        <f>'[1]2018'!H227+'[1]2019'!H227+'[1]2020'!H227</f>
        <v>0</v>
      </c>
      <c r="I217" s="46">
        <f>'[1]2018'!I227+'[1]2019'!I227+'[1]2020'!I227</f>
        <v>0</v>
      </c>
      <c r="J217" s="46">
        <f>'[1]2018'!J227+'[1]2019'!J227+'[1]2020'!J227</f>
        <v>0</v>
      </c>
      <c r="K217" s="46">
        <f>'[1]2018'!K227+'[1]2019'!K227+'[1]2020'!K227</f>
        <v>0</v>
      </c>
      <c r="L217" s="46">
        <f>'[1]2018'!L227+'[1]2019'!L227+'[1]2020'!L227</f>
        <v>0</v>
      </c>
      <c r="M217" s="46">
        <f>'[1]2018'!M227+'[1]2019'!M227+'[1]2020'!M227</f>
        <v>0</v>
      </c>
      <c r="N217" s="46">
        <f>'[1]2018'!N227+'[1]2019'!N227+'[1]2020'!N227</f>
        <v>0</v>
      </c>
      <c r="O217" s="46">
        <f>'[1]2018'!O227+'[1]2019'!O227+'[1]2020'!O227</f>
        <v>0</v>
      </c>
      <c r="P217" s="46">
        <f>'[1]2018'!P227+'[1]2019'!P227+'[1]2020'!P227</f>
        <v>0</v>
      </c>
      <c r="Q217" s="46">
        <f>'[1]2018'!Q227+'[1]2019'!Q227+'[1]2020'!Q227</f>
        <v>0</v>
      </c>
      <c r="R217" s="46">
        <f>'[1]2018'!R227+'[1]2019'!R227+'[1]2020'!R227</f>
        <v>0</v>
      </c>
      <c r="S217" s="46">
        <f>'[1]2018'!S227+'[1]2019'!S227+'[1]2020'!S227</f>
        <v>0</v>
      </c>
      <c r="T217" s="46">
        <f>'[1]2018'!T227+'[1]2019'!T227+'[1]2020'!T227</f>
        <v>0</v>
      </c>
      <c r="U217" s="46">
        <f>'[1]2018'!U227+'[1]2019'!U227+'[1]2020'!U227</f>
        <v>3</v>
      </c>
      <c r="V217" s="46">
        <f>'[1]2018'!V227+'[1]2019'!V227+'[1]2020'!V227</f>
        <v>1</v>
      </c>
      <c r="W217" s="46">
        <f>'[1]2018'!W227+'[1]2019'!W227+'[1]2020'!W227</f>
        <v>0</v>
      </c>
      <c r="X217" s="46">
        <f>'[1]2018'!X227+'[1]2019'!X227+'[1]2020'!X227</f>
        <v>0</v>
      </c>
      <c r="Y217" s="41">
        <f t="shared" si="25"/>
        <v>4</v>
      </c>
      <c r="Z217" s="11">
        <f>'[1]2018'!Z227+'[1]2019'!Z227+'[1]2020'!Z227</f>
        <v>4</v>
      </c>
      <c r="AA217" s="11">
        <f>'[1]2018'!AA227+'[1]2019'!AA227+'[1]2020'!AA227</f>
        <v>4</v>
      </c>
      <c r="AB217" s="11">
        <f>'[1]2018'!AB227+'[1]2019'!AB227+'[1]2020'!AB227</f>
        <v>4</v>
      </c>
      <c r="AC217" s="11">
        <f>'[1]2018'!AC227+'[1]2019'!AC227+'[1]2020'!AC227</f>
        <v>4</v>
      </c>
      <c r="AD217" s="11">
        <f>'[1]2018'!AD227+'[1]2019'!AD227+'[1]2020'!AD227</f>
        <v>0</v>
      </c>
      <c r="AE217" s="11">
        <f>'[1]2018'!AE227+'[1]2019'!AE227+'[1]2020'!AE227</f>
        <v>0</v>
      </c>
      <c r="AF217" s="11">
        <f>'[1]2018'!AF227+'[1]2019'!AF227+'[1]2020'!AF227</f>
        <v>0</v>
      </c>
      <c r="AG217" s="11">
        <f>'[1]2018'!AG227+'[1]2019'!AG227+'[1]2020'!AG227</f>
        <v>0</v>
      </c>
      <c r="AH217" s="11">
        <f>'[1]2018'!AH227+'[1]2019'!AH227+'[1]2020'!AH227</f>
        <v>0</v>
      </c>
      <c r="AI217" s="11">
        <f>'[1]2018'!AI227+'[1]2019'!AI227+'[1]2020'!AI227</f>
        <v>0</v>
      </c>
      <c r="AJ217" s="11">
        <f>'[1]2018'!AJ227+'[1]2019'!AJ227+'[1]2020'!AJ227</f>
        <v>0</v>
      </c>
      <c r="AK217" s="11">
        <f>'[1]2018'!AK227+'[1]2019'!AK227+'[1]2020'!AK227</f>
        <v>0</v>
      </c>
      <c r="AL217" s="11">
        <f>'[1]2018'!AL227+'[1]2019'!AL227+'[1]2020'!AL227</f>
        <v>0</v>
      </c>
      <c r="AM217" s="11">
        <f>'[1]2018'!AM227+'[1]2019'!AM227+'[1]2020'!AM227</f>
        <v>0</v>
      </c>
      <c r="AN217" s="11">
        <f>'[1]2018'!AN227+'[1]2019'!AN227+'[1]2020'!AN227</f>
        <v>0</v>
      </c>
      <c r="AO217" s="11">
        <f>'[1]2018'!AO227+'[1]2019'!AO227+'[1]2020'!AO227</f>
        <v>0</v>
      </c>
      <c r="AP217" s="11">
        <f>'[1]2018'!AP227+'[1]2019'!AP227+'[1]2020'!AP227</f>
        <v>0</v>
      </c>
      <c r="AQ217" s="11">
        <f>'[1]2018'!AQ227+'[1]2019'!AQ227+'[1]2020'!AQ227</f>
        <v>0</v>
      </c>
      <c r="AR217" s="11">
        <f>'[1]2018'!AR227+'[1]2019'!AR227+'[1]2020'!AR227</f>
        <v>0</v>
      </c>
      <c r="AS217" s="11">
        <f>'[1]2018'!AS227+'[1]2019'!AS227+'[1]2020'!AS227</f>
        <v>3</v>
      </c>
      <c r="AT217" s="11">
        <f>'[1]2018'!AT227+'[1]2019'!AT227+'[1]2020'!AT227</f>
        <v>1</v>
      </c>
      <c r="AU217" s="11">
        <f>'[1]2018'!AU227+'[1]2019'!AU227+'[1]2020'!AU227</f>
        <v>0</v>
      </c>
      <c r="AV217" s="11">
        <f>'[1]2018'!AV227+'[1]2019'!AV227+'[1]2020'!AV227</f>
        <v>0</v>
      </c>
      <c r="AW217" s="41">
        <f t="shared" si="26"/>
        <v>4</v>
      </c>
      <c r="AX217" s="14">
        <f t="shared" si="27"/>
        <v>1749.7766666666666</v>
      </c>
      <c r="AY217" s="2">
        <f>'[1]2018'!AX227+'[1]2019'!AX227+'[1]2020'!AX227</f>
        <v>5249.33</v>
      </c>
    </row>
    <row r="218" spans="1:136" x14ac:dyDescent="0.25">
      <c r="A218" s="10" t="s">
        <v>72</v>
      </c>
      <c r="B218" s="46">
        <f>'[1]2018'!B228+'[1]2019'!B228+'[1]2020'!B228</f>
        <v>4</v>
      </c>
      <c r="C218" s="46">
        <f>'[1]2018'!C228+'[1]2019'!C228+'[1]2020'!C228</f>
        <v>0</v>
      </c>
      <c r="D218" s="46">
        <f>'[1]2018'!D228+'[1]2019'!D228+'[1]2020'!D228</f>
        <v>9</v>
      </c>
      <c r="E218" s="46">
        <f>'[1]2018'!E228+'[1]2019'!E228+'[1]2020'!E228</f>
        <v>0</v>
      </c>
      <c r="F218" s="46">
        <f>'[1]2018'!F228+'[1]2019'!F228+'[1]2020'!F228</f>
        <v>0</v>
      </c>
      <c r="G218" s="46">
        <f>'[1]2018'!G228+'[1]2019'!G228+'[1]2020'!G228</f>
        <v>0</v>
      </c>
      <c r="H218" s="46">
        <f>'[1]2018'!H228+'[1]2019'!H228+'[1]2020'!H228</f>
        <v>0</v>
      </c>
      <c r="I218" s="46">
        <f>'[1]2018'!I228+'[1]2019'!I228+'[1]2020'!I228</f>
        <v>0</v>
      </c>
      <c r="J218" s="46">
        <f>'[1]2018'!J228+'[1]2019'!J228+'[1]2020'!J228</f>
        <v>0</v>
      </c>
      <c r="K218" s="46">
        <f>'[1]2018'!K228+'[1]2019'!K228+'[1]2020'!K228</f>
        <v>0</v>
      </c>
      <c r="L218" s="46">
        <f>'[1]2018'!L228+'[1]2019'!L228+'[1]2020'!L228</f>
        <v>2</v>
      </c>
      <c r="M218" s="46">
        <f>'[1]2018'!M228+'[1]2019'!M228+'[1]2020'!M228</f>
        <v>0</v>
      </c>
      <c r="N218" s="46">
        <f>'[1]2018'!N228+'[1]2019'!N228+'[1]2020'!N228</f>
        <v>0</v>
      </c>
      <c r="O218" s="46">
        <f>'[1]2018'!O228+'[1]2019'!O228+'[1]2020'!O228</f>
        <v>0</v>
      </c>
      <c r="P218" s="46">
        <f>'[1]2018'!P228+'[1]2019'!P228+'[1]2020'!P228</f>
        <v>0</v>
      </c>
      <c r="Q218" s="46">
        <f>'[1]2018'!Q228+'[1]2019'!Q228+'[1]2020'!Q228</f>
        <v>0</v>
      </c>
      <c r="R218" s="46">
        <f>'[1]2018'!R228+'[1]2019'!R228+'[1]2020'!R228</f>
        <v>0</v>
      </c>
      <c r="S218" s="46">
        <f>'[1]2018'!S228+'[1]2019'!S228+'[1]2020'!S228</f>
        <v>0</v>
      </c>
      <c r="T218" s="46">
        <f>'[1]2018'!T228+'[1]2019'!T228+'[1]2020'!T228</f>
        <v>0</v>
      </c>
      <c r="U218" s="46">
        <f>'[1]2018'!U228+'[1]2019'!U228+'[1]2020'!U228</f>
        <v>0</v>
      </c>
      <c r="V218" s="46">
        <f>'[1]2018'!V228+'[1]2019'!V228+'[1]2020'!V228</f>
        <v>0</v>
      </c>
      <c r="W218" s="46">
        <f>'[1]2018'!W228+'[1]2019'!W228+'[1]2020'!W228</f>
        <v>0</v>
      </c>
      <c r="X218" s="46">
        <f>'[1]2018'!X228+'[1]2019'!X228+'[1]2020'!X228</f>
        <v>7</v>
      </c>
      <c r="Y218" s="41">
        <f t="shared" si="25"/>
        <v>9</v>
      </c>
      <c r="Z218" s="11">
        <f>'[1]2018'!Z228+'[1]2019'!Z228+'[1]2020'!Z228</f>
        <v>1</v>
      </c>
      <c r="AA218" s="11">
        <f>'[1]2018'!AA228+'[1]2019'!AA228+'[1]2020'!AA228</f>
        <v>0</v>
      </c>
      <c r="AB218" s="11">
        <f>'[1]2018'!AB228+'[1]2019'!AB228+'[1]2020'!AB228</f>
        <v>2</v>
      </c>
      <c r="AC218" s="11">
        <f>'[1]2018'!AC228+'[1]2019'!AC228+'[1]2020'!AC228</f>
        <v>0</v>
      </c>
      <c r="AD218" s="11">
        <f>'[1]2018'!AD228+'[1]2019'!AD228+'[1]2020'!AD228</f>
        <v>0</v>
      </c>
      <c r="AE218" s="11">
        <f>'[1]2018'!AE228+'[1]2019'!AE228+'[1]2020'!AE228</f>
        <v>0</v>
      </c>
      <c r="AF218" s="11">
        <f>'[1]2018'!AF228+'[1]2019'!AF228+'[1]2020'!AF228</f>
        <v>0</v>
      </c>
      <c r="AG218" s="11">
        <f>'[1]2018'!AG228+'[1]2019'!AG228+'[1]2020'!AG228</f>
        <v>0</v>
      </c>
      <c r="AH218" s="11">
        <f>'[1]2018'!AH228+'[1]2019'!AH228+'[1]2020'!AH228</f>
        <v>0</v>
      </c>
      <c r="AI218" s="11">
        <f>'[1]2018'!AI228+'[1]2019'!AI228+'[1]2020'!AI228</f>
        <v>0</v>
      </c>
      <c r="AJ218" s="11">
        <f>'[1]2018'!AJ228+'[1]2019'!AJ228+'[1]2020'!AJ228</f>
        <v>0</v>
      </c>
      <c r="AK218" s="11">
        <f>'[1]2018'!AK228+'[1]2019'!AK228+'[1]2020'!AK228</f>
        <v>0</v>
      </c>
      <c r="AL218" s="11">
        <f>'[1]2018'!AL228+'[1]2019'!AL228+'[1]2020'!AL228</f>
        <v>0</v>
      </c>
      <c r="AM218" s="11">
        <f>'[1]2018'!AM228+'[1]2019'!AM228+'[1]2020'!AM228</f>
        <v>0</v>
      </c>
      <c r="AN218" s="11">
        <f>'[1]2018'!AN228+'[1]2019'!AN228+'[1]2020'!AN228</f>
        <v>0</v>
      </c>
      <c r="AO218" s="11">
        <f>'[1]2018'!AO228+'[1]2019'!AO228+'[1]2020'!AO228</f>
        <v>0</v>
      </c>
      <c r="AP218" s="11">
        <f>'[1]2018'!AP228+'[1]2019'!AP228+'[1]2020'!AP228</f>
        <v>0</v>
      </c>
      <c r="AQ218" s="11">
        <f>'[1]2018'!AQ228+'[1]2019'!AQ228+'[1]2020'!AQ228</f>
        <v>0</v>
      </c>
      <c r="AR218" s="11">
        <f>'[1]2018'!AR228+'[1]2019'!AR228+'[1]2020'!AR228</f>
        <v>0</v>
      </c>
      <c r="AS218" s="11">
        <f>'[1]2018'!AS228+'[1]2019'!AS228+'[1]2020'!AS228</f>
        <v>0</v>
      </c>
      <c r="AT218" s="11">
        <f>'[1]2018'!AT228+'[1]2019'!AT228+'[1]2020'!AT228</f>
        <v>0</v>
      </c>
      <c r="AU218" s="11">
        <f>'[1]2018'!AU228+'[1]2019'!AU228+'[1]2020'!AU228</f>
        <v>0</v>
      </c>
      <c r="AV218" s="11">
        <f>'[1]2018'!AV228+'[1]2019'!AV228+'[1]2020'!AV228</f>
        <v>2</v>
      </c>
      <c r="AW218" s="41">
        <f t="shared" si="26"/>
        <v>2</v>
      </c>
      <c r="AX218" s="14">
        <f t="shared" si="27"/>
        <v>1333.3333333333333</v>
      </c>
      <c r="AY218" s="2">
        <f>'[1]2018'!AX228+'[1]2019'!AX228+'[1]2020'!AX228</f>
        <v>4000</v>
      </c>
    </row>
    <row r="219" spans="1:136" x14ac:dyDescent="0.25">
      <c r="A219" s="10" t="s">
        <v>73</v>
      </c>
      <c r="B219" s="46">
        <f>'[1]2018'!B229+'[1]2019'!B229+'[1]2020'!B229</f>
        <v>1</v>
      </c>
      <c r="C219" s="46">
        <f>'[1]2018'!C229+'[1]2019'!C229+'[1]2020'!C229</f>
        <v>1</v>
      </c>
      <c r="D219" s="46">
        <f>'[1]2018'!D229+'[1]2019'!D229+'[1]2020'!D229</f>
        <v>1</v>
      </c>
      <c r="E219" s="46">
        <f>'[1]2018'!E229+'[1]2019'!E229+'[1]2020'!E229</f>
        <v>1</v>
      </c>
      <c r="F219" s="46">
        <f>'[1]2018'!F229+'[1]2019'!F229+'[1]2020'!F229</f>
        <v>0</v>
      </c>
      <c r="G219" s="46">
        <f>'[1]2018'!G229+'[1]2019'!G229+'[1]2020'!G229</f>
        <v>0</v>
      </c>
      <c r="H219" s="46">
        <f>'[1]2018'!H229+'[1]2019'!H229+'[1]2020'!H229</f>
        <v>0</v>
      </c>
      <c r="I219" s="46">
        <f>'[1]2018'!I229+'[1]2019'!I229+'[1]2020'!I229</f>
        <v>0</v>
      </c>
      <c r="J219" s="46">
        <f>'[1]2018'!J229+'[1]2019'!J229+'[1]2020'!J229</f>
        <v>0</v>
      </c>
      <c r="K219" s="46">
        <f>'[1]2018'!K229+'[1]2019'!K229+'[1]2020'!K229</f>
        <v>0</v>
      </c>
      <c r="L219" s="46">
        <f>'[1]2018'!L229+'[1]2019'!L229+'[1]2020'!L229</f>
        <v>0</v>
      </c>
      <c r="M219" s="46">
        <f>'[1]2018'!M229+'[1]2019'!M229+'[1]2020'!M229</f>
        <v>0</v>
      </c>
      <c r="N219" s="46">
        <f>'[1]2018'!N229+'[1]2019'!N229+'[1]2020'!N229</f>
        <v>0</v>
      </c>
      <c r="O219" s="46">
        <f>'[1]2018'!O229+'[1]2019'!O229+'[1]2020'!O229</f>
        <v>0</v>
      </c>
      <c r="P219" s="46">
        <f>'[1]2018'!P229+'[1]2019'!P229+'[1]2020'!P229</f>
        <v>0</v>
      </c>
      <c r="Q219" s="46">
        <f>'[1]2018'!Q229+'[1]2019'!Q229+'[1]2020'!Q229</f>
        <v>0</v>
      </c>
      <c r="R219" s="46">
        <f>'[1]2018'!R229+'[1]2019'!R229+'[1]2020'!R229</f>
        <v>0</v>
      </c>
      <c r="S219" s="46">
        <f>'[1]2018'!S229+'[1]2019'!S229+'[1]2020'!S229</f>
        <v>0</v>
      </c>
      <c r="T219" s="46">
        <f>'[1]2018'!T229+'[1]2019'!T229+'[1]2020'!T229</f>
        <v>0</v>
      </c>
      <c r="U219" s="46">
        <f>'[1]2018'!U229+'[1]2019'!U229+'[1]2020'!U229</f>
        <v>1</v>
      </c>
      <c r="V219" s="46">
        <f>'[1]2018'!V229+'[1]2019'!V229+'[1]2020'!V229</f>
        <v>0</v>
      </c>
      <c r="W219" s="46">
        <f>'[1]2018'!W229+'[1]2019'!W229+'[1]2020'!W229</f>
        <v>0</v>
      </c>
      <c r="X219" s="46">
        <f>'[1]2018'!X229+'[1]2019'!X229+'[1]2020'!X229</f>
        <v>0</v>
      </c>
      <c r="Y219" s="41">
        <f t="shared" si="25"/>
        <v>1</v>
      </c>
      <c r="Z219" s="11">
        <f>'[1]2018'!Z229+'[1]2019'!Z229+'[1]2020'!Z229</f>
        <v>1</v>
      </c>
      <c r="AA219" s="11">
        <f>'[1]2018'!AA229+'[1]2019'!AA229+'[1]2020'!AA229</f>
        <v>1</v>
      </c>
      <c r="AB219" s="11">
        <f>'[1]2018'!AB229+'[1]2019'!AB229+'[1]2020'!AB229</f>
        <v>1</v>
      </c>
      <c r="AC219" s="11">
        <f>'[1]2018'!AC229+'[1]2019'!AC229+'[1]2020'!AC229</f>
        <v>1</v>
      </c>
      <c r="AD219" s="11">
        <f>'[1]2018'!AD229+'[1]2019'!AD229+'[1]2020'!AD229</f>
        <v>0</v>
      </c>
      <c r="AE219" s="11">
        <f>'[1]2018'!AE229+'[1]2019'!AE229+'[1]2020'!AE229</f>
        <v>0</v>
      </c>
      <c r="AF219" s="11">
        <f>'[1]2018'!AF229+'[1]2019'!AF229+'[1]2020'!AF229</f>
        <v>0</v>
      </c>
      <c r="AG219" s="11">
        <f>'[1]2018'!AG229+'[1]2019'!AG229+'[1]2020'!AG229</f>
        <v>0</v>
      </c>
      <c r="AH219" s="11">
        <f>'[1]2018'!AH229+'[1]2019'!AH229+'[1]2020'!AH229</f>
        <v>0</v>
      </c>
      <c r="AI219" s="11">
        <f>'[1]2018'!AI229+'[1]2019'!AI229+'[1]2020'!AI229</f>
        <v>0</v>
      </c>
      <c r="AJ219" s="11">
        <f>'[1]2018'!AJ229+'[1]2019'!AJ229+'[1]2020'!AJ229</f>
        <v>0</v>
      </c>
      <c r="AK219" s="11">
        <f>'[1]2018'!AK229+'[1]2019'!AK229+'[1]2020'!AK229</f>
        <v>0</v>
      </c>
      <c r="AL219" s="11">
        <f>'[1]2018'!AL229+'[1]2019'!AL229+'[1]2020'!AL229</f>
        <v>0</v>
      </c>
      <c r="AM219" s="11">
        <f>'[1]2018'!AM229+'[1]2019'!AM229+'[1]2020'!AM229</f>
        <v>0</v>
      </c>
      <c r="AN219" s="11">
        <f>'[1]2018'!AN229+'[1]2019'!AN229+'[1]2020'!AN229</f>
        <v>0</v>
      </c>
      <c r="AO219" s="11">
        <f>'[1]2018'!AO229+'[1]2019'!AO229+'[1]2020'!AO229</f>
        <v>0</v>
      </c>
      <c r="AP219" s="11">
        <f>'[1]2018'!AP229+'[1]2019'!AP229+'[1]2020'!AP229</f>
        <v>0</v>
      </c>
      <c r="AQ219" s="11">
        <f>'[1]2018'!AQ229+'[1]2019'!AQ229+'[1]2020'!AQ229</f>
        <v>0</v>
      </c>
      <c r="AR219" s="11">
        <f>'[1]2018'!AR229+'[1]2019'!AR229+'[1]2020'!AR229</f>
        <v>0</v>
      </c>
      <c r="AS219" s="11">
        <f>'[1]2018'!AS229+'[1]2019'!AS229+'[1]2020'!AS229</f>
        <v>1</v>
      </c>
      <c r="AT219" s="11">
        <f>'[1]2018'!AT229+'[1]2019'!AT229+'[1]2020'!AT229</f>
        <v>0</v>
      </c>
      <c r="AU219" s="11">
        <f>'[1]2018'!AU229+'[1]2019'!AU229+'[1]2020'!AU229</f>
        <v>0</v>
      </c>
      <c r="AV219" s="11">
        <f>'[1]2018'!AV229+'[1]2019'!AV229+'[1]2020'!AV229</f>
        <v>0</v>
      </c>
      <c r="AW219" s="41">
        <f t="shared" si="26"/>
        <v>1</v>
      </c>
      <c r="AX219" s="14">
        <f t="shared" si="27"/>
        <v>832.88666666666666</v>
      </c>
      <c r="AY219" s="2">
        <f>'[1]2018'!AX229+'[1]2019'!AX229+'[1]2020'!AX229</f>
        <v>2498.66</v>
      </c>
    </row>
    <row r="220" spans="1:136" x14ac:dyDescent="0.25">
      <c r="A220" s="10" t="s">
        <v>74</v>
      </c>
      <c r="B220" s="46">
        <f>'[1]2018'!B230+'[1]2019'!B230+'[1]2020'!B230</f>
        <v>1</v>
      </c>
      <c r="C220" s="46">
        <f>'[1]2018'!C230+'[1]2019'!C230+'[1]2020'!C230</f>
        <v>1</v>
      </c>
      <c r="D220" s="46">
        <f>'[1]2018'!D230+'[1]2019'!D230+'[1]2020'!D230</f>
        <v>1</v>
      </c>
      <c r="E220" s="46">
        <f>'[1]2018'!E230+'[1]2019'!E230+'[1]2020'!E230</f>
        <v>1</v>
      </c>
      <c r="F220" s="46">
        <f>'[1]2018'!F230+'[1]2019'!F230+'[1]2020'!F230</f>
        <v>0</v>
      </c>
      <c r="G220" s="46">
        <f>'[1]2018'!G230+'[1]2019'!G230+'[1]2020'!G230</f>
        <v>0</v>
      </c>
      <c r="H220" s="46">
        <f>'[1]2018'!H230+'[1]2019'!H230+'[1]2020'!H230</f>
        <v>0</v>
      </c>
      <c r="I220" s="46">
        <f>'[1]2018'!I230+'[1]2019'!I230+'[1]2020'!I230</f>
        <v>0</v>
      </c>
      <c r="J220" s="46">
        <f>'[1]2018'!J230+'[1]2019'!J230+'[1]2020'!J230</f>
        <v>0</v>
      </c>
      <c r="K220" s="46">
        <f>'[1]2018'!K230+'[1]2019'!K230+'[1]2020'!K230</f>
        <v>0</v>
      </c>
      <c r="L220" s="46">
        <f>'[1]2018'!L230+'[1]2019'!L230+'[1]2020'!L230</f>
        <v>0</v>
      </c>
      <c r="M220" s="46">
        <f>'[1]2018'!M230+'[1]2019'!M230+'[1]2020'!M230</f>
        <v>0</v>
      </c>
      <c r="N220" s="46">
        <f>'[1]2018'!N230+'[1]2019'!N230+'[1]2020'!N230</f>
        <v>0</v>
      </c>
      <c r="O220" s="46">
        <f>'[1]2018'!O230+'[1]2019'!O230+'[1]2020'!O230</f>
        <v>0</v>
      </c>
      <c r="P220" s="46">
        <f>'[1]2018'!P230+'[1]2019'!P230+'[1]2020'!P230</f>
        <v>0</v>
      </c>
      <c r="Q220" s="46">
        <f>'[1]2018'!Q230+'[1]2019'!Q230+'[1]2020'!Q230</f>
        <v>0</v>
      </c>
      <c r="R220" s="46">
        <f>'[1]2018'!R230+'[1]2019'!R230+'[1]2020'!R230</f>
        <v>0</v>
      </c>
      <c r="S220" s="46">
        <f>'[1]2018'!S230+'[1]2019'!S230+'[1]2020'!S230</f>
        <v>0</v>
      </c>
      <c r="T220" s="46">
        <f>'[1]2018'!T230+'[1]2019'!T230+'[1]2020'!T230</f>
        <v>0</v>
      </c>
      <c r="U220" s="46">
        <f>'[1]2018'!U230+'[1]2019'!U230+'[1]2020'!U230</f>
        <v>1</v>
      </c>
      <c r="V220" s="46">
        <f>'[1]2018'!V230+'[1]2019'!V230+'[1]2020'!V230</f>
        <v>0</v>
      </c>
      <c r="W220" s="46">
        <f>'[1]2018'!W230+'[1]2019'!W230+'[1]2020'!W230</f>
        <v>0</v>
      </c>
      <c r="X220" s="46">
        <f>'[1]2018'!X230+'[1]2019'!X230+'[1]2020'!X230</f>
        <v>0</v>
      </c>
      <c r="Y220" s="41">
        <f t="shared" si="25"/>
        <v>1</v>
      </c>
      <c r="Z220" s="11">
        <f>'[1]2018'!Z230+'[1]2019'!Z230+'[1]2020'!Z230</f>
        <v>1</v>
      </c>
      <c r="AA220" s="11">
        <f>'[1]2018'!AA230+'[1]2019'!AA230+'[1]2020'!AA230</f>
        <v>1</v>
      </c>
      <c r="AB220" s="11">
        <f>'[1]2018'!AB230+'[1]2019'!AB230+'[1]2020'!AB230</f>
        <v>1</v>
      </c>
      <c r="AC220" s="11">
        <f>'[1]2018'!AC230+'[1]2019'!AC230+'[1]2020'!AC230</f>
        <v>1</v>
      </c>
      <c r="AD220" s="11">
        <f>'[1]2018'!AD230+'[1]2019'!AD230+'[1]2020'!AD230</f>
        <v>0</v>
      </c>
      <c r="AE220" s="11">
        <f>'[1]2018'!AE230+'[1]2019'!AE230+'[1]2020'!AE230</f>
        <v>0</v>
      </c>
      <c r="AF220" s="11">
        <f>'[1]2018'!AF230+'[1]2019'!AF230+'[1]2020'!AF230</f>
        <v>0</v>
      </c>
      <c r="AG220" s="11">
        <f>'[1]2018'!AG230+'[1]2019'!AG230+'[1]2020'!AG230</f>
        <v>0</v>
      </c>
      <c r="AH220" s="11">
        <f>'[1]2018'!AH230+'[1]2019'!AH230+'[1]2020'!AH230</f>
        <v>0</v>
      </c>
      <c r="AI220" s="11">
        <f>'[1]2018'!AI230+'[1]2019'!AI230+'[1]2020'!AI230</f>
        <v>0</v>
      </c>
      <c r="AJ220" s="11">
        <f>'[1]2018'!AJ230+'[1]2019'!AJ230+'[1]2020'!AJ230</f>
        <v>0</v>
      </c>
      <c r="AK220" s="11">
        <f>'[1]2018'!AK230+'[1]2019'!AK230+'[1]2020'!AK230</f>
        <v>0</v>
      </c>
      <c r="AL220" s="11">
        <f>'[1]2018'!AL230+'[1]2019'!AL230+'[1]2020'!AL230</f>
        <v>0</v>
      </c>
      <c r="AM220" s="11">
        <f>'[1]2018'!AM230+'[1]2019'!AM230+'[1]2020'!AM230</f>
        <v>0</v>
      </c>
      <c r="AN220" s="11">
        <f>'[1]2018'!AN230+'[1]2019'!AN230+'[1]2020'!AN230</f>
        <v>0</v>
      </c>
      <c r="AO220" s="11">
        <f>'[1]2018'!AO230+'[1]2019'!AO230+'[1]2020'!AO230</f>
        <v>0</v>
      </c>
      <c r="AP220" s="11">
        <f>'[1]2018'!AP230+'[1]2019'!AP230+'[1]2020'!AP230</f>
        <v>0</v>
      </c>
      <c r="AQ220" s="11">
        <f>'[1]2018'!AQ230+'[1]2019'!AQ230+'[1]2020'!AQ230</f>
        <v>0</v>
      </c>
      <c r="AR220" s="11">
        <f>'[1]2018'!AR230+'[1]2019'!AR230+'[1]2020'!AR230</f>
        <v>0</v>
      </c>
      <c r="AS220" s="11">
        <f>'[1]2018'!AS230+'[1]2019'!AS230+'[1]2020'!AS230</f>
        <v>1</v>
      </c>
      <c r="AT220" s="11">
        <f>'[1]2018'!AT230+'[1]2019'!AT230+'[1]2020'!AT230</f>
        <v>0</v>
      </c>
      <c r="AU220" s="11">
        <f>'[1]2018'!AU230+'[1]2019'!AU230+'[1]2020'!AU230</f>
        <v>0</v>
      </c>
      <c r="AV220" s="11">
        <f>'[1]2018'!AV230+'[1]2019'!AV230+'[1]2020'!AV230</f>
        <v>0</v>
      </c>
      <c r="AW220" s="41">
        <f t="shared" si="26"/>
        <v>1</v>
      </c>
      <c r="AX220" s="14">
        <f t="shared" si="27"/>
        <v>1813.3333333333333</v>
      </c>
      <c r="AY220" s="2">
        <f>'[1]2018'!AX230+'[1]2019'!AX230+'[1]2020'!AX230</f>
        <v>5440</v>
      </c>
    </row>
    <row r="221" spans="1:136" x14ac:dyDescent="0.25">
      <c r="A221" s="10" t="s">
        <v>75</v>
      </c>
      <c r="B221" s="46">
        <f>'[1]2018'!B231+'[1]2019'!B231+'[1]2020'!B231</f>
        <v>2</v>
      </c>
      <c r="C221" s="46">
        <f>'[1]2018'!C231+'[1]2019'!C231+'[1]2020'!C231</f>
        <v>2</v>
      </c>
      <c r="D221" s="46">
        <f>'[1]2018'!D231+'[1]2019'!D231+'[1]2020'!D231</f>
        <v>2</v>
      </c>
      <c r="E221" s="46">
        <f>'[1]2018'!E231+'[1]2019'!E231+'[1]2020'!E231</f>
        <v>2</v>
      </c>
      <c r="F221" s="46">
        <f>'[1]2018'!F231+'[1]2019'!F231+'[1]2020'!F231</f>
        <v>0</v>
      </c>
      <c r="G221" s="46">
        <f>'[1]2018'!G231+'[1]2019'!G231+'[1]2020'!G231</f>
        <v>0</v>
      </c>
      <c r="H221" s="46">
        <f>'[1]2018'!H231+'[1]2019'!H231+'[1]2020'!H231</f>
        <v>0</v>
      </c>
      <c r="I221" s="46">
        <f>'[1]2018'!I231+'[1]2019'!I231+'[1]2020'!I231</f>
        <v>0</v>
      </c>
      <c r="J221" s="46">
        <f>'[1]2018'!J231+'[1]2019'!J231+'[1]2020'!J231</f>
        <v>0</v>
      </c>
      <c r="K221" s="46">
        <f>'[1]2018'!K231+'[1]2019'!K231+'[1]2020'!K231</f>
        <v>0</v>
      </c>
      <c r="L221" s="46">
        <f>'[1]2018'!L231+'[1]2019'!L231+'[1]2020'!L231</f>
        <v>0</v>
      </c>
      <c r="M221" s="46">
        <f>'[1]2018'!M231+'[1]2019'!M231+'[1]2020'!M231</f>
        <v>0</v>
      </c>
      <c r="N221" s="46">
        <f>'[1]2018'!N231+'[1]2019'!N231+'[1]2020'!N231</f>
        <v>0</v>
      </c>
      <c r="O221" s="46">
        <f>'[1]2018'!O231+'[1]2019'!O231+'[1]2020'!O231</f>
        <v>0</v>
      </c>
      <c r="P221" s="46">
        <f>'[1]2018'!P231+'[1]2019'!P231+'[1]2020'!P231</f>
        <v>0</v>
      </c>
      <c r="Q221" s="46">
        <f>'[1]2018'!Q231+'[1]2019'!Q231+'[1]2020'!Q231</f>
        <v>0</v>
      </c>
      <c r="R221" s="46">
        <f>'[1]2018'!R231+'[1]2019'!R231+'[1]2020'!R231</f>
        <v>0</v>
      </c>
      <c r="S221" s="46">
        <f>'[1]2018'!S231+'[1]2019'!S231+'[1]2020'!S231</f>
        <v>0</v>
      </c>
      <c r="T221" s="46">
        <f>'[1]2018'!T231+'[1]2019'!T231+'[1]2020'!T231</f>
        <v>0</v>
      </c>
      <c r="U221" s="46">
        <f>'[1]2018'!U231+'[1]2019'!U231+'[1]2020'!U231</f>
        <v>2</v>
      </c>
      <c r="V221" s="46">
        <f>'[1]2018'!V231+'[1]2019'!V231+'[1]2020'!V231</f>
        <v>0</v>
      </c>
      <c r="W221" s="46">
        <f>'[1]2018'!W231+'[1]2019'!W231+'[1]2020'!W231</f>
        <v>0</v>
      </c>
      <c r="X221" s="46">
        <f>'[1]2018'!X231+'[1]2019'!X231+'[1]2020'!X231</f>
        <v>0</v>
      </c>
      <c r="Y221" s="41">
        <f t="shared" si="25"/>
        <v>2</v>
      </c>
      <c r="Z221" s="11">
        <f>'[1]2018'!Z231+'[1]2019'!Z231+'[1]2020'!Z231</f>
        <v>2</v>
      </c>
      <c r="AA221" s="11">
        <f>'[1]2018'!AA231+'[1]2019'!AA231+'[1]2020'!AA231</f>
        <v>2</v>
      </c>
      <c r="AB221" s="11">
        <f>'[1]2018'!AB231+'[1]2019'!AB231+'[1]2020'!AB231</f>
        <v>2</v>
      </c>
      <c r="AC221" s="11">
        <f>'[1]2018'!AC231+'[1]2019'!AC231+'[1]2020'!AC231</f>
        <v>2</v>
      </c>
      <c r="AD221" s="11">
        <f>'[1]2018'!AD231+'[1]2019'!AD231+'[1]2020'!AD231</f>
        <v>0</v>
      </c>
      <c r="AE221" s="11">
        <f>'[1]2018'!AE231+'[1]2019'!AE231+'[1]2020'!AE231</f>
        <v>0</v>
      </c>
      <c r="AF221" s="11">
        <f>'[1]2018'!AF231+'[1]2019'!AF231+'[1]2020'!AF231</f>
        <v>0</v>
      </c>
      <c r="AG221" s="11">
        <f>'[1]2018'!AG231+'[1]2019'!AG231+'[1]2020'!AG231</f>
        <v>0</v>
      </c>
      <c r="AH221" s="11">
        <f>'[1]2018'!AH231+'[1]2019'!AH231+'[1]2020'!AH231</f>
        <v>0</v>
      </c>
      <c r="AI221" s="11">
        <f>'[1]2018'!AI231+'[1]2019'!AI231+'[1]2020'!AI231</f>
        <v>0</v>
      </c>
      <c r="AJ221" s="11">
        <f>'[1]2018'!AJ231+'[1]2019'!AJ231+'[1]2020'!AJ231</f>
        <v>0</v>
      </c>
      <c r="AK221" s="11">
        <f>'[1]2018'!AK231+'[1]2019'!AK231+'[1]2020'!AK231</f>
        <v>0</v>
      </c>
      <c r="AL221" s="11">
        <f>'[1]2018'!AL231+'[1]2019'!AL231+'[1]2020'!AL231</f>
        <v>0</v>
      </c>
      <c r="AM221" s="11">
        <f>'[1]2018'!AM231+'[1]2019'!AM231+'[1]2020'!AM231</f>
        <v>0</v>
      </c>
      <c r="AN221" s="11">
        <f>'[1]2018'!AN231+'[1]2019'!AN231+'[1]2020'!AN231</f>
        <v>0</v>
      </c>
      <c r="AO221" s="11">
        <f>'[1]2018'!AO231+'[1]2019'!AO231+'[1]2020'!AO231</f>
        <v>0</v>
      </c>
      <c r="AP221" s="11">
        <f>'[1]2018'!AP231+'[1]2019'!AP231+'[1]2020'!AP231</f>
        <v>0</v>
      </c>
      <c r="AQ221" s="11">
        <f>'[1]2018'!AQ231+'[1]2019'!AQ231+'[1]2020'!AQ231</f>
        <v>0</v>
      </c>
      <c r="AR221" s="11">
        <f>'[1]2018'!AR231+'[1]2019'!AR231+'[1]2020'!AR231</f>
        <v>0</v>
      </c>
      <c r="AS221" s="11">
        <f>'[1]2018'!AS231+'[1]2019'!AS231+'[1]2020'!AS231</f>
        <v>2</v>
      </c>
      <c r="AT221" s="11">
        <f>'[1]2018'!AT231+'[1]2019'!AT231+'[1]2020'!AT231</f>
        <v>0</v>
      </c>
      <c r="AU221" s="11">
        <f>'[1]2018'!AU231+'[1]2019'!AU231+'[1]2020'!AU231</f>
        <v>0</v>
      </c>
      <c r="AV221" s="11">
        <f>'[1]2018'!AV231+'[1]2019'!AV231+'[1]2020'!AV231</f>
        <v>0</v>
      </c>
      <c r="AW221" s="41">
        <f t="shared" si="26"/>
        <v>2</v>
      </c>
      <c r="AX221" s="14">
        <f t="shared" si="27"/>
        <v>880</v>
      </c>
      <c r="AY221" s="2">
        <f>'[1]2018'!AX231+'[1]2019'!AX231+'[1]2020'!AX231</f>
        <v>2640</v>
      </c>
    </row>
    <row r="222" spans="1:136" x14ac:dyDescent="0.25">
      <c r="A222" s="10" t="s">
        <v>76</v>
      </c>
      <c r="B222" s="46">
        <f>'[1]2018'!B232+'[1]2019'!B232+'[1]2020'!B232</f>
        <v>1</v>
      </c>
      <c r="C222" s="46">
        <f>'[1]2018'!C232+'[1]2019'!C232+'[1]2020'!C232</f>
        <v>1</v>
      </c>
      <c r="D222" s="46">
        <f>'[1]2018'!D232+'[1]2019'!D232+'[1]2020'!D232</f>
        <v>1</v>
      </c>
      <c r="E222" s="46">
        <f>'[1]2018'!E232+'[1]2019'!E232+'[1]2020'!E232</f>
        <v>1</v>
      </c>
      <c r="F222" s="46">
        <f>'[1]2018'!F232+'[1]2019'!F232+'[1]2020'!F232</f>
        <v>0</v>
      </c>
      <c r="G222" s="46">
        <f>'[1]2018'!G232+'[1]2019'!G232+'[1]2020'!G232</f>
        <v>0</v>
      </c>
      <c r="H222" s="46">
        <f>'[1]2018'!H232+'[1]2019'!H232+'[1]2020'!H232</f>
        <v>0</v>
      </c>
      <c r="I222" s="46">
        <f>'[1]2018'!I232+'[1]2019'!I232+'[1]2020'!I232</f>
        <v>0</v>
      </c>
      <c r="J222" s="46">
        <f>'[1]2018'!J232+'[1]2019'!J232+'[1]2020'!J232</f>
        <v>0</v>
      </c>
      <c r="K222" s="46">
        <f>'[1]2018'!K232+'[1]2019'!K232+'[1]2020'!K232</f>
        <v>0</v>
      </c>
      <c r="L222" s="46">
        <f>'[1]2018'!L232+'[1]2019'!L232+'[1]2020'!L232</f>
        <v>0</v>
      </c>
      <c r="M222" s="46">
        <f>'[1]2018'!M232+'[1]2019'!M232+'[1]2020'!M232</f>
        <v>0</v>
      </c>
      <c r="N222" s="46">
        <f>'[1]2018'!N232+'[1]2019'!N232+'[1]2020'!N232</f>
        <v>0</v>
      </c>
      <c r="O222" s="46">
        <f>'[1]2018'!O232+'[1]2019'!O232+'[1]2020'!O232</f>
        <v>0</v>
      </c>
      <c r="P222" s="46">
        <f>'[1]2018'!P232+'[1]2019'!P232+'[1]2020'!P232</f>
        <v>0</v>
      </c>
      <c r="Q222" s="46">
        <f>'[1]2018'!Q232+'[1]2019'!Q232+'[1]2020'!Q232</f>
        <v>0</v>
      </c>
      <c r="R222" s="46">
        <f>'[1]2018'!R232+'[1]2019'!R232+'[1]2020'!R232</f>
        <v>0</v>
      </c>
      <c r="S222" s="46">
        <f>'[1]2018'!S232+'[1]2019'!S232+'[1]2020'!S232</f>
        <v>0</v>
      </c>
      <c r="T222" s="46">
        <f>'[1]2018'!T232+'[1]2019'!T232+'[1]2020'!T232</f>
        <v>0</v>
      </c>
      <c r="U222" s="46">
        <f>'[1]2018'!U232+'[1]2019'!U232+'[1]2020'!U232</f>
        <v>1</v>
      </c>
      <c r="V222" s="46">
        <f>'[1]2018'!V232+'[1]2019'!V232+'[1]2020'!V232</f>
        <v>0</v>
      </c>
      <c r="W222" s="46">
        <f>'[1]2018'!W232+'[1]2019'!W232+'[1]2020'!W232</f>
        <v>0</v>
      </c>
      <c r="X222" s="46">
        <f>'[1]2018'!X232+'[1]2019'!X232+'[1]2020'!X232</f>
        <v>0</v>
      </c>
      <c r="Y222" s="41">
        <f t="shared" si="25"/>
        <v>1</v>
      </c>
      <c r="Z222" s="11">
        <f>'[1]2018'!Z232+'[1]2019'!Z232+'[1]2020'!Z232</f>
        <v>1</v>
      </c>
      <c r="AA222" s="11">
        <f>'[1]2018'!AA232+'[1]2019'!AA232+'[1]2020'!AA232</f>
        <v>1</v>
      </c>
      <c r="AB222" s="11">
        <f>'[1]2018'!AB232+'[1]2019'!AB232+'[1]2020'!AB232</f>
        <v>1</v>
      </c>
      <c r="AC222" s="11">
        <f>'[1]2018'!AC232+'[1]2019'!AC232+'[1]2020'!AC232</f>
        <v>1</v>
      </c>
      <c r="AD222" s="11">
        <f>'[1]2018'!AD232+'[1]2019'!AD232+'[1]2020'!AD232</f>
        <v>0</v>
      </c>
      <c r="AE222" s="11">
        <f>'[1]2018'!AE232+'[1]2019'!AE232+'[1]2020'!AE232</f>
        <v>0</v>
      </c>
      <c r="AF222" s="11">
        <f>'[1]2018'!AF232+'[1]2019'!AF232+'[1]2020'!AF232</f>
        <v>0</v>
      </c>
      <c r="AG222" s="11">
        <f>'[1]2018'!AG232+'[1]2019'!AG232+'[1]2020'!AG232</f>
        <v>0</v>
      </c>
      <c r="AH222" s="11">
        <f>'[1]2018'!AH232+'[1]2019'!AH232+'[1]2020'!AH232</f>
        <v>0</v>
      </c>
      <c r="AI222" s="11">
        <f>'[1]2018'!AI232+'[1]2019'!AI232+'[1]2020'!AI232</f>
        <v>0</v>
      </c>
      <c r="AJ222" s="11">
        <f>'[1]2018'!AJ232+'[1]2019'!AJ232+'[1]2020'!AJ232</f>
        <v>0</v>
      </c>
      <c r="AK222" s="11">
        <f>'[1]2018'!AK232+'[1]2019'!AK232+'[1]2020'!AK232</f>
        <v>0</v>
      </c>
      <c r="AL222" s="11">
        <f>'[1]2018'!AL232+'[1]2019'!AL232+'[1]2020'!AL232</f>
        <v>0</v>
      </c>
      <c r="AM222" s="11">
        <f>'[1]2018'!AM232+'[1]2019'!AM232+'[1]2020'!AM232</f>
        <v>0</v>
      </c>
      <c r="AN222" s="11">
        <f>'[1]2018'!AN232+'[1]2019'!AN232+'[1]2020'!AN232</f>
        <v>0</v>
      </c>
      <c r="AO222" s="11">
        <f>'[1]2018'!AO232+'[1]2019'!AO232+'[1]2020'!AO232</f>
        <v>0</v>
      </c>
      <c r="AP222" s="11">
        <f>'[1]2018'!AP232+'[1]2019'!AP232+'[1]2020'!AP232</f>
        <v>0</v>
      </c>
      <c r="AQ222" s="11">
        <f>'[1]2018'!AQ232+'[1]2019'!AQ232+'[1]2020'!AQ232</f>
        <v>0</v>
      </c>
      <c r="AR222" s="11">
        <f>'[1]2018'!AR232+'[1]2019'!AR232+'[1]2020'!AR232</f>
        <v>0</v>
      </c>
      <c r="AS222" s="11">
        <f>'[1]2018'!AS232+'[1]2019'!AS232+'[1]2020'!AS232</f>
        <v>1</v>
      </c>
      <c r="AT222" s="11">
        <f>'[1]2018'!AT232+'[1]2019'!AT232+'[1]2020'!AT232</f>
        <v>0</v>
      </c>
      <c r="AU222" s="11">
        <f>'[1]2018'!AU232+'[1]2019'!AU232+'[1]2020'!AU232</f>
        <v>0</v>
      </c>
      <c r="AV222" s="11">
        <f>'[1]2018'!AV232+'[1]2019'!AV232+'[1]2020'!AV232</f>
        <v>0</v>
      </c>
      <c r="AW222" s="41">
        <f t="shared" si="26"/>
        <v>1</v>
      </c>
      <c r="AX222" s="14">
        <f t="shared" si="27"/>
        <v>170.66666666666666</v>
      </c>
      <c r="AY222" s="2">
        <f>'[1]2018'!AX232+'[1]2019'!AX232+'[1]2020'!AX232</f>
        <v>512</v>
      </c>
    </row>
    <row r="223" spans="1:136" x14ac:dyDescent="0.25">
      <c r="A223" s="40" t="s">
        <v>47</v>
      </c>
      <c r="B223" s="48">
        <f t="shared" ref="B223:X223" si="30">SUM(B224:B230)</f>
        <v>251</v>
      </c>
      <c r="C223" s="48">
        <f t="shared" si="30"/>
        <v>17</v>
      </c>
      <c r="D223" s="48">
        <f t="shared" si="30"/>
        <v>409</v>
      </c>
      <c r="E223" s="48">
        <f t="shared" si="30"/>
        <v>47</v>
      </c>
      <c r="F223" s="48">
        <f t="shared" si="30"/>
        <v>4</v>
      </c>
      <c r="G223" s="48">
        <f t="shared" si="30"/>
        <v>3</v>
      </c>
      <c r="H223" s="48">
        <f t="shared" si="30"/>
        <v>53</v>
      </c>
      <c r="I223" s="48">
        <f t="shared" si="30"/>
        <v>1</v>
      </c>
      <c r="J223" s="48">
        <f t="shared" si="30"/>
        <v>24</v>
      </c>
      <c r="K223" s="48">
        <f t="shared" si="30"/>
        <v>54</v>
      </c>
      <c r="L223" s="48">
        <f t="shared" si="30"/>
        <v>112</v>
      </c>
      <c r="M223" s="48">
        <f t="shared" si="30"/>
        <v>69</v>
      </c>
      <c r="N223" s="48">
        <f t="shared" si="30"/>
        <v>4</v>
      </c>
      <c r="O223" s="48">
        <f t="shared" si="30"/>
        <v>0</v>
      </c>
      <c r="P223" s="48">
        <f t="shared" si="30"/>
        <v>2</v>
      </c>
      <c r="Q223" s="48">
        <f t="shared" si="30"/>
        <v>6</v>
      </c>
      <c r="R223" s="48">
        <f t="shared" si="30"/>
        <v>12</v>
      </c>
      <c r="S223" s="48">
        <f t="shared" si="30"/>
        <v>10</v>
      </c>
      <c r="T223" s="48">
        <f t="shared" si="30"/>
        <v>5</v>
      </c>
      <c r="U223" s="48">
        <f t="shared" si="30"/>
        <v>8</v>
      </c>
      <c r="V223" s="48">
        <f t="shared" si="30"/>
        <v>26</v>
      </c>
      <c r="W223" s="48">
        <f t="shared" si="30"/>
        <v>1</v>
      </c>
      <c r="X223" s="48">
        <f t="shared" si="30"/>
        <v>15</v>
      </c>
      <c r="Y223" s="41">
        <f t="shared" si="25"/>
        <v>409</v>
      </c>
      <c r="Z223" s="41">
        <f t="shared" ref="Z223:AV223" si="31">SUM(Z224:Z230)</f>
        <v>217</v>
      </c>
      <c r="AA223" s="41">
        <f t="shared" si="31"/>
        <v>13</v>
      </c>
      <c r="AB223" s="41">
        <f t="shared" si="31"/>
        <v>301</v>
      </c>
      <c r="AC223" s="41">
        <f t="shared" si="31"/>
        <v>47</v>
      </c>
      <c r="AD223" s="41">
        <f t="shared" si="31"/>
        <v>1</v>
      </c>
      <c r="AE223" s="41">
        <f t="shared" si="31"/>
        <v>3</v>
      </c>
      <c r="AF223" s="41">
        <f t="shared" si="31"/>
        <v>46</v>
      </c>
      <c r="AG223" s="41">
        <f t="shared" si="31"/>
        <v>4</v>
      </c>
      <c r="AH223" s="41">
        <f t="shared" si="31"/>
        <v>24</v>
      </c>
      <c r="AI223" s="41">
        <f t="shared" si="31"/>
        <v>47</v>
      </c>
      <c r="AJ223" s="41">
        <f t="shared" si="31"/>
        <v>70</v>
      </c>
      <c r="AK223" s="41">
        <f t="shared" si="31"/>
        <v>42</v>
      </c>
      <c r="AL223" s="41">
        <f t="shared" si="31"/>
        <v>3</v>
      </c>
      <c r="AM223" s="41">
        <f t="shared" si="31"/>
        <v>0</v>
      </c>
      <c r="AN223" s="41">
        <f t="shared" si="31"/>
        <v>1</v>
      </c>
      <c r="AO223" s="41">
        <f t="shared" si="31"/>
        <v>6</v>
      </c>
      <c r="AP223" s="41">
        <f t="shared" si="31"/>
        <v>7</v>
      </c>
      <c r="AQ223" s="41">
        <f t="shared" si="31"/>
        <v>9</v>
      </c>
      <c r="AR223" s="41">
        <f t="shared" si="31"/>
        <v>5</v>
      </c>
      <c r="AS223" s="41">
        <f t="shared" si="31"/>
        <v>6</v>
      </c>
      <c r="AT223" s="41">
        <f t="shared" si="31"/>
        <v>26</v>
      </c>
      <c r="AU223" s="41">
        <f t="shared" si="31"/>
        <v>1</v>
      </c>
      <c r="AV223" s="41">
        <f t="shared" si="31"/>
        <v>0</v>
      </c>
      <c r="AW223" s="41">
        <f t="shared" si="26"/>
        <v>301</v>
      </c>
      <c r="AX223" s="42">
        <f t="shared" si="27"/>
        <v>2961.5121309523806</v>
      </c>
      <c r="AY223" s="43">
        <f>'[1]2018'!AX233+'[1]2019'!AX233+'[1]2020'!AX233</f>
        <v>8884.5363928571423</v>
      </c>
      <c r="AZ223" s="42">
        <f>AB223*100/D223</f>
        <v>73.594132029339846</v>
      </c>
      <c r="BA223" s="44"/>
      <c r="BB223" s="44"/>
      <c r="BC223" s="44"/>
      <c r="BD223" s="44"/>
      <c r="BE223" s="44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</row>
    <row r="224" spans="1:136" x14ac:dyDescent="0.25">
      <c r="A224" s="10" t="s">
        <v>48</v>
      </c>
      <c r="B224" s="46">
        <f>'[1]2018'!B234+'[1]2019'!B234+'[1]2020'!B234</f>
        <v>11</v>
      </c>
      <c r="C224" s="46">
        <f>'[1]2018'!C234+'[1]2019'!C234+'[1]2020'!C234</f>
        <v>0</v>
      </c>
      <c r="D224" s="46">
        <f>'[1]2018'!D234+'[1]2019'!D234+'[1]2020'!D234</f>
        <v>18</v>
      </c>
      <c r="E224" s="46">
        <f>'[1]2018'!E234+'[1]2019'!E234+'[1]2020'!E234</f>
        <v>0</v>
      </c>
      <c r="F224" s="46">
        <f>'[1]2018'!F234+'[1]2019'!F234+'[1]2020'!F234</f>
        <v>0</v>
      </c>
      <c r="G224" s="46">
        <f>'[1]2018'!G234+'[1]2019'!G234+'[1]2020'!G234</f>
        <v>0</v>
      </c>
      <c r="H224" s="46">
        <f>'[1]2018'!H234+'[1]2019'!H234+'[1]2020'!H234</f>
        <v>1</v>
      </c>
      <c r="I224" s="46">
        <f>'[1]2018'!I234+'[1]2019'!I234+'[1]2020'!I234</f>
        <v>0</v>
      </c>
      <c r="J224" s="46">
        <f>'[1]2018'!J234+'[1]2019'!J234+'[1]2020'!J234</f>
        <v>0</v>
      </c>
      <c r="K224" s="46">
        <f>'[1]2018'!K234+'[1]2019'!K234+'[1]2020'!K234</f>
        <v>12</v>
      </c>
      <c r="L224" s="46">
        <f>'[1]2018'!L234+'[1]2019'!L234+'[1]2020'!L234</f>
        <v>0</v>
      </c>
      <c r="M224" s="46">
        <f>'[1]2018'!M234+'[1]2019'!M234+'[1]2020'!M234</f>
        <v>0</v>
      </c>
      <c r="N224" s="46">
        <f>'[1]2018'!N234+'[1]2019'!N234+'[1]2020'!N234</f>
        <v>0</v>
      </c>
      <c r="O224" s="46">
        <f>'[1]2018'!O234+'[1]2019'!O234+'[1]2020'!O234</f>
        <v>0</v>
      </c>
      <c r="P224" s="46">
        <f>'[1]2018'!P234+'[1]2019'!P234+'[1]2020'!P234</f>
        <v>0</v>
      </c>
      <c r="Q224" s="46">
        <f>'[1]2018'!Q234+'[1]2019'!Q234+'[1]2020'!Q234</f>
        <v>0</v>
      </c>
      <c r="R224" s="46">
        <f>'[1]2018'!R234+'[1]2019'!R234+'[1]2020'!R234</f>
        <v>1</v>
      </c>
      <c r="S224" s="46">
        <f>'[1]2018'!S234+'[1]2019'!S234+'[1]2020'!S234</f>
        <v>0</v>
      </c>
      <c r="T224" s="46">
        <f>'[1]2018'!T234+'[1]2019'!T234+'[1]2020'!T234</f>
        <v>2</v>
      </c>
      <c r="U224" s="46">
        <f>'[1]2018'!U234+'[1]2019'!U234+'[1]2020'!U234</f>
        <v>2</v>
      </c>
      <c r="V224" s="46">
        <f>'[1]2018'!V234+'[1]2019'!V234+'[1]2020'!V234</f>
        <v>0</v>
      </c>
      <c r="W224" s="46">
        <f>'[1]2018'!W234+'[1]2019'!W234+'[1]2020'!W234</f>
        <v>0</v>
      </c>
      <c r="X224" s="46">
        <f>'[1]2018'!X234+'[1]2019'!X234+'[1]2020'!X234</f>
        <v>0</v>
      </c>
      <c r="Y224" s="41">
        <f t="shared" si="25"/>
        <v>18</v>
      </c>
      <c r="Z224" s="11">
        <f>'[1]2018'!Z234+'[1]2019'!Z234+'[1]2020'!Z234</f>
        <v>9</v>
      </c>
      <c r="AA224" s="11">
        <f>'[1]2018'!AA234+'[1]2019'!AA234+'[1]2020'!AA234</f>
        <v>0</v>
      </c>
      <c r="AB224" s="11">
        <f>'[1]2018'!AB234+'[1]2019'!AB234+'[1]2020'!AB234</f>
        <v>14</v>
      </c>
      <c r="AC224" s="11">
        <f>'[1]2018'!AC234+'[1]2019'!AC234+'[1]2020'!AC234</f>
        <v>0</v>
      </c>
      <c r="AD224" s="11">
        <f>'[1]2018'!AD234+'[1]2019'!AD234+'[1]2020'!AD234</f>
        <v>0</v>
      </c>
      <c r="AE224" s="11">
        <f>'[1]2018'!AE234+'[1]2019'!AE234+'[1]2020'!AE234</f>
        <v>0</v>
      </c>
      <c r="AF224" s="11">
        <f>'[1]2018'!AF234+'[1]2019'!AF234+'[1]2020'!AF234</f>
        <v>0</v>
      </c>
      <c r="AG224" s="11">
        <f>'[1]2018'!AG234+'[1]2019'!AG234+'[1]2020'!AG234</f>
        <v>0</v>
      </c>
      <c r="AH224" s="11">
        <f>'[1]2018'!AH234+'[1]2019'!AH234+'[1]2020'!AH234</f>
        <v>0</v>
      </c>
      <c r="AI224" s="11">
        <f>'[1]2018'!AI234+'[1]2019'!AI234+'[1]2020'!AI234</f>
        <v>10</v>
      </c>
      <c r="AJ224" s="11">
        <f>'[1]2018'!AJ234+'[1]2019'!AJ234+'[1]2020'!AJ234</f>
        <v>0</v>
      </c>
      <c r="AK224" s="11">
        <f>'[1]2018'!AK234+'[1]2019'!AK234+'[1]2020'!AK234</f>
        <v>0</v>
      </c>
      <c r="AL224" s="11">
        <f>'[1]2018'!AL234+'[1]2019'!AL234+'[1]2020'!AL234</f>
        <v>0</v>
      </c>
      <c r="AM224" s="11">
        <f>'[1]2018'!AM234+'[1]2019'!AM234+'[1]2020'!AM234</f>
        <v>0</v>
      </c>
      <c r="AN224" s="11">
        <f>'[1]2018'!AN234+'[1]2019'!AN234+'[1]2020'!AN234</f>
        <v>0</v>
      </c>
      <c r="AO224" s="11">
        <f>'[1]2018'!AO234+'[1]2019'!AO234+'[1]2020'!AO234</f>
        <v>0</v>
      </c>
      <c r="AP224" s="11">
        <f>'[1]2018'!AP234+'[1]2019'!AP234+'[1]2020'!AP234</f>
        <v>0</v>
      </c>
      <c r="AQ224" s="11">
        <f>'[1]2018'!AQ234+'[1]2019'!AQ234+'[1]2020'!AQ234</f>
        <v>0</v>
      </c>
      <c r="AR224" s="11">
        <f>'[1]2018'!AR234+'[1]2019'!AR234+'[1]2020'!AR234</f>
        <v>2</v>
      </c>
      <c r="AS224" s="11">
        <f>'[1]2018'!AS234+'[1]2019'!AS234+'[1]2020'!AS234</f>
        <v>2</v>
      </c>
      <c r="AT224" s="11">
        <f>'[1]2018'!AT234+'[1]2019'!AT234+'[1]2020'!AT234</f>
        <v>0</v>
      </c>
      <c r="AU224" s="11">
        <f>'[1]2018'!AU234+'[1]2019'!AU234+'[1]2020'!AU234</f>
        <v>0</v>
      </c>
      <c r="AV224" s="11">
        <f>'[1]2018'!AV234+'[1]2019'!AV234+'[1]2020'!AV234</f>
        <v>0</v>
      </c>
      <c r="AW224" s="41">
        <f t="shared" si="26"/>
        <v>14</v>
      </c>
      <c r="AX224" s="14">
        <f t="shared" si="27"/>
        <v>1030.7777777777776</v>
      </c>
      <c r="AY224" s="2">
        <f>'[1]2018'!AX234+'[1]2019'!AX234+'[1]2020'!AX234</f>
        <v>3092.333333333333</v>
      </c>
    </row>
    <row r="225" spans="1:136" s="13" customFormat="1" x14ac:dyDescent="0.25">
      <c r="A225" s="10" t="s">
        <v>49</v>
      </c>
      <c r="B225" s="46">
        <f>'[1]2018'!B235+'[1]2019'!B235+'[1]2020'!B235</f>
        <v>19</v>
      </c>
      <c r="C225" s="46">
        <f>'[1]2018'!C235+'[1]2019'!C235+'[1]2020'!C235</f>
        <v>3</v>
      </c>
      <c r="D225" s="46">
        <f>'[1]2018'!D235+'[1]2019'!D235+'[1]2020'!D235</f>
        <v>19</v>
      </c>
      <c r="E225" s="46">
        <f>'[1]2018'!E235+'[1]2019'!E235+'[1]2020'!E235</f>
        <v>3</v>
      </c>
      <c r="F225" s="46">
        <f>'[1]2018'!F235+'[1]2019'!F235+'[1]2020'!F235</f>
        <v>0</v>
      </c>
      <c r="G225" s="46">
        <f>'[1]2018'!G235+'[1]2019'!G235+'[1]2020'!G235</f>
        <v>0</v>
      </c>
      <c r="H225" s="46">
        <f>'[1]2018'!H235+'[1]2019'!H235+'[1]2020'!H235</f>
        <v>0</v>
      </c>
      <c r="I225" s="46">
        <f>'[1]2018'!I235+'[1]2019'!I235+'[1]2020'!I235</f>
        <v>0</v>
      </c>
      <c r="J225" s="46">
        <f>'[1]2018'!J235+'[1]2019'!J235+'[1]2020'!J235</f>
        <v>0</v>
      </c>
      <c r="K225" s="46">
        <f>'[1]2018'!K235+'[1]2019'!K235+'[1]2020'!K235</f>
        <v>3</v>
      </c>
      <c r="L225" s="46">
        <f>'[1]2018'!L235+'[1]2019'!L235+'[1]2020'!L235</f>
        <v>1</v>
      </c>
      <c r="M225" s="46">
        <f>'[1]2018'!M235+'[1]2019'!M235+'[1]2020'!M235</f>
        <v>9</v>
      </c>
      <c r="N225" s="46">
        <f>'[1]2018'!N235+'[1]2019'!N235+'[1]2020'!N235</f>
        <v>1</v>
      </c>
      <c r="O225" s="46">
        <f>'[1]2018'!O235+'[1]2019'!O235+'[1]2020'!O235</f>
        <v>0</v>
      </c>
      <c r="P225" s="46">
        <f>'[1]2018'!P235+'[1]2019'!P235+'[1]2020'!P235</f>
        <v>0</v>
      </c>
      <c r="Q225" s="46">
        <f>'[1]2018'!Q235+'[1]2019'!Q235+'[1]2020'!Q235</f>
        <v>0</v>
      </c>
      <c r="R225" s="46">
        <f>'[1]2018'!R235+'[1]2019'!R235+'[1]2020'!R235</f>
        <v>0</v>
      </c>
      <c r="S225" s="46">
        <f>'[1]2018'!S235+'[1]2019'!S235+'[1]2020'!S235</f>
        <v>0</v>
      </c>
      <c r="T225" s="46">
        <f>'[1]2018'!T235+'[1]2019'!T235+'[1]2020'!T235</f>
        <v>1</v>
      </c>
      <c r="U225" s="46">
        <f>'[1]2018'!U235+'[1]2019'!U235+'[1]2020'!U235</f>
        <v>0</v>
      </c>
      <c r="V225" s="46">
        <f>'[1]2018'!V235+'[1]2019'!V235+'[1]2020'!V235</f>
        <v>4</v>
      </c>
      <c r="W225" s="46">
        <f>'[1]2018'!W235+'[1]2019'!W235+'[1]2020'!W235</f>
        <v>0</v>
      </c>
      <c r="X225" s="46">
        <f>'[1]2018'!X235+'[1]2019'!X235+'[1]2020'!X235</f>
        <v>0</v>
      </c>
      <c r="Y225" s="41">
        <f t="shared" si="25"/>
        <v>19</v>
      </c>
      <c r="Z225" s="11">
        <f>'[1]2018'!Z235+'[1]2019'!Z235+'[1]2020'!Z235</f>
        <v>14</v>
      </c>
      <c r="AA225" s="11">
        <f>'[1]2018'!AA235+'[1]2019'!AA235+'[1]2020'!AA235</f>
        <v>1</v>
      </c>
      <c r="AB225" s="11">
        <f>'[1]2018'!AB235+'[1]2019'!AB235+'[1]2020'!AB235</f>
        <v>14</v>
      </c>
      <c r="AC225" s="11">
        <f>'[1]2018'!AC235+'[1]2019'!AC235+'[1]2020'!AC235</f>
        <v>1</v>
      </c>
      <c r="AD225" s="11">
        <f>'[1]2018'!AD235+'[1]2019'!AD235+'[1]2020'!AD235</f>
        <v>0</v>
      </c>
      <c r="AE225" s="11">
        <f>'[1]2018'!AE235+'[1]2019'!AE235+'[1]2020'!AE235</f>
        <v>0</v>
      </c>
      <c r="AF225" s="11">
        <f>'[1]2018'!AF235+'[1]2019'!AF235+'[1]2020'!AF235</f>
        <v>0</v>
      </c>
      <c r="AG225" s="11">
        <f>'[1]2018'!AG235+'[1]2019'!AG235+'[1]2020'!AG235</f>
        <v>0</v>
      </c>
      <c r="AH225" s="11">
        <f>'[1]2018'!AH235+'[1]2019'!AH235+'[1]2020'!AH235</f>
        <v>0</v>
      </c>
      <c r="AI225" s="11">
        <f>'[1]2018'!AI235+'[1]2019'!AI235+'[1]2020'!AI235</f>
        <v>2</v>
      </c>
      <c r="AJ225" s="11">
        <f>'[1]2018'!AJ235+'[1]2019'!AJ235+'[1]2020'!AJ235</f>
        <v>1</v>
      </c>
      <c r="AK225" s="11">
        <f>'[1]2018'!AK235+'[1]2019'!AK235+'[1]2020'!AK235</f>
        <v>6</v>
      </c>
      <c r="AL225" s="11">
        <f>'[1]2018'!AL235+'[1]2019'!AL235+'[1]2020'!AL235</f>
        <v>0</v>
      </c>
      <c r="AM225" s="11">
        <f>'[1]2018'!AM235+'[1]2019'!AM235+'[1]2020'!AM235</f>
        <v>0</v>
      </c>
      <c r="AN225" s="11">
        <f>'[1]2018'!AN235+'[1]2019'!AN235+'[1]2020'!AN235</f>
        <v>0</v>
      </c>
      <c r="AO225" s="11">
        <f>'[1]2018'!AO235+'[1]2019'!AO235+'[1]2020'!AO235</f>
        <v>0</v>
      </c>
      <c r="AP225" s="11">
        <f>'[1]2018'!AP235+'[1]2019'!AP235+'[1]2020'!AP235</f>
        <v>0</v>
      </c>
      <c r="AQ225" s="11">
        <f>'[1]2018'!AQ235+'[1]2019'!AQ235+'[1]2020'!AQ235</f>
        <v>0</v>
      </c>
      <c r="AR225" s="11">
        <f>'[1]2018'!AR235+'[1]2019'!AR235+'[1]2020'!AR235</f>
        <v>1</v>
      </c>
      <c r="AS225" s="11">
        <f>'[1]2018'!AS235+'[1]2019'!AS235+'[1]2020'!AS235</f>
        <v>0</v>
      </c>
      <c r="AT225" s="11">
        <f>'[1]2018'!AT235+'[1]2019'!AT235+'[1]2020'!AT235</f>
        <v>4</v>
      </c>
      <c r="AU225" s="11">
        <f>'[1]2018'!AU235+'[1]2019'!AU235+'[1]2020'!AU235</f>
        <v>0</v>
      </c>
      <c r="AV225" s="11">
        <f>'[1]2018'!AV235+'[1]2019'!AV235+'[1]2020'!AV235</f>
        <v>0</v>
      </c>
      <c r="AW225" s="41">
        <f t="shared" si="26"/>
        <v>14</v>
      </c>
      <c r="AX225" s="14">
        <f t="shared" si="27"/>
        <v>5425.916666666667</v>
      </c>
      <c r="AY225" s="2">
        <f>'[1]2018'!AX235+'[1]2019'!AX235+'[1]2020'!AX235</f>
        <v>16277.75</v>
      </c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</row>
    <row r="226" spans="1:136" x14ac:dyDescent="0.25">
      <c r="A226" s="10" t="s">
        <v>50</v>
      </c>
      <c r="B226" s="46">
        <f>'[1]2018'!B236+'[1]2019'!B236+'[1]2020'!B236</f>
        <v>204</v>
      </c>
      <c r="C226" s="46">
        <f>'[1]2018'!C236+'[1]2019'!C236+'[1]2020'!C236</f>
        <v>11</v>
      </c>
      <c r="D226" s="46">
        <f>'[1]2018'!D236+'[1]2019'!D236+'[1]2020'!D236</f>
        <v>312</v>
      </c>
      <c r="E226" s="46">
        <f>'[1]2018'!E236+'[1]2019'!E236+'[1]2020'!E236</f>
        <v>34</v>
      </c>
      <c r="F226" s="46">
        <f>'[1]2018'!F236+'[1]2019'!F236+'[1]2020'!F236</f>
        <v>4</v>
      </c>
      <c r="G226" s="46">
        <f>'[1]2018'!G236+'[1]2019'!G236+'[1]2020'!G236</f>
        <v>3</v>
      </c>
      <c r="H226" s="46">
        <f>'[1]2018'!H236+'[1]2019'!H236+'[1]2020'!H236</f>
        <v>46</v>
      </c>
      <c r="I226" s="46">
        <f>'[1]2018'!I236+'[1]2019'!I236+'[1]2020'!I236</f>
        <v>1</v>
      </c>
      <c r="J226" s="46">
        <f>'[1]2018'!J236+'[1]2019'!J236+'[1]2020'!J236</f>
        <v>22</v>
      </c>
      <c r="K226" s="46">
        <f>'[1]2018'!K236+'[1]2019'!K236+'[1]2020'!K236</f>
        <v>39</v>
      </c>
      <c r="L226" s="46">
        <f>'[1]2018'!L236+'[1]2019'!L236+'[1]2020'!L236</f>
        <v>98</v>
      </c>
      <c r="M226" s="46">
        <f>'[1]2018'!M236+'[1]2019'!M236+'[1]2020'!M236</f>
        <v>49</v>
      </c>
      <c r="N226" s="46">
        <f>'[1]2018'!N236+'[1]2019'!N236+'[1]2020'!N236</f>
        <v>0</v>
      </c>
      <c r="O226" s="46">
        <f>'[1]2018'!O236+'[1]2019'!O236+'[1]2020'!O236</f>
        <v>0</v>
      </c>
      <c r="P226" s="46">
        <f>'[1]2018'!P236+'[1]2019'!P236+'[1]2020'!P236</f>
        <v>2</v>
      </c>
      <c r="Q226" s="46">
        <f>'[1]2018'!Q236+'[1]2019'!Q236+'[1]2020'!Q236</f>
        <v>0</v>
      </c>
      <c r="R226" s="46">
        <f>'[1]2018'!R236+'[1]2019'!R236+'[1]2020'!R236</f>
        <v>11</v>
      </c>
      <c r="S226" s="46">
        <f>'[1]2018'!S236+'[1]2019'!S236+'[1]2020'!S236</f>
        <v>9</v>
      </c>
      <c r="T226" s="46">
        <f>'[1]2018'!T236+'[1]2019'!T236+'[1]2020'!T236</f>
        <v>1</v>
      </c>
      <c r="U226" s="46">
        <f>'[1]2018'!U236+'[1]2019'!U236+'[1]2020'!U236</f>
        <v>4</v>
      </c>
      <c r="V226" s="46">
        <f>'[1]2018'!V236+'[1]2019'!V236+'[1]2020'!V236</f>
        <v>22</v>
      </c>
      <c r="W226" s="46">
        <f>'[1]2018'!W236+'[1]2019'!W236+'[1]2020'!W236</f>
        <v>1</v>
      </c>
      <c r="X226" s="46">
        <f>'[1]2018'!X236+'[1]2019'!X236+'[1]2020'!X236</f>
        <v>0</v>
      </c>
      <c r="Y226" s="41">
        <f t="shared" si="25"/>
        <v>312</v>
      </c>
      <c r="Z226" s="11">
        <f>'[1]2018'!Z236+'[1]2019'!Z236+'[1]2020'!Z236</f>
        <v>185</v>
      </c>
      <c r="AA226" s="11">
        <f>'[1]2018'!AA236+'[1]2019'!AA236+'[1]2020'!AA236</f>
        <v>9</v>
      </c>
      <c r="AB226" s="11">
        <f>'[1]2018'!AB236+'[1]2019'!AB236+'[1]2020'!AB236</f>
        <v>246</v>
      </c>
      <c r="AC226" s="11">
        <f>'[1]2018'!AC236+'[1]2019'!AC236+'[1]2020'!AC236</f>
        <v>36</v>
      </c>
      <c r="AD226" s="11">
        <f>'[1]2018'!AD236+'[1]2019'!AD236+'[1]2020'!AD236</f>
        <v>1</v>
      </c>
      <c r="AE226" s="11">
        <f>'[1]2018'!AE236+'[1]2019'!AE236+'[1]2020'!AE236</f>
        <v>3</v>
      </c>
      <c r="AF226" s="11">
        <f>'[1]2018'!AF236+'[1]2019'!AF236+'[1]2020'!AF236</f>
        <v>46</v>
      </c>
      <c r="AG226" s="11">
        <f>'[1]2018'!AG236+'[1]2019'!AG236+'[1]2020'!AG236</f>
        <v>4</v>
      </c>
      <c r="AH226" s="11">
        <f>'[1]2018'!AH236+'[1]2019'!AH236+'[1]2020'!AH236</f>
        <v>22</v>
      </c>
      <c r="AI226" s="11">
        <f>'[1]2018'!AI236+'[1]2019'!AI236+'[1]2020'!AI236</f>
        <v>35</v>
      </c>
      <c r="AJ226" s="11">
        <f>'[1]2018'!AJ236+'[1]2019'!AJ236+'[1]2020'!AJ236</f>
        <v>67</v>
      </c>
      <c r="AK226" s="11">
        <f>'[1]2018'!AK236+'[1]2019'!AK236+'[1]2020'!AK236</f>
        <v>25</v>
      </c>
      <c r="AL226" s="11">
        <f>'[1]2018'!AL236+'[1]2019'!AL236+'[1]2020'!AL236</f>
        <v>0</v>
      </c>
      <c r="AM226" s="11">
        <f>'[1]2018'!AM236+'[1]2019'!AM236+'[1]2020'!AM236</f>
        <v>0</v>
      </c>
      <c r="AN226" s="11">
        <f>'[1]2018'!AN236+'[1]2019'!AN236+'[1]2020'!AN236</f>
        <v>1</v>
      </c>
      <c r="AO226" s="11">
        <f>'[1]2018'!AO236+'[1]2019'!AO236+'[1]2020'!AO236</f>
        <v>0</v>
      </c>
      <c r="AP226" s="11">
        <f>'[1]2018'!AP236+'[1]2019'!AP236+'[1]2020'!AP236</f>
        <v>7</v>
      </c>
      <c r="AQ226" s="11">
        <f>'[1]2018'!AQ236+'[1]2019'!AQ236+'[1]2020'!AQ236</f>
        <v>9</v>
      </c>
      <c r="AR226" s="11">
        <f>'[1]2018'!AR236+'[1]2019'!AR236+'[1]2020'!AR236</f>
        <v>1</v>
      </c>
      <c r="AS226" s="11">
        <f>'[1]2018'!AS236+'[1]2019'!AS236+'[1]2020'!AS236</f>
        <v>2</v>
      </c>
      <c r="AT226" s="11">
        <f>'[1]2018'!AT236+'[1]2019'!AT236+'[1]2020'!AT236</f>
        <v>22</v>
      </c>
      <c r="AU226" s="11">
        <f>'[1]2018'!AU236+'[1]2019'!AU236+'[1]2020'!AU236</f>
        <v>1</v>
      </c>
      <c r="AV226" s="11">
        <f>'[1]2018'!AV236+'[1]2019'!AV236+'[1]2020'!AV236</f>
        <v>0</v>
      </c>
      <c r="AW226" s="41">
        <f t="shared" si="26"/>
        <v>246</v>
      </c>
      <c r="AX226" s="14">
        <f t="shared" si="27"/>
        <v>3898.7347380952378</v>
      </c>
      <c r="AY226" s="2">
        <f>'[1]2018'!AX236+'[1]2019'!AX236+'[1]2020'!AX236</f>
        <v>11696.204214285714</v>
      </c>
    </row>
    <row r="227" spans="1:136" x14ac:dyDescent="0.25">
      <c r="A227" s="10" t="s">
        <v>51</v>
      </c>
      <c r="B227" s="46">
        <f>'[1]2018'!B237+'[1]2019'!B237+'[1]2020'!B237</f>
        <v>2</v>
      </c>
      <c r="C227" s="46">
        <f>'[1]2018'!C237+'[1]2019'!C237+'[1]2020'!C237</f>
        <v>0</v>
      </c>
      <c r="D227" s="46">
        <f>'[1]2018'!D237+'[1]2019'!D237+'[1]2020'!D237</f>
        <v>3</v>
      </c>
      <c r="E227" s="46">
        <f>'[1]2018'!E237+'[1]2019'!E237+'[1]2020'!E237</f>
        <v>0</v>
      </c>
      <c r="F227" s="46">
        <f>'[1]2018'!F237+'[1]2019'!F237+'[1]2020'!F237</f>
        <v>0</v>
      </c>
      <c r="G227" s="46">
        <f>'[1]2018'!G237+'[1]2019'!G237+'[1]2020'!G237</f>
        <v>0</v>
      </c>
      <c r="H227" s="46">
        <f>'[1]2018'!H237+'[1]2019'!H237+'[1]2020'!H237</f>
        <v>0</v>
      </c>
      <c r="I227" s="46">
        <f>'[1]2018'!I237+'[1]2019'!I237+'[1]2020'!I237</f>
        <v>0</v>
      </c>
      <c r="J227" s="46">
        <f>'[1]2018'!J237+'[1]2019'!J237+'[1]2020'!J237</f>
        <v>0</v>
      </c>
      <c r="K227" s="46">
        <f>'[1]2018'!K237+'[1]2019'!K237+'[1]2020'!K237</f>
        <v>0</v>
      </c>
      <c r="L227" s="46">
        <f>'[1]2018'!L237+'[1]2019'!L237+'[1]2020'!L237</f>
        <v>2</v>
      </c>
      <c r="M227" s="46">
        <f>'[1]2018'!M237+'[1]2019'!M237+'[1]2020'!M237</f>
        <v>0</v>
      </c>
      <c r="N227" s="46">
        <f>'[1]2018'!N237+'[1]2019'!N237+'[1]2020'!N237</f>
        <v>0</v>
      </c>
      <c r="O227" s="46">
        <f>'[1]2018'!O237+'[1]2019'!O237+'[1]2020'!O237</f>
        <v>0</v>
      </c>
      <c r="P227" s="46">
        <f>'[1]2018'!P237+'[1]2019'!P237+'[1]2020'!P237</f>
        <v>0</v>
      </c>
      <c r="Q227" s="46">
        <f>'[1]2018'!Q237+'[1]2019'!Q237+'[1]2020'!Q237</f>
        <v>0</v>
      </c>
      <c r="R227" s="46">
        <f>'[1]2018'!R237+'[1]2019'!R237+'[1]2020'!R237</f>
        <v>0</v>
      </c>
      <c r="S227" s="46">
        <f>'[1]2018'!S237+'[1]2019'!S237+'[1]2020'!S237</f>
        <v>1</v>
      </c>
      <c r="T227" s="46">
        <f>'[1]2018'!T237+'[1]2019'!T237+'[1]2020'!T237</f>
        <v>0</v>
      </c>
      <c r="U227" s="46">
        <f>'[1]2018'!U237+'[1]2019'!U237+'[1]2020'!U237</f>
        <v>0</v>
      </c>
      <c r="V227" s="46">
        <f>'[1]2018'!V237+'[1]2019'!V237+'[1]2020'!V237</f>
        <v>0</v>
      </c>
      <c r="W227" s="46">
        <f>'[1]2018'!W237+'[1]2019'!W237+'[1]2020'!W237</f>
        <v>0</v>
      </c>
      <c r="X227" s="46">
        <f>'[1]2018'!X237+'[1]2019'!X237+'[1]2020'!X237</f>
        <v>0</v>
      </c>
      <c r="Y227" s="41">
        <f t="shared" si="25"/>
        <v>3</v>
      </c>
      <c r="Z227" s="11">
        <f>'[1]2018'!Z237+'[1]2019'!Z237+'[1]2020'!Z237</f>
        <v>1</v>
      </c>
      <c r="AA227" s="11">
        <f>'[1]2018'!AA237+'[1]2019'!AA237+'[1]2020'!AA237</f>
        <v>0</v>
      </c>
      <c r="AB227" s="11">
        <f>'[1]2018'!AB237+'[1]2019'!AB237+'[1]2020'!AB237</f>
        <v>2</v>
      </c>
      <c r="AC227" s="11">
        <f>'[1]2018'!AC237+'[1]2019'!AC237+'[1]2020'!AC237</f>
        <v>0</v>
      </c>
      <c r="AD227" s="11">
        <f>'[1]2018'!AD237+'[1]2019'!AD237+'[1]2020'!AD237</f>
        <v>0</v>
      </c>
      <c r="AE227" s="11">
        <f>'[1]2018'!AE237+'[1]2019'!AE237+'[1]2020'!AE237</f>
        <v>0</v>
      </c>
      <c r="AF227" s="11">
        <f>'[1]2018'!AF237+'[1]2019'!AF237+'[1]2020'!AF237</f>
        <v>0</v>
      </c>
      <c r="AG227" s="11">
        <f>'[1]2018'!AG237+'[1]2019'!AG237+'[1]2020'!AG237</f>
        <v>0</v>
      </c>
      <c r="AH227" s="11">
        <f>'[1]2018'!AH237+'[1]2019'!AH237+'[1]2020'!AH237</f>
        <v>0</v>
      </c>
      <c r="AI227" s="11">
        <f>'[1]2018'!AI237+'[1]2019'!AI237+'[1]2020'!AI237</f>
        <v>0</v>
      </c>
      <c r="AJ227" s="11">
        <f>'[1]2018'!AJ237+'[1]2019'!AJ237+'[1]2020'!AJ237</f>
        <v>2</v>
      </c>
      <c r="AK227" s="11">
        <f>'[1]2018'!AK237+'[1]2019'!AK237+'[1]2020'!AK237</f>
        <v>0</v>
      </c>
      <c r="AL227" s="11">
        <f>'[1]2018'!AL237+'[1]2019'!AL237+'[1]2020'!AL237</f>
        <v>0</v>
      </c>
      <c r="AM227" s="11">
        <f>'[1]2018'!AM237+'[1]2019'!AM237+'[1]2020'!AM237</f>
        <v>0</v>
      </c>
      <c r="AN227" s="11">
        <f>'[1]2018'!AN237+'[1]2019'!AN237+'[1]2020'!AN237</f>
        <v>0</v>
      </c>
      <c r="AO227" s="11">
        <f>'[1]2018'!AO237+'[1]2019'!AO237+'[1]2020'!AO237</f>
        <v>0</v>
      </c>
      <c r="AP227" s="11">
        <f>'[1]2018'!AP237+'[1]2019'!AP237+'[1]2020'!AP237</f>
        <v>0</v>
      </c>
      <c r="AQ227" s="11">
        <f>'[1]2018'!AQ237+'[1]2019'!AQ237+'[1]2020'!AQ237</f>
        <v>0</v>
      </c>
      <c r="AR227" s="11">
        <f>'[1]2018'!AR237+'[1]2019'!AR237+'[1]2020'!AR237</f>
        <v>0</v>
      </c>
      <c r="AS227" s="11">
        <f>'[1]2018'!AS237+'[1]2019'!AS237+'[1]2020'!AS237</f>
        <v>0</v>
      </c>
      <c r="AT227" s="11">
        <f>'[1]2018'!AT237+'[1]2019'!AT237+'[1]2020'!AT237</f>
        <v>0</v>
      </c>
      <c r="AU227" s="11">
        <f>'[1]2018'!AU237+'[1]2019'!AU237+'[1]2020'!AU237</f>
        <v>0</v>
      </c>
      <c r="AV227" s="11">
        <f>'[1]2018'!AV237+'[1]2019'!AV237+'[1]2020'!AV237</f>
        <v>0</v>
      </c>
      <c r="AW227" s="41">
        <f t="shared" si="26"/>
        <v>2</v>
      </c>
      <c r="AX227" s="14">
        <f t="shared" si="27"/>
        <v>133.33333333333334</v>
      </c>
      <c r="AY227" s="2">
        <f>'[1]2018'!AX237+'[1]2019'!AX237+'[1]2020'!AX237</f>
        <v>400</v>
      </c>
    </row>
    <row r="228" spans="1:136" x14ac:dyDescent="0.25">
      <c r="A228" s="10" t="s">
        <v>52</v>
      </c>
      <c r="B228" s="46">
        <f>'[1]2018'!B238+'[1]2019'!B238+'[1]2020'!B238</f>
        <v>9</v>
      </c>
      <c r="C228" s="46">
        <f>'[1]2018'!C238+'[1]2019'!C238+'[1]2020'!C238</f>
        <v>1</v>
      </c>
      <c r="D228" s="46">
        <f>'[1]2018'!D238+'[1]2019'!D238+'[1]2020'!D238</f>
        <v>34</v>
      </c>
      <c r="E228" s="46">
        <f>'[1]2018'!E238+'[1]2019'!E238+'[1]2020'!E238</f>
        <v>3</v>
      </c>
      <c r="F228" s="46">
        <f>'[1]2018'!F238+'[1]2019'!F238+'[1]2020'!F238</f>
        <v>0</v>
      </c>
      <c r="G228" s="46">
        <f>'[1]2018'!G238+'[1]2019'!G238+'[1]2020'!G238</f>
        <v>0</v>
      </c>
      <c r="H228" s="46">
        <f>'[1]2018'!H238+'[1]2019'!H238+'[1]2020'!H238</f>
        <v>0</v>
      </c>
      <c r="I228" s="46">
        <f>'[1]2018'!I238+'[1]2019'!I238+'[1]2020'!I238</f>
        <v>0</v>
      </c>
      <c r="J228" s="46">
        <f>'[1]2018'!J238+'[1]2019'!J238+'[1]2020'!J238</f>
        <v>0</v>
      </c>
      <c r="K228" s="46">
        <f>'[1]2018'!K238+'[1]2019'!K238+'[1]2020'!K238</f>
        <v>0</v>
      </c>
      <c r="L228" s="46">
        <f>'[1]2018'!L238+'[1]2019'!L238+'[1]2020'!L238</f>
        <v>11</v>
      </c>
      <c r="M228" s="46">
        <f>'[1]2018'!M238+'[1]2019'!M238+'[1]2020'!M238</f>
        <v>3</v>
      </c>
      <c r="N228" s="46">
        <f>'[1]2018'!N238+'[1]2019'!N238+'[1]2020'!N238</f>
        <v>3</v>
      </c>
      <c r="O228" s="46">
        <f>'[1]2018'!O238+'[1]2019'!O238+'[1]2020'!O238</f>
        <v>0</v>
      </c>
      <c r="P228" s="46">
        <f>'[1]2018'!P238+'[1]2019'!P238+'[1]2020'!P238</f>
        <v>0</v>
      </c>
      <c r="Q228" s="46">
        <f>'[1]2018'!Q238+'[1]2019'!Q238+'[1]2020'!Q238</f>
        <v>0</v>
      </c>
      <c r="R228" s="46">
        <f>'[1]2018'!R238+'[1]2019'!R238+'[1]2020'!R238</f>
        <v>0</v>
      </c>
      <c r="S228" s="46">
        <f>'[1]2018'!S238+'[1]2019'!S238+'[1]2020'!S238</f>
        <v>0</v>
      </c>
      <c r="T228" s="46">
        <f>'[1]2018'!T238+'[1]2019'!T238+'[1]2020'!T238</f>
        <v>0</v>
      </c>
      <c r="U228" s="46">
        <f>'[1]2018'!U238+'[1]2019'!U238+'[1]2020'!U238</f>
        <v>2</v>
      </c>
      <c r="V228" s="46">
        <f>'[1]2018'!V238+'[1]2019'!V238+'[1]2020'!V238</f>
        <v>0</v>
      </c>
      <c r="W228" s="46">
        <f>'[1]2018'!W238+'[1]2019'!W238+'[1]2020'!W238</f>
        <v>0</v>
      </c>
      <c r="X228" s="46">
        <f>'[1]2018'!X238+'[1]2019'!X238+'[1]2020'!X238</f>
        <v>15</v>
      </c>
      <c r="Y228" s="41">
        <f t="shared" si="25"/>
        <v>34</v>
      </c>
      <c r="Z228" s="11">
        <f>'[1]2018'!Z238+'[1]2019'!Z238+'[1]2020'!Z238</f>
        <v>3</v>
      </c>
      <c r="AA228" s="11">
        <f>'[1]2018'!AA238+'[1]2019'!AA238+'[1]2020'!AA238</f>
        <v>1</v>
      </c>
      <c r="AB228" s="11">
        <f>'[1]2018'!AB238+'[1]2019'!AB238+'[1]2020'!AB238</f>
        <v>8</v>
      </c>
      <c r="AC228" s="11">
        <f>'[1]2018'!AC238+'[1]2019'!AC238+'[1]2020'!AC238</f>
        <v>3</v>
      </c>
      <c r="AD228" s="11">
        <f>'[1]2018'!AD238+'[1]2019'!AD238+'[1]2020'!AD238</f>
        <v>0</v>
      </c>
      <c r="AE228" s="11">
        <f>'[1]2018'!AE238+'[1]2019'!AE238+'[1]2020'!AE238</f>
        <v>0</v>
      </c>
      <c r="AF228" s="11">
        <f>'[1]2018'!AF238+'[1]2019'!AF238+'[1]2020'!AF238</f>
        <v>0</v>
      </c>
      <c r="AG228" s="11">
        <f>'[1]2018'!AG238+'[1]2019'!AG238+'[1]2020'!AG238</f>
        <v>0</v>
      </c>
      <c r="AH228" s="11">
        <f>'[1]2018'!AH238+'[1]2019'!AH238+'[1]2020'!AH238</f>
        <v>0</v>
      </c>
      <c r="AI228" s="11">
        <f>'[1]2018'!AI238+'[1]2019'!AI238+'[1]2020'!AI238</f>
        <v>0</v>
      </c>
      <c r="AJ228" s="11">
        <f>'[1]2018'!AJ238+'[1]2019'!AJ238+'[1]2020'!AJ238</f>
        <v>0</v>
      </c>
      <c r="AK228" s="11">
        <f>'[1]2018'!AK238+'[1]2019'!AK238+'[1]2020'!AK238</f>
        <v>3</v>
      </c>
      <c r="AL228" s="11">
        <f>'[1]2018'!AL238+'[1]2019'!AL238+'[1]2020'!AL238</f>
        <v>3</v>
      </c>
      <c r="AM228" s="11">
        <f>'[1]2018'!AM238+'[1]2019'!AM238+'[1]2020'!AM238</f>
        <v>0</v>
      </c>
      <c r="AN228" s="11">
        <f>'[1]2018'!AN238+'[1]2019'!AN238+'[1]2020'!AN238</f>
        <v>0</v>
      </c>
      <c r="AO228" s="11">
        <f>'[1]2018'!AO238+'[1]2019'!AO238+'[1]2020'!AO238</f>
        <v>0</v>
      </c>
      <c r="AP228" s="11">
        <f>'[1]2018'!AP238+'[1]2019'!AP238+'[1]2020'!AP238</f>
        <v>0</v>
      </c>
      <c r="AQ228" s="11">
        <f>'[1]2018'!AQ238+'[1]2019'!AQ238+'[1]2020'!AQ238</f>
        <v>0</v>
      </c>
      <c r="AR228" s="11">
        <f>'[1]2018'!AR238+'[1]2019'!AR238+'[1]2020'!AR238</f>
        <v>0</v>
      </c>
      <c r="AS228" s="11">
        <f>'[1]2018'!AS238+'[1]2019'!AS238+'[1]2020'!AS238</f>
        <v>2</v>
      </c>
      <c r="AT228" s="11">
        <f>'[1]2018'!AT238+'[1]2019'!AT238+'[1]2020'!AT238</f>
        <v>0</v>
      </c>
      <c r="AU228" s="11">
        <f>'[1]2018'!AU238+'[1]2019'!AU238+'[1]2020'!AU238</f>
        <v>0</v>
      </c>
      <c r="AV228" s="11">
        <f>'[1]2018'!AV238+'[1]2019'!AV238+'[1]2020'!AV238</f>
        <v>0</v>
      </c>
      <c r="AW228" s="41">
        <f t="shared" si="26"/>
        <v>8</v>
      </c>
      <c r="AX228" s="14">
        <f t="shared" si="27"/>
        <v>920</v>
      </c>
      <c r="AY228" s="2">
        <f>'[1]2018'!AX238+'[1]2019'!AX238+'[1]2020'!AX238</f>
        <v>2760</v>
      </c>
    </row>
    <row r="229" spans="1:136" x14ac:dyDescent="0.25">
      <c r="A229" s="10" t="s">
        <v>53</v>
      </c>
      <c r="B229" s="46">
        <f>'[1]2018'!B239+'[1]2019'!B239+'[1]2020'!B239</f>
        <v>1</v>
      </c>
      <c r="C229" s="46">
        <f>'[1]2018'!C239+'[1]2019'!C239+'[1]2020'!C239</f>
        <v>0</v>
      </c>
      <c r="D229" s="46">
        <f>'[1]2018'!D239+'[1]2019'!D239+'[1]2020'!D239</f>
        <v>4</v>
      </c>
      <c r="E229" s="46">
        <f>'[1]2018'!E239+'[1]2019'!E239+'[1]2020'!E239</f>
        <v>0</v>
      </c>
      <c r="F229" s="46">
        <f>'[1]2018'!F239+'[1]2019'!F239+'[1]2020'!F239</f>
        <v>0</v>
      </c>
      <c r="G229" s="46">
        <f>'[1]2018'!G239+'[1]2019'!G239+'[1]2020'!G239</f>
        <v>0</v>
      </c>
      <c r="H229" s="46">
        <f>'[1]2018'!H239+'[1]2019'!H239+'[1]2020'!H239</f>
        <v>0</v>
      </c>
      <c r="I229" s="46">
        <f>'[1]2018'!I239+'[1]2019'!I239+'[1]2020'!I239</f>
        <v>0</v>
      </c>
      <c r="J229" s="46">
        <f>'[1]2018'!J239+'[1]2019'!J239+'[1]2020'!J239</f>
        <v>0</v>
      </c>
      <c r="K229" s="46">
        <f>'[1]2018'!K239+'[1]2019'!K239+'[1]2020'!K239</f>
        <v>0</v>
      </c>
      <c r="L229" s="46">
        <f>'[1]2018'!L239+'[1]2019'!L239+'[1]2020'!L239</f>
        <v>0</v>
      </c>
      <c r="M229" s="46">
        <f>'[1]2018'!M239+'[1]2019'!M239+'[1]2020'!M239</f>
        <v>4</v>
      </c>
      <c r="N229" s="46">
        <f>'[1]2018'!N239+'[1]2019'!N239+'[1]2020'!N239</f>
        <v>0</v>
      </c>
      <c r="O229" s="46">
        <f>'[1]2018'!O239+'[1]2019'!O239+'[1]2020'!O239</f>
        <v>0</v>
      </c>
      <c r="P229" s="46">
        <f>'[1]2018'!P239+'[1]2019'!P239+'[1]2020'!P239</f>
        <v>0</v>
      </c>
      <c r="Q229" s="46">
        <f>'[1]2018'!Q239+'[1]2019'!Q239+'[1]2020'!Q239</f>
        <v>0</v>
      </c>
      <c r="R229" s="46">
        <f>'[1]2018'!R239+'[1]2019'!R239+'[1]2020'!R239</f>
        <v>0</v>
      </c>
      <c r="S229" s="46">
        <f>'[1]2018'!S239+'[1]2019'!S239+'[1]2020'!S239</f>
        <v>0</v>
      </c>
      <c r="T229" s="46">
        <f>'[1]2018'!T239+'[1]2019'!T239+'[1]2020'!T239</f>
        <v>0</v>
      </c>
      <c r="U229" s="46">
        <f>'[1]2018'!U239+'[1]2019'!U239+'[1]2020'!U239</f>
        <v>0</v>
      </c>
      <c r="V229" s="46">
        <f>'[1]2018'!V239+'[1]2019'!V239+'[1]2020'!V239</f>
        <v>0</v>
      </c>
      <c r="W229" s="46">
        <f>'[1]2018'!W239+'[1]2019'!W239+'[1]2020'!W239</f>
        <v>0</v>
      </c>
      <c r="X229" s="46">
        <f>'[1]2018'!X239+'[1]2019'!X239+'[1]2020'!X239</f>
        <v>0</v>
      </c>
      <c r="Y229" s="41">
        <f t="shared" si="25"/>
        <v>4</v>
      </c>
      <c r="Z229" s="11">
        <f>'[1]2018'!Z239+'[1]2019'!Z239+'[1]2020'!Z239</f>
        <v>1</v>
      </c>
      <c r="AA229" s="11">
        <f>'[1]2018'!AA239+'[1]2019'!AA239+'[1]2020'!AA239</f>
        <v>0</v>
      </c>
      <c r="AB229" s="11">
        <f>'[1]2018'!AB239+'[1]2019'!AB239+'[1]2020'!AB239</f>
        <v>4</v>
      </c>
      <c r="AC229" s="11">
        <f>'[1]2018'!AC239+'[1]2019'!AC239+'[1]2020'!AC239</f>
        <v>0</v>
      </c>
      <c r="AD229" s="11">
        <f>'[1]2018'!AD239+'[1]2019'!AD239+'[1]2020'!AD239</f>
        <v>0</v>
      </c>
      <c r="AE229" s="11">
        <f>'[1]2018'!AE239+'[1]2019'!AE239+'[1]2020'!AE239</f>
        <v>0</v>
      </c>
      <c r="AF229" s="11">
        <f>'[1]2018'!AF239+'[1]2019'!AF239+'[1]2020'!AF239</f>
        <v>0</v>
      </c>
      <c r="AG229" s="11">
        <f>'[1]2018'!AG239+'[1]2019'!AG239+'[1]2020'!AG239</f>
        <v>0</v>
      </c>
      <c r="AH229" s="11">
        <f>'[1]2018'!AH239+'[1]2019'!AH239+'[1]2020'!AH239</f>
        <v>0</v>
      </c>
      <c r="AI229" s="11">
        <f>'[1]2018'!AI239+'[1]2019'!AI239+'[1]2020'!AI239</f>
        <v>0</v>
      </c>
      <c r="AJ229" s="11">
        <f>'[1]2018'!AJ239+'[1]2019'!AJ239+'[1]2020'!AJ239</f>
        <v>0</v>
      </c>
      <c r="AK229" s="11">
        <f>'[1]2018'!AK239+'[1]2019'!AK239+'[1]2020'!AK239</f>
        <v>4</v>
      </c>
      <c r="AL229" s="11">
        <f>'[1]2018'!AL239+'[1]2019'!AL239+'[1]2020'!AL239</f>
        <v>0</v>
      </c>
      <c r="AM229" s="11">
        <f>'[1]2018'!AM239+'[1]2019'!AM239+'[1]2020'!AM239</f>
        <v>0</v>
      </c>
      <c r="AN229" s="11">
        <f>'[1]2018'!AN239+'[1]2019'!AN239+'[1]2020'!AN239</f>
        <v>0</v>
      </c>
      <c r="AO229" s="11">
        <f>'[1]2018'!AO239+'[1]2019'!AO239+'[1]2020'!AO239</f>
        <v>0</v>
      </c>
      <c r="AP229" s="11">
        <f>'[1]2018'!AP239+'[1]2019'!AP239+'[1]2020'!AP239</f>
        <v>0</v>
      </c>
      <c r="AQ229" s="11">
        <f>'[1]2018'!AQ239+'[1]2019'!AQ239+'[1]2020'!AQ239</f>
        <v>0</v>
      </c>
      <c r="AR229" s="11">
        <f>'[1]2018'!AR239+'[1]2019'!AR239+'[1]2020'!AR239</f>
        <v>0</v>
      </c>
      <c r="AS229" s="11">
        <f>'[1]2018'!AS239+'[1]2019'!AS239+'[1]2020'!AS239</f>
        <v>0</v>
      </c>
      <c r="AT229" s="11">
        <f>'[1]2018'!AT239+'[1]2019'!AT239+'[1]2020'!AT239</f>
        <v>0</v>
      </c>
      <c r="AU229" s="11">
        <f>'[1]2018'!AU239+'[1]2019'!AU239+'[1]2020'!AU239</f>
        <v>0</v>
      </c>
      <c r="AV229" s="11">
        <f>'[1]2018'!AV239+'[1]2019'!AV239+'[1]2020'!AV239</f>
        <v>0</v>
      </c>
      <c r="AW229" s="41">
        <f t="shared" si="26"/>
        <v>4</v>
      </c>
      <c r="AX229" s="14">
        <f t="shared" si="27"/>
        <v>651.66666666666663</v>
      </c>
      <c r="AY229" s="2">
        <f>'[1]2018'!AX239+'[1]2019'!AX239+'[1]2020'!AX239</f>
        <v>1955</v>
      </c>
    </row>
    <row r="230" spans="1:136" x14ac:dyDescent="0.25">
      <c r="A230" s="10" t="s">
        <v>54</v>
      </c>
      <c r="B230" s="46">
        <f>'[1]2018'!B240+'[1]2019'!B240+'[1]2020'!B240</f>
        <v>5</v>
      </c>
      <c r="C230" s="46">
        <f>'[1]2018'!C240+'[1]2019'!C240+'[1]2020'!C240</f>
        <v>2</v>
      </c>
      <c r="D230" s="46">
        <f>'[1]2018'!D240+'[1]2019'!D240+'[1]2020'!D240</f>
        <v>19</v>
      </c>
      <c r="E230" s="46">
        <f>'[1]2018'!E240+'[1]2019'!E240+'[1]2020'!E240</f>
        <v>7</v>
      </c>
      <c r="F230" s="46">
        <f>'[1]2018'!F240+'[1]2019'!F240+'[1]2020'!F240</f>
        <v>0</v>
      </c>
      <c r="G230" s="46">
        <f>'[1]2018'!G240+'[1]2019'!G240+'[1]2020'!G240</f>
        <v>0</v>
      </c>
      <c r="H230" s="46">
        <f>'[1]2018'!H240+'[1]2019'!H240+'[1]2020'!H240</f>
        <v>6</v>
      </c>
      <c r="I230" s="46">
        <f>'[1]2018'!I240+'[1]2019'!I240+'[1]2020'!I240</f>
        <v>0</v>
      </c>
      <c r="J230" s="46">
        <f>'[1]2018'!J240+'[1]2019'!J240+'[1]2020'!J240</f>
        <v>2</v>
      </c>
      <c r="K230" s="46">
        <f>'[1]2018'!K240+'[1]2019'!K240+'[1]2020'!K240</f>
        <v>0</v>
      </c>
      <c r="L230" s="46">
        <f>'[1]2018'!L240+'[1]2019'!L240+'[1]2020'!L240</f>
        <v>0</v>
      </c>
      <c r="M230" s="46">
        <f>'[1]2018'!M240+'[1]2019'!M240+'[1]2020'!M240</f>
        <v>4</v>
      </c>
      <c r="N230" s="46">
        <f>'[1]2018'!N240+'[1]2019'!N240+'[1]2020'!N240</f>
        <v>0</v>
      </c>
      <c r="O230" s="46">
        <f>'[1]2018'!O240+'[1]2019'!O240+'[1]2020'!O240</f>
        <v>0</v>
      </c>
      <c r="P230" s="46">
        <f>'[1]2018'!P240+'[1]2019'!P240+'[1]2020'!P240</f>
        <v>0</v>
      </c>
      <c r="Q230" s="46">
        <f>'[1]2018'!Q240+'[1]2019'!Q240+'[1]2020'!Q240</f>
        <v>6</v>
      </c>
      <c r="R230" s="46">
        <f>'[1]2018'!R240+'[1]2019'!R240+'[1]2020'!R240</f>
        <v>0</v>
      </c>
      <c r="S230" s="46">
        <f>'[1]2018'!S240+'[1]2019'!S240+'[1]2020'!S240</f>
        <v>0</v>
      </c>
      <c r="T230" s="46">
        <f>'[1]2018'!T240+'[1]2019'!T240+'[1]2020'!T240</f>
        <v>1</v>
      </c>
      <c r="U230" s="46">
        <f>'[1]2018'!U240+'[1]2019'!U240+'[1]2020'!U240</f>
        <v>0</v>
      </c>
      <c r="V230" s="46">
        <f>'[1]2018'!V240+'[1]2019'!V240+'[1]2020'!V240</f>
        <v>0</v>
      </c>
      <c r="W230" s="46">
        <f>'[1]2018'!W240+'[1]2019'!W240+'[1]2020'!W240</f>
        <v>0</v>
      </c>
      <c r="X230" s="46">
        <f>'[1]2018'!X240+'[1]2019'!X240+'[1]2020'!X240</f>
        <v>0</v>
      </c>
      <c r="Y230" s="41">
        <f t="shared" si="25"/>
        <v>19</v>
      </c>
      <c r="Z230" s="11">
        <f>'[1]2018'!Z240+'[1]2019'!Z240+'[1]2020'!Z240</f>
        <v>4</v>
      </c>
      <c r="AA230" s="11">
        <f>'[1]2018'!AA240+'[1]2019'!AA240+'[1]2020'!AA240</f>
        <v>2</v>
      </c>
      <c r="AB230" s="11">
        <f>'[1]2018'!AB240+'[1]2019'!AB240+'[1]2020'!AB240</f>
        <v>13</v>
      </c>
      <c r="AC230" s="11">
        <f>'[1]2018'!AC240+'[1]2019'!AC240+'[1]2020'!AC240</f>
        <v>7</v>
      </c>
      <c r="AD230" s="11">
        <f>'[1]2018'!AD240+'[1]2019'!AD240+'[1]2020'!AD240</f>
        <v>0</v>
      </c>
      <c r="AE230" s="11">
        <f>'[1]2018'!AE240+'[1]2019'!AE240+'[1]2020'!AE240</f>
        <v>0</v>
      </c>
      <c r="AF230" s="11">
        <f>'[1]2018'!AF240+'[1]2019'!AF240+'[1]2020'!AF240</f>
        <v>0</v>
      </c>
      <c r="AG230" s="11">
        <f>'[1]2018'!AG240+'[1]2019'!AG240+'[1]2020'!AG240</f>
        <v>0</v>
      </c>
      <c r="AH230" s="11">
        <f>'[1]2018'!AH240+'[1]2019'!AH240+'[1]2020'!AH240</f>
        <v>2</v>
      </c>
      <c r="AI230" s="11">
        <f>'[1]2018'!AI240+'[1]2019'!AI240+'[1]2020'!AI240</f>
        <v>0</v>
      </c>
      <c r="AJ230" s="11">
        <f>'[1]2018'!AJ240+'[1]2019'!AJ240+'[1]2020'!AJ240</f>
        <v>0</v>
      </c>
      <c r="AK230" s="11">
        <f>'[1]2018'!AK240+'[1]2019'!AK240+'[1]2020'!AK240</f>
        <v>4</v>
      </c>
      <c r="AL230" s="11">
        <f>'[1]2018'!AL240+'[1]2019'!AL240+'[1]2020'!AL240</f>
        <v>0</v>
      </c>
      <c r="AM230" s="11">
        <f>'[1]2018'!AM240+'[1]2019'!AM240+'[1]2020'!AM240</f>
        <v>0</v>
      </c>
      <c r="AN230" s="11">
        <f>'[1]2018'!AN240+'[1]2019'!AN240+'[1]2020'!AN240</f>
        <v>0</v>
      </c>
      <c r="AO230" s="11">
        <f>'[1]2018'!AO240+'[1]2019'!AO240+'[1]2020'!AO240</f>
        <v>6</v>
      </c>
      <c r="AP230" s="11">
        <f>'[1]2018'!AP240+'[1]2019'!AP240+'[1]2020'!AP240</f>
        <v>0</v>
      </c>
      <c r="AQ230" s="11">
        <f>'[1]2018'!AQ240+'[1]2019'!AQ240+'[1]2020'!AQ240</f>
        <v>0</v>
      </c>
      <c r="AR230" s="11">
        <f>'[1]2018'!AR240+'[1]2019'!AR240+'[1]2020'!AR240</f>
        <v>1</v>
      </c>
      <c r="AS230" s="11">
        <f>'[1]2018'!AS240+'[1]2019'!AS240+'[1]2020'!AS240</f>
        <v>0</v>
      </c>
      <c r="AT230" s="11">
        <f>'[1]2018'!AT240+'[1]2019'!AT240+'[1]2020'!AT240</f>
        <v>0</v>
      </c>
      <c r="AU230" s="11">
        <f>'[1]2018'!AU240+'[1]2019'!AU240+'[1]2020'!AU240</f>
        <v>0</v>
      </c>
      <c r="AV230" s="11">
        <f>'[1]2018'!AV240+'[1]2019'!AV240+'[1]2020'!AV240</f>
        <v>0</v>
      </c>
      <c r="AW230" s="41">
        <f t="shared" si="26"/>
        <v>13</v>
      </c>
      <c r="AX230" s="14">
        <f t="shared" si="27"/>
        <v>525.55555555555554</v>
      </c>
      <c r="AY230" s="2">
        <f>'[1]2018'!AX240+'[1]2019'!AX240+'[1]2020'!AX240</f>
        <v>1576.6666666666667</v>
      </c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136" x14ac:dyDescent="0.25">
      <c r="A231" s="40" t="s">
        <v>55</v>
      </c>
      <c r="B231" s="48">
        <f t="shared" ref="B231:X231" si="32">SUM(B232:B246)</f>
        <v>964</v>
      </c>
      <c r="C231" s="48">
        <f t="shared" si="32"/>
        <v>253</v>
      </c>
      <c r="D231" s="48">
        <f t="shared" si="32"/>
        <v>1580</v>
      </c>
      <c r="E231" s="48">
        <f t="shared" si="32"/>
        <v>565</v>
      </c>
      <c r="F231" s="48">
        <f t="shared" si="32"/>
        <v>2</v>
      </c>
      <c r="G231" s="48">
        <f t="shared" si="32"/>
        <v>0</v>
      </c>
      <c r="H231" s="48">
        <f t="shared" si="32"/>
        <v>174</v>
      </c>
      <c r="I231" s="48">
        <f t="shared" si="32"/>
        <v>7</v>
      </c>
      <c r="J231" s="48">
        <f t="shared" si="32"/>
        <v>45</v>
      </c>
      <c r="K231" s="48">
        <f t="shared" si="32"/>
        <v>35</v>
      </c>
      <c r="L231" s="48">
        <f t="shared" si="32"/>
        <v>98</v>
      </c>
      <c r="M231" s="48">
        <f t="shared" si="32"/>
        <v>34</v>
      </c>
      <c r="N231" s="48">
        <f t="shared" si="32"/>
        <v>16</v>
      </c>
      <c r="O231" s="48">
        <f t="shared" si="32"/>
        <v>20</v>
      </c>
      <c r="P231" s="48">
        <f t="shared" si="32"/>
        <v>7</v>
      </c>
      <c r="Q231" s="48">
        <f t="shared" si="32"/>
        <v>37</v>
      </c>
      <c r="R231" s="48">
        <f t="shared" si="32"/>
        <v>587</v>
      </c>
      <c r="S231" s="48">
        <f t="shared" si="32"/>
        <v>19</v>
      </c>
      <c r="T231" s="48">
        <f t="shared" si="32"/>
        <v>263</v>
      </c>
      <c r="U231" s="48">
        <f t="shared" si="32"/>
        <v>20</v>
      </c>
      <c r="V231" s="48">
        <f t="shared" si="32"/>
        <v>171</v>
      </c>
      <c r="W231" s="48">
        <f t="shared" si="32"/>
        <v>20</v>
      </c>
      <c r="X231" s="48">
        <f t="shared" si="32"/>
        <v>25</v>
      </c>
      <c r="Y231" s="41">
        <f t="shared" si="25"/>
        <v>1580</v>
      </c>
      <c r="Z231" s="41">
        <f t="shared" ref="Z231:AV231" si="33">SUM(Z232:Z246)</f>
        <v>627</v>
      </c>
      <c r="AA231" s="41">
        <f t="shared" si="33"/>
        <v>204</v>
      </c>
      <c r="AB231" s="41">
        <f t="shared" si="33"/>
        <v>1181</v>
      </c>
      <c r="AC231" s="41">
        <f t="shared" si="33"/>
        <v>464</v>
      </c>
      <c r="AD231" s="41">
        <f t="shared" si="33"/>
        <v>2</v>
      </c>
      <c r="AE231" s="41">
        <f t="shared" si="33"/>
        <v>0</v>
      </c>
      <c r="AF231" s="41">
        <f t="shared" si="33"/>
        <v>118</v>
      </c>
      <c r="AG231" s="41">
        <f t="shared" si="33"/>
        <v>7</v>
      </c>
      <c r="AH231" s="41">
        <f t="shared" si="33"/>
        <v>35</v>
      </c>
      <c r="AI231" s="41">
        <f t="shared" si="33"/>
        <v>31</v>
      </c>
      <c r="AJ231" s="41">
        <f t="shared" si="33"/>
        <v>77</v>
      </c>
      <c r="AK231" s="41">
        <f t="shared" si="33"/>
        <v>22</v>
      </c>
      <c r="AL231" s="41">
        <f t="shared" si="33"/>
        <v>10</v>
      </c>
      <c r="AM231" s="41">
        <f t="shared" si="33"/>
        <v>24</v>
      </c>
      <c r="AN231" s="41">
        <f t="shared" si="33"/>
        <v>6</v>
      </c>
      <c r="AO231" s="41">
        <f t="shared" si="33"/>
        <v>30</v>
      </c>
      <c r="AP231" s="41">
        <f t="shared" si="33"/>
        <v>367</v>
      </c>
      <c r="AQ231" s="41">
        <f t="shared" si="33"/>
        <v>6</v>
      </c>
      <c r="AR231" s="41">
        <f t="shared" si="33"/>
        <v>257</v>
      </c>
      <c r="AS231" s="41">
        <f t="shared" si="33"/>
        <v>10</v>
      </c>
      <c r="AT231" s="41">
        <f t="shared" si="33"/>
        <v>144</v>
      </c>
      <c r="AU231" s="41">
        <f t="shared" si="33"/>
        <v>17</v>
      </c>
      <c r="AV231" s="41">
        <f t="shared" si="33"/>
        <v>18</v>
      </c>
      <c r="AW231" s="41">
        <f t="shared" si="26"/>
        <v>1181</v>
      </c>
      <c r="AX231" s="42">
        <f t="shared" si="27"/>
        <v>1563.5192323805993</v>
      </c>
      <c r="AY231" s="43">
        <f>'[1]2018'!AX241+'[1]2019'!AX241+'[1]2020'!AX241</f>
        <v>4690.5576971417977</v>
      </c>
      <c r="AZ231" s="42">
        <f>AB231*100/D231</f>
        <v>74.74683544303798</v>
      </c>
      <c r="BA231" s="44"/>
      <c r="BB231" s="44"/>
      <c r="BC231" s="44"/>
      <c r="BD231" s="44"/>
      <c r="BE231" s="44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</row>
    <row r="232" spans="1:136" x14ac:dyDescent="0.25">
      <c r="A232" s="10" t="s">
        <v>124</v>
      </c>
      <c r="B232" s="46">
        <f>'[1]2018'!B243+'[1]2019'!B243+'[1]2020'!B243</f>
        <v>418</v>
      </c>
      <c r="C232" s="46">
        <f>'[1]2018'!C243+'[1]2019'!C243+'[1]2020'!C243</f>
        <v>30</v>
      </c>
      <c r="D232" s="46">
        <f>'[1]2018'!D243+'[1]2019'!D243+'[1]2020'!D243</f>
        <v>604</v>
      </c>
      <c r="E232" s="46">
        <f>'[1]2018'!E243+'[1]2019'!E243+'[1]2020'!E243</f>
        <v>41</v>
      </c>
      <c r="F232" s="46">
        <f>'[1]2018'!F243+'[1]2019'!F243+'[1]2020'!F243</f>
        <v>2</v>
      </c>
      <c r="G232" s="46">
        <f>'[1]2018'!G243+'[1]2019'!G243+'[1]2020'!G243</f>
        <v>0</v>
      </c>
      <c r="H232" s="46">
        <f>'[1]2018'!H243+'[1]2019'!H243+'[1]2020'!H243</f>
        <v>90</v>
      </c>
      <c r="I232" s="46">
        <f>'[1]2018'!I243+'[1]2019'!I243+'[1]2020'!I243</f>
        <v>2</v>
      </c>
      <c r="J232" s="46">
        <f>'[1]2018'!J243+'[1]2019'!J243+'[1]2020'!J243</f>
        <v>18</v>
      </c>
      <c r="K232" s="46">
        <f>'[1]2018'!K243+'[1]2019'!K243+'[1]2020'!K243</f>
        <v>11</v>
      </c>
      <c r="L232" s="46">
        <f>'[1]2018'!L243+'[1]2019'!L243+'[1]2020'!L243</f>
        <v>53</v>
      </c>
      <c r="M232" s="46">
        <f>'[1]2018'!M243+'[1]2019'!M243+'[1]2020'!M243</f>
        <v>16</v>
      </c>
      <c r="N232" s="46">
        <f>'[1]2018'!N243+'[1]2019'!N243+'[1]2020'!N243</f>
        <v>5</v>
      </c>
      <c r="O232" s="46">
        <f>'[1]2018'!O243+'[1]2019'!O243+'[1]2020'!O243</f>
        <v>7</v>
      </c>
      <c r="P232" s="46">
        <f>'[1]2018'!P243+'[1]2019'!P243+'[1]2020'!P243</f>
        <v>6</v>
      </c>
      <c r="Q232" s="46">
        <f>'[1]2018'!Q243+'[1]2019'!Q243+'[1]2020'!Q243</f>
        <v>8</v>
      </c>
      <c r="R232" s="46">
        <f>'[1]2018'!R243+'[1]2019'!R243+'[1]2020'!R243</f>
        <v>346</v>
      </c>
      <c r="S232" s="46">
        <f>'[1]2018'!S243+'[1]2019'!S243+'[1]2020'!S243</f>
        <v>3</v>
      </c>
      <c r="T232" s="46">
        <f>'[1]2018'!T243+'[1]2019'!T243+'[1]2020'!T243</f>
        <v>10</v>
      </c>
      <c r="U232" s="46">
        <f>'[1]2018'!U243+'[1]2019'!U243+'[1]2020'!U243</f>
        <v>2</v>
      </c>
      <c r="V232" s="46">
        <f>'[1]2018'!V243+'[1]2019'!V243+'[1]2020'!V243</f>
        <v>12</v>
      </c>
      <c r="W232" s="46">
        <f>'[1]2018'!W243+'[1]2019'!W243+'[1]2020'!W243</f>
        <v>5</v>
      </c>
      <c r="X232" s="46">
        <f>'[1]2018'!X243+'[1]2019'!X243+'[1]2020'!X243</f>
        <v>8</v>
      </c>
      <c r="Y232" s="41">
        <f t="shared" ref="Y232:Y246" si="34">SUM(F232:X232)</f>
        <v>604</v>
      </c>
      <c r="Z232" s="11">
        <f>'[1]2018'!Z243+'[1]2019'!Z243+'[1]2020'!Z243</f>
        <v>246</v>
      </c>
      <c r="AA232" s="11">
        <f>'[1]2018'!AA243+'[1]2019'!AA243+'[1]2020'!AA243</f>
        <v>19</v>
      </c>
      <c r="AB232" s="11">
        <f>'[1]2018'!AB243+'[1]2019'!AB243+'[1]2020'!AB243</f>
        <v>390</v>
      </c>
      <c r="AC232" s="11">
        <f>'[1]2018'!AC243+'[1]2019'!AC243+'[1]2020'!AC243</f>
        <v>24</v>
      </c>
      <c r="AD232" s="11">
        <f>'[1]2018'!AD243+'[1]2019'!AD243+'[1]2020'!AD243</f>
        <v>2</v>
      </c>
      <c r="AE232" s="11">
        <f>'[1]2018'!AE243+'[1]2019'!AE243+'[1]2020'!AE243</f>
        <v>0</v>
      </c>
      <c r="AF232" s="11">
        <f>'[1]2018'!AF243+'[1]2019'!AF243+'[1]2020'!AF243</f>
        <v>69</v>
      </c>
      <c r="AG232" s="11">
        <f>'[1]2018'!AG243+'[1]2019'!AG243+'[1]2020'!AG243</f>
        <v>2</v>
      </c>
      <c r="AH232" s="11">
        <f>'[1]2018'!AH243+'[1]2019'!AH243+'[1]2020'!AH243</f>
        <v>11</v>
      </c>
      <c r="AI232" s="11">
        <f>'[1]2018'!AI243+'[1]2019'!AI243+'[1]2020'!AI243</f>
        <v>15</v>
      </c>
      <c r="AJ232" s="11">
        <f>'[1]2018'!AJ243+'[1]2019'!AJ243+'[1]2020'!AJ243</f>
        <v>33</v>
      </c>
      <c r="AK232" s="11">
        <f>'[1]2018'!AK243+'[1]2019'!AK243+'[1]2020'!AK243</f>
        <v>8</v>
      </c>
      <c r="AL232" s="11">
        <f>'[1]2018'!AL243+'[1]2019'!AL243+'[1]2020'!AL243</f>
        <v>6</v>
      </c>
      <c r="AM232" s="11">
        <f>'[1]2018'!AM243+'[1]2019'!AM243+'[1]2020'!AM243</f>
        <v>10</v>
      </c>
      <c r="AN232" s="11">
        <f>'[1]2018'!AN243+'[1]2019'!AN243+'[1]2020'!AN243</f>
        <v>5</v>
      </c>
      <c r="AO232" s="11">
        <f>'[1]2018'!AO243+'[1]2019'!AO243+'[1]2020'!AO243</f>
        <v>4</v>
      </c>
      <c r="AP232" s="11">
        <f>'[1]2018'!AP243+'[1]2019'!AP243+'[1]2020'!AP243</f>
        <v>199</v>
      </c>
      <c r="AQ232" s="11">
        <f>'[1]2018'!AQ243+'[1]2019'!AQ243+'[1]2020'!AQ243</f>
        <v>1</v>
      </c>
      <c r="AR232" s="11">
        <f>'[1]2018'!AR243+'[1]2019'!AR243+'[1]2020'!AR243</f>
        <v>8</v>
      </c>
      <c r="AS232" s="11">
        <f>'[1]2018'!AS243+'[1]2019'!AS243+'[1]2020'!AS243</f>
        <v>1</v>
      </c>
      <c r="AT232" s="11">
        <f>'[1]2018'!AT243+'[1]2019'!AT243+'[1]2020'!AT243</f>
        <v>8</v>
      </c>
      <c r="AU232" s="11">
        <f>'[1]2018'!AU243+'[1]2019'!AU243+'[1]2020'!AU243</f>
        <v>3</v>
      </c>
      <c r="AV232" s="11">
        <f>'[1]2018'!AV243+'[1]2019'!AV243+'[1]2020'!AV243</f>
        <v>5</v>
      </c>
      <c r="AW232" s="41">
        <f t="shared" ref="AW232:AW246" si="35">SUM(AD232:AV232)</f>
        <v>390</v>
      </c>
      <c r="AX232" s="14">
        <f t="shared" ref="AX232:AX247" si="36">AY232/3</f>
        <v>2021.5761825860948</v>
      </c>
      <c r="AY232" s="2">
        <f>'[1]2018'!AX243+'[1]2019'!AX243+'[1]2020'!AX243</f>
        <v>6064.7285477582845</v>
      </c>
    </row>
    <row r="233" spans="1:136" x14ac:dyDescent="0.25">
      <c r="A233" s="10" t="s">
        <v>125</v>
      </c>
      <c r="B233" s="46">
        <f>'[1]2018'!B244+'[1]2019'!B244+'[1]2020'!B244</f>
        <v>38</v>
      </c>
      <c r="C233" s="46">
        <f>'[1]2018'!C244+'[1]2019'!C244+'[1]2020'!C244</f>
        <v>37</v>
      </c>
      <c r="D233" s="46">
        <f>'[1]2018'!D244+'[1]2019'!D244+'[1]2020'!D244</f>
        <v>122</v>
      </c>
      <c r="E233" s="46">
        <f>'[1]2018'!E244+'[1]2019'!E244+'[1]2020'!E244</f>
        <v>120</v>
      </c>
      <c r="F233" s="46">
        <f>'[1]2018'!F244+'[1]2019'!F244+'[1]2020'!F244</f>
        <v>0</v>
      </c>
      <c r="G233" s="46">
        <f>'[1]2018'!G244+'[1]2019'!G244+'[1]2020'!G244</f>
        <v>0</v>
      </c>
      <c r="H233" s="46">
        <f>'[1]2018'!H244+'[1]2019'!H244+'[1]2020'!H244</f>
        <v>0</v>
      </c>
      <c r="I233" s="46">
        <f>'[1]2018'!I244+'[1]2019'!I244+'[1]2020'!I244</f>
        <v>0</v>
      </c>
      <c r="J233" s="46">
        <f>'[1]2018'!J244+'[1]2019'!J244+'[1]2020'!J244</f>
        <v>4</v>
      </c>
      <c r="K233" s="46">
        <f>'[1]2018'!K244+'[1]2019'!K244+'[1]2020'!K244</f>
        <v>0</v>
      </c>
      <c r="L233" s="46">
        <f>'[1]2018'!L244+'[1]2019'!L244+'[1]2020'!L244</f>
        <v>0</v>
      </c>
      <c r="M233" s="46">
        <f>'[1]2018'!M244+'[1]2019'!M244+'[1]2020'!M244</f>
        <v>0</v>
      </c>
      <c r="N233" s="46">
        <f>'[1]2018'!N244+'[1]2019'!N244+'[1]2020'!N244</f>
        <v>0</v>
      </c>
      <c r="O233" s="46">
        <f>'[1]2018'!O244+'[1]2019'!O244+'[1]2020'!O244</f>
        <v>0</v>
      </c>
      <c r="P233" s="46">
        <f>'[1]2018'!P244+'[1]2019'!P244+'[1]2020'!P244</f>
        <v>0</v>
      </c>
      <c r="Q233" s="46">
        <f>'[1]2018'!Q244+'[1]2019'!Q244+'[1]2020'!Q244</f>
        <v>0</v>
      </c>
      <c r="R233" s="46">
        <f>'[1]2018'!R244+'[1]2019'!R244+'[1]2020'!R244</f>
        <v>3</v>
      </c>
      <c r="S233" s="46">
        <f>'[1]2018'!S244+'[1]2019'!S244+'[1]2020'!S244</f>
        <v>0</v>
      </c>
      <c r="T233" s="46">
        <f>'[1]2018'!T244+'[1]2019'!T244+'[1]2020'!T244</f>
        <v>64</v>
      </c>
      <c r="U233" s="46">
        <f>'[1]2018'!U244+'[1]2019'!U244+'[1]2020'!U244</f>
        <v>8</v>
      </c>
      <c r="V233" s="46">
        <f>'[1]2018'!V244+'[1]2019'!V244+'[1]2020'!V244</f>
        <v>40</v>
      </c>
      <c r="W233" s="46">
        <f>'[1]2018'!W244+'[1]2019'!W244+'[1]2020'!W244</f>
        <v>3</v>
      </c>
      <c r="X233" s="46">
        <f>'[1]2018'!X244+'[1]2019'!X244+'[1]2020'!X244</f>
        <v>0</v>
      </c>
      <c r="Y233" s="41">
        <f t="shared" si="34"/>
        <v>122</v>
      </c>
      <c r="Z233" s="11">
        <f>'[1]2018'!Z244+'[1]2019'!Z244+'[1]2020'!Z244</f>
        <v>34</v>
      </c>
      <c r="AA233" s="11">
        <f>'[1]2018'!AA244+'[1]2019'!AA244+'[1]2020'!AA244</f>
        <v>33</v>
      </c>
      <c r="AB233" s="11">
        <f>'[1]2018'!AB244+'[1]2019'!AB244+'[1]2020'!AB244</f>
        <v>107</v>
      </c>
      <c r="AC233" s="11">
        <f>'[1]2018'!AC244+'[1]2019'!AC244+'[1]2020'!AC244</f>
        <v>106</v>
      </c>
      <c r="AD233" s="11">
        <f>'[1]2018'!AD244+'[1]2019'!AD244+'[1]2020'!AD244</f>
        <v>0</v>
      </c>
      <c r="AE233" s="11">
        <f>'[1]2018'!AE244+'[1]2019'!AE244+'[1]2020'!AE244</f>
        <v>0</v>
      </c>
      <c r="AF233" s="11">
        <f>'[1]2018'!AF244+'[1]2019'!AF244+'[1]2020'!AF244</f>
        <v>0</v>
      </c>
      <c r="AG233" s="11">
        <f>'[1]2018'!AG244+'[1]2019'!AG244+'[1]2020'!AG244</f>
        <v>0</v>
      </c>
      <c r="AH233" s="11">
        <f>'[1]2018'!AH244+'[1]2019'!AH244+'[1]2020'!AH244</f>
        <v>3</v>
      </c>
      <c r="AI233" s="11">
        <f>'[1]2018'!AI244+'[1]2019'!AI244+'[1]2020'!AI244</f>
        <v>0</v>
      </c>
      <c r="AJ233" s="11">
        <f>'[1]2018'!AJ244+'[1]2019'!AJ244+'[1]2020'!AJ244</f>
        <v>0</v>
      </c>
      <c r="AK233" s="11">
        <f>'[1]2018'!AK244+'[1]2019'!AK244+'[1]2020'!AK244</f>
        <v>0</v>
      </c>
      <c r="AL233" s="11">
        <f>'[1]2018'!AL244+'[1]2019'!AL244+'[1]2020'!AL244</f>
        <v>0</v>
      </c>
      <c r="AM233" s="11">
        <f>'[1]2018'!AM244+'[1]2019'!AM244+'[1]2020'!AM244</f>
        <v>2</v>
      </c>
      <c r="AN233" s="11">
        <f>'[1]2018'!AN244+'[1]2019'!AN244+'[1]2020'!AN244</f>
        <v>0</v>
      </c>
      <c r="AO233" s="11">
        <f>'[1]2018'!AO244+'[1]2019'!AO244+'[1]2020'!AO244</f>
        <v>0</v>
      </c>
      <c r="AP233" s="11">
        <f>'[1]2018'!AP244+'[1]2019'!AP244+'[1]2020'!AP244</f>
        <v>1</v>
      </c>
      <c r="AQ233" s="11">
        <f>'[1]2018'!AQ244+'[1]2019'!AQ244+'[1]2020'!AQ244</f>
        <v>0</v>
      </c>
      <c r="AR233" s="11">
        <f>'[1]2018'!AR244+'[1]2019'!AR244+'[1]2020'!AR244</f>
        <v>57</v>
      </c>
      <c r="AS233" s="11">
        <f>'[1]2018'!AS244+'[1]2019'!AS244+'[1]2020'!AS244</f>
        <v>6</v>
      </c>
      <c r="AT233" s="11">
        <f>'[1]2018'!AT244+'[1]2019'!AT244+'[1]2020'!AT244</f>
        <v>36</v>
      </c>
      <c r="AU233" s="11">
        <f>'[1]2018'!AU244+'[1]2019'!AU244+'[1]2020'!AU244</f>
        <v>2</v>
      </c>
      <c r="AV233" s="11">
        <f>'[1]2018'!AV244+'[1]2019'!AV244+'[1]2020'!AV244</f>
        <v>0</v>
      </c>
      <c r="AW233" s="41">
        <f t="shared" si="35"/>
        <v>107</v>
      </c>
      <c r="AX233" s="14">
        <f t="shared" si="36"/>
        <v>1324.7795238095239</v>
      </c>
      <c r="AY233" s="2">
        <f>'[1]2018'!AX244+'[1]2019'!AX244+'[1]2020'!AX244</f>
        <v>3974.3385714285714</v>
      </c>
    </row>
    <row r="234" spans="1:136" x14ac:dyDescent="0.25">
      <c r="A234" s="10" t="s">
        <v>126</v>
      </c>
      <c r="B234" s="46">
        <f>'[1]2018'!B246+'[1]2019'!B246+'[1]2020'!B246</f>
        <v>153</v>
      </c>
      <c r="C234" s="46">
        <f>'[1]2018'!C246+'[1]2019'!C246+'[1]2020'!C246</f>
        <v>19</v>
      </c>
      <c r="D234" s="46">
        <f>'[1]2018'!D246+'[1]2019'!D246+'[1]2020'!D246</f>
        <v>257</v>
      </c>
      <c r="E234" s="46">
        <f>'[1]2018'!E246+'[1]2019'!E246+'[1]2020'!E246</f>
        <v>77</v>
      </c>
      <c r="F234" s="46">
        <f>'[1]2018'!F246+'[1]2019'!F246+'[1]2020'!F246</f>
        <v>0</v>
      </c>
      <c r="G234" s="46">
        <f>'[1]2018'!G246+'[1]2019'!G246+'[1]2020'!G246</f>
        <v>0</v>
      </c>
      <c r="H234" s="46">
        <f>'[1]2018'!H246+'[1]2019'!H246+'[1]2020'!H246</f>
        <v>24</v>
      </c>
      <c r="I234" s="46">
        <f>'[1]2018'!I246+'[1]2019'!I246+'[1]2020'!I246</f>
        <v>0</v>
      </c>
      <c r="J234" s="46">
        <f>'[1]2018'!J246+'[1]2019'!J246+'[1]2020'!J246</f>
        <v>4</v>
      </c>
      <c r="K234" s="46">
        <f>'[1]2018'!K246+'[1]2019'!K246+'[1]2020'!K246</f>
        <v>13</v>
      </c>
      <c r="L234" s="46">
        <f>'[1]2018'!L246+'[1]2019'!L246+'[1]2020'!L246</f>
        <v>25</v>
      </c>
      <c r="M234" s="46">
        <f>'[1]2018'!M246+'[1]2019'!M246+'[1]2020'!M246</f>
        <v>10</v>
      </c>
      <c r="N234" s="46">
        <f>'[1]2018'!N246+'[1]2019'!N246+'[1]2020'!N246</f>
        <v>4</v>
      </c>
      <c r="O234" s="46">
        <f>'[1]2018'!O246+'[1]2019'!O246+'[1]2020'!O246</f>
        <v>8</v>
      </c>
      <c r="P234" s="46">
        <f>'[1]2018'!P246+'[1]2019'!P246+'[1]2020'!P246</f>
        <v>1</v>
      </c>
      <c r="Q234" s="46">
        <f>'[1]2018'!Q246+'[1]2019'!Q246+'[1]2020'!Q246</f>
        <v>19</v>
      </c>
      <c r="R234" s="46">
        <f>'[1]2018'!R246+'[1]2019'!R246+'[1]2020'!R246</f>
        <v>106</v>
      </c>
      <c r="S234" s="46">
        <f>'[1]2018'!S246+'[1]2019'!S246+'[1]2020'!S246</f>
        <v>13</v>
      </c>
      <c r="T234" s="46">
        <f>'[1]2018'!T246+'[1]2019'!T246+'[1]2020'!T246</f>
        <v>7</v>
      </c>
      <c r="U234" s="46">
        <f>'[1]2018'!U246+'[1]2019'!U246+'[1]2020'!U246</f>
        <v>4</v>
      </c>
      <c r="V234" s="46">
        <f>'[1]2018'!V246+'[1]2019'!V246+'[1]2020'!V246</f>
        <v>11</v>
      </c>
      <c r="W234" s="46">
        <f>'[1]2018'!W246+'[1]2019'!W246+'[1]2020'!W246</f>
        <v>3</v>
      </c>
      <c r="X234" s="46">
        <f>'[1]2018'!X246+'[1]2019'!X246+'[1]2020'!X246</f>
        <v>5</v>
      </c>
      <c r="Y234" s="41">
        <f t="shared" si="34"/>
        <v>257</v>
      </c>
      <c r="Z234" s="11">
        <f>'[1]2018'!Z246+'[1]2019'!Z246+'[1]2020'!Z246</f>
        <v>89</v>
      </c>
      <c r="AA234" s="11">
        <f>'[1]2018'!AA246+'[1]2019'!AA246+'[1]2020'!AA246</f>
        <v>11</v>
      </c>
      <c r="AB234" s="11">
        <f>'[1]2018'!AB246+'[1]2019'!AB246+'[1]2020'!AB246</f>
        <v>183</v>
      </c>
      <c r="AC234" s="11">
        <f>'[1]2018'!AC246+'[1]2019'!AC246+'[1]2020'!AC246</f>
        <v>18</v>
      </c>
      <c r="AD234" s="11">
        <f>'[1]2018'!AD246+'[1]2019'!AD246+'[1]2020'!AD246</f>
        <v>0</v>
      </c>
      <c r="AE234" s="11">
        <f>'[1]2018'!AE246+'[1]2019'!AE246+'[1]2020'!AE246</f>
        <v>0</v>
      </c>
      <c r="AF234" s="11">
        <f>'[1]2018'!AF246+'[1]2019'!AF246+'[1]2020'!AF246</f>
        <v>21</v>
      </c>
      <c r="AG234" s="11">
        <f>'[1]2018'!AG246+'[1]2019'!AG246+'[1]2020'!AG246</f>
        <v>0</v>
      </c>
      <c r="AH234" s="11">
        <f>'[1]2018'!AH246+'[1]2019'!AH246+'[1]2020'!AH246</f>
        <v>6</v>
      </c>
      <c r="AI234" s="11">
        <f>'[1]2018'!AI246+'[1]2019'!AI246+'[1]2020'!AI246</f>
        <v>5</v>
      </c>
      <c r="AJ234" s="11">
        <f>'[1]2018'!AJ246+'[1]2019'!AJ246+'[1]2020'!AJ246</f>
        <v>26</v>
      </c>
      <c r="AK234" s="11">
        <f>'[1]2018'!AK246+'[1]2019'!AK246+'[1]2020'!AK246</f>
        <v>6</v>
      </c>
      <c r="AL234" s="11">
        <f>'[1]2018'!AL246+'[1]2019'!AL246+'[1]2020'!AL246</f>
        <v>3</v>
      </c>
      <c r="AM234" s="11">
        <f>'[1]2018'!AM246+'[1]2019'!AM246+'[1]2020'!AM246</f>
        <v>8</v>
      </c>
      <c r="AN234" s="11">
        <f>'[1]2018'!AN246+'[1]2019'!AN246+'[1]2020'!AN246</f>
        <v>1</v>
      </c>
      <c r="AO234" s="11">
        <f>'[1]2018'!AO246+'[1]2019'!AO246+'[1]2020'!AO246</f>
        <v>19</v>
      </c>
      <c r="AP234" s="11">
        <f>'[1]2018'!AP246+'[1]2019'!AP246+'[1]2020'!AP246</f>
        <v>68</v>
      </c>
      <c r="AQ234" s="11">
        <f>'[1]2018'!AQ246+'[1]2019'!AQ246+'[1]2020'!AQ246</f>
        <v>4</v>
      </c>
      <c r="AR234" s="11">
        <f>'[1]2018'!AR246+'[1]2019'!AR246+'[1]2020'!AR246</f>
        <v>5</v>
      </c>
      <c r="AS234" s="11">
        <f>'[1]2018'!AS246+'[1]2019'!AS246+'[1]2020'!AS246</f>
        <v>0</v>
      </c>
      <c r="AT234" s="11">
        <f>'[1]2018'!AT246+'[1]2019'!AT246+'[1]2020'!AT246</f>
        <v>4</v>
      </c>
      <c r="AU234" s="11">
        <f>'[1]2018'!AU246+'[1]2019'!AU246+'[1]2020'!AU246</f>
        <v>4</v>
      </c>
      <c r="AV234" s="11">
        <f>'[1]2018'!AV246+'[1]2019'!AV246+'[1]2020'!AV246</f>
        <v>3</v>
      </c>
      <c r="AW234" s="41">
        <f t="shared" si="35"/>
        <v>183</v>
      </c>
      <c r="AX234" s="14">
        <f t="shared" si="36"/>
        <v>1865.4663125763127</v>
      </c>
      <c r="AY234" s="2">
        <f>'[1]2018'!AX246+'[1]2019'!AX246+'[1]2020'!AX246</f>
        <v>5596.3989377289381</v>
      </c>
    </row>
    <row r="235" spans="1:136" x14ac:dyDescent="0.25">
      <c r="A235" s="10" t="s">
        <v>127</v>
      </c>
      <c r="B235" s="46">
        <f>'[1]2018'!B247+'[1]2019'!B247+'[1]2020'!B247</f>
        <v>123</v>
      </c>
      <c r="C235" s="46">
        <f>'[1]2018'!C247+'[1]2019'!C247+'[1]2020'!C247</f>
        <v>120</v>
      </c>
      <c r="D235" s="46">
        <f>'[1]2018'!D247+'[1]2019'!D247+'[1]2020'!D247</f>
        <v>258</v>
      </c>
      <c r="E235" s="46">
        <f>'[1]2018'!E247+'[1]2019'!E247+'[1]2020'!E247</f>
        <v>255</v>
      </c>
      <c r="F235" s="46">
        <f>'[1]2018'!F247+'[1]2019'!F247+'[1]2020'!F247</f>
        <v>0</v>
      </c>
      <c r="G235" s="46">
        <f>'[1]2018'!G247+'[1]2019'!G247+'[1]2020'!G247</f>
        <v>0</v>
      </c>
      <c r="H235" s="46">
        <f>'[1]2018'!H247+'[1]2019'!H247+'[1]2020'!H247</f>
        <v>0</v>
      </c>
      <c r="I235" s="46">
        <f>'[1]2018'!I247+'[1]2019'!I247+'[1]2020'!I247</f>
        <v>0</v>
      </c>
      <c r="J235" s="46">
        <f>'[1]2018'!J247+'[1]2019'!J247+'[1]2020'!J247</f>
        <v>4</v>
      </c>
      <c r="K235" s="46">
        <f>'[1]2018'!K247+'[1]2019'!K247+'[1]2020'!K247</f>
        <v>0</v>
      </c>
      <c r="L235" s="46">
        <f>'[1]2018'!L247+'[1]2019'!L247+'[1]2020'!L247</f>
        <v>0</v>
      </c>
      <c r="M235" s="46">
        <f>'[1]2018'!M247+'[1]2019'!M247+'[1]2020'!M247</f>
        <v>1</v>
      </c>
      <c r="N235" s="46">
        <f>'[1]2018'!N247+'[1]2019'!N247+'[1]2020'!N247</f>
        <v>0</v>
      </c>
      <c r="O235" s="46">
        <f>'[1]2018'!O247+'[1]2019'!O247+'[1]2020'!O247</f>
        <v>0</v>
      </c>
      <c r="P235" s="46">
        <f>'[1]2018'!P247+'[1]2019'!P247+'[1]2020'!P247</f>
        <v>0</v>
      </c>
      <c r="Q235" s="46">
        <f>'[1]2018'!Q247+'[1]2019'!Q247+'[1]2020'!Q247</f>
        <v>0</v>
      </c>
      <c r="R235" s="46">
        <f>'[1]2018'!R247+'[1]2019'!R247+'[1]2020'!R247</f>
        <v>18</v>
      </c>
      <c r="S235" s="46">
        <f>'[1]2018'!S247+'[1]2019'!S247+'[1]2020'!S247</f>
        <v>0</v>
      </c>
      <c r="T235" s="46">
        <f>'[1]2018'!T247+'[1]2019'!T247+'[1]2020'!T247</f>
        <v>157</v>
      </c>
      <c r="U235" s="46">
        <f>'[1]2018'!U247+'[1]2019'!U247+'[1]2020'!U247</f>
        <v>3</v>
      </c>
      <c r="V235" s="46">
        <f>'[1]2018'!V247+'[1]2019'!V247+'[1]2020'!V247</f>
        <v>69</v>
      </c>
      <c r="W235" s="46">
        <f>'[1]2018'!W247+'[1]2019'!W247+'[1]2020'!W247</f>
        <v>6</v>
      </c>
      <c r="X235" s="46">
        <f>'[1]2018'!X247+'[1]2019'!X247+'[1]2020'!X247</f>
        <v>0</v>
      </c>
      <c r="Y235" s="41">
        <f t="shared" si="34"/>
        <v>258</v>
      </c>
      <c r="Z235" s="11">
        <f>'[1]2018'!Z247+'[1]2019'!Z247+'[1]2020'!Z247</f>
        <v>107</v>
      </c>
      <c r="AA235" s="11">
        <f>'[1]2018'!AA247+'[1]2019'!AA247+'[1]2020'!AA247</f>
        <v>108</v>
      </c>
      <c r="AB235" s="11">
        <f>'[1]2018'!AB247+'[1]2019'!AB247+'[1]2020'!AB247</f>
        <v>262</v>
      </c>
      <c r="AC235" s="11">
        <f>'[1]2018'!AC247+'[1]2019'!AC247+'[1]2020'!AC247</f>
        <v>262</v>
      </c>
      <c r="AD235" s="11">
        <f>'[1]2018'!AD247+'[1]2019'!AD247+'[1]2020'!AD247</f>
        <v>0</v>
      </c>
      <c r="AE235" s="11">
        <f>'[1]2018'!AE247+'[1]2019'!AE247+'[1]2020'!AE247</f>
        <v>0</v>
      </c>
      <c r="AF235" s="11">
        <f>'[1]2018'!AF247+'[1]2019'!AF247+'[1]2020'!AF247</f>
        <v>0</v>
      </c>
      <c r="AG235" s="11">
        <f>'[1]2018'!AG247+'[1]2019'!AG247+'[1]2020'!AG247</f>
        <v>0</v>
      </c>
      <c r="AH235" s="11">
        <f>'[1]2018'!AH247+'[1]2019'!AH247+'[1]2020'!AH247</f>
        <v>1</v>
      </c>
      <c r="AI235" s="11">
        <f>'[1]2018'!AI247+'[1]2019'!AI247+'[1]2020'!AI247</f>
        <v>0</v>
      </c>
      <c r="AJ235" s="11">
        <f>'[1]2018'!AJ247+'[1]2019'!AJ247+'[1]2020'!AJ247</f>
        <v>0</v>
      </c>
      <c r="AK235" s="11">
        <f>'[1]2018'!AK247+'[1]2019'!AK247+'[1]2020'!AK247</f>
        <v>0</v>
      </c>
      <c r="AL235" s="11">
        <f>'[1]2018'!AL247+'[1]2019'!AL247+'[1]2020'!AL247</f>
        <v>0</v>
      </c>
      <c r="AM235" s="11">
        <f>'[1]2018'!AM247+'[1]2019'!AM247+'[1]2020'!AM247</f>
        <v>0</v>
      </c>
      <c r="AN235" s="11">
        <f>'[1]2018'!AN247+'[1]2019'!AN247+'[1]2020'!AN247</f>
        <v>0</v>
      </c>
      <c r="AO235" s="11">
        <f>'[1]2018'!AO247+'[1]2019'!AO247+'[1]2020'!AO247</f>
        <v>0</v>
      </c>
      <c r="AP235" s="11">
        <f>'[1]2018'!AP247+'[1]2019'!AP247+'[1]2020'!AP247</f>
        <v>18</v>
      </c>
      <c r="AQ235" s="11">
        <f>'[1]2018'!AQ247+'[1]2019'!AQ247+'[1]2020'!AQ247</f>
        <v>0</v>
      </c>
      <c r="AR235" s="11">
        <f>'[1]2018'!AR247+'[1]2019'!AR247+'[1]2020'!AR247</f>
        <v>171</v>
      </c>
      <c r="AS235" s="11">
        <f>'[1]2018'!AS247+'[1]2019'!AS247+'[1]2020'!AS247</f>
        <v>2</v>
      </c>
      <c r="AT235" s="11">
        <f>'[1]2018'!AT247+'[1]2019'!AT247+'[1]2020'!AT247</f>
        <v>65</v>
      </c>
      <c r="AU235" s="11">
        <f>'[1]2018'!AU247+'[1]2019'!AU247+'[1]2020'!AU247</f>
        <v>5</v>
      </c>
      <c r="AV235" s="11">
        <f>'[1]2018'!AV247+'[1]2019'!AV247+'[1]2020'!AV247</f>
        <v>0</v>
      </c>
      <c r="AW235" s="41">
        <f t="shared" si="35"/>
        <v>262</v>
      </c>
      <c r="AX235" s="14">
        <f t="shared" si="36"/>
        <v>918.42083333333323</v>
      </c>
      <c r="AY235" s="2">
        <f>'[1]2018'!AX247+'[1]2019'!AX247+'[1]2020'!AX247</f>
        <v>2755.2624999999998</v>
      </c>
    </row>
    <row r="236" spans="1:136" x14ac:dyDescent="0.25">
      <c r="A236" s="10" t="s">
        <v>103</v>
      </c>
      <c r="B236" s="46">
        <f>'[1]2018'!B248+'[1]2019'!B248+'[1]2020'!B248</f>
        <v>47</v>
      </c>
      <c r="C236" s="46">
        <f>'[1]2018'!C248+'[1]2019'!C248+'[1]2020'!C248</f>
        <v>3</v>
      </c>
      <c r="D236" s="46">
        <f>'[1]2018'!D248+'[1]2019'!D248+'[1]2020'!D248</f>
        <v>62</v>
      </c>
      <c r="E236" s="46">
        <f>'[1]2018'!E248+'[1]2019'!E248+'[1]2020'!E248</f>
        <v>6</v>
      </c>
      <c r="F236" s="46">
        <f>'[1]2018'!F248+'[1]2019'!F248+'[1]2020'!F248</f>
        <v>0</v>
      </c>
      <c r="G236" s="46">
        <f>'[1]2018'!G248+'[1]2019'!G248+'[1]2020'!G248</f>
        <v>0</v>
      </c>
      <c r="H236" s="46">
        <f>'[1]2018'!H248+'[1]2019'!H248+'[1]2020'!H248</f>
        <v>19</v>
      </c>
      <c r="I236" s="46">
        <f>'[1]2018'!I248+'[1]2019'!I248+'[1]2020'!I248</f>
        <v>0</v>
      </c>
      <c r="J236" s="46">
        <f>'[1]2018'!J248+'[1]2019'!J248+'[1]2020'!J248</f>
        <v>8</v>
      </c>
      <c r="K236" s="46">
        <f>'[1]2018'!K248+'[1]2019'!K248+'[1]2020'!K248</f>
        <v>3</v>
      </c>
      <c r="L236" s="46">
        <f>'[1]2018'!L248+'[1]2019'!L248+'[1]2020'!L248</f>
        <v>3</v>
      </c>
      <c r="M236" s="46">
        <f>'[1]2018'!M248+'[1]2019'!M248+'[1]2020'!M248</f>
        <v>2</v>
      </c>
      <c r="N236" s="46">
        <f>'[1]2018'!N248+'[1]2019'!N248+'[1]2020'!N248</f>
        <v>0</v>
      </c>
      <c r="O236" s="46">
        <f>'[1]2018'!O248+'[1]2019'!O248+'[1]2020'!O248</f>
        <v>2</v>
      </c>
      <c r="P236" s="46">
        <f>'[1]2018'!P248+'[1]2019'!P248+'[1]2020'!P248</f>
        <v>0</v>
      </c>
      <c r="Q236" s="46">
        <f>'[1]2018'!Q248+'[1]2019'!Q248+'[1]2020'!Q248</f>
        <v>1</v>
      </c>
      <c r="R236" s="46">
        <f>'[1]2018'!R248+'[1]2019'!R248+'[1]2020'!R248</f>
        <v>20</v>
      </c>
      <c r="S236" s="46">
        <f>'[1]2018'!S248+'[1]2019'!S248+'[1]2020'!S248</f>
        <v>1</v>
      </c>
      <c r="T236" s="46">
        <f>'[1]2018'!T248+'[1]2019'!T248+'[1]2020'!T248</f>
        <v>1</v>
      </c>
      <c r="U236" s="46">
        <f>'[1]2018'!U248+'[1]2019'!U248+'[1]2020'!U248</f>
        <v>0</v>
      </c>
      <c r="V236" s="46">
        <f>'[1]2018'!V248+'[1]2019'!V248+'[1]2020'!V248</f>
        <v>0</v>
      </c>
      <c r="W236" s="46">
        <f>'[1]2018'!W248+'[1]2019'!W248+'[1]2020'!W248</f>
        <v>0</v>
      </c>
      <c r="X236" s="46">
        <f>'[1]2018'!X248+'[1]2019'!X248+'[1]2020'!X248</f>
        <v>2</v>
      </c>
      <c r="Y236" s="41">
        <f t="shared" si="34"/>
        <v>62</v>
      </c>
      <c r="Z236" s="11">
        <f>'[1]2018'!Z248+'[1]2019'!Z248+'[1]2020'!Z248</f>
        <v>35</v>
      </c>
      <c r="AA236" s="11">
        <f>'[1]2018'!AA248+'[1]2019'!AA248+'[1]2020'!AA248</f>
        <v>2</v>
      </c>
      <c r="AB236" s="11">
        <f>'[1]2018'!AB248+'[1]2019'!AB248+'[1]2020'!AB248</f>
        <v>42</v>
      </c>
      <c r="AC236" s="11">
        <f>'[1]2018'!AC248+'[1]2019'!AC248+'[1]2020'!AC248</f>
        <v>4</v>
      </c>
      <c r="AD236" s="11">
        <f>'[1]2018'!AD248+'[1]2019'!AD248+'[1]2020'!AD248</f>
        <v>0</v>
      </c>
      <c r="AE236" s="11">
        <f>'[1]2018'!AE248+'[1]2019'!AE248+'[1]2020'!AE248</f>
        <v>0</v>
      </c>
      <c r="AF236" s="11">
        <f>'[1]2018'!AF248+'[1]2019'!AF248+'[1]2020'!AF248</f>
        <v>10</v>
      </c>
      <c r="AG236" s="11">
        <f>'[1]2018'!AG248+'[1]2019'!AG248+'[1]2020'!AG248</f>
        <v>0</v>
      </c>
      <c r="AH236" s="11">
        <f>'[1]2018'!AH248+'[1]2019'!AH248+'[1]2020'!AH248</f>
        <v>6</v>
      </c>
      <c r="AI236" s="11">
        <f>'[1]2018'!AI248+'[1]2019'!AI248+'[1]2020'!AI248</f>
        <v>2</v>
      </c>
      <c r="AJ236" s="11">
        <f>'[1]2018'!AJ248+'[1]2019'!AJ248+'[1]2020'!AJ248</f>
        <v>2</v>
      </c>
      <c r="AK236" s="11">
        <f>'[1]2018'!AK248+'[1]2019'!AK248+'[1]2020'!AK248</f>
        <v>2</v>
      </c>
      <c r="AL236" s="11">
        <f>'[1]2018'!AL248+'[1]2019'!AL248+'[1]2020'!AL248</f>
        <v>0</v>
      </c>
      <c r="AM236" s="11">
        <f>'[1]2018'!AM248+'[1]2019'!AM248+'[1]2020'!AM248</f>
        <v>2</v>
      </c>
      <c r="AN236" s="11">
        <f>'[1]2018'!AN248+'[1]2019'!AN248+'[1]2020'!AN248</f>
        <v>0</v>
      </c>
      <c r="AO236" s="11">
        <f>'[1]2018'!AO248+'[1]2019'!AO248+'[1]2020'!AO248</f>
        <v>0</v>
      </c>
      <c r="AP236" s="11">
        <f>'[1]2018'!AP248+'[1]2019'!AP248+'[1]2020'!AP248</f>
        <v>16</v>
      </c>
      <c r="AQ236" s="11">
        <f>'[1]2018'!AQ248+'[1]2019'!AQ248+'[1]2020'!AQ248</f>
        <v>0</v>
      </c>
      <c r="AR236" s="11">
        <f>'[1]2018'!AR248+'[1]2019'!AR248+'[1]2020'!AR248</f>
        <v>0</v>
      </c>
      <c r="AS236" s="11">
        <f>'[1]2018'!AS248+'[1]2019'!AS248+'[1]2020'!AS248</f>
        <v>0</v>
      </c>
      <c r="AT236" s="11">
        <f>'[1]2018'!AT248+'[1]2019'!AT248+'[1]2020'!AT248</f>
        <v>0</v>
      </c>
      <c r="AU236" s="11">
        <f>'[1]2018'!AU248+'[1]2019'!AU248+'[1]2020'!AU248</f>
        <v>0</v>
      </c>
      <c r="AV236" s="11">
        <f>'[1]2018'!AV248+'[1]2019'!AV248+'[1]2020'!AV248</f>
        <v>2</v>
      </c>
      <c r="AW236" s="41">
        <f t="shared" si="35"/>
        <v>42</v>
      </c>
      <c r="AX236" s="14">
        <f t="shared" si="36"/>
        <v>1922.7427609427607</v>
      </c>
      <c r="AY236" s="2">
        <f>'[1]2018'!AX248+'[1]2019'!AX248+'[1]2020'!AX248</f>
        <v>5768.2282828282823</v>
      </c>
    </row>
    <row r="237" spans="1:136" x14ac:dyDescent="0.25">
      <c r="A237" s="10" t="s">
        <v>104</v>
      </c>
      <c r="B237" s="46">
        <f>'[1]2018'!B249+'[1]2019'!B249+'[1]2020'!B249</f>
        <v>11</v>
      </c>
      <c r="C237" s="46">
        <f>'[1]2018'!C249+'[1]2019'!C249+'[1]2020'!C249</f>
        <v>2</v>
      </c>
      <c r="D237" s="46">
        <f>'[1]2018'!D249+'[1]2019'!D249+'[1]2020'!D249</f>
        <v>15</v>
      </c>
      <c r="E237" s="46">
        <f>'[1]2018'!E249+'[1]2019'!E249+'[1]2020'!E249</f>
        <v>2</v>
      </c>
      <c r="F237" s="46">
        <f>'[1]2018'!F249+'[1]2019'!F249+'[1]2020'!F249</f>
        <v>0</v>
      </c>
      <c r="G237" s="46">
        <f>'[1]2018'!G249+'[1]2019'!G249+'[1]2020'!G249</f>
        <v>0</v>
      </c>
      <c r="H237" s="46">
        <f>'[1]2018'!H249+'[1]2019'!H249+'[1]2020'!H249</f>
        <v>3</v>
      </c>
      <c r="I237" s="46">
        <f>'[1]2018'!I249+'[1]2019'!I249+'[1]2020'!I249</f>
        <v>0</v>
      </c>
      <c r="J237" s="46">
        <f>'[1]2018'!J249+'[1]2019'!J249+'[1]2020'!J249</f>
        <v>0</v>
      </c>
      <c r="K237" s="46">
        <f>'[1]2018'!K249+'[1]2019'!K249+'[1]2020'!K249</f>
        <v>0</v>
      </c>
      <c r="L237" s="46">
        <f>'[1]2018'!L249+'[1]2019'!L249+'[1]2020'!L249</f>
        <v>8</v>
      </c>
      <c r="M237" s="46">
        <f>'[1]2018'!M249+'[1]2019'!M249+'[1]2020'!M249</f>
        <v>0</v>
      </c>
      <c r="N237" s="46">
        <f>'[1]2018'!N249+'[1]2019'!N249+'[1]2020'!N249</f>
        <v>0</v>
      </c>
      <c r="O237" s="46">
        <f>'[1]2018'!O249+'[1]2019'!O249+'[1]2020'!O249</f>
        <v>0</v>
      </c>
      <c r="P237" s="46">
        <f>'[1]2018'!P249+'[1]2019'!P249+'[1]2020'!P249</f>
        <v>0</v>
      </c>
      <c r="Q237" s="46">
        <f>'[1]2018'!Q249+'[1]2019'!Q249+'[1]2020'!Q249</f>
        <v>0</v>
      </c>
      <c r="R237" s="46">
        <f>'[1]2018'!R249+'[1]2019'!R249+'[1]2020'!R249</f>
        <v>2</v>
      </c>
      <c r="S237" s="46">
        <f>'[1]2018'!S249+'[1]2019'!S249+'[1]2020'!S249</f>
        <v>0</v>
      </c>
      <c r="T237" s="46">
        <f>'[1]2018'!T249+'[1]2019'!T249+'[1]2020'!T249</f>
        <v>1</v>
      </c>
      <c r="U237" s="46">
        <f>'[1]2018'!U249+'[1]2019'!U249+'[1]2020'!U249</f>
        <v>1</v>
      </c>
      <c r="V237" s="46">
        <f>'[1]2018'!V249+'[1]2019'!V249+'[1]2020'!V249</f>
        <v>0</v>
      </c>
      <c r="W237" s="46">
        <f>'[1]2018'!W249+'[1]2019'!W249+'[1]2020'!W249</f>
        <v>0</v>
      </c>
      <c r="X237" s="46">
        <f>'[1]2018'!X249+'[1]2019'!X249+'[1]2020'!X249</f>
        <v>0</v>
      </c>
      <c r="Y237" s="41">
        <f t="shared" si="34"/>
        <v>15</v>
      </c>
      <c r="Z237" s="11">
        <f>'[1]2018'!Z249+'[1]2019'!Z249+'[1]2020'!Z249</f>
        <v>9</v>
      </c>
      <c r="AA237" s="11">
        <f>'[1]2018'!AA249+'[1]2019'!AA249+'[1]2020'!AA249</f>
        <v>2</v>
      </c>
      <c r="AB237" s="11">
        <f>'[1]2018'!AB249+'[1]2019'!AB249+'[1]2020'!AB249</f>
        <v>12</v>
      </c>
      <c r="AC237" s="11">
        <f>'[1]2018'!AC249+'[1]2019'!AC249+'[1]2020'!AC249</f>
        <v>2</v>
      </c>
      <c r="AD237" s="11">
        <f>'[1]2018'!AD249+'[1]2019'!AD249+'[1]2020'!AD249</f>
        <v>0</v>
      </c>
      <c r="AE237" s="11">
        <f>'[1]2018'!AE249+'[1]2019'!AE249+'[1]2020'!AE249</f>
        <v>0</v>
      </c>
      <c r="AF237" s="11">
        <f>'[1]2018'!AF249+'[1]2019'!AF249+'[1]2020'!AF249</f>
        <v>2</v>
      </c>
      <c r="AG237" s="11">
        <f>'[1]2018'!AG249+'[1]2019'!AG249+'[1]2020'!AG249</f>
        <v>0</v>
      </c>
      <c r="AH237" s="11">
        <f>'[1]2018'!AH249+'[1]2019'!AH249+'[1]2020'!AH249</f>
        <v>0</v>
      </c>
      <c r="AI237" s="11">
        <f>'[1]2018'!AI249+'[1]2019'!AI249+'[1]2020'!AI249</f>
        <v>0</v>
      </c>
      <c r="AJ237" s="11">
        <f>'[1]2018'!AJ249+'[1]2019'!AJ249+'[1]2020'!AJ249</f>
        <v>8</v>
      </c>
      <c r="AK237" s="11">
        <f>'[1]2018'!AK249+'[1]2019'!AK249+'[1]2020'!AK249</f>
        <v>0</v>
      </c>
      <c r="AL237" s="11">
        <f>'[1]2018'!AL249+'[1]2019'!AL249+'[1]2020'!AL249</f>
        <v>0</v>
      </c>
      <c r="AM237" s="11">
        <f>'[1]2018'!AM249+'[1]2019'!AM249+'[1]2020'!AM249</f>
        <v>0</v>
      </c>
      <c r="AN237" s="11">
        <f>'[1]2018'!AN249+'[1]2019'!AN249+'[1]2020'!AN249</f>
        <v>0</v>
      </c>
      <c r="AO237" s="11">
        <f>'[1]2018'!AO249+'[1]2019'!AO249+'[1]2020'!AO249</f>
        <v>0</v>
      </c>
      <c r="AP237" s="11">
        <f>'[1]2018'!AP249+'[1]2019'!AP249+'[1]2020'!AP249</f>
        <v>0</v>
      </c>
      <c r="AQ237" s="11">
        <f>'[1]2018'!AQ249+'[1]2019'!AQ249+'[1]2020'!AQ249</f>
        <v>0</v>
      </c>
      <c r="AR237" s="11">
        <f>'[1]2018'!AR249+'[1]2019'!AR249+'[1]2020'!AR249</f>
        <v>1</v>
      </c>
      <c r="AS237" s="11">
        <f>'[1]2018'!AS249+'[1]2019'!AS249+'[1]2020'!AS249</f>
        <v>1</v>
      </c>
      <c r="AT237" s="11">
        <f>'[1]2018'!AT249+'[1]2019'!AT249+'[1]2020'!AT249</f>
        <v>0</v>
      </c>
      <c r="AU237" s="11">
        <f>'[1]2018'!AU249+'[1]2019'!AU249+'[1]2020'!AU249</f>
        <v>0</v>
      </c>
      <c r="AV237" s="11">
        <f>'[1]2018'!AV249+'[1]2019'!AV249+'[1]2020'!AV249</f>
        <v>0</v>
      </c>
      <c r="AW237" s="41">
        <f t="shared" si="35"/>
        <v>12</v>
      </c>
      <c r="AX237" s="14">
        <f t="shared" si="36"/>
        <v>2207.4444444444448</v>
      </c>
      <c r="AY237" s="2">
        <f>'[1]2018'!AX249+'[1]2019'!AX249+'[1]2020'!AX249</f>
        <v>6622.3333333333339</v>
      </c>
    </row>
    <row r="238" spans="1:136" x14ac:dyDescent="0.25">
      <c r="A238" s="10" t="s">
        <v>105</v>
      </c>
      <c r="B238" s="46">
        <f>'[1]2018'!B250+'[1]2019'!B250+'[1]2020'!B250</f>
        <v>3</v>
      </c>
      <c r="C238" s="46">
        <f>'[1]2018'!C250+'[1]2019'!C250+'[1]2020'!C250</f>
        <v>1</v>
      </c>
      <c r="D238" s="46">
        <f>'[1]2018'!D250+'[1]2019'!D250+'[1]2020'!D250</f>
        <v>7</v>
      </c>
      <c r="E238" s="46">
        <f>'[1]2018'!E250+'[1]2019'!E250+'[1]2020'!E250</f>
        <v>5</v>
      </c>
      <c r="F238" s="46">
        <f>'[1]2018'!F250+'[1]2019'!F250+'[1]2020'!F250</f>
        <v>0</v>
      </c>
      <c r="G238" s="46">
        <f>'[1]2018'!G250+'[1]2019'!G250+'[1]2020'!G250</f>
        <v>0</v>
      </c>
      <c r="H238" s="46">
        <f>'[1]2018'!H250+'[1]2019'!H250+'[1]2020'!H250</f>
        <v>1</v>
      </c>
      <c r="I238" s="46">
        <f>'[1]2018'!I250+'[1]2019'!I250+'[1]2020'!I250</f>
        <v>0</v>
      </c>
      <c r="J238" s="46">
        <f>'[1]2018'!J250+'[1]2019'!J250+'[1]2020'!J250</f>
        <v>0</v>
      </c>
      <c r="K238" s="46">
        <f>'[1]2018'!K250+'[1]2019'!K250+'[1]2020'!K250</f>
        <v>0</v>
      </c>
      <c r="L238" s="46">
        <f>'[1]2018'!L250+'[1]2019'!L250+'[1]2020'!L250</f>
        <v>0</v>
      </c>
      <c r="M238" s="46">
        <f>'[1]2018'!M250+'[1]2019'!M250+'[1]2020'!M250</f>
        <v>0</v>
      </c>
      <c r="N238" s="46">
        <f>'[1]2018'!N250+'[1]2019'!N250+'[1]2020'!N250</f>
        <v>0</v>
      </c>
      <c r="O238" s="46">
        <f>'[1]2018'!O250+'[1]2019'!O250+'[1]2020'!O250</f>
        <v>1</v>
      </c>
      <c r="P238" s="46">
        <f>'[1]2018'!P250+'[1]2019'!P250+'[1]2020'!P250</f>
        <v>0</v>
      </c>
      <c r="Q238" s="46">
        <f>'[1]2018'!Q250+'[1]2019'!Q250+'[1]2020'!Q250</f>
        <v>0</v>
      </c>
      <c r="R238" s="46">
        <f>'[1]2018'!R250+'[1]2019'!R250+'[1]2020'!R250</f>
        <v>0</v>
      </c>
      <c r="S238" s="46">
        <f>'[1]2018'!S250+'[1]2019'!S250+'[1]2020'!S250</f>
        <v>0</v>
      </c>
      <c r="T238" s="46">
        <f>'[1]2018'!T250+'[1]2019'!T250+'[1]2020'!T250</f>
        <v>5</v>
      </c>
      <c r="U238" s="46">
        <f>'[1]2018'!U250+'[1]2019'!U250+'[1]2020'!U250</f>
        <v>0</v>
      </c>
      <c r="V238" s="46">
        <f>'[1]2018'!V250+'[1]2019'!V250+'[1]2020'!V250</f>
        <v>0</v>
      </c>
      <c r="W238" s="46">
        <f>'[1]2018'!W250+'[1]2019'!W250+'[1]2020'!W250</f>
        <v>0</v>
      </c>
      <c r="X238" s="46">
        <f>'[1]2018'!X250+'[1]2019'!X250+'[1]2020'!X250</f>
        <v>0</v>
      </c>
      <c r="Y238" s="41">
        <f t="shared" si="34"/>
        <v>7</v>
      </c>
      <c r="Z238" s="11">
        <f>'[1]2018'!Z250+'[1]2019'!Z250+'[1]2020'!Z250</f>
        <v>2</v>
      </c>
      <c r="AA238" s="11">
        <f>'[1]2018'!AA250+'[1]2019'!AA250+'[1]2020'!AA250</f>
        <v>1</v>
      </c>
      <c r="AB238" s="11">
        <f>'[1]2018'!AB250+'[1]2019'!AB250+'[1]2020'!AB250</f>
        <v>6</v>
      </c>
      <c r="AC238" s="11">
        <f>'[1]2018'!AC250+'[1]2019'!AC250+'[1]2020'!AC250</f>
        <v>5</v>
      </c>
      <c r="AD238" s="11">
        <f>'[1]2018'!AD250+'[1]2019'!AD250+'[1]2020'!AD250</f>
        <v>0</v>
      </c>
      <c r="AE238" s="11">
        <f>'[1]2018'!AE250+'[1]2019'!AE250+'[1]2020'!AE250</f>
        <v>0</v>
      </c>
      <c r="AF238" s="11">
        <f>'[1]2018'!AF250+'[1]2019'!AF250+'[1]2020'!AF250</f>
        <v>0</v>
      </c>
      <c r="AG238" s="11">
        <f>'[1]2018'!AG250+'[1]2019'!AG250+'[1]2020'!AG250</f>
        <v>0</v>
      </c>
      <c r="AH238" s="11">
        <f>'[1]2018'!AH250+'[1]2019'!AH250+'[1]2020'!AH250</f>
        <v>0</v>
      </c>
      <c r="AI238" s="11">
        <f>'[1]2018'!AI250+'[1]2019'!AI250+'[1]2020'!AI250</f>
        <v>0</v>
      </c>
      <c r="AJ238" s="11">
        <f>'[1]2018'!AJ250+'[1]2019'!AJ250+'[1]2020'!AJ250</f>
        <v>0</v>
      </c>
      <c r="AK238" s="11">
        <f>'[1]2018'!AK250+'[1]2019'!AK250+'[1]2020'!AK250</f>
        <v>0</v>
      </c>
      <c r="AL238" s="11">
        <f>'[1]2018'!AL250+'[1]2019'!AL250+'[1]2020'!AL250</f>
        <v>0</v>
      </c>
      <c r="AM238" s="11">
        <f>'[1]2018'!AM250+'[1]2019'!AM250+'[1]2020'!AM250</f>
        <v>1</v>
      </c>
      <c r="AN238" s="11">
        <f>'[1]2018'!AN250+'[1]2019'!AN250+'[1]2020'!AN250</f>
        <v>0</v>
      </c>
      <c r="AO238" s="11">
        <f>'[1]2018'!AO250+'[1]2019'!AO250+'[1]2020'!AO250</f>
        <v>0</v>
      </c>
      <c r="AP238" s="11">
        <f>'[1]2018'!AP250+'[1]2019'!AP250+'[1]2020'!AP250</f>
        <v>0</v>
      </c>
      <c r="AQ238" s="11">
        <f>'[1]2018'!AQ250+'[1]2019'!AQ250+'[1]2020'!AQ250</f>
        <v>0</v>
      </c>
      <c r="AR238" s="11">
        <f>'[1]2018'!AR250+'[1]2019'!AR250+'[1]2020'!AR250</f>
        <v>5</v>
      </c>
      <c r="AS238" s="11">
        <f>'[1]2018'!AS250+'[1]2019'!AS250+'[1]2020'!AS250</f>
        <v>0</v>
      </c>
      <c r="AT238" s="11">
        <f>'[1]2018'!AT250+'[1]2019'!AT250+'[1]2020'!AT250</f>
        <v>0</v>
      </c>
      <c r="AU238" s="11">
        <f>'[1]2018'!AU250+'[1]2019'!AU250+'[1]2020'!AU250</f>
        <v>0</v>
      </c>
      <c r="AV238" s="11">
        <f>'[1]2018'!AV250+'[1]2019'!AV250+'[1]2020'!AV250</f>
        <v>0</v>
      </c>
      <c r="AW238" s="41">
        <f t="shared" si="35"/>
        <v>6</v>
      </c>
      <c r="AX238" s="14">
        <f t="shared" si="36"/>
        <v>736.33333333333337</v>
      </c>
      <c r="AY238" s="2">
        <f>'[1]2018'!AX250+'[1]2019'!AX250+'[1]2020'!AX250</f>
        <v>2209</v>
      </c>
    </row>
    <row r="239" spans="1:136" x14ac:dyDescent="0.25">
      <c r="A239" s="10" t="s">
        <v>106</v>
      </c>
      <c r="B239" s="46">
        <f>'[1]2018'!B251+'[1]2019'!B251+'[1]2020'!B251</f>
        <v>150</v>
      </c>
      <c r="C239" s="46">
        <f>'[1]2018'!C251+'[1]2019'!C251+'[1]2020'!C251</f>
        <v>33</v>
      </c>
      <c r="D239" s="46">
        <f>'[1]2018'!D251+'[1]2019'!D251+'[1]2020'!D251</f>
        <v>216</v>
      </c>
      <c r="E239" s="46">
        <f>'[1]2018'!E251+'[1]2019'!E251+'[1]2020'!E251</f>
        <v>49</v>
      </c>
      <c r="F239" s="46">
        <f>'[1]2018'!F251+'[1]2019'!F251+'[1]2020'!F251</f>
        <v>0</v>
      </c>
      <c r="G239" s="46">
        <f>'[1]2018'!G251+'[1]2019'!G251+'[1]2020'!G251</f>
        <v>0</v>
      </c>
      <c r="H239" s="46">
        <f>'[1]2018'!H251+'[1]2019'!H251+'[1]2020'!H251</f>
        <v>29</v>
      </c>
      <c r="I239" s="46">
        <f>'[1]2018'!I251+'[1]2019'!I251+'[1]2020'!I251</f>
        <v>1</v>
      </c>
      <c r="J239" s="46">
        <f>'[1]2018'!J251+'[1]2019'!J251+'[1]2020'!J251</f>
        <v>7</v>
      </c>
      <c r="K239" s="46">
        <f>'[1]2018'!K251+'[1]2019'!K251+'[1]2020'!K251</f>
        <v>8</v>
      </c>
      <c r="L239" s="46">
        <f>'[1]2018'!L251+'[1]2019'!L251+'[1]2020'!L251</f>
        <v>9</v>
      </c>
      <c r="M239" s="46">
        <f>'[1]2018'!M251+'[1]2019'!M251+'[1]2020'!M251</f>
        <v>4</v>
      </c>
      <c r="N239" s="46">
        <f>'[1]2018'!N251+'[1]2019'!N251+'[1]2020'!N251</f>
        <v>7</v>
      </c>
      <c r="O239" s="46">
        <f>'[1]2018'!O251+'[1]2019'!O251+'[1]2020'!O251</f>
        <v>2</v>
      </c>
      <c r="P239" s="46">
        <f>'[1]2018'!P251+'[1]2019'!P251+'[1]2020'!P251</f>
        <v>0</v>
      </c>
      <c r="Q239" s="46">
        <f>'[1]2018'!Q251+'[1]2019'!Q251+'[1]2020'!Q251</f>
        <v>9</v>
      </c>
      <c r="R239" s="46">
        <f>'[1]2018'!R251+'[1]2019'!R251+'[1]2020'!R251</f>
        <v>78</v>
      </c>
      <c r="S239" s="46">
        <f>'[1]2018'!S251+'[1]2019'!S251+'[1]2020'!S251</f>
        <v>2</v>
      </c>
      <c r="T239" s="46">
        <f>'[1]2018'!T251+'[1]2019'!T251+'[1]2020'!T251</f>
        <v>16</v>
      </c>
      <c r="U239" s="46">
        <f>'[1]2018'!U251+'[1]2019'!U251+'[1]2020'!U251</f>
        <v>2</v>
      </c>
      <c r="V239" s="46">
        <f>'[1]2018'!V251+'[1]2019'!V251+'[1]2020'!V251</f>
        <v>31</v>
      </c>
      <c r="W239" s="46">
        <f>'[1]2018'!W251+'[1]2019'!W251+'[1]2020'!W251</f>
        <v>3</v>
      </c>
      <c r="X239" s="46">
        <f>'[1]2018'!X251+'[1]2019'!X251+'[1]2020'!X251</f>
        <v>8</v>
      </c>
      <c r="Y239" s="41">
        <f t="shared" si="34"/>
        <v>216</v>
      </c>
      <c r="Z239" s="11">
        <f>'[1]2018'!Z251+'[1]2019'!Z251+'[1]2020'!Z251</f>
        <v>92</v>
      </c>
      <c r="AA239" s="11">
        <f>'[1]2018'!AA251+'[1]2019'!AA251+'[1]2020'!AA251</f>
        <v>24</v>
      </c>
      <c r="AB239" s="11">
        <f>'[1]2018'!AB251+'[1]2019'!AB251+'[1]2020'!AB251</f>
        <v>149</v>
      </c>
      <c r="AC239" s="11">
        <f>'[1]2018'!AC251+'[1]2019'!AC251+'[1]2020'!AC251</f>
        <v>38</v>
      </c>
      <c r="AD239" s="11">
        <f>'[1]2018'!AD251+'[1]2019'!AD251+'[1]2020'!AD251</f>
        <v>0</v>
      </c>
      <c r="AE239" s="11">
        <f>'[1]2018'!AE251+'[1]2019'!AE251+'[1]2020'!AE251</f>
        <v>0</v>
      </c>
      <c r="AF239" s="11">
        <f>'[1]2018'!AF251+'[1]2019'!AF251+'[1]2020'!AF251</f>
        <v>10</v>
      </c>
      <c r="AG239" s="11">
        <f>'[1]2018'!AG251+'[1]2019'!AG251+'[1]2020'!AG251</f>
        <v>1</v>
      </c>
      <c r="AH239" s="11">
        <f>'[1]2018'!AH251+'[1]2019'!AH251+'[1]2020'!AH251</f>
        <v>8</v>
      </c>
      <c r="AI239" s="11">
        <f>'[1]2018'!AI251+'[1]2019'!AI251+'[1]2020'!AI251</f>
        <v>9</v>
      </c>
      <c r="AJ239" s="11">
        <f>'[1]2018'!AJ251+'[1]2019'!AJ251+'[1]2020'!AJ251</f>
        <v>8</v>
      </c>
      <c r="AK239" s="11">
        <f>'[1]2018'!AK251+'[1]2019'!AK251+'[1]2020'!AK251</f>
        <v>6</v>
      </c>
      <c r="AL239" s="11">
        <f>'[1]2018'!AL251+'[1]2019'!AL251+'[1]2020'!AL251</f>
        <v>1</v>
      </c>
      <c r="AM239" s="11">
        <f>'[1]2018'!AM251+'[1]2019'!AM251+'[1]2020'!AM251</f>
        <v>1</v>
      </c>
      <c r="AN239" s="11">
        <f>'[1]2018'!AN251+'[1]2019'!AN251+'[1]2020'!AN251</f>
        <v>0</v>
      </c>
      <c r="AO239" s="11">
        <f>'[1]2018'!AO251+'[1]2019'!AO251+'[1]2020'!AO251</f>
        <v>7</v>
      </c>
      <c r="AP239" s="11">
        <f>'[1]2018'!AP251+'[1]2019'!AP251+'[1]2020'!AP251</f>
        <v>52</v>
      </c>
      <c r="AQ239" s="11">
        <f>'[1]2018'!AQ251+'[1]2019'!AQ251+'[1]2020'!AQ251</f>
        <v>1</v>
      </c>
      <c r="AR239" s="11">
        <f>'[1]2018'!AR251+'[1]2019'!AR251+'[1]2020'!AR251</f>
        <v>8</v>
      </c>
      <c r="AS239" s="11">
        <f>'[1]2018'!AS251+'[1]2019'!AS251+'[1]2020'!AS251</f>
        <v>0</v>
      </c>
      <c r="AT239" s="11">
        <f>'[1]2018'!AT251+'[1]2019'!AT251+'[1]2020'!AT251</f>
        <v>28</v>
      </c>
      <c r="AU239" s="11">
        <f>'[1]2018'!AU251+'[1]2019'!AU251+'[1]2020'!AU251</f>
        <v>3</v>
      </c>
      <c r="AV239" s="11">
        <f>'[1]2018'!AV251+'[1]2019'!AV251+'[1]2020'!AV251</f>
        <v>6</v>
      </c>
      <c r="AW239" s="41">
        <f t="shared" si="35"/>
        <v>149</v>
      </c>
      <c r="AX239" s="14">
        <f t="shared" si="36"/>
        <v>1824.7355008488964</v>
      </c>
      <c r="AY239" s="2">
        <f>'[1]2018'!AX251+'[1]2019'!AX251+'[1]2020'!AX251</f>
        <v>5474.2065025466891</v>
      </c>
    </row>
    <row r="240" spans="1:136" x14ac:dyDescent="0.25">
      <c r="A240" s="10" t="s">
        <v>107</v>
      </c>
      <c r="B240" s="46">
        <f>'[1]2018'!B252+'[1]2019'!B252+'[1]2020'!B252</f>
        <v>0</v>
      </c>
      <c r="C240" s="46">
        <f>'[1]2018'!C252+'[1]2019'!C252+'[1]2020'!C252</f>
        <v>0</v>
      </c>
      <c r="D240" s="46">
        <f>'[1]2018'!D252+'[1]2019'!D252+'[1]2020'!D252</f>
        <v>0</v>
      </c>
      <c r="E240" s="46">
        <f>'[1]2018'!E252+'[1]2019'!E252+'[1]2020'!E252</f>
        <v>0</v>
      </c>
      <c r="F240" s="46">
        <f>'[1]2018'!F252+'[1]2019'!F252+'[1]2020'!F252</f>
        <v>0</v>
      </c>
      <c r="G240" s="46">
        <f>'[1]2018'!G252+'[1]2019'!G252+'[1]2020'!G252</f>
        <v>0</v>
      </c>
      <c r="H240" s="46">
        <f>'[1]2018'!H252+'[1]2019'!H252+'[1]2020'!H252</f>
        <v>0</v>
      </c>
      <c r="I240" s="46">
        <f>'[1]2018'!I252+'[1]2019'!I252+'[1]2020'!I252</f>
        <v>0</v>
      </c>
      <c r="J240" s="46">
        <f>'[1]2018'!J252+'[1]2019'!J252+'[1]2020'!J252</f>
        <v>0</v>
      </c>
      <c r="K240" s="46">
        <f>'[1]2018'!K252+'[1]2019'!K252+'[1]2020'!K252</f>
        <v>0</v>
      </c>
      <c r="L240" s="46">
        <f>'[1]2018'!L252+'[1]2019'!L252+'[1]2020'!L252</f>
        <v>0</v>
      </c>
      <c r="M240" s="46">
        <f>'[1]2018'!M252+'[1]2019'!M252+'[1]2020'!M252</f>
        <v>0</v>
      </c>
      <c r="N240" s="46">
        <f>'[1]2018'!N252+'[1]2019'!N252+'[1]2020'!N252</f>
        <v>0</v>
      </c>
      <c r="O240" s="46">
        <f>'[1]2018'!O252+'[1]2019'!O252+'[1]2020'!O252</f>
        <v>0</v>
      </c>
      <c r="P240" s="46">
        <f>'[1]2018'!P252+'[1]2019'!P252+'[1]2020'!P252</f>
        <v>0</v>
      </c>
      <c r="Q240" s="46">
        <f>'[1]2018'!Q252+'[1]2019'!Q252+'[1]2020'!Q252</f>
        <v>0</v>
      </c>
      <c r="R240" s="46">
        <f>'[1]2018'!R252+'[1]2019'!R252+'[1]2020'!R252</f>
        <v>0</v>
      </c>
      <c r="S240" s="46">
        <f>'[1]2018'!S252+'[1]2019'!S252+'[1]2020'!S252</f>
        <v>0</v>
      </c>
      <c r="T240" s="46">
        <f>'[1]2018'!T252+'[1]2019'!T252+'[1]2020'!T252</f>
        <v>0</v>
      </c>
      <c r="U240" s="46">
        <f>'[1]2018'!U252+'[1]2019'!U252+'[1]2020'!U252</f>
        <v>0</v>
      </c>
      <c r="V240" s="46">
        <f>'[1]2018'!V252+'[1]2019'!V252+'[1]2020'!V252</f>
        <v>0</v>
      </c>
      <c r="W240" s="46">
        <f>'[1]2018'!W252+'[1]2019'!W252+'[1]2020'!W252</f>
        <v>0</v>
      </c>
      <c r="X240" s="46">
        <f>'[1]2018'!X252+'[1]2019'!X252+'[1]2020'!X252</f>
        <v>0</v>
      </c>
      <c r="Y240" s="41">
        <f t="shared" si="34"/>
        <v>0</v>
      </c>
      <c r="Z240" s="11">
        <f>'[1]2018'!Z252+'[1]2019'!Z252+'[1]2020'!Z252</f>
        <v>0</v>
      </c>
      <c r="AA240" s="11">
        <f>'[1]2018'!AA252+'[1]2019'!AA252+'[1]2020'!AA252</f>
        <v>0</v>
      </c>
      <c r="AB240" s="11">
        <f>'[1]2018'!AB252+'[1]2019'!AB252+'[1]2020'!AB252</f>
        <v>0</v>
      </c>
      <c r="AC240" s="11">
        <f>'[1]2018'!AC252+'[1]2019'!AC252+'[1]2020'!AC252</f>
        <v>0</v>
      </c>
      <c r="AD240" s="11">
        <f>'[1]2018'!AD252+'[1]2019'!AD252+'[1]2020'!AD252</f>
        <v>0</v>
      </c>
      <c r="AE240" s="11">
        <f>'[1]2018'!AE252+'[1]2019'!AE252+'[1]2020'!AE252</f>
        <v>0</v>
      </c>
      <c r="AF240" s="11">
        <f>'[1]2018'!AF252+'[1]2019'!AF252+'[1]2020'!AF252</f>
        <v>0</v>
      </c>
      <c r="AG240" s="11">
        <f>'[1]2018'!AG252+'[1]2019'!AG252+'[1]2020'!AG252</f>
        <v>0</v>
      </c>
      <c r="AH240" s="11">
        <f>'[1]2018'!AH252+'[1]2019'!AH252+'[1]2020'!AH252</f>
        <v>0</v>
      </c>
      <c r="AI240" s="11">
        <f>'[1]2018'!AI252+'[1]2019'!AI252+'[1]2020'!AI252</f>
        <v>0</v>
      </c>
      <c r="AJ240" s="11">
        <f>'[1]2018'!AJ252+'[1]2019'!AJ252+'[1]2020'!AJ252</f>
        <v>0</v>
      </c>
      <c r="AK240" s="11">
        <f>'[1]2018'!AK252+'[1]2019'!AK252+'[1]2020'!AK252</f>
        <v>0</v>
      </c>
      <c r="AL240" s="11">
        <f>'[1]2018'!AL252+'[1]2019'!AL252+'[1]2020'!AL252</f>
        <v>0</v>
      </c>
      <c r="AM240" s="11">
        <f>'[1]2018'!AM252+'[1]2019'!AM252+'[1]2020'!AM252</f>
        <v>0</v>
      </c>
      <c r="AN240" s="11">
        <f>'[1]2018'!AN252+'[1]2019'!AN252+'[1]2020'!AN252</f>
        <v>0</v>
      </c>
      <c r="AO240" s="11">
        <f>'[1]2018'!AO252+'[1]2019'!AO252+'[1]2020'!AO252</f>
        <v>0</v>
      </c>
      <c r="AP240" s="11">
        <f>'[1]2018'!AP252+'[1]2019'!AP252+'[1]2020'!AP252</f>
        <v>0</v>
      </c>
      <c r="AQ240" s="11">
        <f>'[1]2018'!AQ252+'[1]2019'!AQ252+'[1]2020'!AQ252</f>
        <v>0</v>
      </c>
      <c r="AR240" s="11">
        <f>'[1]2018'!AR252+'[1]2019'!AR252+'[1]2020'!AR252</f>
        <v>0</v>
      </c>
      <c r="AS240" s="11">
        <f>'[1]2018'!AS252+'[1]2019'!AS252+'[1]2020'!AS252</f>
        <v>0</v>
      </c>
      <c r="AT240" s="11">
        <f>'[1]2018'!AT252+'[1]2019'!AT252+'[1]2020'!AT252</f>
        <v>0</v>
      </c>
      <c r="AU240" s="11">
        <f>'[1]2018'!AU252+'[1]2019'!AU252+'[1]2020'!AU252</f>
        <v>0</v>
      </c>
      <c r="AV240" s="11">
        <f>'[1]2018'!AV252+'[1]2019'!AV252+'[1]2020'!AV252</f>
        <v>0</v>
      </c>
      <c r="AW240" s="41">
        <f t="shared" si="35"/>
        <v>0</v>
      </c>
      <c r="AX240" s="14">
        <f t="shared" si="36"/>
        <v>0</v>
      </c>
      <c r="AY240" s="2">
        <f>'[1]2018'!AX252+'[1]2019'!AX252+'[1]2020'!AX252</f>
        <v>0</v>
      </c>
    </row>
    <row r="241" spans="1:136" x14ac:dyDescent="0.25">
      <c r="A241" s="10" t="s">
        <v>108</v>
      </c>
      <c r="B241" s="46">
        <f>'[1]2018'!B253+'[1]2019'!B253+'[1]2020'!B253</f>
        <v>5</v>
      </c>
      <c r="C241" s="46">
        <f>'[1]2018'!C253+'[1]2019'!C253+'[1]2020'!C253</f>
        <v>0</v>
      </c>
      <c r="D241" s="46">
        <f>'[1]2018'!D253+'[1]2019'!D253+'[1]2020'!D253</f>
        <v>16</v>
      </c>
      <c r="E241" s="46">
        <f>'[1]2018'!E253+'[1]2019'!E253+'[1]2020'!E253</f>
        <v>0</v>
      </c>
      <c r="F241" s="46">
        <f>'[1]2018'!F253+'[1]2019'!F253+'[1]2020'!F253</f>
        <v>0</v>
      </c>
      <c r="G241" s="46">
        <f>'[1]2018'!G253+'[1]2019'!G253+'[1]2020'!G253</f>
        <v>0</v>
      </c>
      <c r="H241" s="46">
        <f>'[1]2018'!H253+'[1]2019'!H253+'[1]2020'!H253</f>
        <v>2</v>
      </c>
      <c r="I241" s="46">
        <f>'[1]2018'!I253+'[1]2019'!I253+'[1]2020'!I253</f>
        <v>0</v>
      </c>
      <c r="J241" s="46">
        <f>'[1]2018'!J253+'[1]2019'!J253+'[1]2020'!J253</f>
        <v>0</v>
      </c>
      <c r="K241" s="46">
        <f>'[1]2018'!K253+'[1]2019'!K253+'[1]2020'!K253</f>
        <v>0</v>
      </c>
      <c r="L241" s="46">
        <f>'[1]2018'!L253+'[1]2019'!L253+'[1]2020'!L253</f>
        <v>0</v>
      </c>
      <c r="M241" s="46">
        <f>'[1]2018'!M253+'[1]2019'!M253+'[1]2020'!M253</f>
        <v>0</v>
      </c>
      <c r="N241" s="46">
        <f>'[1]2018'!N253+'[1]2019'!N253+'[1]2020'!N253</f>
        <v>0</v>
      </c>
      <c r="O241" s="46">
        <f>'[1]2018'!O253+'[1]2019'!O253+'[1]2020'!O253</f>
        <v>0</v>
      </c>
      <c r="P241" s="46">
        <f>'[1]2018'!P253+'[1]2019'!P253+'[1]2020'!P253</f>
        <v>0</v>
      </c>
      <c r="Q241" s="46">
        <f>'[1]2018'!Q253+'[1]2019'!Q253+'[1]2020'!Q253</f>
        <v>0</v>
      </c>
      <c r="R241" s="46">
        <f>'[1]2018'!R253+'[1]2019'!R253+'[1]2020'!R253</f>
        <v>14</v>
      </c>
      <c r="S241" s="46">
        <f>'[1]2018'!S253+'[1]2019'!S253+'[1]2020'!S253</f>
        <v>0</v>
      </c>
      <c r="T241" s="46">
        <f>'[1]2018'!T253+'[1]2019'!T253+'[1]2020'!T253</f>
        <v>0</v>
      </c>
      <c r="U241" s="46">
        <f>'[1]2018'!U253+'[1]2019'!U253+'[1]2020'!U253</f>
        <v>0</v>
      </c>
      <c r="V241" s="46">
        <f>'[1]2018'!V253+'[1]2019'!V253+'[1]2020'!V253</f>
        <v>0</v>
      </c>
      <c r="W241" s="46">
        <f>'[1]2018'!W253+'[1]2019'!W253+'[1]2020'!W253</f>
        <v>0</v>
      </c>
      <c r="X241" s="46">
        <f>'[1]2018'!X253+'[1]2019'!X253+'[1]2020'!X253</f>
        <v>0</v>
      </c>
      <c r="Y241" s="41">
        <f t="shared" si="34"/>
        <v>16</v>
      </c>
      <c r="Z241" s="11">
        <f>'[1]2018'!Z253+'[1]2019'!Z253+'[1]2020'!Z253</f>
        <v>2</v>
      </c>
      <c r="AA241" s="11">
        <f>'[1]2018'!AA253+'[1]2019'!AA253+'[1]2020'!AA253</f>
        <v>0</v>
      </c>
      <c r="AB241" s="11">
        <f>'[1]2018'!AB253+'[1]2019'!AB253+'[1]2020'!AB253</f>
        <v>13</v>
      </c>
      <c r="AC241" s="11">
        <f>'[1]2018'!AC253+'[1]2019'!AC253+'[1]2020'!AC253</f>
        <v>0</v>
      </c>
      <c r="AD241" s="11">
        <f>'[1]2018'!AD253+'[1]2019'!AD253+'[1]2020'!AD253</f>
        <v>0</v>
      </c>
      <c r="AE241" s="11">
        <f>'[1]2018'!AE253+'[1]2019'!AE253+'[1]2020'!AE253</f>
        <v>0</v>
      </c>
      <c r="AF241" s="11">
        <f>'[1]2018'!AF253+'[1]2019'!AF253+'[1]2020'!AF253</f>
        <v>0</v>
      </c>
      <c r="AG241" s="11">
        <f>'[1]2018'!AG253+'[1]2019'!AG253+'[1]2020'!AG253</f>
        <v>0</v>
      </c>
      <c r="AH241" s="11">
        <f>'[1]2018'!AH253+'[1]2019'!AH253+'[1]2020'!AH253</f>
        <v>0</v>
      </c>
      <c r="AI241" s="11">
        <f>'[1]2018'!AI253+'[1]2019'!AI253+'[1]2020'!AI253</f>
        <v>0</v>
      </c>
      <c r="AJ241" s="11">
        <f>'[1]2018'!AJ253+'[1]2019'!AJ253+'[1]2020'!AJ253</f>
        <v>0</v>
      </c>
      <c r="AK241" s="11">
        <f>'[1]2018'!AK253+'[1]2019'!AK253+'[1]2020'!AK253</f>
        <v>0</v>
      </c>
      <c r="AL241" s="11">
        <f>'[1]2018'!AL253+'[1]2019'!AL253+'[1]2020'!AL253</f>
        <v>0</v>
      </c>
      <c r="AM241" s="11">
        <f>'[1]2018'!AM253+'[1]2019'!AM253+'[1]2020'!AM253</f>
        <v>0</v>
      </c>
      <c r="AN241" s="11">
        <f>'[1]2018'!AN253+'[1]2019'!AN253+'[1]2020'!AN253</f>
        <v>0</v>
      </c>
      <c r="AO241" s="11">
        <f>'[1]2018'!AO253+'[1]2019'!AO253+'[1]2020'!AO253</f>
        <v>0</v>
      </c>
      <c r="AP241" s="11">
        <f>'[1]2018'!AP253+'[1]2019'!AP253+'[1]2020'!AP253</f>
        <v>13</v>
      </c>
      <c r="AQ241" s="11">
        <f>'[1]2018'!AQ253+'[1]2019'!AQ253+'[1]2020'!AQ253</f>
        <v>0</v>
      </c>
      <c r="AR241" s="11">
        <f>'[1]2018'!AR253+'[1]2019'!AR253+'[1]2020'!AR253</f>
        <v>0</v>
      </c>
      <c r="AS241" s="11">
        <f>'[1]2018'!AS253+'[1]2019'!AS253+'[1]2020'!AS253</f>
        <v>0</v>
      </c>
      <c r="AT241" s="11">
        <f>'[1]2018'!AT253+'[1]2019'!AT253+'[1]2020'!AT253</f>
        <v>0</v>
      </c>
      <c r="AU241" s="11">
        <f>'[1]2018'!AU253+'[1]2019'!AU253+'[1]2020'!AU253</f>
        <v>0</v>
      </c>
      <c r="AV241" s="11">
        <f>'[1]2018'!AV253+'[1]2019'!AV253+'[1]2020'!AV253</f>
        <v>0</v>
      </c>
      <c r="AW241" s="41">
        <f t="shared" si="35"/>
        <v>13</v>
      </c>
      <c r="AX241" s="14">
        <f t="shared" si="36"/>
        <v>373.33333333333331</v>
      </c>
      <c r="AY241" s="2">
        <f>'[1]2018'!AX253+'[1]2019'!AX253+'[1]2020'!AX253</f>
        <v>1120</v>
      </c>
    </row>
    <row r="242" spans="1:136" x14ac:dyDescent="0.25">
      <c r="A242" s="10" t="s">
        <v>109</v>
      </c>
      <c r="B242" s="46">
        <f>'[1]2018'!B254+'[1]2019'!B254+'[1]2020'!B254</f>
        <v>1</v>
      </c>
      <c r="C242" s="46">
        <f>'[1]2018'!C254+'[1]2019'!C254+'[1]2020'!C254</f>
        <v>0</v>
      </c>
      <c r="D242" s="46">
        <f>'[1]2018'!D254+'[1]2019'!D254+'[1]2020'!D254</f>
        <v>1</v>
      </c>
      <c r="E242" s="46">
        <f>'[1]2018'!E254+'[1]2019'!E254+'[1]2020'!E254</f>
        <v>0</v>
      </c>
      <c r="F242" s="46">
        <f>'[1]2018'!F254+'[1]2019'!F254+'[1]2020'!F254</f>
        <v>0</v>
      </c>
      <c r="G242" s="46">
        <f>'[1]2018'!G254+'[1]2019'!G254+'[1]2020'!G254</f>
        <v>0</v>
      </c>
      <c r="H242" s="46">
        <f>'[1]2018'!H254+'[1]2019'!H254+'[1]2020'!H254</f>
        <v>0</v>
      </c>
      <c r="I242" s="46">
        <f>'[1]2018'!I254+'[1]2019'!I254+'[1]2020'!I254</f>
        <v>0</v>
      </c>
      <c r="J242" s="46">
        <f>'[1]2018'!J254+'[1]2019'!J254+'[1]2020'!J254</f>
        <v>0</v>
      </c>
      <c r="K242" s="46">
        <f>'[1]2018'!K254+'[1]2019'!K254+'[1]2020'!K254</f>
        <v>0</v>
      </c>
      <c r="L242" s="46">
        <f>'[1]2018'!L254+'[1]2019'!L254+'[1]2020'!L254</f>
        <v>0</v>
      </c>
      <c r="M242" s="46">
        <f>'[1]2018'!M254+'[1]2019'!M254+'[1]2020'!M254</f>
        <v>1</v>
      </c>
      <c r="N242" s="46">
        <f>'[1]2018'!N254+'[1]2019'!N254+'[1]2020'!N254</f>
        <v>0</v>
      </c>
      <c r="O242" s="46">
        <f>'[1]2018'!O254+'[1]2019'!O254+'[1]2020'!O254</f>
        <v>0</v>
      </c>
      <c r="P242" s="46">
        <f>'[1]2018'!P254+'[1]2019'!P254+'[1]2020'!P254</f>
        <v>0</v>
      </c>
      <c r="Q242" s="46">
        <f>'[1]2018'!Q254+'[1]2019'!Q254+'[1]2020'!Q254</f>
        <v>0</v>
      </c>
      <c r="R242" s="46">
        <f>'[1]2018'!R254+'[1]2019'!R254+'[1]2020'!R254</f>
        <v>0</v>
      </c>
      <c r="S242" s="46">
        <f>'[1]2018'!S254+'[1]2019'!S254+'[1]2020'!S254</f>
        <v>0</v>
      </c>
      <c r="T242" s="46">
        <f>'[1]2018'!T254+'[1]2019'!T254+'[1]2020'!T254</f>
        <v>0</v>
      </c>
      <c r="U242" s="46">
        <f>'[1]2018'!U254+'[1]2019'!U254+'[1]2020'!U254</f>
        <v>0</v>
      </c>
      <c r="V242" s="46">
        <f>'[1]2018'!V254+'[1]2019'!V254+'[1]2020'!V254</f>
        <v>0</v>
      </c>
      <c r="W242" s="46">
        <f>'[1]2018'!W254+'[1]2019'!W254+'[1]2020'!W254</f>
        <v>0</v>
      </c>
      <c r="X242" s="46">
        <f>'[1]2018'!X254+'[1]2019'!X254+'[1]2020'!X254</f>
        <v>0</v>
      </c>
      <c r="Y242" s="41">
        <f t="shared" si="34"/>
        <v>1</v>
      </c>
      <c r="Z242" s="11">
        <f>'[1]2018'!Z254+'[1]2019'!Z254+'[1]2020'!Z254</f>
        <v>0</v>
      </c>
      <c r="AA242" s="11">
        <f>'[1]2018'!AA254+'[1]2019'!AA254+'[1]2020'!AA254</f>
        <v>0</v>
      </c>
      <c r="AB242" s="11">
        <f>'[1]2018'!AB254+'[1]2019'!AB254+'[1]2020'!AB254</f>
        <v>0</v>
      </c>
      <c r="AC242" s="11">
        <f>'[1]2018'!AC254+'[1]2019'!AC254+'[1]2020'!AC254</f>
        <v>0</v>
      </c>
      <c r="AD242" s="11">
        <f>'[1]2018'!AD254+'[1]2019'!AD254+'[1]2020'!AD254</f>
        <v>0</v>
      </c>
      <c r="AE242" s="11">
        <f>'[1]2018'!AE254+'[1]2019'!AE254+'[1]2020'!AE254</f>
        <v>0</v>
      </c>
      <c r="AF242" s="11">
        <f>'[1]2018'!AF254+'[1]2019'!AF254+'[1]2020'!AF254</f>
        <v>0</v>
      </c>
      <c r="AG242" s="11">
        <f>'[1]2018'!AG254+'[1]2019'!AG254+'[1]2020'!AG254</f>
        <v>0</v>
      </c>
      <c r="AH242" s="11">
        <f>'[1]2018'!AH254+'[1]2019'!AH254+'[1]2020'!AH254</f>
        <v>0</v>
      </c>
      <c r="AI242" s="11">
        <f>'[1]2018'!AI254+'[1]2019'!AI254+'[1]2020'!AI254</f>
        <v>0</v>
      </c>
      <c r="AJ242" s="11">
        <f>'[1]2018'!AJ254+'[1]2019'!AJ254+'[1]2020'!AJ254</f>
        <v>0</v>
      </c>
      <c r="AK242" s="11">
        <f>'[1]2018'!AK254+'[1]2019'!AK254+'[1]2020'!AK254</f>
        <v>0</v>
      </c>
      <c r="AL242" s="11">
        <f>'[1]2018'!AL254+'[1]2019'!AL254+'[1]2020'!AL254</f>
        <v>0</v>
      </c>
      <c r="AM242" s="11">
        <f>'[1]2018'!AM254+'[1]2019'!AM254+'[1]2020'!AM254</f>
        <v>0</v>
      </c>
      <c r="AN242" s="11">
        <f>'[1]2018'!AN254+'[1]2019'!AN254+'[1]2020'!AN254</f>
        <v>0</v>
      </c>
      <c r="AO242" s="11">
        <f>'[1]2018'!AO254+'[1]2019'!AO254+'[1]2020'!AO254</f>
        <v>0</v>
      </c>
      <c r="AP242" s="11">
        <f>'[1]2018'!AP254+'[1]2019'!AP254+'[1]2020'!AP254</f>
        <v>0</v>
      </c>
      <c r="AQ242" s="11">
        <f>'[1]2018'!AQ254+'[1]2019'!AQ254+'[1]2020'!AQ254</f>
        <v>0</v>
      </c>
      <c r="AR242" s="11">
        <f>'[1]2018'!AR254+'[1]2019'!AR254+'[1]2020'!AR254</f>
        <v>0</v>
      </c>
      <c r="AS242" s="11">
        <f>'[1]2018'!AS254+'[1]2019'!AS254+'[1]2020'!AS254</f>
        <v>0</v>
      </c>
      <c r="AT242" s="11">
        <f>'[1]2018'!AT254+'[1]2019'!AT254+'[1]2020'!AT254</f>
        <v>0</v>
      </c>
      <c r="AU242" s="11">
        <f>'[1]2018'!AU254+'[1]2019'!AU254+'[1]2020'!AU254</f>
        <v>0</v>
      </c>
      <c r="AV242" s="11">
        <f>'[1]2018'!AV254+'[1]2019'!AV254+'[1]2020'!AV254</f>
        <v>0</v>
      </c>
      <c r="AW242" s="41">
        <f t="shared" si="35"/>
        <v>0</v>
      </c>
      <c r="AX242" s="14">
        <f t="shared" si="36"/>
        <v>0</v>
      </c>
      <c r="AY242" s="2">
        <f>'[1]2018'!AX254+'[1]2019'!AX254+'[1]2020'!AX254</f>
        <v>0</v>
      </c>
    </row>
    <row r="243" spans="1:136" x14ac:dyDescent="0.25">
      <c r="A243" s="10" t="s">
        <v>110</v>
      </c>
      <c r="B243" s="46">
        <f>'[1]2018'!B255+'[1]2019'!B255+'[1]2020'!B255</f>
        <v>7</v>
      </c>
      <c r="C243" s="46">
        <f>'[1]2018'!C255+'[1]2019'!C255+'[1]2020'!C255</f>
        <v>6</v>
      </c>
      <c r="D243" s="46">
        <f>'[1]2018'!D255+'[1]2019'!D255+'[1]2020'!D255</f>
        <v>10</v>
      </c>
      <c r="E243" s="46">
        <f>'[1]2018'!E255+'[1]2019'!E255+'[1]2020'!E255</f>
        <v>8</v>
      </c>
      <c r="F243" s="46">
        <f>'[1]2018'!F255+'[1]2019'!F255+'[1]2020'!F255</f>
        <v>0</v>
      </c>
      <c r="G243" s="46">
        <f>'[1]2018'!G255+'[1]2019'!G255+'[1]2020'!G255</f>
        <v>0</v>
      </c>
      <c r="H243" s="46">
        <f>'[1]2018'!H255+'[1]2019'!H255+'[1]2020'!H255</f>
        <v>0</v>
      </c>
      <c r="I243" s="46">
        <f>'[1]2018'!I255+'[1]2019'!I255+'[1]2020'!I255</f>
        <v>0</v>
      </c>
      <c r="J243" s="46">
        <f>'[1]2018'!J255+'[1]2019'!J255+'[1]2020'!J255</f>
        <v>0</v>
      </c>
      <c r="K243" s="46">
        <f>'[1]2018'!K255+'[1]2019'!K255+'[1]2020'!K255</f>
        <v>0</v>
      </c>
      <c r="L243" s="46">
        <f>'[1]2018'!L255+'[1]2019'!L255+'[1]2020'!L255</f>
        <v>0</v>
      </c>
      <c r="M243" s="46">
        <f>'[1]2018'!M255+'[1]2019'!M255+'[1]2020'!M255</f>
        <v>0</v>
      </c>
      <c r="N243" s="46">
        <f>'[1]2018'!N255+'[1]2019'!N255+'[1]2020'!N255</f>
        <v>0</v>
      </c>
      <c r="O243" s="46">
        <f>'[1]2018'!O255+'[1]2019'!O255+'[1]2020'!O255</f>
        <v>0</v>
      </c>
      <c r="P243" s="46">
        <f>'[1]2018'!P255+'[1]2019'!P255+'[1]2020'!P255</f>
        <v>0</v>
      </c>
      <c r="Q243" s="46">
        <f>'[1]2018'!Q255+'[1]2019'!Q255+'[1]2020'!Q255</f>
        <v>0</v>
      </c>
      <c r="R243" s="46">
        <f>'[1]2018'!R255+'[1]2019'!R255+'[1]2020'!R255</f>
        <v>0</v>
      </c>
      <c r="S243" s="46">
        <f>'[1]2018'!S255+'[1]2019'!S255+'[1]2020'!S255</f>
        <v>0</v>
      </c>
      <c r="T243" s="46">
        <f>'[1]2018'!T255+'[1]2019'!T255+'[1]2020'!T255</f>
        <v>1</v>
      </c>
      <c r="U243" s="46">
        <f>'[1]2018'!U255+'[1]2019'!U255+'[1]2020'!U255</f>
        <v>0</v>
      </c>
      <c r="V243" s="46">
        <f>'[1]2018'!V255+'[1]2019'!V255+'[1]2020'!V255</f>
        <v>7</v>
      </c>
      <c r="W243" s="46">
        <f>'[1]2018'!W255+'[1]2019'!W255+'[1]2020'!W255</f>
        <v>0</v>
      </c>
      <c r="X243" s="46">
        <f>'[1]2018'!X255+'[1]2019'!X255+'[1]2020'!X255</f>
        <v>2</v>
      </c>
      <c r="Y243" s="41">
        <f t="shared" si="34"/>
        <v>10</v>
      </c>
      <c r="Z243" s="11">
        <f>'[1]2018'!Z255+'[1]2019'!Z255+'[1]2020'!Z255</f>
        <v>3</v>
      </c>
      <c r="AA243" s="11">
        <f>'[1]2018'!AA255+'[1]2019'!AA255+'[1]2020'!AA255</f>
        <v>2</v>
      </c>
      <c r="AB243" s="11">
        <f>'[1]2018'!AB255+'[1]2019'!AB255+'[1]2020'!AB255</f>
        <v>5</v>
      </c>
      <c r="AC243" s="11">
        <f>'[1]2018'!AC255+'[1]2019'!AC255+'[1]2020'!AC255</f>
        <v>3</v>
      </c>
      <c r="AD243" s="11">
        <f>'[1]2018'!AD255+'[1]2019'!AD255+'[1]2020'!AD255</f>
        <v>0</v>
      </c>
      <c r="AE243" s="11">
        <f>'[1]2018'!AE255+'[1]2019'!AE255+'[1]2020'!AE255</f>
        <v>0</v>
      </c>
      <c r="AF243" s="11">
        <f>'[1]2018'!AF255+'[1]2019'!AF255+'[1]2020'!AF255</f>
        <v>0</v>
      </c>
      <c r="AG243" s="11">
        <f>'[1]2018'!AG255+'[1]2019'!AG255+'[1]2020'!AG255</f>
        <v>0</v>
      </c>
      <c r="AH243" s="11">
        <f>'[1]2018'!AH255+'[1]2019'!AH255+'[1]2020'!AH255</f>
        <v>0</v>
      </c>
      <c r="AI243" s="11">
        <f>'[1]2018'!AI255+'[1]2019'!AI255+'[1]2020'!AI255</f>
        <v>0</v>
      </c>
      <c r="AJ243" s="11">
        <f>'[1]2018'!AJ255+'[1]2019'!AJ255+'[1]2020'!AJ255</f>
        <v>0</v>
      </c>
      <c r="AK243" s="11">
        <f>'[1]2018'!AK255+'[1]2019'!AK255+'[1]2020'!AK255</f>
        <v>0</v>
      </c>
      <c r="AL243" s="11">
        <f>'[1]2018'!AL255+'[1]2019'!AL255+'[1]2020'!AL255</f>
        <v>0</v>
      </c>
      <c r="AM243" s="11">
        <f>'[1]2018'!AM255+'[1]2019'!AM255+'[1]2020'!AM255</f>
        <v>0</v>
      </c>
      <c r="AN243" s="11">
        <f>'[1]2018'!AN255+'[1]2019'!AN255+'[1]2020'!AN255</f>
        <v>0</v>
      </c>
      <c r="AO243" s="11">
        <f>'[1]2018'!AO255+'[1]2019'!AO255+'[1]2020'!AO255</f>
        <v>0</v>
      </c>
      <c r="AP243" s="11">
        <f>'[1]2018'!AP255+'[1]2019'!AP255+'[1]2020'!AP255</f>
        <v>0</v>
      </c>
      <c r="AQ243" s="11">
        <f>'[1]2018'!AQ255+'[1]2019'!AQ255+'[1]2020'!AQ255</f>
        <v>0</v>
      </c>
      <c r="AR243" s="11">
        <f>'[1]2018'!AR255+'[1]2019'!AR255+'[1]2020'!AR255</f>
        <v>1</v>
      </c>
      <c r="AS243" s="11">
        <f>'[1]2018'!AS255+'[1]2019'!AS255+'[1]2020'!AS255</f>
        <v>0</v>
      </c>
      <c r="AT243" s="11">
        <f>'[1]2018'!AT255+'[1]2019'!AT255+'[1]2020'!AT255</f>
        <v>2</v>
      </c>
      <c r="AU243" s="11">
        <f>'[1]2018'!AU255+'[1]2019'!AU255+'[1]2020'!AU255</f>
        <v>0</v>
      </c>
      <c r="AV243" s="11">
        <f>'[1]2018'!AV255+'[1]2019'!AV255+'[1]2020'!AV255</f>
        <v>2</v>
      </c>
      <c r="AW243" s="41">
        <f t="shared" si="35"/>
        <v>5</v>
      </c>
      <c r="AX243" s="14">
        <f t="shared" si="36"/>
        <v>489.06666666666666</v>
      </c>
      <c r="AY243" s="2">
        <f>'[1]2018'!AX255+'[1]2019'!AX255+'[1]2020'!AX255</f>
        <v>1467.2</v>
      </c>
    </row>
    <row r="244" spans="1:136" s="45" customFormat="1" x14ac:dyDescent="0.25">
      <c r="A244" s="10" t="s">
        <v>111</v>
      </c>
      <c r="B244" s="46">
        <f>'[1]2018'!B256+'[1]2019'!B256+'[1]2020'!B256</f>
        <v>0</v>
      </c>
      <c r="C244" s="46">
        <f>'[1]2018'!C256+'[1]2019'!C256+'[1]2020'!C256</f>
        <v>0</v>
      </c>
      <c r="D244" s="46">
        <f>'[1]2018'!D256+'[1]2019'!D256+'[1]2020'!D256</f>
        <v>0</v>
      </c>
      <c r="E244" s="46">
        <f>'[1]2018'!E256+'[1]2019'!E256+'[1]2020'!E256</f>
        <v>0</v>
      </c>
      <c r="F244" s="46">
        <f>'[1]2018'!F256+'[1]2019'!F256+'[1]2020'!F256</f>
        <v>0</v>
      </c>
      <c r="G244" s="46">
        <f>'[1]2018'!G256+'[1]2019'!G256+'[1]2020'!G256</f>
        <v>0</v>
      </c>
      <c r="H244" s="46">
        <f>'[1]2018'!H256+'[1]2019'!H256+'[1]2020'!H256</f>
        <v>0</v>
      </c>
      <c r="I244" s="46">
        <f>'[1]2018'!I256+'[1]2019'!I256+'[1]2020'!I256</f>
        <v>0</v>
      </c>
      <c r="J244" s="46">
        <f>'[1]2018'!J256+'[1]2019'!J256+'[1]2020'!J256</f>
        <v>0</v>
      </c>
      <c r="K244" s="46">
        <f>'[1]2018'!K256+'[1]2019'!K256+'[1]2020'!K256</f>
        <v>0</v>
      </c>
      <c r="L244" s="46">
        <f>'[1]2018'!L256+'[1]2019'!L256+'[1]2020'!L256</f>
        <v>0</v>
      </c>
      <c r="M244" s="46">
        <f>'[1]2018'!M256+'[1]2019'!M256+'[1]2020'!M256</f>
        <v>0</v>
      </c>
      <c r="N244" s="46">
        <f>'[1]2018'!N256+'[1]2019'!N256+'[1]2020'!N256</f>
        <v>0</v>
      </c>
      <c r="O244" s="46">
        <f>'[1]2018'!O256+'[1]2019'!O256+'[1]2020'!O256</f>
        <v>0</v>
      </c>
      <c r="P244" s="46">
        <f>'[1]2018'!P256+'[1]2019'!P256+'[1]2020'!P256</f>
        <v>0</v>
      </c>
      <c r="Q244" s="46">
        <f>'[1]2018'!Q256+'[1]2019'!Q256+'[1]2020'!Q256</f>
        <v>0</v>
      </c>
      <c r="R244" s="46">
        <f>'[1]2018'!R256+'[1]2019'!R256+'[1]2020'!R256</f>
        <v>0</v>
      </c>
      <c r="S244" s="46">
        <f>'[1]2018'!S256+'[1]2019'!S256+'[1]2020'!S256</f>
        <v>0</v>
      </c>
      <c r="T244" s="46">
        <f>'[1]2018'!T256+'[1]2019'!T256+'[1]2020'!T256</f>
        <v>0</v>
      </c>
      <c r="U244" s="46">
        <f>'[1]2018'!U256+'[1]2019'!U256+'[1]2020'!U256</f>
        <v>0</v>
      </c>
      <c r="V244" s="46">
        <f>'[1]2018'!V256+'[1]2019'!V256+'[1]2020'!V256</f>
        <v>0</v>
      </c>
      <c r="W244" s="46">
        <f>'[1]2018'!W256+'[1]2019'!W256+'[1]2020'!W256</f>
        <v>0</v>
      </c>
      <c r="X244" s="46">
        <f>'[1]2018'!X256+'[1]2019'!X256+'[1]2020'!X256</f>
        <v>0</v>
      </c>
      <c r="Y244" s="41">
        <f t="shared" si="34"/>
        <v>0</v>
      </c>
      <c r="Z244" s="11">
        <f>'[1]2018'!Z256+'[1]2019'!Z256+'[1]2020'!Z256</f>
        <v>0</v>
      </c>
      <c r="AA244" s="11">
        <f>'[1]2018'!AA256+'[1]2019'!AA256+'[1]2020'!AA256</f>
        <v>0</v>
      </c>
      <c r="AB244" s="11">
        <f>'[1]2018'!AB256+'[1]2019'!AB256+'[1]2020'!AB256</f>
        <v>0</v>
      </c>
      <c r="AC244" s="11">
        <f>'[1]2018'!AC256+'[1]2019'!AC256+'[1]2020'!AC256</f>
        <v>0</v>
      </c>
      <c r="AD244" s="11">
        <f>'[1]2018'!AD256+'[1]2019'!AD256+'[1]2020'!AD256</f>
        <v>0</v>
      </c>
      <c r="AE244" s="11">
        <f>'[1]2018'!AE256+'[1]2019'!AE256+'[1]2020'!AE256</f>
        <v>0</v>
      </c>
      <c r="AF244" s="11">
        <f>'[1]2018'!AF256+'[1]2019'!AF256+'[1]2020'!AF256</f>
        <v>0</v>
      </c>
      <c r="AG244" s="11">
        <f>'[1]2018'!AG256+'[1]2019'!AG256+'[1]2020'!AG256</f>
        <v>0</v>
      </c>
      <c r="AH244" s="11">
        <f>'[1]2018'!AH256+'[1]2019'!AH256+'[1]2020'!AH256</f>
        <v>0</v>
      </c>
      <c r="AI244" s="11">
        <f>'[1]2018'!AI256+'[1]2019'!AI256+'[1]2020'!AI256</f>
        <v>0</v>
      </c>
      <c r="AJ244" s="11">
        <f>'[1]2018'!AJ256+'[1]2019'!AJ256+'[1]2020'!AJ256</f>
        <v>0</v>
      </c>
      <c r="AK244" s="11">
        <f>'[1]2018'!AK256+'[1]2019'!AK256+'[1]2020'!AK256</f>
        <v>0</v>
      </c>
      <c r="AL244" s="11">
        <f>'[1]2018'!AL256+'[1]2019'!AL256+'[1]2020'!AL256</f>
        <v>0</v>
      </c>
      <c r="AM244" s="11">
        <f>'[1]2018'!AM256+'[1]2019'!AM256+'[1]2020'!AM256</f>
        <v>0</v>
      </c>
      <c r="AN244" s="11">
        <f>'[1]2018'!AN256+'[1]2019'!AN256+'[1]2020'!AN256</f>
        <v>0</v>
      </c>
      <c r="AO244" s="11">
        <f>'[1]2018'!AO256+'[1]2019'!AO256+'[1]2020'!AO256</f>
        <v>0</v>
      </c>
      <c r="AP244" s="11">
        <f>'[1]2018'!AP256+'[1]2019'!AP256+'[1]2020'!AP256</f>
        <v>0</v>
      </c>
      <c r="AQ244" s="11">
        <f>'[1]2018'!AQ256+'[1]2019'!AQ256+'[1]2020'!AQ256</f>
        <v>0</v>
      </c>
      <c r="AR244" s="11">
        <f>'[1]2018'!AR256+'[1]2019'!AR256+'[1]2020'!AR256</f>
        <v>0</v>
      </c>
      <c r="AS244" s="11">
        <f>'[1]2018'!AS256+'[1]2019'!AS256+'[1]2020'!AS256</f>
        <v>0</v>
      </c>
      <c r="AT244" s="11">
        <f>'[1]2018'!AT256+'[1]2019'!AT256+'[1]2020'!AT256</f>
        <v>0</v>
      </c>
      <c r="AU244" s="11">
        <f>'[1]2018'!AU256+'[1]2019'!AU256+'[1]2020'!AU256</f>
        <v>0</v>
      </c>
      <c r="AV244" s="11">
        <f>'[1]2018'!AV256+'[1]2019'!AV256+'[1]2020'!AV256</f>
        <v>0</v>
      </c>
      <c r="AW244" s="41">
        <f t="shared" si="35"/>
        <v>0</v>
      </c>
      <c r="AX244" s="14">
        <f t="shared" si="36"/>
        <v>0</v>
      </c>
      <c r="AY244" s="2">
        <f>'[1]2018'!AX256+'[1]2019'!AX256+'[1]2020'!AX256</f>
        <v>0</v>
      </c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</row>
    <row r="245" spans="1:136" x14ac:dyDescent="0.25">
      <c r="A245" s="10" t="s">
        <v>112</v>
      </c>
      <c r="B245" s="46">
        <f>'[1]2018'!B257+'[1]2019'!B257+'[1]2020'!B257</f>
        <v>6</v>
      </c>
      <c r="C245" s="46">
        <f>'[1]2018'!C257+'[1]2019'!C257+'[1]2020'!C257</f>
        <v>0</v>
      </c>
      <c r="D245" s="46">
        <f>'[1]2018'!D257+'[1]2019'!D257+'[1]2020'!D257</f>
        <v>10</v>
      </c>
      <c r="E245" s="46">
        <f>'[1]2018'!E257+'[1]2019'!E257+'[1]2020'!E257</f>
        <v>0</v>
      </c>
      <c r="F245" s="46">
        <f>'[1]2018'!F257+'[1]2019'!F257+'[1]2020'!F257</f>
        <v>0</v>
      </c>
      <c r="G245" s="46">
        <f>'[1]2018'!G257+'[1]2019'!G257+'[1]2020'!G257</f>
        <v>0</v>
      </c>
      <c r="H245" s="46">
        <f>'[1]2018'!H257+'[1]2019'!H257+'[1]2020'!H257</f>
        <v>6</v>
      </c>
      <c r="I245" s="46">
        <f>'[1]2018'!I257+'[1]2019'!I257+'[1]2020'!I257</f>
        <v>4</v>
      </c>
      <c r="J245" s="46">
        <f>'[1]2018'!J257+'[1]2019'!J257+'[1]2020'!J257</f>
        <v>0</v>
      </c>
      <c r="K245" s="46">
        <f>'[1]2018'!K257+'[1]2019'!K257+'[1]2020'!K257</f>
        <v>0</v>
      </c>
      <c r="L245" s="46">
        <f>'[1]2018'!L257+'[1]2019'!L257+'[1]2020'!L257</f>
        <v>0</v>
      </c>
      <c r="M245" s="46">
        <f>'[1]2018'!M257+'[1]2019'!M257+'[1]2020'!M257</f>
        <v>0</v>
      </c>
      <c r="N245" s="46">
        <f>'[1]2018'!N257+'[1]2019'!N257+'[1]2020'!N257</f>
        <v>0</v>
      </c>
      <c r="O245" s="46">
        <f>'[1]2018'!O257+'[1]2019'!O257+'[1]2020'!O257</f>
        <v>0</v>
      </c>
      <c r="P245" s="46">
        <f>'[1]2018'!P257+'[1]2019'!P257+'[1]2020'!P257</f>
        <v>0</v>
      </c>
      <c r="Q245" s="46">
        <f>'[1]2018'!Q257+'[1]2019'!Q257+'[1]2020'!Q257</f>
        <v>0</v>
      </c>
      <c r="R245" s="46">
        <f>'[1]2018'!R257+'[1]2019'!R257+'[1]2020'!R257</f>
        <v>0</v>
      </c>
      <c r="S245" s="46">
        <f>'[1]2018'!S257+'[1]2019'!S257+'[1]2020'!S257</f>
        <v>0</v>
      </c>
      <c r="T245" s="46">
        <f>'[1]2018'!T257+'[1]2019'!T257+'[1]2020'!T257</f>
        <v>0</v>
      </c>
      <c r="U245" s="46">
        <f>'[1]2018'!U257+'[1]2019'!U257+'[1]2020'!U257</f>
        <v>0</v>
      </c>
      <c r="V245" s="46">
        <f>'[1]2018'!V257+'[1]2019'!V257+'[1]2020'!V257</f>
        <v>0</v>
      </c>
      <c r="W245" s="46">
        <f>'[1]2018'!W257+'[1]2019'!W257+'[1]2020'!W257</f>
        <v>0</v>
      </c>
      <c r="X245" s="46">
        <f>'[1]2018'!X257+'[1]2019'!X257+'[1]2020'!X257</f>
        <v>0</v>
      </c>
      <c r="Y245" s="41">
        <f t="shared" si="34"/>
        <v>10</v>
      </c>
      <c r="Z245" s="11">
        <f>'[1]2018'!Z257+'[1]2019'!Z257+'[1]2020'!Z257</f>
        <v>6</v>
      </c>
      <c r="AA245" s="11">
        <f>'[1]2018'!AA257+'[1]2019'!AA257+'[1]2020'!AA257</f>
        <v>0</v>
      </c>
      <c r="AB245" s="11">
        <f>'[1]2018'!AB257+'[1]2019'!AB257+'[1]2020'!AB257</f>
        <v>10</v>
      </c>
      <c r="AC245" s="11">
        <f>'[1]2018'!AC257+'[1]2019'!AC257+'[1]2020'!AC257</f>
        <v>0</v>
      </c>
      <c r="AD245" s="11">
        <f>'[1]2018'!AD257+'[1]2019'!AD257+'[1]2020'!AD257</f>
        <v>0</v>
      </c>
      <c r="AE245" s="11">
        <f>'[1]2018'!AE257+'[1]2019'!AE257+'[1]2020'!AE257</f>
        <v>0</v>
      </c>
      <c r="AF245" s="11">
        <f>'[1]2018'!AF257+'[1]2019'!AF257+'[1]2020'!AF257</f>
        <v>6</v>
      </c>
      <c r="AG245" s="11">
        <f>'[1]2018'!AG257+'[1]2019'!AG257+'[1]2020'!AG257</f>
        <v>4</v>
      </c>
      <c r="AH245" s="11">
        <f>'[1]2018'!AH257+'[1]2019'!AH257+'[1]2020'!AH257</f>
        <v>0</v>
      </c>
      <c r="AI245" s="11">
        <f>'[1]2018'!AI257+'[1]2019'!AI257+'[1]2020'!AI257</f>
        <v>0</v>
      </c>
      <c r="AJ245" s="11">
        <f>'[1]2018'!AJ257+'[1]2019'!AJ257+'[1]2020'!AJ257</f>
        <v>0</v>
      </c>
      <c r="AK245" s="11">
        <f>'[1]2018'!AK257+'[1]2019'!AK257+'[1]2020'!AK257</f>
        <v>0</v>
      </c>
      <c r="AL245" s="11">
        <f>'[1]2018'!AL257+'[1]2019'!AL257+'[1]2020'!AL257</f>
        <v>0</v>
      </c>
      <c r="AM245" s="11">
        <f>'[1]2018'!AM257+'[1]2019'!AM257+'[1]2020'!AM257</f>
        <v>0</v>
      </c>
      <c r="AN245" s="11">
        <f>'[1]2018'!AN257+'[1]2019'!AN257+'[1]2020'!AN257</f>
        <v>0</v>
      </c>
      <c r="AO245" s="11">
        <f>'[1]2018'!AO257+'[1]2019'!AO257+'[1]2020'!AO257</f>
        <v>0</v>
      </c>
      <c r="AP245" s="11">
        <f>'[1]2018'!AP257+'[1]2019'!AP257+'[1]2020'!AP257</f>
        <v>0</v>
      </c>
      <c r="AQ245" s="11">
        <f>'[1]2018'!AQ257+'[1]2019'!AQ257+'[1]2020'!AQ257</f>
        <v>0</v>
      </c>
      <c r="AR245" s="11">
        <f>'[1]2018'!AR257+'[1]2019'!AR257+'[1]2020'!AR257</f>
        <v>0</v>
      </c>
      <c r="AS245" s="11">
        <f>'[1]2018'!AS257+'[1]2019'!AS257+'[1]2020'!AS257</f>
        <v>0</v>
      </c>
      <c r="AT245" s="11">
        <f>'[1]2018'!AT257+'[1]2019'!AT257+'[1]2020'!AT257</f>
        <v>0</v>
      </c>
      <c r="AU245" s="11">
        <f>'[1]2018'!AU257+'[1]2019'!AU257+'[1]2020'!AU257</f>
        <v>0</v>
      </c>
      <c r="AV245" s="11">
        <f>'[1]2018'!AV257+'[1]2019'!AV257+'[1]2020'!AV257</f>
        <v>0</v>
      </c>
      <c r="AW245" s="41">
        <f t="shared" si="35"/>
        <v>10</v>
      </c>
      <c r="AX245" s="14">
        <f t="shared" si="36"/>
        <v>158.66666666666666</v>
      </c>
      <c r="AY245" s="2">
        <f>'[1]2018'!AX257+'[1]2019'!AX257+'[1]2020'!AX257</f>
        <v>476</v>
      </c>
    </row>
    <row r="246" spans="1:136" x14ac:dyDescent="0.25">
      <c r="A246" s="10" t="s">
        <v>113</v>
      </c>
      <c r="B246" s="46">
        <f>'[1]2018'!B258+'[1]2019'!B258+'[1]2020'!B258</f>
        <v>2</v>
      </c>
      <c r="C246" s="46">
        <f>'[1]2018'!C258+'[1]2019'!C258+'[1]2020'!C258</f>
        <v>2</v>
      </c>
      <c r="D246" s="46">
        <f>'[1]2018'!D258+'[1]2019'!D258+'[1]2020'!D258</f>
        <v>2</v>
      </c>
      <c r="E246" s="46">
        <f>'[1]2018'!E258+'[1]2019'!E258+'[1]2020'!E258</f>
        <v>2</v>
      </c>
      <c r="F246" s="46">
        <f>'[1]2018'!F258+'[1]2019'!F258+'[1]2020'!F258</f>
        <v>0</v>
      </c>
      <c r="G246" s="46">
        <f>'[1]2018'!G258+'[1]2019'!G258+'[1]2020'!G258</f>
        <v>0</v>
      </c>
      <c r="H246" s="46">
        <f>'[1]2018'!H258+'[1]2019'!H258+'[1]2020'!H258</f>
        <v>0</v>
      </c>
      <c r="I246" s="46">
        <f>'[1]2018'!I258+'[1]2019'!I258+'[1]2020'!I258</f>
        <v>0</v>
      </c>
      <c r="J246" s="46">
        <f>'[1]2018'!J258+'[1]2019'!J258+'[1]2020'!J258</f>
        <v>0</v>
      </c>
      <c r="K246" s="46">
        <f>'[1]2018'!K258+'[1]2019'!K258+'[1]2020'!K258</f>
        <v>0</v>
      </c>
      <c r="L246" s="46">
        <f>'[1]2018'!L258+'[1]2019'!L258+'[1]2020'!L258</f>
        <v>0</v>
      </c>
      <c r="M246" s="46">
        <f>'[1]2018'!M258+'[1]2019'!M258+'[1]2020'!M258</f>
        <v>0</v>
      </c>
      <c r="N246" s="46">
        <f>'[1]2018'!N258+'[1]2019'!N258+'[1]2020'!N258</f>
        <v>0</v>
      </c>
      <c r="O246" s="46">
        <f>'[1]2018'!O258+'[1]2019'!O258+'[1]2020'!O258</f>
        <v>0</v>
      </c>
      <c r="P246" s="46">
        <f>'[1]2018'!P258+'[1]2019'!P258+'[1]2020'!P258</f>
        <v>0</v>
      </c>
      <c r="Q246" s="46">
        <f>'[1]2018'!Q258+'[1]2019'!Q258+'[1]2020'!Q258</f>
        <v>0</v>
      </c>
      <c r="R246" s="46">
        <f>'[1]2018'!R258+'[1]2019'!R258+'[1]2020'!R258</f>
        <v>0</v>
      </c>
      <c r="S246" s="46">
        <f>'[1]2018'!S258+'[1]2019'!S258+'[1]2020'!S258</f>
        <v>0</v>
      </c>
      <c r="T246" s="46">
        <f>'[1]2018'!T258+'[1]2019'!T258+'[1]2020'!T258</f>
        <v>1</v>
      </c>
      <c r="U246" s="46">
        <f>'[1]2018'!U258+'[1]2019'!U258+'[1]2020'!U258</f>
        <v>0</v>
      </c>
      <c r="V246" s="46">
        <f>'[1]2018'!V258+'[1]2019'!V258+'[1]2020'!V258</f>
        <v>1</v>
      </c>
      <c r="W246" s="46">
        <f>'[1]2018'!W258+'[1]2019'!W258+'[1]2020'!W258</f>
        <v>0</v>
      </c>
      <c r="X246" s="46">
        <f>'[1]2018'!X258+'[1]2019'!X258+'[1]2020'!X258</f>
        <v>0</v>
      </c>
      <c r="Y246" s="41">
        <f t="shared" si="34"/>
        <v>2</v>
      </c>
      <c r="Z246" s="11">
        <f>'[1]2018'!Z258+'[1]2019'!Z258+'[1]2020'!Z258</f>
        <v>2</v>
      </c>
      <c r="AA246" s="11">
        <f>'[1]2018'!AA258+'[1]2019'!AA258+'[1]2020'!AA258</f>
        <v>2</v>
      </c>
      <c r="AB246" s="11">
        <f>'[1]2018'!AB258+'[1]2019'!AB258+'[1]2020'!AB258</f>
        <v>2</v>
      </c>
      <c r="AC246" s="11">
        <f>'[1]2018'!AC258+'[1]2019'!AC258+'[1]2020'!AC258</f>
        <v>2</v>
      </c>
      <c r="AD246" s="11">
        <f>'[1]2018'!AD258+'[1]2019'!AD258+'[1]2020'!AD258</f>
        <v>0</v>
      </c>
      <c r="AE246" s="11">
        <f>'[1]2018'!AE258+'[1]2019'!AE258+'[1]2020'!AE258</f>
        <v>0</v>
      </c>
      <c r="AF246" s="11">
        <f>'[1]2018'!AF258+'[1]2019'!AF258+'[1]2020'!AF258</f>
        <v>0</v>
      </c>
      <c r="AG246" s="11">
        <f>'[1]2018'!AG258+'[1]2019'!AG258+'[1]2020'!AG258</f>
        <v>0</v>
      </c>
      <c r="AH246" s="11">
        <f>'[1]2018'!AH258+'[1]2019'!AH258+'[1]2020'!AH258</f>
        <v>0</v>
      </c>
      <c r="AI246" s="11">
        <f>'[1]2018'!AI258+'[1]2019'!AI258+'[1]2020'!AI258</f>
        <v>0</v>
      </c>
      <c r="AJ246" s="11">
        <f>'[1]2018'!AJ258+'[1]2019'!AJ258+'[1]2020'!AJ258</f>
        <v>0</v>
      </c>
      <c r="AK246" s="11">
        <f>'[1]2018'!AK258+'[1]2019'!AK258+'[1]2020'!AK258</f>
        <v>0</v>
      </c>
      <c r="AL246" s="11">
        <f>'[1]2018'!AL258+'[1]2019'!AL258+'[1]2020'!AL258</f>
        <v>0</v>
      </c>
      <c r="AM246" s="11">
        <f>'[1]2018'!AM258+'[1]2019'!AM258+'[1]2020'!AM258</f>
        <v>0</v>
      </c>
      <c r="AN246" s="11">
        <f>'[1]2018'!AN258+'[1]2019'!AN258+'[1]2020'!AN258</f>
        <v>0</v>
      </c>
      <c r="AO246" s="11">
        <f>'[1]2018'!AO258+'[1]2019'!AO258+'[1]2020'!AO258</f>
        <v>0</v>
      </c>
      <c r="AP246" s="11">
        <f>'[1]2018'!AP258+'[1]2019'!AP258+'[1]2020'!AP258</f>
        <v>0</v>
      </c>
      <c r="AQ246" s="11">
        <f>'[1]2018'!AQ258+'[1]2019'!AQ258+'[1]2020'!AQ258</f>
        <v>0</v>
      </c>
      <c r="AR246" s="11">
        <f>'[1]2018'!AR258+'[1]2019'!AR258+'[1]2020'!AR258</f>
        <v>1</v>
      </c>
      <c r="AS246" s="11">
        <f>'[1]2018'!AS258+'[1]2019'!AS258+'[1]2020'!AS258</f>
        <v>0</v>
      </c>
      <c r="AT246" s="11">
        <f>'[1]2018'!AT258+'[1]2019'!AT258+'[1]2020'!AT258</f>
        <v>1</v>
      </c>
      <c r="AU246" s="11">
        <f>'[1]2018'!AU258+'[1]2019'!AU258+'[1]2020'!AU258</f>
        <v>0</v>
      </c>
      <c r="AV246" s="11">
        <f>'[1]2018'!AV258+'[1]2019'!AV258+'[1]2020'!AV258</f>
        <v>0</v>
      </c>
      <c r="AW246" s="41">
        <f t="shared" si="35"/>
        <v>2</v>
      </c>
      <c r="AX246" s="14">
        <f t="shared" si="36"/>
        <v>72.666666666666671</v>
      </c>
      <c r="AY246" s="2">
        <f>'[1]2018'!AX258+'[1]2019'!AX258+'[1]2020'!AX258</f>
        <v>218</v>
      </c>
    </row>
    <row r="247" spans="1:136" s="18" customFormat="1" x14ac:dyDescent="0.25">
      <c r="A247" s="50" t="s">
        <v>56</v>
      </c>
      <c r="B247" s="50">
        <f>'[1]2018'!B259+'[1]2019'!B259+'[1]2020'!B259</f>
        <v>7904</v>
      </c>
      <c r="C247" s="50">
        <f>'[1]2018'!C259+'[1]2019'!C259+'[1]2020'!C259</f>
        <v>1468</v>
      </c>
      <c r="D247" s="50">
        <f>'[1]2018'!D259+'[1]2019'!D259+'[1]2020'!D259</f>
        <v>27639</v>
      </c>
      <c r="E247" s="50">
        <f>'[1]2018'!E259+'[1]2019'!E259+'[1]2020'!E259</f>
        <v>6615</v>
      </c>
      <c r="F247" s="50">
        <f>'[1]2018'!F259+'[1]2019'!F259+'[1]2020'!F259</f>
        <v>40</v>
      </c>
      <c r="G247" s="50">
        <f>'[1]2018'!G259+'[1]2019'!G259+'[1]2020'!G259</f>
        <v>37</v>
      </c>
      <c r="H247" s="50">
        <f>'[1]2018'!H259+'[1]2019'!H259+'[1]2020'!H259</f>
        <v>8637</v>
      </c>
      <c r="I247" s="50">
        <f>'[1]2018'!I259+'[1]2019'!I259+'[1]2020'!I259</f>
        <v>61</v>
      </c>
      <c r="J247" s="50">
        <f>'[1]2018'!J259+'[1]2019'!J259+'[1]2020'!J259</f>
        <v>547</v>
      </c>
      <c r="K247" s="50">
        <f>'[1]2018'!K259+'[1]2019'!K259+'[1]2020'!K259</f>
        <v>1244</v>
      </c>
      <c r="L247" s="50">
        <f>'[1]2018'!L259+'[1]2019'!L259+'[1]2020'!L259</f>
        <v>1766</v>
      </c>
      <c r="M247" s="50">
        <f>'[1]2018'!M259+'[1]2019'!M259+'[1]2020'!M259</f>
        <v>306</v>
      </c>
      <c r="N247" s="50">
        <f>'[1]2018'!N259+'[1]2019'!N259+'[1]2020'!N259</f>
        <v>1206</v>
      </c>
      <c r="O247" s="50">
        <f>'[1]2018'!O259+'[1]2019'!O259+'[1]2020'!O259</f>
        <v>225</v>
      </c>
      <c r="P247" s="50">
        <f>'[1]2018'!P259+'[1]2019'!P259+'[1]2020'!P259</f>
        <v>139</v>
      </c>
      <c r="Q247" s="50">
        <f>'[1]2018'!Q259+'[1]2019'!Q259+'[1]2020'!Q259</f>
        <v>302</v>
      </c>
      <c r="R247" s="50">
        <f>'[1]2018'!R259+'[1]2019'!R259+'[1]2020'!R259</f>
        <v>1024</v>
      </c>
      <c r="S247" s="50">
        <f>'[1]2018'!S259+'[1]2019'!S259+'[1]2020'!S259</f>
        <v>248</v>
      </c>
      <c r="T247" s="50">
        <f>'[1]2018'!T259+'[1]2019'!T259+'[1]2020'!T259</f>
        <v>756</v>
      </c>
      <c r="U247" s="50">
        <f>'[1]2018'!U259+'[1]2019'!U259+'[1]2020'!U259</f>
        <v>1066</v>
      </c>
      <c r="V247" s="50">
        <f>'[1]2018'!V259+'[1]2019'!V259+'[1]2020'!V259</f>
        <v>7728</v>
      </c>
      <c r="W247" s="50">
        <f>'[1]2018'!W259+'[1]2019'!W259+'[1]2020'!W259</f>
        <v>138</v>
      </c>
      <c r="X247" s="50">
        <f>'[1]2018'!X259+'[1]2019'!X259+'[1]2020'!X259</f>
        <v>2169</v>
      </c>
      <c r="Y247" s="50">
        <f>'[1]2018'!Y259+'[1]2019'!Y259+'[1]2020'!Y259</f>
        <v>27639</v>
      </c>
      <c r="Z247" s="50">
        <f>'[1]2018'!Z259+'[1]2019'!Z259+'[1]2020'!Z259</f>
        <v>5942</v>
      </c>
      <c r="AA247" s="50">
        <f>'[1]2018'!AA259+'[1]2019'!AA259+'[1]2020'!AA259</f>
        <v>1157</v>
      </c>
      <c r="AB247" s="50">
        <f>'[1]2018'!AB259+'[1]2019'!AB259+'[1]2020'!AB259</f>
        <v>19453</v>
      </c>
      <c r="AC247" s="50">
        <f>'[1]2018'!AC259+'[1]2019'!AC259+'[1]2020'!AC259</f>
        <v>5251</v>
      </c>
      <c r="AD247" s="50">
        <f>'[1]2018'!AD259+'[1]2019'!AD259+'[1]2020'!AD259</f>
        <v>55</v>
      </c>
      <c r="AE247" s="50">
        <f>'[1]2018'!AE259+'[1]2019'!AE259+'[1]2020'!AE259</f>
        <v>35</v>
      </c>
      <c r="AF247" s="50">
        <f>'[1]2018'!AF259+'[1]2019'!AF259+'[1]2020'!AF259</f>
        <v>6175</v>
      </c>
      <c r="AG247" s="50">
        <f>'[1]2018'!AG259+'[1]2019'!AG259+'[1]2020'!AG259</f>
        <v>55</v>
      </c>
      <c r="AH247" s="50">
        <f>'[1]2018'!AH259+'[1]2019'!AH259+'[1]2020'!AH259</f>
        <v>450</v>
      </c>
      <c r="AI247" s="50">
        <f>'[1]2018'!AI259+'[1]2019'!AI259+'[1]2020'!AI259</f>
        <v>799</v>
      </c>
      <c r="AJ247" s="50">
        <f>'[1]2018'!AJ259+'[1]2019'!AJ259+'[1]2020'!AJ259</f>
        <v>1009</v>
      </c>
      <c r="AK247" s="50">
        <f>'[1]2018'!AK259+'[1]2019'!AK259+'[1]2020'!AK259</f>
        <v>192</v>
      </c>
      <c r="AL247" s="50">
        <f>'[1]2018'!AL259+'[1]2019'!AL259+'[1]2020'!AL259</f>
        <v>710</v>
      </c>
      <c r="AM247" s="50">
        <f>'[1]2018'!AM259+'[1]2019'!AM259+'[1]2020'!AM259</f>
        <v>157</v>
      </c>
      <c r="AN247" s="50">
        <f>'[1]2018'!AN259+'[1]2019'!AN259+'[1]2020'!AN259</f>
        <v>160</v>
      </c>
      <c r="AO247" s="50">
        <f>'[1]2018'!AO259+'[1]2019'!AO259+'[1]2020'!AO259</f>
        <v>124</v>
      </c>
      <c r="AP247" s="50">
        <f>'[1]2018'!AP259+'[1]2019'!AP259+'[1]2020'!AP259</f>
        <v>596</v>
      </c>
      <c r="AQ247" s="50">
        <f>'[1]2018'!AQ259+'[1]2019'!AQ259+'[1]2020'!AQ259</f>
        <v>129</v>
      </c>
      <c r="AR247" s="50">
        <f>'[1]2018'!AR259+'[1]2019'!AR259+'[1]2020'!AR259</f>
        <v>592</v>
      </c>
      <c r="AS247" s="50">
        <f>'[1]2018'!AS259+'[1]2019'!AS259+'[1]2020'!AS259</f>
        <v>798</v>
      </c>
      <c r="AT247" s="50">
        <f>'[1]2018'!AT259+'[1]2019'!AT259+'[1]2020'!AT259</f>
        <v>6178</v>
      </c>
      <c r="AU247" s="50">
        <f>'[1]2018'!AU259+'[1]2019'!AU259+'[1]2020'!AU259</f>
        <v>94</v>
      </c>
      <c r="AV247" s="50">
        <f>'[1]2018'!AV259+'[1]2019'!AV259+'[1]2020'!AV259</f>
        <v>1145</v>
      </c>
      <c r="AW247" s="50">
        <f>'[1]2018'!AW259+'[1]2019'!AW259+'[1]2020'!AW259</f>
        <v>19453</v>
      </c>
      <c r="AX247" s="50">
        <f t="shared" si="36"/>
        <v>2353.1219921478819</v>
      </c>
      <c r="AY247" s="1">
        <f>'[1]2018'!AX259+'[1]2019'!AX259+'[1]2020'!AX259</f>
        <v>7059.3659764436452</v>
      </c>
    </row>
    <row r="250" spans="1:136" ht="7.15" customHeight="1" x14ac:dyDescent="0.25">
      <c r="C250" s="22"/>
      <c r="E250" s="22"/>
      <c r="AA250" s="22"/>
    </row>
    <row r="251" spans="1:136" s="51" customFormat="1" ht="44.45" customHeight="1" x14ac:dyDescent="0.25">
      <c r="B251" s="52"/>
      <c r="C251" s="53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3"/>
    </row>
    <row r="252" spans="1:136" x14ac:dyDescent="0.25">
      <c r="E252" s="55"/>
      <c r="J252" s="55"/>
      <c r="P252" s="55"/>
      <c r="U252" s="55"/>
      <c r="Z252" s="55"/>
      <c r="AE252" s="55"/>
    </row>
    <row r="260" spans="12:12" customFormat="1" x14ac:dyDescent="0.25">
      <c r="L260" s="55"/>
    </row>
  </sheetData>
  <autoFilter ref="A5:EF247" xr:uid="{00000000-0009-0000-0000-000007000000}"/>
  <mergeCells count="6">
    <mergeCell ref="AD4:AV4"/>
    <mergeCell ref="A3:A5"/>
    <mergeCell ref="B3:C4"/>
    <mergeCell ref="Z3:AA4"/>
    <mergeCell ref="D3:E4"/>
    <mergeCell ref="F3:X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3:EF260"/>
  <sheetViews>
    <sheetView workbookViewId="0">
      <pane ySplit="5" topLeftCell="A6" activePane="bottomLeft" state="frozen"/>
      <selection activeCell="Y39" sqref="Y39"/>
      <selection pane="bottomLeft" sqref="A1:XFD1048576"/>
    </sheetView>
  </sheetViews>
  <sheetFormatPr defaultRowHeight="15" x14ac:dyDescent="0.25"/>
  <cols>
    <col min="1" max="1" width="47.7109375" style="142" customWidth="1"/>
    <col min="2" max="2" width="12.7109375" style="143" customWidth="1"/>
    <col min="3" max="3" width="8.28515625" style="112" customWidth="1"/>
    <col min="4" max="4" width="7.7109375" style="112" customWidth="1"/>
    <col min="5" max="5" width="9.28515625" style="112" customWidth="1"/>
    <col min="6" max="7" width="5.7109375" style="112" customWidth="1"/>
    <col min="8" max="8" width="6.5703125" style="112" customWidth="1"/>
    <col min="9" max="21" width="5.7109375" style="112" customWidth="1"/>
    <col min="22" max="22" width="6.7109375" style="112" customWidth="1"/>
    <col min="23" max="24" width="5.7109375" style="112" customWidth="1"/>
    <col min="25" max="25" width="6.42578125" style="112" customWidth="1"/>
    <col min="26" max="26" width="9.140625" style="112" customWidth="1"/>
    <col min="27" max="27" width="10.85546875" style="112" customWidth="1"/>
    <col min="28" max="28" width="7.140625" style="112" customWidth="1"/>
    <col min="29" max="29" width="10.7109375" style="112" customWidth="1"/>
    <col min="30" max="31" width="5.7109375" style="112" customWidth="1"/>
    <col min="32" max="32" width="6.5703125" style="112" customWidth="1"/>
    <col min="33" max="33" width="6.7109375" style="112" customWidth="1"/>
    <col min="34" max="45" width="5.7109375" style="112" customWidth="1"/>
    <col min="46" max="46" width="6.85546875" style="112" customWidth="1"/>
    <col min="47" max="48" width="5.7109375" style="112" customWidth="1"/>
    <col min="49" max="49" width="6.7109375" style="112" customWidth="1"/>
    <col min="50" max="50" width="17.5703125" style="144" customWidth="1"/>
    <col min="51" max="51" width="14.7109375" style="22" hidden="1" customWidth="1"/>
    <col min="52" max="52" width="14.85546875" style="22" hidden="1" customWidth="1"/>
    <col min="53" max="53" width="16.85546875" style="179" customWidth="1"/>
    <col min="54" max="54" width="14.28515625" style="180" customWidth="1"/>
    <col min="55" max="55" width="15" style="179" customWidth="1"/>
    <col min="56" max="68" width="8.85546875" style="142" customWidth="1"/>
    <col min="69" max="70" width="9.28515625" style="142" customWidth="1"/>
    <col min="71" max="71" width="11.28515625" style="142" customWidth="1"/>
    <col min="72" max="135" width="8.85546875" style="142" customWidth="1"/>
    <col min="136" max="16384" width="9.140625" style="142"/>
  </cols>
  <sheetData>
    <row r="3" spans="1:55" x14ac:dyDescent="0.25">
      <c r="A3" s="145" t="s">
        <v>276</v>
      </c>
      <c r="B3" s="146" t="s">
        <v>0</v>
      </c>
      <c r="C3" s="147"/>
      <c r="D3" s="148" t="s">
        <v>1</v>
      </c>
      <c r="E3" s="149"/>
      <c r="F3" s="150" t="s">
        <v>4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8" t="s">
        <v>2</v>
      </c>
      <c r="AA3" s="152"/>
      <c r="AB3" s="150" t="s">
        <v>3</v>
      </c>
      <c r="AC3" s="150"/>
      <c r="AD3" s="153" t="s">
        <v>4</v>
      </c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5"/>
      <c r="AW3" s="151"/>
      <c r="AX3" s="156"/>
    </row>
    <row r="4" spans="1:55" ht="14.45" customHeight="1" x14ac:dyDescent="0.25">
      <c r="A4" s="145"/>
      <c r="B4" s="157"/>
      <c r="C4" s="158"/>
      <c r="D4" s="159"/>
      <c r="E4" s="16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61"/>
      <c r="Z4" s="159"/>
      <c r="AA4" s="162"/>
      <c r="AB4" s="150"/>
      <c r="AC4" s="150"/>
      <c r="AD4" s="163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5"/>
      <c r="AW4" s="161"/>
      <c r="AX4" s="156"/>
      <c r="AY4" s="72"/>
    </row>
    <row r="5" spans="1:55" s="183" customFormat="1" ht="75" x14ac:dyDescent="0.25">
      <c r="A5" s="145"/>
      <c r="B5" s="166" t="s">
        <v>5</v>
      </c>
      <c r="C5" s="167" t="s">
        <v>6</v>
      </c>
      <c r="D5" s="167" t="s">
        <v>7</v>
      </c>
      <c r="E5" s="167" t="s">
        <v>6</v>
      </c>
      <c r="F5" s="168" t="s">
        <v>8</v>
      </c>
      <c r="G5" s="168" t="s">
        <v>9</v>
      </c>
      <c r="H5" s="168" t="s">
        <v>10</v>
      </c>
      <c r="I5" s="168" t="s">
        <v>11</v>
      </c>
      <c r="J5" s="168" t="s">
        <v>12</v>
      </c>
      <c r="K5" s="168" t="s">
        <v>13</v>
      </c>
      <c r="L5" s="168" t="s">
        <v>14</v>
      </c>
      <c r="M5" s="168" t="s">
        <v>15</v>
      </c>
      <c r="N5" s="168" t="s">
        <v>16</v>
      </c>
      <c r="O5" s="168" t="s">
        <v>17</v>
      </c>
      <c r="P5" s="168" t="s">
        <v>18</v>
      </c>
      <c r="Q5" s="168" t="s">
        <v>19</v>
      </c>
      <c r="R5" s="168" t="s">
        <v>20</v>
      </c>
      <c r="S5" s="168" t="s">
        <v>21</v>
      </c>
      <c r="T5" s="168" t="s">
        <v>22</v>
      </c>
      <c r="U5" s="168" t="s">
        <v>23</v>
      </c>
      <c r="V5" s="168" t="s">
        <v>24</v>
      </c>
      <c r="W5" s="168" t="s">
        <v>25</v>
      </c>
      <c r="X5" s="168" t="s">
        <v>26</v>
      </c>
      <c r="Y5" s="161"/>
      <c r="Z5" s="169" t="s">
        <v>5</v>
      </c>
      <c r="AA5" s="167" t="s">
        <v>27</v>
      </c>
      <c r="AB5" s="170" t="s">
        <v>7</v>
      </c>
      <c r="AC5" s="171" t="s">
        <v>6</v>
      </c>
      <c r="AD5" s="169" t="s">
        <v>8</v>
      </c>
      <c r="AE5" s="169" t="s">
        <v>9</v>
      </c>
      <c r="AF5" s="169" t="s">
        <v>10</v>
      </c>
      <c r="AG5" s="169" t="s">
        <v>11</v>
      </c>
      <c r="AH5" s="169" t="s">
        <v>12</v>
      </c>
      <c r="AI5" s="169" t="s">
        <v>13</v>
      </c>
      <c r="AJ5" s="169" t="s">
        <v>14</v>
      </c>
      <c r="AK5" s="169" t="s">
        <v>15</v>
      </c>
      <c r="AL5" s="169" t="s">
        <v>16</v>
      </c>
      <c r="AM5" s="169" t="s">
        <v>17</v>
      </c>
      <c r="AN5" s="169" t="s">
        <v>18</v>
      </c>
      <c r="AO5" s="169" t="s">
        <v>19</v>
      </c>
      <c r="AP5" s="169" t="s">
        <v>20</v>
      </c>
      <c r="AQ5" s="169" t="s">
        <v>21</v>
      </c>
      <c r="AR5" s="169" t="s">
        <v>22</v>
      </c>
      <c r="AS5" s="169" t="s">
        <v>23</v>
      </c>
      <c r="AT5" s="169" t="s">
        <v>24</v>
      </c>
      <c r="AU5" s="169" t="s">
        <v>25</v>
      </c>
      <c r="AV5" s="169" t="s">
        <v>26</v>
      </c>
      <c r="AW5" s="161"/>
      <c r="AX5" s="172" t="s">
        <v>28</v>
      </c>
      <c r="AY5" s="64" t="s">
        <v>274</v>
      </c>
      <c r="AZ5" s="65" t="s">
        <v>272</v>
      </c>
      <c r="BA5" s="181" t="s">
        <v>277</v>
      </c>
      <c r="BB5" s="182" t="s">
        <v>278</v>
      </c>
      <c r="BC5" s="181" t="s">
        <v>279</v>
      </c>
    </row>
    <row r="6" spans="1:55" x14ac:dyDescent="0.25">
      <c r="A6" s="173" t="s">
        <v>29</v>
      </c>
      <c r="B6" s="174">
        <f t="shared" ref="B6:X6" si="0">SUM(B7:B25)</f>
        <v>800</v>
      </c>
      <c r="C6" s="174">
        <f t="shared" si="0"/>
        <v>572</v>
      </c>
      <c r="D6" s="174">
        <f t="shared" si="0"/>
        <v>2641</v>
      </c>
      <c r="E6" s="174">
        <f t="shared" si="0"/>
        <v>1591</v>
      </c>
      <c r="F6" s="174">
        <f t="shared" si="0"/>
        <v>0</v>
      </c>
      <c r="G6" s="174">
        <f t="shared" si="0"/>
        <v>0</v>
      </c>
      <c r="H6" s="174">
        <f t="shared" si="0"/>
        <v>167</v>
      </c>
      <c r="I6" s="174">
        <f t="shared" si="0"/>
        <v>0</v>
      </c>
      <c r="J6" s="174">
        <f t="shared" si="0"/>
        <v>154</v>
      </c>
      <c r="K6" s="174">
        <f t="shared" si="0"/>
        <v>14</v>
      </c>
      <c r="L6" s="174">
        <f t="shared" si="0"/>
        <v>21</v>
      </c>
      <c r="M6" s="174">
        <f t="shared" si="0"/>
        <v>31</v>
      </c>
      <c r="N6" s="174">
        <f t="shared" si="0"/>
        <v>1</v>
      </c>
      <c r="O6" s="174">
        <f t="shared" si="0"/>
        <v>15</v>
      </c>
      <c r="P6" s="174">
        <f t="shared" si="0"/>
        <v>0</v>
      </c>
      <c r="Q6" s="174">
        <f t="shared" si="0"/>
        <v>198</v>
      </c>
      <c r="R6" s="174">
        <f t="shared" si="0"/>
        <v>67</v>
      </c>
      <c r="S6" s="174">
        <f t="shared" si="0"/>
        <v>78</v>
      </c>
      <c r="T6" s="174">
        <f t="shared" si="0"/>
        <v>440</v>
      </c>
      <c r="U6" s="174">
        <f t="shared" si="0"/>
        <v>28</v>
      </c>
      <c r="V6" s="174">
        <f t="shared" si="0"/>
        <v>1343</v>
      </c>
      <c r="W6" s="174">
        <f t="shared" si="0"/>
        <v>24</v>
      </c>
      <c r="X6" s="174">
        <f t="shared" si="0"/>
        <v>60</v>
      </c>
      <c r="Y6" s="174">
        <f t="shared" ref="Y6:Y69" si="1">SUM(F6:X6)</f>
        <v>2641</v>
      </c>
      <c r="Z6" s="174">
        <f t="shared" ref="Z6:AV6" si="2">SUM(Z7:Z25)</f>
        <v>559</v>
      </c>
      <c r="AA6" s="174">
        <f t="shared" si="2"/>
        <v>370</v>
      </c>
      <c r="AB6" s="174">
        <f t="shared" si="2"/>
        <v>1515</v>
      </c>
      <c r="AC6" s="174">
        <f t="shared" si="2"/>
        <v>1100</v>
      </c>
      <c r="AD6" s="174">
        <f t="shared" si="2"/>
        <v>0</v>
      </c>
      <c r="AE6" s="174">
        <f t="shared" si="2"/>
        <v>0</v>
      </c>
      <c r="AF6" s="174">
        <f t="shared" si="2"/>
        <v>101</v>
      </c>
      <c r="AG6" s="174">
        <f t="shared" si="2"/>
        <v>0</v>
      </c>
      <c r="AH6" s="174">
        <f t="shared" si="2"/>
        <v>99</v>
      </c>
      <c r="AI6" s="174">
        <f t="shared" si="2"/>
        <v>2</v>
      </c>
      <c r="AJ6" s="174">
        <f t="shared" si="2"/>
        <v>19</v>
      </c>
      <c r="AK6" s="174">
        <f t="shared" si="2"/>
        <v>13</v>
      </c>
      <c r="AL6" s="174">
        <f t="shared" si="2"/>
        <v>1</v>
      </c>
      <c r="AM6" s="174">
        <f t="shared" si="2"/>
        <v>9</v>
      </c>
      <c r="AN6" s="174">
        <f t="shared" si="2"/>
        <v>0</v>
      </c>
      <c r="AO6" s="174">
        <f t="shared" si="2"/>
        <v>16</v>
      </c>
      <c r="AP6" s="174">
        <f t="shared" si="2"/>
        <v>23</v>
      </c>
      <c r="AQ6" s="174">
        <f t="shared" si="2"/>
        <v>69</v>
      </c>
      <c r="AR6" s="174">
        <f t="shared" si="2"/>
        <v>245</v>
      </c>
      <c r="AS6" s="174">
        <f t="shared" si="2"/>
        <v>26</v>
      </c>
      <c r="AT6" s="174">
        <f t="shared" si="2"/>
        <v>832</v>
      </c>
      <c r="AU6" s="174">
        <f t="shared" si="2"/>
        <v>18</v>
      </c>
      <c r="AV6" s="174">
        <f t="shared" si="2"/>
        <v>40</v>
      </c>
      <c r="AW6" s="174">
        <f t="shared" ref="AW6:AW69" si="3">SUM(AD6:AV6)</f>
        <v>1513</v>
      </c>
      <c r="AX6" s="156">
        <v>976.84</v>
      </c>
      <c r="AY6" s="63"/>
      <c r="AZ6" s="63"/>
      <c r="BA6" s="184">
        <f>Z6*100/B6</f>
        <v>69.875</v>
      </c>
      <c r="BB6" s="185">
        <f>B6-Z6</f>
        <v>241</v>
      </c>
      <c r="BC6" s="184">
        <f>BB6*100/B6</f>
        <v>30.125</v>
      </c>
    </row>
    <row r="7" spans="1:55" x14ac:dyDescent="0.25">
      <c r="A7" s="175" t="s">
        <v>151</v>
      </c>
      <c r="B7" s="176">
        <f>'2018'!B7+'2019'!B7+'2020'!B7+'2021'!B7+'2022'!B7</f>
        <v>320</v>
      </c>
      <c r="C7" s="176">
        <f>'2018'!C7+'2019'!C7+'2020'!C7+'2021'!C7+'2022'!C7</f>
        <v>284</v>
      </c>
      <c r="D7" s="176">
        <f>'2018'!D7+'2019'!D7+'2020'!D7+'2021'!D7+'2022'!D7</f>
        <v>1156</v>
      </c>
      <c r="E7" s="176">
        <f>'2018'!E7+'2019'!E7+'2020'!E7+'2021'!E7+'2022'!E7</f>
        <v>739</v>
      </c>
      <c r="F7" s="176">
        <f>'2018'!F7+'2019'!F7+'2020'!F7+'2021'!F7+'2022'!F7</f>
        <v>0</v>
      </c>
      <c r="G7" s="176">
        <f>'2018'!G7+'2019'!G7+'2020'!G7+'2021'!G7+'2022'!G7</f>
        <v>0</v>
      </c>
      <c r="H7" s="176">
        <f>'2018'!H7+'2019'!H7+'2020'!H7+'2021'!H7+'2022'!H7</f>
        <v>0</v>
      </c>
      <c r="I7" s="176">
        <f>'2018'!I7+'2019'!I7+'2020'!I7+'2021'!I7+'2022'!I7</f>
        <v>0</v>
      </c>
      <c r="J7" s="176">
        <f>'2018'!J7+'2019'!J7+'2020'!J7+'2021'!J7+'2022'!J7</f>
        <v>0</v>
      </c>
      <c r="K7" s="176">
        <f>'2018'!K7+'2019'!K7+'2020'!K7+'2021'!K7+'2022'!K7</f>
        <v>0</v>
      </c>
      <c r="L7" s="176">
        <f>'2018'!L7+'2019'!L7+'2020'!L7+'2021'!L7+'2022'!L7</f>
        <v>0</v>
      </c>
      <c r="M7" s="176">
        <f>'2018'!M7+'2019'!M7+'2020'!M7+'2021'!M7+'2022'!M7</f>
        <v>0</v>
      </c>
      <c r="N7" s="176">
        <f>'2018'!N7+'2019'!N7+'2020'!N7+'2021'!N7+'2022'!N7</f>
        <v>0</v>
      </c>
      <c r="O7" s="176">
        <f>'2018'!O7+'2019'!O7+'2020'!O7+'2021'!O7+'2022'!O7</f>
        <v>1</v>
      </c>
      <c r="P7" s="176">
        <f>'2018'!P7+'2019'!P7+'2020'!P7+'2021'!P7+'2022'!P7</f>
        <v>0</v>
      </c>
      <c r="Q7" s="176">
        <f>'2018'!Q7+'2019'!Q7+'2020'!Q7+'2021'!Q7+'2022'!Q7</f>
        <v>198</v>
      </c>
      <c r="R7" s="176">
        <f>'2018'!R7+'2019'!R7+'2020'!R7+'2021'!R7+'2022'!R7</f>
        <v>0</v>
      </c>
      <c r="S7" s="176">
        <f>'2018'!S7+'2019'!S7+'2020'!S7+'2021'!S7+'2022'!S7</f>
        <v>0</v>
      </c>
      <c r="T7" s="176">
        <f>'2018'!T7+'2019'!T7+'2020'!T7+'2021'!T7+'2022'!T7</f>
        <v>8</v>
      </c>
      <c r="U7" s="176">
        <f>'2018'!U7+'2019'!U7+'2020'!U7+'2021'!U7+'2022'!U7</f>
        <v>0</v>
      </c>
      <c r="V7" s="176">
        <f>'2018'!V7+'2019'!V7+'2020'!V7+'2021'!V7+'2022'!V7</f>
        <v>922</v>
      </c>
      <c r="W7" s="176">
        <f>'2018'!W7+'2019'!W7+'2020'!W7+'2021'!W7+'2022'!W7</f>
        <v>0</v>
      </c>
      <c r="X7" s="176">
        <f>'2018'!X7+'2019'!X7+'2020'!X7+'2021'!X7+'2022'!X7</f>
        <v>27</v>
      </c>
      <c r="Y7" s="174">
        <f t="shared" si="1"/>
        <v>1156</v>
      </c>
      <c r="Z7" s="174">
        <f>'2018'!Z7+'2019'!Z7+'2020'!Z7+'2021'!Z7+'2022'!Z7</f>
        <v>222</v>
      </c>
      <c r="AA7" s="174">
        <f>'2018'!AA7+'2019'!AA7+'2020'!AA7+'2021'!AA7+'2022'!AA7</f>
        <v>174</v>
      </c>
      <c r="AB7" s="174">
        <f>'2018'!AB7+'2019'!AB7+'2020'!AB7+'2021'!AB7+'2022'!AB7</f>
        <v>592</v>
      </c>
      <c r="AC7" s="174">
        <f>'2018'!AC7+'2019'!AC7+'2020'!AC7+'2021'!AC7+'2022'!AC7</f>
        <v>490</v>
      </c>
      <c r="AD7" s="174">
        <f>'2018'!AD7+'2019'!AD7+'2020'!AD7+'2021'!AD7+'2022'!AD7</f>
        <v>0</v>
      </c>
      <c r="AE7" s="174">
        <f>'2018'!AE7+'2019'!AE7+'2020'!AE7+'2021'!AE7+'2022'!AE7</f>
        <v>0</v>
      </c>
      <c r="AF7" s="174">
        <f>'2018'!AF7+'2019'!AF7+'2020'!AF7+'2021'!AF7+'2022'!AF7</f>
        <v>0</v>
      </c>
      <c r="AG7" s="174">
        <f>'2018'!AG7+'2019'!AG7+'2020'!AG7+'2021'!AG7+'2022'!AG7</f>
        <v>0</v>
      </c>
      <c r="AH7" s="174">
        <f>'2018'!AH7+'2019'!AH7+'2020'!AH7+'2021'!AH7+'2022'!AH7</f>
        <v>0</v>
      </c>
      <c r="AI7" s="174">
        <f>'2018'!AI7+'2019'!AI7+'2020'!AI7+'2021'!AI7+'2022'!AI7</f>
        <v>0</v>
      </c>
      <c r="AJ7" s="174">
        <f>'2018'!AJ7+'2019'!AJ7+'2020'!AJ7+'2021'!AJ7+'2022'!AJ7</f>
        <v>0</v>
      </c>
      <c r="AK7" s="174">
        <f>'2018'!AK7+'2019'!AK7+'2020'!AK7+'2021'!AK7+'2022'!AK7</f>
        <v>0</v>
      </c>
      <c r="AL7" s="174">
        <f>'2018'!AL7+'2019'!AL7+'2020'!AL7+'2021'!AL7+'2022'!AL7</f>
        <v>0</v>
      </c>
      <c r="AM7" s="174">
        <f>'2018'!AM7+'2019'!AM7+'2020'!AM7+'2021'!AM7+'2022'!AM7</f>
        <v>0</v>
      </c>
      <c r="AN7" s="174">
        <f>'2018'!AN7+'2019'!AN7+'2020'!AN7+'2021'!AN7+'2022'!AN7</f>
        <v>0</v>
      </c>
      <c r="AO7" s="174">
        <f>'2018'!AO7+'2019'!AO7+'2020'!AO7+'2021'!AO7+'2022'!AO7</f>
        <v>16</v>
      </c>
      <c r="AP7" s="174">
        <f>'2018'!AP7+'2019'!AP7+'2020'!AP7+'2021'!AP7+'2022'!AP7</f>
        <v>0</v>
      </c>
      <c r="AQ7" s="174">
        <f>'2018'!AQ7+'2019'!AQ7+'2020'!AQ7+'2021'!AQ7+'2022'!AQ7</f>
        <v>0</v>
      </c>
      <c r="AR7" s="174">
        <f>'2018'!AR7+'2019'!AR7+'2020'!AR7+'2021'!AR7+'2022'!AR7</f>
        <v>4</v>
      </c>
      <c r="AS7" s="174">
        <f>'2018'!AS7+'2019'!AS7+'2020'!AS7+'2021'!AS7+'2022'!AS7</f>
        <v>0</v>
      </c>
      <c r="AT7" s="174">
        <f>'2018'!AT7+'2019'!AT7+'2020'!AT7+'2021'!AT7+'2022'!AT7</f>
        <v>548</v>
      </c>
      <c r="AU7" s="174">
        <f>'2018'!AU7+'2019'!AU7+'2020'!AU7+'2021'!AU7+'2022'!AU7</f>
        <v>0</v>
      </c>
      <c r="AV7" s="174">
        <f>'2018'!AV7+'2019'!AV7+'2020'!AV7+'2021'!AV7+'2022'!AV7</f>
        <v>24</v>
      </c>
      <c r="AW7" s="174">
        <f t="shared" si="3"/>
        <v>592</v>
      </c>
      <c r="AX7" s="156">
        <f>AY7/5</f>
        <v>997.71028571428565</v>
      </c>
      <c r="AY7" s="14">
        <f>'2018'!AX7+'2019'!AX7+'2020'!AX7+'2021'!AX7+'2022'!AX7</f>
        <v>4988.551428571428</v>
      </c>
      <c r="AZ7" s="14">
        <f t="shared" ref="AZ7:AZ25" si="4">AB7*100/D7</f>
        <v>51.211072664359861</v>
      </c>
      <c r="BA7" s="142"/>
      <c r="BB7" s="144"/>
      <c r="BC7" s="142"/>
    </row>
    <row r="8" spans="1:55" x14ac:dyDescent="0.25">
      <c r="A8" s="175" t="s">
        <v>152</v>
      </c>
      <c r="B8" s="176">
        <f>'2018'!B8+'2019'!B8+'2020'!B8+'2021'!B8+'2022'!B16</f>
        <v>26</v>
      </c>
      <c r="C8" s="176">
        <f>'2018'!C8+'2019'!C8+'2020'!C8+'2021'!C8+'2022'!C16</f>
        <v>22</v>
      </c>
      <c r="D8" s="176">
        <f>'2018'!D8+'2019'!D8+'2020'!D8+'2021'!D8+'2022'!D16</f>
        <v>142</v>
      </c>
      <c r="E8" s="176">
        <f>'2018'!E8+'2019'!E8+'2020'!E8+'2021'!E8+'2022'!E16</f>
        <v>138</v>
      </c>
      <c r="F8" s="176">
        <f>'2018'!F8+'2019'!F8+'2020'!F8+'2021'!F8+'2022'!F16</f>
        <v>0</v>
      </c>
      <c r="G8" s="176">
        <f>'2018'!G8+'2019'!G8+'2020'!G8+'2021'!G8+'2022'!G16</f>
        <v>0</v>
      </c>
      <c r="H8" s="176">
        <f>'2018'!H8+'2019'!H8+'2020'!H8+'2021'!H8+'2022'!H16</f>
        <v>0</v>
      </c>
      <c r="I8" s="176">
        <f>'2018'!I8+'2019'!I8+'2020'!I8+'2021'!I8+'2022'!I16</f>
        <v>0</v>
      </c>
      <c r="J8" s="176">
        <f>'2018'!J8+'2019'!J8+'2020'!J8+'2021'!J8+'2022'!J16</f>
        <v>1</v>
      </c>
      <c r="K8" s="176">
        <f>'2018'!K8+'2019'!K8+'2020'!K8+'2021'!K8+'2022'!K16</f>
        <v>0</v>
      </c>
      <c r="L8" s="176">
        <f>'2018'!L8+'2019'!L8+'2020'!L8+'2021'!L8+'2022'!L16</f>
        <v>1</v>
      </c>
      <c r="M8" s="176">
        <f>'2018'!M8+'2019'!M8+'2020'!M8+'2021'!M8+'2022'!M16</f>
        <v>0</v>
      </c>
      <c r="N8" s="176">
        <f>'2018'!N8+'2019'!N8+'2020'!N8+'2021'!N8+'2022'!N16</f>
        <v>0</v>
      </c>
      <c r="O8" s="176">
        <f>'2018'!O8+'2019'!O8+'2020'!O8+'2021'!O8+'2022'!O16</f>
        <v>0</v>
      </c>
      <c r="P8" s="176">
        <f>'2018'!P8+'2019'!P8+'2020'!P8+'2021'!P8+'2022'!P16</f>
        <v>0</v>
      </c>
      <c r="Q8" s="176">
        <f>'2018'!Q8+'2019'!Q8+'2020'!Q8+'2021'!Q8+'2022'!Q16</f>
        <v>0</v>
      </c>
      <c r="R8" s="176">
        <f>'2018'!R8+'2019'!R8+'2020'!R8+'2021'!R8+'2022'!R16</f>
        <v>0</v>
      </c>
      <c r="S8" s="176">
        <f>'2018'!S8+'2019'!S8+'2020'!S8+'2021'!S8+'2022'!S16</f>
        <v>0</v>
      </c>
      <c r="T8" s="176">
        <f>'2018'!T8+'2019'!T8+'2020'!T8+'2021'!T8+'2022'!T16</f>
        <v>136</v>
      </c>
      <c r="U8" s="176">
        <f>'2018'!U8+'2019'!U8+'2020'!U8+'2021'!U8+'2022'!U16</f>
        <v>0</v>
      </c>
      <c r="V8" s="176">
        <f>'2018'!V8+'2019'!V8+'2020'!V8+'2021'!V8+'2022'!V16</f>
        <v>4</v>
      </c>
      <c r="W8" s="176">
        <f>'2018'!W8+'2019'!W8+'2020'!W8+'2021'!W8+'2022'!W16</f>
        <v>0</v>
      </c>
      <c r="X8" s="176">
        <f>'2018'!X8+'2019'!X8+'2020'!X8+'2021'!X8+'2022'!X16</f>
        <v>0</v>
      </c>
      <c r="Y8" s="174">
        <f t="shared" si="1"/>
        <v>142</v>
      </c>
      <c r="Z8" s="174">
        <f>'2018'!Z8+'2019'!Z8+'2020'!Z8+'2021'!Z8+'2022'!Z16</f>
        <v>18</v>
      </c>
      <c r="AA8" s="174">
        <f>'2018'!AA8+'2019'!AA8+'2020'!AA8+'2021'!AA8+'2022'!AA16</f>
        <v>16</v>
      </c>
      <c r="AB8" s="174">
        <f>'2018'!AB8+'2019'!AB8+'2020'!AB8+'2021'!AB8+'2022'!AB16</f>
        <v>71</v>
      </c>
      <c r="AC8" s="174">
        <f>'2018'!AC8+'2019'!AC8+'2020'!AC8+'2021'!AC8+'2022'!AC16</f>
        <v>67</v>
      </c>
      <c r="AD8" s="174">
        <f>'2018'!AD8+'2019'!AD8+'2020'!AD8+'2021'!AD8+'2022'!AD16</f>
        <v>0</v>
      </c>
      <c r="AE8" s="174">
        <f>'2018'!AE8+'2019'!AE8+'2020'!AE8+'2021'!AE8+'2022'!AE16</f>
        <v>0</v>
      </c>
      <c r="AF8" s="174">
        <f>'2018'!AF8+'2019'!AF8+'2020'!AF8+'2021'!AF8+'2022'!AF16</f>
        <v>0</v>
      </c>
      <c r="AG8" s="174">
        <f>'2018'!AG8+'2019'!AG8+'2020'!AG8+'2021'!AG8+'2022'!AG16</f>
        <v>0</v>
      </c>
      <c r="AH8" s="174">
        <f>'2018'!AH8+'2019'!AH8+'2020'!AH8+'2021'!AH8+'2022'!AH16</f>
        <v>1</v>
      </c>
      <c r="AI8" s="174">
        <f>'2018'!AI8+'2019'!AI8+'2020'!AI8+'2021'!AI8+'2022'!AI16</f>
        <v>0</v>
      </c>
      <c r="AJ8" s="174">
        <f>'2018'!AJ8+'2019'!AJ8+'2020'!AJ8+'2021'!AJ8+'2022'!AJ16</f>
        <v>1</v>
      </c>
      <c r="AK8" s="174">
        <f>'2018'!AK8+'2019'!AK8+'2020'!AK8+'2021'!AK8+'2022'!AK16</f>
        <v>0</v>
      </c>
      <c r="AL8" s="174">
        <f>'2018'!AL8+'2019'!AL8+'2020'!AL8+'2021'!AL8+'2022'!AL16</f>
        <v>0</v>
      </c>
      <c r="AM8" s="174">
        <f>'2018'!AM8+'2019'!AM8+'2020'!AM8+'2021'!AM8+'2022'!AM16</f>
        <v>0</v>
      </c>
      <c r="AN8" s="174">
        <f>'2018'!AN8+'2019'!AN8+'2020'!AN8+'2021'!AN8+'2022'!AN16</f>
        <v>0</v>
      </c>
      <c r="AO8" s="174">
        <f>'2018'!AO8+'2019'!AO8+'2020'!AO8+'2021'!AO8+'2022'!AO16</f>
        <v>0</v>
      </c>
      <c r="AP8" s="174">
        <f>'2018'!AP8+'2019'!AP8+'2020'!AP8+'2021'!AP8+'2022'!AP16</f>
        <v>0</v>
      </c>
      <c r="AQ8" s="174">
        <f>'2018'!AQ8+'2019'!AQ8+'2020'!AQ8+'2021'!AQ8+'2022'!AQ16</f>
        <v>2</v>
      </c>
      <c r="AR8" s="174">
        <f>'2018'!AR8+'2019'!AR8+'2020'!AR8+'2021'!AR8+'2022'!AR16</f>
        <v>66</v>
      </c>
      <c r="AS8" s="174">
        <f>'2018'!AS8+'2019'!AS8+'2020'!AS8+'2021'!AS8+'2022'!AS16</f>
        <v>0</v>
      </c>
      <c r="AT8" s="174">
        <f>'2018'!AT8+'2019'!AT8+'2020'!AT8+'2021'!AT8+'2022'!AT16</f>
        <v>1</v>
      </c>
      <c r="AU8" s="174">
        <f>'2018'!AU8+'2019'!AU8+'2020'!AU8+'2021'!AU8+'2022'!AU16</f>
        <v>0</v>
      </c>
      <c r="AV8" s="174">
        <f>'2018'!AV8+'2019'!AV8+'2020'!AV8+'2021'!AV8+'2022'!AV16</f>
        <v>0</v>
      </c>
      <c r="AW8" s="174">
        <f t="shared" si="3"/>
        <v>71</v>
      </c>
      <c r="AX8" s="156">
        <f t="shared" ref="AX8:AX71" si="5">AY8/5</f>
        <v>1199.4695555555554</v>
      </c>
      <c r="AY8" s="14">
        <f>'2018'!AX8+'2019'!AX8+'2020'!AX8+'2021'!AX8+'2022'!AX16</f>
        <v>5997.3477777777771</v>
      </c>
      <c r="AZ8" s="14">
        <f t="shared" si="4"/>
        <v>50</v>
      </c>
      <c r="BA8" s="142"/>
      <c r="BB8" s="144"/>
      <c r="BC8" s="142"/>
    </row>
    <row r="9" spans="1:55" x14ac:dyDescent="0.25">
      <c r="A9" s="175" t="s">
        <v>153</v>
      </c>
      <c r="B9" s="176">
        <f>'2018'!B9+'2019'!B9+'2020'!B9+'2021'!B9+'2022'!B17</f>
        <v>28</v>
      </c>
      <c r="C9" s="176">
        <f>'2018'!C9+'2019'!C9+'2020'!C9+'2021'!C9+'2022'!C17</f>
        <v>25</v>
      </c>
      <c r="D9" s="176">
        <f>'2018'!D9+'2019'!D9+'2020'!D9+'2021'!D9+'2022'!D17</f>
        <v>48</v>
      </c>
      <c r="E9" s="176">
        <f>'2018'!E9+'2019'!E9+'2020'!E9+'2021'!E9+'2022'!E17</f>
        <v>34</v>
      </c>
      <c r="F9" s="176">
        <f>'2018'!F9+'2019'!F9+'2020'!F9+'2021'!F9+'2022'!F17</f>
        <v>0</v>
      </c>
      <c r="G9" s="176">
        <f>'2018'!G9+'2019'!G9+'2020'!G9+'2021'!G9+'2022'!G17</f>
        <v>0</v>
      </c>
      <c r="H9" s="176">
        <f>'2018'!H9+'2019'!H9+'2020'!H9+'2021'!H9+'2022'!H17</f>
        <v>0</v>
      </c>
      <c r="I9" s="176">
        <f>'2018'!I9+'2019'!I9+'2020'!I9+'2021'!I9+'2022'!I17</f>
        <v>0</v>
      </c>
      <c r="J9" s="176">
        <f>'2018'!J9+'2019'!J9+'2020'!J9+'2021'!J9+'2022'!J17</f>
        <v>11</v>
      </c>
      <c r="K9" s="176">
        <f>'2018'!K9+'2019'!K9+'2020'!K9+'2021'!K9+'2022'!K17</f>
        <v>0</v>
      </c>
      <c r="L9" s="176">
        <f>'2018'!L9+'2019'!L9+'2020'!L9+'2021'!L9+'2022'!L17</f>
        <v>0</v>
      </c>
      <c r="M9" s="176">
        <f>'2018'!M9+'2019'!M9+'2020'!M9+'2021'!M9+'2022'!M17</f>
        <v>0</v>
      </c>
      <c r="N9" s="176">
        <f>'2018'!N9+'2019'!N9+'2020'!N9+'2021'!N9+'2022'!N17</f>
        <v>0</v>
      </c>
      <c r="O9" s="176">
        <f>'2018'!O9+'2019'!O9+'2020'!O9+'2021'!O9+'2022'!O17</f>
        <v>0</v>
      </c>
      <c r="P9" s="176">
        <f>'2018'!P9+'2019'!P9+'2020'!P9+'2021'!P9+'2022'!P17</f>
        <v>0</v>
      </c>
      <c r="Q9" s="176">
        <f>'2018'!Q9+'2019'!Q9+'2020'!Q9+'2021'!Q9+'2022'!Q17</f>
        <v>0</v>
      </c>
      <c r="R9" s="176">
        <f>'2018'!R9+'2019'!R9+'2020'!R9+'2021'!R9+'2022'!R17</f>
        <v>1</v>
      </c>
      <c r="S9" s="176">
        <f>'2018'!S9+'2019'!S9+'2020'!S9+'2021'!S9+'2022'!S17</f>
        <v>0</v>
      </c>
      <c r="T9" s="176">
        <f>'2018'!T9+'2019'!T9+'2020'!T9+'2021'!T9+'2022'!T17</f>
        <v>14</v>
      </c>
      <c r="U9" s="176">
        <f>'2018'!U9+'2019'!U9+'2020'!U9+'2021'!U9+'2022'!U17</f>
        <v>0</v>
      </c>
      <c r="V9" s="176">
        <f>'2018'!V9+'2019'!V9+'2020'!V9+'2021'!V9+'2022'!V17</f>
        <v>21</v>
      </c>
      <c r="W9" s="176">
        <f>'2018'!W9+'2019'!W9+'2020'!W9+'2021'!W9+'2022'!W17</f>
        <v>0</v>
      </c>
      <c r="X9" s="176">
        <f>'2018'!X9+'2019'!X9+'2020'!X9+'2021'!X9+'2022'!X17</f>
        <v>1</v>
      </c>
      <c r="Y9" s="174">
        <f t="shared" si="1"/>
        <v>48</v>
      </c>
      <c r="Z9" s="174">
        <f>'2018'!Z9+'2019'!Z9+'2020'!Z9+'2021'!Z9+'2022'!Z17</f>
        <v>19</v>
      </c>
      <c r="AA9" s="174">
        <f>'2018'!AA9+'2019'!AA9+'2020'!AA9+'2021'!AA9+'2022'!AA17</f>
        <v>18</v>
      </c>
      <c r="AB9" s="174">
        <f>'2018'!AB9+'2019'!AB9+'2020'!AB9+'2021'!AB9+'2022'!AB17</f>
        <v>34</v>
      </c>
      <c r="AC9" s="174">
        <f>'2018'!AC9+'2019'!AC9+'2020'!AC9+'2021'!AC9+'2022'!AC17</f>
        <v>23</v>
      </c>
      <c r="AD9" s="174">
        <f>'2018'!AD9+'2019'!AD9+'2020'!AD9+'2021'!AD9+'2022'!AD17</f>
        <v>0</v>
      </c>
      <c r="AE9" s="174">
        <f>'2018'!AE9+'2019'!AE9+'2020'!AE9+'2021'!AE9+'2022'!AE17</f>
        <v>0</v>
      </c>
      <c r="AF9" s="174">
        <f>'2018'!AF9+'2019'!AF9+'2020'!AF9+'2021'!AF9+'2022'!AF17</f>
        <v>0</v>
      </c>
      <c r="AG9" s="174">
        <f>'2018'!AG9+'2019'!AG9+'2020'!AG9+'2021'!AG9+'2022'!AG17</f>
        <v>0</v>
      </c>
      <c r="AH9" s="174">
        <f>'2018'!AH9+'2019'!AH9+'2020'!AH9+'2021'!AH9+'2022'!AH17</f>
        <v>11</v>
      </c>
      <c r="AI9" s="174">
        <f>'2018'!AI9+'2019'!AI9+'2020'!AI9+'2021'!AI9+'2022'!AI17</f>
        <v>0</v>
      </c>
      <c r="AJ9" s="174">
        <f>'2018'!AJ9+'2019'!AJ9+'2020'!AJ9+'2021'!AJ9+'2022'!AJ17</f>
        <v>0</v>
      </c>
      <c r="AK9" s="174">
        <f>'2018'!AK9+'2019'!AK9+'2020'!AK9+'2021'!AK9+'2022'!AK17</f>
        <v>0</v>
      </c>
      <c r="AL9" s="174">
        <f>'2018'!AL9+'2019'!AL9+'2020'!AL9+'2021'!AL9+'2022'!AL17</f>
        <v>0</v>
      </c>
      <c r="AM9" s="174">
        <f>'2018'!AM9+'2019'!AM9+'2020'!AM9+'2021'!AM9+'2022'!AM17</f>
        <v>0</v>
      </c>
      <c r="AN9" s="174">
        <f>'2018'!AN9+'2019'!AN9+'2020'!AN9+'2021'!AN9+'2022'!AN17</f>
        <v>0</v>
      </c>
      <c r="AO9" s="174">
        <f>'2018'!AO9+'2019'!AO9+'2020'!AO9+'2021'!AO9+'2022'!AO17</f>
        <v>0</v>
      </c>
      <c r="AP9" s="174">
        <f>'2018'!AP9+'2019'!AP9+'2020'!AP9+'2021'!AP9+'2022'!AP17</f>
        <v>1</v>
      </c>
      <c r="AQ9" s="174">
        <f>'2018'!AQ9+'2019'!AQ9+'2020'!AQ9+'2021'!AQ9+'2022'!AQ17</f>
        <v>0</v>
      </c>
      <c r="AR9" s="174">
        <f>'2018'!AR9+'2019'!AR9+'2020'!AR9+'2021'!AR9+'2022'!AR17</f>
        <v>10</v>
      </c>
      <c r="AS9" s="174">
        <f>'2018'!AS9+'2019'!AS9+'2020'!AS9+'2021'!AS9+'2022'!AS17</f>
        <v>0</v>
      </c>
      <c r="AT9" s="174">
        <f>'2018'!AT9+'2019'!AT9+'2020'!AT9+'2021'!AT9+'2022'!AT17</f>
        <v>12</v>
      </c>
      <c r="AU9" s="174">
        <f>'2018'!AU9+'2019'!AU9+'2020'!AU9+'2021'!AU9+'2022'!AU17</f>
        <v>0</v>
      </c>
      <c r="AV9" s="174">
        <f>'2018'!AV9+'2019'!AV9+'2020'!AV9+'2021'!AV9+'2022'!AV17</f>
        <v>0</v>
      </c>
      <c r="AW9" s="174">
        <f t="shared" si="3"/>
        <v>34</v>
      </c>
      <c r="AX9" s="156">
        <f t="shared" si="5"/>
        <v>557.34799999999996</v>
      </c>
      <c r="AY9" s="14">
        <f>'2018'!AX9+'2019'!AX9+'2020'!AX9+'2021'!AX9+'2022'!AX17</f>
        <v>2786.74</v>
      </c>
      <c r="AZ9" s="14">
        <f t="shared" si="4"/>
        <v>70.833333333333329</v>
      </c>
      <c r="BA9" s="142"/>
      <c r="BB9" s="144"/>
      <c r="BC9" s="142"/>
    </row>
    <row r="10" spans="1:55" x14ac:dyDescent="0.25">
      <c r="A10" s="175" t="s">
        <v>154</v>
      </c>
      <c r="B10" s="176">
        <f>'2018'!B10+'2019'!B10+'2020'!B10+'2021'!B10+'2022'!B18</f>
        <v>94</v>
      </c>
      <c r="C10" s="176">
        <f>'2018'!C10+'2019'!C10+'2020'!C10+'2021'!C10+'2022'!C18</f>
        <v>39</v>
      </c>
      <c r="D10" s="176">
        <f>'2018'!D10+'2019'!D10+'2020'!D10+'2021'!D10+'2022'!D18</f>
        <v>195</v>
      </c>
      <c r="E10" s="176">
        <f>'2018'!E10+'2019'!E10+'2020'!E10+'2021'!E10+'2022'!E18</f>
        <v>78</v>
      </c>
      <c r="F10" s="176">
        <f>'2018'!F10+'2019'!F10+'2020'!F10+'2021'!F10+'2022'!F18</f>
        <v>0</v>
      </c>
      <c r="G10" s="176">
        <f>'2018'!G10+'2019'!G10+'2020'!G10+'2021'!G10+'2022'!G18</f>
        <v>0</v>
      </c>
      <c r="H10" s="176">
        <f>'2018'!H10+'2019'!H10+'2020'!H10+'2021'!H10+'2022'!H18</f>
        <v>18</v>
      </c>
      <c r="I10" s="176">
        <f>'2018'!I10+'2019'!I10+'2020'!I10+'2021'!I10+'2022'!I18</f>
        <v>0</v>
      </c>
      <c r="J10" s="176">
        <f>'2018'!J10+'2019'!J10+'2020'!J10+'2021'!J10+'2022'!J18</f>
        <v>37</v>
      </c>
      <c r="K10" s="176">
        <f>'2018'!K10+'2019'!K10+'2020'!K10+'2021'!K10+'2022'!K18</f>
        <v>8</v>
      </c>
      <c r="L10" s="176">
        <f>'2018'!L10+'2019'!L10+'2020'!L10+'2021'!L10+'2022'!L18</f>
        <v>3</v>
      </c>
      <c r="M10" s="176">
        <f>'2018'!M10+'2019'!M10+'2020'!M10+'2021'!M10+'2022'!M18</f>
        <v>1</v>
      </c>
      <c r="N10" s="176">
        <f>'2018'!N10+'2019'!N10+'2020'!N10+'2021'!N10+'2022'!N18</f>
        <v>1</v>
      </c>
      <c r="O10" s="176">
        <f>'2018'!O10+'2019'!O10+'2020'!O10+'2021'!O10+'2022'!O18</f>
        <v>13</v>
      </c>
      <c r="P10" s="176">
        <f>'2018'!P10+'2019'!P10+'2020'!P10+'2021'!P10+'2022'!P18</f>
        <v>0</v>
      </c>
      <c r="Q10" s="176">
        <f>'2018'!Q10+'2019'!Q10+'2020'!Q10+'2021'!Q10+'2022'!Q18</f>
        <v>0</v>
      </c>
      <c r="R10" s="176">
        <f>'2018'!R10+'2019'!R10+'2020'!R10+'2021'!R10+'2022'!R18</f>
        <v>40</v>
      </c>
      <c r="S10" s="176">
        <f>'2018'!S10+'2019'!S10+'2020'!S10+'2021'!S10+'2022'!S18</f>
        <v>2</v>
      </c>
      <c r="T10" s="176">
        <f>'2018'!T10+'2019'!T10+'2020'!T10+'2021'!T10+'2022'!T18</f>
        <v>7</v>
      </c>
      <c r="U10" s="176">
        <f>'2018'!U10+'2019'!U10+'2020'!U10+'2021'!U10+'2022'!U18</f>
        <v>2</v>
      </c>
      <c r="V10" s="176">
        <f>'2018'!V10+'2019'!V10+'2020'!V10+'2021'!V10+'2022'!V18</f>
        <v>43</v>
      </c>
      <c r="W10" s="176">
        <f>'2018'!W10+'2019'!W10+'2020'!W10+'2021'!W10+'2022'!W18</f>
        <v>11</v>
      </c>
      <c r="X10" s="176">
        <f>'2018'!X10+'2019'!X10+'2020'!X10+'2021'!X10+'2022'!X18</f>
        <v>9</v>
      </c>
      <c r="Y10" s="174">
        <f t="shared" si="1"/>
        <v>195</v>
      </c>
      <c r="Z10" s="174">
        <f>'2018'!Z10+'2019'!Z10+'2020'!Z10+'2021'!Z10+'2022'!Z18</f>
        <v>57</v>
      </c>
      <c r="AA10" s="174">
        <f>'2018'!AA10+'2019'!AA10+'2020'!AA10+'2021'!AA10+'2022'!AA18</f>
        <v>26</v>
      </c>
      <c r="AB10" s="174">
        <f>'2018'!AB10+'2019'!AB10+'2020'!AB10+'2021'!AB10+'2022'!AB18</f>
        <v>108</v>
      </c>
      <c r="AC10" s="174">
        <f>'2018'!AC10+'2019'!AC10+'2020'!AC10+'2021'!AC10+'2022'!AC18</f>
        <v>35</v>
      </c>
      <c r="AD10" s="174">
        <f>'2018'!AD10+'2019'!AD10+'2020'!AD10+'2021'!AD10+'2022'!AD18</f>
        <v>0</v>
      </c>
      <c r="AE10" s="174">
        <f>'2018'!AE10+'2019'!AE10+'2020'!AE10+'2021'!AE10+'2022'!AE18</f>
        <v>0</v>
      </c>
      <c r="AF10" s="174">
        <f>'2018'!AF10+'2019'!AF10+'2020'!AF10+'2021'!AF10+'2022'!AF18</f>
        <v>14</v>
      </c>
      <c r="AG10" s="174">
        <f>'2018'!AG10+'2019'!AG10+'2020'!AG10+'2021'!AG10+'2022'!AG18</f>
        <v>0</v>
      </c>
      <c r="AH10" s="174">
        <f>'2018'!AH10+'2019'!AH10+'2020'!AH10+'2021'!AH10+'2022'!AH18</f>
        <v>37</v>
      </c>
      <c r="AI10" s="174">
        <f>'2018'!AI10+'2019'!AI10+'2020'!AI10+'2021'!AI10+'2022'!AI18</f>
        <v>0</v>
      </c>
      <c r="AJ10" s="174">
        <f>'2018'!AJ10+'2019'!AJ10+'2020'!AJ10+'2021'!AJ10+'2022'!AJ18</f>
        <v>2</v>
      </c>
      <c r="AK10" s="174">
        <f>'2018'!AK10+'2019'!AK10+'2020'!AK10+'2021'!AK10+'2022'!AK18</f>
        <v>0</v>
      </c>
      <c r="AL10" s="174">
        <f>'2018'!AL10+'2019'!AL10+'2020'!AL10+'2021'!AL10+'2022'!AL18</f>
        <v>1</v>
      </c>
      <c r="AM10" s="174">
        <f>'2018'!AM10+'2019'!AM10+'2020'!AM10+'2021'!AM10+'2022'!AM18</f>
        <v>8</v>
      </c>
      <c r="AN10" s="174">
        <f>'2018'!AN10+'2019'!AN10+'2020'!AN10+'2021'!AN10+'2022'!AN18</f>
        <v>0</v>
      </c>
      <c r="AO10" s="174">
        <f>'2018'!AO10+'2019'!AO10+'2020'!AO10+'2021'!AO10+'2022'!AO18</f>
        <v>0</v>
      </c>
      <c r="AP10" s="174">
        <f>'2018'!AP10+'2019'!AP10+'2020'!AP10+'2021'!AP10+'2022'!AP18</f>
        <v>10</v>
      </c>
      <c r="AQ10" s="174">
        <f>'2018'!AQ10+'2019'!AQ10+'2020'!AQ10+'2021'!AQ10+'2022'!AQ18</f>
        <v>0</v>
      </c>
      <c r="AR10" s="174">
        <f>'2018'!AR10+'2019'!AR10+'2020'!AR10+'2021'!AR10+'2022'!AR18</f>
        <v>5</v>
      </c>
      <c r="AS10" s="174">
        <f>'2018'!AS10+'2019'!AS10+'2020'!AS10+'2021'!AS10+'2022'!AS18</f>
        <v>1</v>
      </c>
      <c r="AT10" s="174">
        <f>'2018'!AT10+'2019'!AT10+'2020'!AT10+'2021'!AT10+'2022'!AT18</f>
        <v>11</v>
      </c>
      <c r="AU10" s="174">
        <f>'2018'!AU10+'2019'!AU10+'2020'!AU10+'2021'!AU10+'2022'!AU18</f>
        <v>11</v>
      </c>
      <c r="AV10" s="174">
        <f>'2018'!AV10+'2019'!AV10+'2020'!AV10+'2021'!AV10+'2022'!AV18</f>
        <v>8</v>
      </c>
      <c r="AW10" s="174">
        <f t="shared" si="3"/>
        <v>108</v>
      </c>
      <c r="AX10" s="156">
        <f t="shared" si="5"/>
        <v>1556.9661098901099</v>
      </c>
      <c r="AY10" s="14">
        <f>'2018'!AX10+'2019'!AX10+'2020'!AX10+'2021'!AX10+'2022'!AX18</f>
        <v>7784.8305494505494</v>
      </c>
      <c r="AZ10" s="14">
        <f t="shared" si="4"/>
        <v>55.384615384615387</v>
      </c>
      <c r="BA10" s="142"/>
      <c r="BB10" s="144"/>
      <c r="BC10" s="142"/>
    </row>
    <row r="11" spans="1:55" x14ac:dyDescent="0.25">
      <c r="A11" s="175" t="s">
        <v>155</v>
      </c>
      <c r="B11" s="176">
        <f>'2018'!B11+'2019'!B11+'2020'!B11+'2021'!B11+'2022'!B19</f>
        <v>16</v>
      </c>
      <c r="C11" s="176">
        <f>'2018'!C11+'2019'!C11+'2020'!C11+'2021'!C11+'2022'!C19</f>
        <v>3</v>
      </c>
      <c r="D11" s="176">
        <f>'2018'!D11+'2019'!D11+'2020'!D11+'2021'!D11+'2022'!D19</f>
        <v>80</v>
      </c>
      <c r="E11" s="176">
        <f>'2018'!E11+'2019'!E11+'2020'!E11+'2021'!E11+'2022'!E19</f>
        <v>27</v>
      </c>
      <c r="F11" s="176">
        <f>'2018'!F11+'2019'!F11+'2020'!F11+'2021'!F11+'2022'!F19</f>
        <v>0</v>
      </c>
      <c r="G11" s="176">
        <f>'2018'!G11+'2019'!G11+'2020'!G11+'2021'!G11+'2022'!G19</f>
        <v>0</v>
      </c>
      <c r="H11" s="176">
        <f>'2018'!H11+'2019'!H11+'2020'!H11+'2021'!H11+'2022'!H19</f>
        <v>25</v>
      </c>
      <c r="I11" s="176">
        <f>'2018'!I11+'2019'!I11+'2020'!I11+'2021'!I11+'2022'!I19</f>
        <v>0</v>
      </c>
      <c r="J11" s="176">
        <f>'2018'!J11+'2019'!J11+'2020'!J11+'2021'!J11+'2022'!J19</f>
        <v>0</v>
      </c>
      <c r="K11" s="176">
        <f>'2018'!K11+'2019'!K11+'2020'!K11+'2021'!K11+'2022'!K19</f>
        <v>1</v>
      </c>
      <c r="L11" s="176">
        <f>'2018'!L11+'2019'!L11+'2020'!L11+'2021'!L11+'2022'!L19</f>
        <v>0</v>
      </c>
      <c r="M11" s="176">
        <f>'2018'!M11+'2019'!M11+'2020'!M11+'2021'!M11+'2022'!M19</f>
        <v>18</v>
      </c>
      <c r="N11" s="176">
        <f>'2018'!N11+'2019'!N11+'2020'!N11+'2021'!N11+'2022'!N19</f>
        <v>0</v>
      </c>
      <c r="O11" s="176">
        <f>'2018'!O11+'2019'!O11+'2020'!O11+'2021'!O11+'2022'!O19</f>
        <v>0</v>
      </c>
      <c r="P11" s="176">
        <f>'2018'!P11+'2019'!P11+'2020'!P11+'2021'!P11+'2022'!P19</f>
        <v>0</v>
      </c>
      <c r="Q11" s="176">
        <f>'2018'!Q11+'2019'!Q11+'2020'!Q11+'2021'!Q11+'2022'!Q19</f>
        <v>0</v>
      </c>
      <c r="R11" s="176">
        <f>'2018'!R11+'2019'!R11+'2020'!R11+'2021'!R11+'2022'!R19</f>
        <v>1</v>
      </c>
      <c r="S11" s="176">
        <f>'2018'!S11+'2019'!S11+'2020'!S11+'2021'!S11+'2022'!S19</f>
        <v>2</v>
      </c>
      <c r="T11" s="176">
        <f>'2018'!T11+'2019'!T11+'2020'!T11+'2021'!T11+'2022'!T19</f>
        <v>0</v>
      </c>
      <c r="U11" s="176">
        <f>'2018'!U11+'2019'!U11+'2020'!U11+'2021'!U11+'2022'!U19</f>
        <v>0</v>
      </c>
      <c r="V11" s="176">
        <f>'2018'!V11+'2019'!V11+'2020'!V11+'2021'!V11+'2022'!V19</f>
        <v>27</v>
      </c>
      <c r="W11" s="176">
        <f>'2018'!W11+'2019'!W11+'2020'!W11+'2021'!W11+'2022'!W19</f>
        <v>0</v>
      </c>
      <c r="X11" s="176">
        <f>'2018'!X11+'2019'!X11+'2020'!X11+'2021'!X11+'2022'!X19</f>
        <v>6</v>
      </c>
      <c r="Y11" s="174">
        <f t="shared" si="1"/>
        <v>80</v>
      </c>
      <c r="Z11" s="174">
        <f>'2018'!Z11+'2019'!Z11+'2020'!Z11+'2021'!Z11+'2022'!Z19</f>
        <v>12</v>
      </c>
      <c r="AA11" s="174">
        <f>'2018'!AA11+'2019'!AA11+'2020'!AA11+'2021'!AA11+'2022'!AA19</f>
        <v>3</v>
      </c>
      <c r="AB11" s="174">
        <f>'2018'!AB11+'2019'!AB11+'2020'!AB11+'2021'!AB11+'2022'!AB19</f>
        <v>42</v>
      </c>
      <c r="AC11" s="174">
        <f>'2018'!AC11+'2019'!AC11+'2020'!AC11+'2021'!AC11+'2022'!AC19</f>
        <v>27</v>
      </c>
      <c r="AD11" s="174">
        <f>'2018'!AD11+'2019'!AD11+'2020'!AD11+'2021'!AD11+'2022'!AD19</f>
        <v>0</v>
      </c>
      <c r="AE11" s="174">
        <f>'2018'!AE11+'2019'!AE11+'2020'!AE11+'2021'!AE11+'2022'!AE19</f>
        <v>0</v>
      </c>
      <c r="AF11" s="174">
        <f>'2018'!AF11+'2019'!AF11+'2020'!AF11+'2021'!AF11+'2022'!AF19</f>
        <v>5</v>
      </c>
      <c r="AG11" s="174">
        <f>'2018'!AG11+'2019'!AG11+'2020'!AG11+'2021'!AG11+'2022'!AG19</f>
        <v>0</v>
      </c>
      <c r="AH11" s="174">
        <f>'2018'!AH11+'2019'!AH11+'2020'!AH11+'2021'!AH11+'2022'!AH19</f>
        <v>0</v>
      </c>
      <c r="AI11" s="174">
        <f>'2018'!AI11+'2019'!AI11+'2020'!AI11+'2021'!AI11+'2022'!AI19</f>
        <v>0</v>
      </c>
      <c r="AJ11" s="174">
        <f>'2018'!AJ11+'2019'!AJ11+'2020'!AJ11+'2021'!AJ11+'2022'!AJ19</f>
        <v>0</v>
      </c>
      <c r="AK11" s="174">
        <f>'2018'!AK11+'2019'!AK11+'2020'!AK11+'2021'!AK11+'2022'!AK19</f>
        <v>3</v>
      </c>
      <c r="AL11" s="174">
        <f>'2018'!AL11+'2019'!AL11+'2020'!AL11+'2021'!AL11+'2022'!AL19</f>
        <v>0</v>
      </c>
      <c r="AM11" s="174">
        <f>'2018'!AM11+'2019'!AM11+'2020'!AM11+'2021'!AM11+'2022'!AM19</f>
        <v>0</v>
      </c>
      <c r="AN11" s="174">
        <f>'2018'!AN11+'2019'!AN11+'2020'!AN11+'2021'!AN11+'2022'!AN19</f>
        <v>0</v>
      </c>
      <c r="AO11" s="174">
        <f>'2018'!AO11+'2019'!AO11+'2020'!AO11+'2021'!AO11+'2022'!AO19</f>
        <v>0</v>
      </c>
      <c r="AP11" s="174">
        <f>'2018'!AP11+'2019'!AP11+'2020'!AP11+'2021'!AP11+'2022'!AP19</f>
        <v>1</v>
      </c>
      <c r="AQ11" s="174">
        <f>'2018'!AQ11+'2019'!AQ11+'2020'!AQ11+'2021'!AQ11+'2022'!AQ19</f>
        <v>1</v>
      </c>
      <c r="AR11" s="174">
        <f>'2018'!AR11+'2019'!AR11+'2020'!AR11+'2021'!AR11+'2022'!AR19</f>
        <v>0</v>
      </c>
      <c r="AS11" s="174">
        <f>'2018'!AS11+'2019'!AS11+'2020'!AS11+'2021'!AS11+'2022'!AS19</f>
        <v>0</v>
      </c>
      <c r="AT11" s="174">
        <f>'2018'!AT11+'2019'!AT11+'2020'!AT11+'2021'!AT11+'2022'!AT19</f>
        <v>27</v>
      </c>
      <c r="AU11" s="174">
        <f>'2018'!AU11+'2019'!AU11+'2020'!AU11+'2021'!AU11+'2022'!AU19</f>
        <v>0</v>
      </c>
      <c r="AV11" s="174">
        <f>'2018'!AV11+'2019'!AV11+'2020'!AV11+'2021'!AV11+'2022'!AV19</f>
        <v>5</v>
      </c>
      <c r="AW11" s="174">
        <f t="shared" si="3"/>
        <v>42</v>
      </c>
      <c r="AX11" s="156">
        <f t="shared" si="5"/>
        <v>1229.8666666666666</v>
      </c>
      <c r="AY11" s="14">
        <f>'2018'!AX11+'2019'!AX11+'2020'!AX11+'2021'!AX11+'2022'!AX19</f>
        <v>6149.333333333333</v>
      </c>
      <c r="AZ11" s="14">
        <f t="shared" si="4"/>
        <v>52.5</v>
      </c>
      <c r="BA11" s="142"/>
      <c r="BB11" s="144"/>
      <c r="BC11" s="142"/>
    </row>
    <row r="12" spans="1:55" x14ac:dyDescent="0.25">
      <c r="A12" s="175" t="s">
        <v>156</v>
      </c>
      <c r="B12" s="176">
        <f>'2018'!B12+'2019'!B12+'2020'!B12+'2021'!B12+'2022'!B20</f>
        <v>19</v>
      </c>
      <c r="C12" s="176">
        <f>'2018'!C12+'2019'!C12+'2020'!C12+'2021'!C12+'2022'!C20</f>
        <v>16</v>
      </c>
      <c r="D12" s="176">
        <f>'2018'!D12+'2019'!D12+'2020'!D12+'2021'!D12+'2022'!D20</f>
        <v>42</v>
      </c>
      <c r="E12" s="176">
        <f>'2018'!E12+'2019'!E12+'2020'!E12+'2021'!E12+'2022'!E20</f>
        <v>29</v>
      </c>
      <c r="F12" s="176">
        <f>'2018'!F12+'2019'!F12+'2020'!F12+'2021'!F12+'2022'!F20</f>
        <v>0</v>
      </c>
      <c r="G12" s="176">
        <f>'2018'!G12+'2019'!G12+'2020'!G12+'2021'!G12+'2022'!G20</f>
        <v>0</v>
      </c>
      <c r="H12" s="176">
        <f>'2018'!H12+'2019'!H12+'2020'!H12+'2021'!H12+'2022'!H20</f>
        <v>8</v>
      </c>
      <c r="I12" s="176">
        <f>'2018'!I12+'2019'!I12+'2020'!I12+'2021'!I12+'2022'!I20</f>
        <v>0</v>
      </c>
      <c r="J12" s="176">
        <f>'2018'!J12+'2019'!J12+'2020'!J12+'2021'!J12+'2022'!J20</f>
        <v>0</v>
      </c>
      <c r="K12" s="176">
        <f>'2018'!K12+'2019'!K12+'2020'!K12+'2021'!K12+'2022'!K20</f>
        <v>0</v>
      </c>
      <c r="L12" s="176">
        <f>'2018'!L12+'2019'!L12+'2020'!L12+'2021'!L12+'2022'!L20</f>
        <v>1</v>
      </c>
      <c r="M12" s="176">
        <f>'2018'!M12+'2019'!M12+'2020'!M12+'2021'!M12+'2022'!M20</f>
        <v>0</v>
      </c>
      <c r="N12" s="176">
        <f>'2018'!N12+'2019'!N12+'2020'!N12+'2021'!N12+'2022'!N20</f>
        <v>0</v>
      </c>
      <c r="O12" s="176">
        <f>'2018'!O12+'2019'!O12+'2020'!O12+'2021'!O12+'2022'!O20</f>
        <v>0</v>
      </c>
      <c r="P12" s="176">
        <f>'2018'!P12+'2019'!P12+'2020'!P12+'2021'!P12+'2022'!P20</f>
        <v>0</v>
      </c>
      <c r="Q12" s="176">
        <f>'2018'!Q12+'2019'!Q12+'2020'!Q12+'2021'!Q12+'2022'!Q20</f>
        <v>0</v>
      </c>
      <c r="R12" s="176">
        <f>'2018'!R12+'2019'!R12+'2020'!R12+'2021'!R12+'2022'!R20</f>
        <v>5</v>
      </c>
      <c r="S12" s="176">
        <f>'2018'!S12+'2019'!S12+'2020'!S12+'2021'!S12+'2022'!S20</f>
        <v>4</v>
      </c>
      <c r="T12" s="176">
        <f>'2018'!T12+'2019'!T12+'2020'!T12+'2021'!T12+'2022'!T20</f>
        <v>18</v>
      </c>
      <c r="U12" s="176">
        <f>'2018'!U12+'2019'!U12+'2020'!U12+'2021'!U12+'2022'!U20</f>
        <v>0</v>
      </c>
      <c r="V12" s="176">
        <f>'2018'!V12+'2019'!V12+'2020'!V12+'2021'!V12+'2022'!V20</f>
        <v>1</v>
      </c>
      <c r="W12" s="176">
        <f>'2018'!W12+'2019'!W12+'2020'!W12+'2021'!W12+'2022'!W20</f>
        <v>5</v>
      </c>
      <c r="X12" s="176">
        <f>'2018'!X12+'2019'!X12+'2020'!X12+'2021'!X12+'2022'!X20</f>
        <v>0</v>
      </c>
      <c r="Y12" s="174">
        <f t="shared" si="1"/>
        <v>42</v>
      </c>
      <c r="Z12" s="174">
        <f>'2018'!Z12+'2019'!Z12+'2020'!Z12+'2021'!Z12+'2022'!Z20</f>
        <v>11</v>
      </c>
      <c r="AA12" s="174">
        <f>'2018'!AA12+'2019'!AA12+'2020'!AA12+'2021'!AA12+'2022'!AA20</f>
        <v>10</v>
      </c>
      <c r="AB12" s="174">
        <f>'2018'!AB12+'2019'!AB12+'2020'!AB12+'2021'!AB12+'2022'!AB20</f>
        <v>19</v>
      </c>
      <c r="AC12" s="174">
        <f>'2018'!AC12+'2019'!AC12+'2020'!AC12+'2021'!AC12+'2022'!AC20</f>
        <v>18</v>
      </c>
      <c r="AD12" s="174">
        <f>'2018'!AD12+'2019'!AD12+'2020'!AD12+'2021'!AD12+'2022'!AD20</f>
        <v>0</v>
      </c>
      <c r="AE12" s="174">
        <f>'2018'!AE12+'2019'!AE12+'2020'!AE12+'2021'!AE12+'2022'!AE20</f>
        <v>0</v>
      </c>
      <c r="AF12" s="174">
        <f>'2018'!AF12+'2019'!AF12+'2020'!AF12+'2021'!AF12+'2022'!AF20</f>
        <v>0</v>
      </c>
      <c r="AG12" s="174">
        <f>'2018'!AG12+'2019'!AG12+'2020'!AG12+'2021'!AG12+'2022'!AG20</f>
        <v>0</v>
      </c>
      <c r="AH12" s="174">
        <f>'2018'!AH12+'2019'!AH12+'2020'!AH12+'2021'!AH12+'2022'!AH20</f>
        <v>0</v>
      </c>
      <c r="AI12" s="174">
        <f>'2018'!AI12+'2019'!AI12+'2020'!AI12+'2021'!AI12+'2022'!AI20</f>
        <v>0</v>
      </c>
      <c r="AJ12" s="174">
        <f>'2018'!AJ12+'2019'!AJ12+'2020'!AJ12+'2021'!AJ12+'2022'!AJ20</f>
        <v>1</v>
      </c>
      <c r="AK12" s="174">
        <f>'2018'!AK12+'2019'!AK12+'2020'!AK12+'2021'!AK12+'2022'!AK20</f>
        <v>0</v>
      </c>
      <c r="AL12" s="174">
        <f>'2018'!AL12+'2019'!AL12+'2020'!AL12+'2021'!AL12+'2022'!AL20</f>
        <v>0</v>
      </c>
      <c r="AM12" s="174">
        <f>'2018'!AM12+'2019'!AM12+'2020'!AM12+'2021'!AM12+'2022'!AM20</f>
        <v>0</v>
      </c>
      <c r="AN12" s="174">
        <f>'2018'!AN12+'2019'!AN12+'2020'!AN12+'2021'!AN12+'2022'!AN20</f>
        <v>0</v>
      </c>
      <c r="AO12" s="174">
        <f>'2018'!AO12+'2019'!AO12+'2020'!AO12+'2021'!AO12+'2022'!AO20</f>
        <v>0</v>
      </c>
      <c r="AP12" s="174">
        <f>'2018'!AP12+'2019'!AP12+'2020'!AP12+'2021'!AP12+'2022'!AP20</f>
        <v>0</v>
      </c>
      <c r="AQ12" s="174">
        <f>'2018'!AQ12+'2019'!AQ12+'2020'!AQ12+'2021'!AQ12+'2022'!AQ20</f>
        <v>0</v>
      </c>
      <c r="AR12" s="174">
        <f>'2018'!AR12+'2019'!AR12+'2020'!AR12+'2021'!AR12+'2022'!AR20</f>
        <v>15</v>
      </c>
      <c r="AS12" s="174">
        <f>'2018'!AS12+'2019'!AS12+'2020'!AS12+'2021'!AS12+'2022'!AS20</f>
        <v>0</v>
      </c>
      <c r="AT12" s="174">
        <f>'2018'!AT12+'2019'!AT12+'2020'!AT12+'2021'!AT12+'2022'!AT20</f>
        <v>1</v>
      </c>
      <c r="AU12" s="174">
        <f>'2018'!AU12+'2019'!AU12+'2020'!AU12+'2021'!AU12+'2022'!AU20</f>
        <v>2</v>
      </c>
      <c r="AV12" s="174">
        <f>'2018'!AV12+'2019'!AV12+'2020'!AV12+'2021'!AV12+'2022'!AV20</f>
        <v>0</v>
      </c>
      <c r="AW12" s="174">
        <f t="shared" si="3"/>
        <v>19</v>
      </c>
      <c r="AX12" s="156">
        <f t="shared" si="5"/>
        <v>969.42733333333342</v>
      </c>
      <c r="AY12" s="14">
        <f>'2018'!AX12+'2019'!AX12+'2020'!AX12+'2021'!AX12+'2022'!AX20</f>
        <v>4847.1366666666672</v>
      </c>
      <c r="AZ12" s="14">
        <f t="shared" si="4"/>
        <v>45.238095238095241</v>
      </c>
      <c r="BA12" s="142"/>
      <c r="BB12" s="144"/>
      <c r="BC12" s="142"/>
    </row>
    <row r="13" spans="1:55" x14ac:dyDescent="0.25">
      <c r="A13" s="175" t="s">
        <v>157</v>
      </c>
      <c r="B13" s="176">
        <f>'2018'!B13+'2019'!B13+'2020'!B13+'2021'!B13+'2022'!B21</f>
        <v>14</v>
      </c>
      <c r="C13" s="176">
        <f>'2018'!C13+'2019'!C13+'2020'!C13+'2021'!C13+'2022'!C21</f>
        <v>7</v>
      </c>
      <c r="D13" s="176">
        <f>'2018'!D13+'2019'!D13+'2020'!D13+'2021'!D13+'2022'!D21</f>
        <v>73</v>
      </c>
      <c r="E13" s="176">
        <f>'2018'!E13+'2019'!E13+'2020'!E13+'2021'!E13+'2022'!E21</f>
        <v>59</v>
      </c>
      <c r="F13" s="176">
        <f>'2018'!F13+'2019'!F13+'2020'!F13+'2021'!F13+'2022'!F21</f>
        <v>0</v>
      </c>
      <c r="G13" s="176">
        <f>'2018'!G13+'2019'!G13+'2020'!G13+'2021'!G13+'2022'!G21</f>
        <v>0</v>
      </c>
      <c r="H13" s="176">
        <f>'2018'!H13+'2019'!H13+'2020'!H13+'2021'!H13+'2022'!H21</f>
        <v>5</v>
      </c>
      <c r="I13" s="176">
        <f>'2018'!I13+'2019'!I13+'2020'!I13+'2021'!I13+'2022'!I21</f>
        <v>0</v>
      </c>
      <c r="J13" s="176">
        <f>'2018'!J13+'2019'!J13+'2020'!J13+'2021'!J13+'2022'!J21</f>
        <v>7</v>
      </c>
      <c r="K13" s="176">
        <f>'2018'!K13+'2019'!K13+'2020'!K13+'2021'!K13+'2022'!K21</f>
        <v>0</v>
      </c>
      <c r="L13" s="176">
        <f>'2018'!L13+'2019'!L13+'2020'!L13+'2021'!L13+'2022'!L21</f>
        <v>2</v>
      </c>
      <c r="M13" s="176">
        <f>'2018'!M13+'2019'!M13+'2020'!M13+'2021'!M13+'2022'!M21</f>
        <v>1</v>
      </c>
      <c r="N13" s="176">
        <f>'2018'!N13+'2019'!N13+'2020'!N13+'2021'!N13+'2022'!N21</f>
        <v>0</v>
      </c>
      <c r="O13" s="176">
        <f>'2018'!O13+'2019'!O13+'2020'!O13+'2021'!O13+'2022'!O21</f>
        <v>0</v>
      </c>
      <c r="P13" s="176">
        <f>'2018'!P13+'2019'!P13+'2020'!P13+'2021'!P13+'2022'!P21</f>
        <v>0</v>
      </c>
      <c r="Q13" s="176">
        <f>'2018'!Q13+'2019'!Q13+'2020'!Q13+'2021'!Q13+'2022'!Q21</f>
        <v>0</v>
      </c>
      <c r="R13" s="176">
        <f>'2018'!R13+'2019'!R13+'2020'!R13+'2021'!R13+'2022'!R21</f>
        <v>2</v>
      </c>
      <c r="S13" s="176">
        <f>'2018'!S13+'2019'!S13+'2020'!S13+'2021'!S13+'2022'!S21</f>
        <v>0</v>
      </c>
      <c r="T13" s="176">
        <f>'2018'!T13+'2019'!T13+'2020'!T13+'2021'!T13+'2022'!T21</f>
        <v>1</v>
      </c>
      <c r="U13" s="176">
        <f>'2018'!U13+'2019'!U13+'2020'!U13+'2021'!U13+'2022'!U21</f>
        <v>0</v>
      </c>
      <c r="V13" s="176">
        <f>'2018'!V13+'2019'!V13+'2020'!V13+'2021'!V13+'2022'!V21</f>
        <v>52</v>
      </c>
      <c r="W13" s="176">
        <f>'2018'!W13+'2019'!W13+'2020'!W13+'2021'!W13+'2022'!W21</f>
        <v>3</v>
      </c>
      <c r="X13" s="176">
        <f>'2018'!X13+'2019'!X13+'2020'!X13+'2021'!X13+'2022'!X21</f>
        <v>0</v>
      </c>
      <c r="Y13" s="174">
        <f t="shared" si="1"/>
        <v>73</v>
      </c>
      <c r="Z13" s="174">
        <f>'2018'!Z13+'2019'!Z13+'2020'!Z13+'2021'!Z13+'2022'!Z21</f>
        <v>7</v>
      </c>
      <c r="AA13" s="174">
        <f>'2018'!AA13+'2019'!AA13+'2020'!AA13+'2021'!AA13+'2022'!AA21</f>
        <v>5</v>
      </c>
      <c r="AB13" s="174">
        <f>'2018'!AB13+'2019'!AB13+'2020'!AB13+'2021'!AB13+'2022'!AB21</f>
        <v>63</v>
      </c>
      <c r="AC13" s="174">
        <f>'2018'!AC13+'2019'!AC13+'2020'!AC13+'2021'!AC13+'2022'!AC21</f>
        <v>56</v>
      </c>
      <c r="AD13" s="174">
        <f>'2018'!AD13+'2019'!AD13+'2020'!AD13+'2021'!AD13+'2022'!AD21</f>
        <v>0</v>
      </c>
      <c r="AE13" s="174">
        <f>'2018'!AE13+'2019'!AE13+'2020'!AE13+'2021'!AE13+'2022'!AE21</f>
        <v>0</v>
      </c>
      <c r="AF13" s="174">
        <f>'2018'!AF13+'2019'!AF13+'2020'!AF13+'2021'!AF13+'2022'!AF21</f>
        <v>4</v>
      </c>
      <c r="AG13" s="174">
        <f>'2018'!AG13+'2019'!AG13+'2020'!AG13+'2021'!AG13+'2022'!AG21</f>
        <v>0</v>
      </c>
      <c r="AH13" s="174">
        <f>'2018'!AH13+'2019'!AH13+'2020'!AH13+'2021'!AH13+'2022'!AH21</f>
        <v>2</v>
      </c>
      <c r="AI13" s="174">
        <f>'2018'!AI13+'2019'!AI13+'2020'!AI13+'2021'!AI13+'2022'!AI21</f>
        <v>0</v>
      </c>
      <c r="AJ13" s="174">
        <f>'2018'!AJ13+'2019'!AJ13+'2020'!AJ13+'2021'!AJ13+'2022'!AJ21</f>
        <v>1</v>
      </c>
      <c r="AK13" s="174">
        <f>'2018'!AK13+'2019'!AK13+'2020'!AK13+'2021'!AK13+'2022'!AK21</f>
        <v>0</v>
      </c>
      <c r="AL13" s="174">
        <f>'2018'!AL13+'2019'!AL13+'2020'!AL13+'2021'!AL13+'2022'!AL21</f>
        <v>0</v>
      </c>
      <c r="AM13" s="174">
        <f>'2018'!AM13+'2019'!AM13+'2020'!AM13+'2021'!AM13+'2022'!AM21</f>
        <v>0</v>
      </c>
      <c r="AN13" s="174">
        <f>'2018'!AN13+'2019'!AN13+'2020'!AN13+'2021'!AN13+'2022'!AN21</f>
        <v>0</v>
      </c>
      <c r="AO13" s="174">
        <f>'2018'!AO13+'2019'!AO13+'2020'!AO13+'2021'!AO13+'2022'!AO21</f>
        <v>0</v>
      </c>
      <c r="AP13" s="174">
        <f>'2018'!AP13+'2019'!AP13+'2020'!AP13+'2021'!AP13+'2022'!AP21</f>
        <v>0</v>
      </c>
      <c r="AQ13" s="174">
        <f>'2018'!AQ13+'2019'!AQ13+'2020'!AQ13+'2021'!AQ13+'2022'!AQ21</f>
        <v>0</v>
      </c>
      <c r="AR13" s="174">
        <f>'2018'!AR13+'2019'!AR13+'2020'!AR13+'2021'!AR13+'2022'!AR21</f>
        <v>1</v>
      </c>
      <c r="AS13" s="174">
        <f>'2018'!AS13+'2019'!AS13+'2020'!AS13+'2021'!AS13+'2022'!AS21</f>
        <v>0</v>
      </c>
      <c r="AT13" s="174">
        <f>'2018'!AT13+'2019'!AT13+'2020'!AT13+'2021'!AT13+'2022'!AT21</f>
        <v>52</v>
      </c>
      <c r="AU13" s="174">
        <f>'2018'!AU13+'2019'!AU13+'2020'!AU13+'2021'!AU13+'2022'!AU21</f>
        <v>3</v>
      </c>
      <c r="AV13" s="174">
        <f>'2018'!AV13+'2019'!AV13+'2020'!AV13+'2021'!AV13+'2022'!AV21</f>
        <v>0</v>
      </c>
      <c r="AW13" s="174">
        <f t="shared" si="3"/>
        <v>63</v>
      </c>
      <c r="AX13" s="156">
        <f t="shared" si="5"/>
        <v>3152.5340000000001</v>
      </c>
      <c r="AY13" s="14">
        <f>'2018'!AX13+'2019'!AX13+'2020'!AX13+'2021'!AX13+'2022'!AX21</f>
        <v>15762.67</v>
      </c>
      <c r="AZ13" s="14">
        <f t="shared" si="4"/>
        <v>86.301369863013704</v>
      </c>
      <c r="BA13" s="142"/>
      <c r="BB13" s="144"/>
      <c r="BC13" s="142"/>
    </row>
    <row r="14" spans="1:55" x14ac:dyDescent="0.25">
      <c r="A14" s="175" t="s">
        <v>158</v>
      </c>
      <c r="B14" s="176">
        <f>'2018'!B14+'2019'!B14+'2020'!B14+'2021'!B14+'2022'!B22</f>
        <v>16</v>
      </c>
      <c r="C14" s="176">
        <f>'2018'!C14+'2019'!C14+'2020'!C14+'2021'!C14+'2022'!C22</f>
        <v>13</v>
      </c>
      <c r="D14" s="176">
        <f>'2018'!D14+'2019'!D14+'2020'!D14+'2021'!D14+'2022'!D22</f>
        <v>77</v>
      </c>
      <c r="E14" s="176">
        <f>'2018'!E14+'2019'!E14+'2020'!E14+'2021'!E14+'2022'!E22</f>
        <v>77</v>
      </c>
      <c r="F14" s="176">
        <f>'2018'!F14+'2019'!F14+'2020'!F14+'2021'!F14+'2022'!F22</f>
        <v>0</v>
      </c>
      <c r="G14" s="176">
        <f>'2018'!G14+'2019'!G14+'2020'!G14+'2021'!G14+'2022'!G22</f>
        <v>0</v>
      </c>
      <c r="H14" s="176">
        <f>'2018'!H14+'2019'!H14+'2020'!H14+'2021'!H14+'2022'!H22</f>
        <v>0</v>
      </c>
      <c r="I14" s="176">
        <f>'2018'!I14+'2019'!I14+'2020'!I14+'2021'!I14+'2022'!I22</f>
        <v>0</v>
      </c>
      <c r="J14" s="176">
        <f>'2018'!J14+'2019'!J14+'2020'!J14+'2021'!J14+'2022'!J22</f>
        <v>0</v>
      </c>
      <c r="K14" s="176">
        <f>'2018'!K14+'2019'!K14+'2020'!K14+'2021'!K14+'2022'!K22</f>
        <v>0</v>
      </c>
      <c r="L14" s="176">
        <f>'2018'!L14+'2019'!L14+'2020'!L14+'2021'!L14+'2022'!L22</f>
        <v>0</v>
      </c>
      <c r="M14" s="176">
        <f>'2018'!M14+'2019'!M14+'2020'!M14+'2021'!M14+'2022'!M22</f>
        <v>0</v>
      </c>
      <c r="N14" s="176">
        <f>'2018'!N14+'2019'!N14+'2020'!N14+'2021'!N14+'2022'!N22</f>
        <v>0</v>
      </c>
      <c r="O14" s="176">
        <f>'2018'!O14+'2019'!O14+'2020'!O14+'2021'!O14+'2022'!O22</f>
        <v>0</v>
      </c>
      <c r="P14" s="176">
        <f>'2018'!P14+'2019'!P14+'2020'!P14+'2021'!P14+'2022'!P22</f>
        <v>0</v>
      </c>
      <c r="Q14" s="176">
        <f>'2018'!Q14+'2019'!Q14+'2020'!Q14+'2021'!Q14+'2022'!Q22</f>
        <v>0</v>
      </c>
      <c r="R14" s="176">
        <f>'2018'!R14+'2019'!R14+'2020'!R14+'2021'!R14+'2022'!R22</f>
        <v>0</v>
      </c>
      <c r="S14" s="176">
        <f>'2018'!S14+'2019'!S14+'2020'!S14+'2021'!S14+'2022'!S22</f>
        <v>0</v>
      </c>
      <c r="T14" s="176">
        <f>'2018'!T14+'2019'!T14+'2020'!T14+'2021'!T14+'2022'!T22</f>
        <v>68</v>
      </c>
      <c r="U14" s="176">
        <f>'2018'!U14+'2019'!U14+'2020'!U14+'2021'!U14+'2022'!U22</f>
        <v>0</v>
      </c>
      <c r="V14" s="176">
        <f>'2018'!V14+'2019'!V14+'2020'!V14+'2021'!V14+'2022'!V22</f>
        <v>9</v>
      </c>
      <c r="W14" s="176">
        <f>'2018'!W14+'2019'!W14+'2020'!W14+'2021'!W14+'2022'!W22</f>
        <v>0</v>
      </c>
      <c r="X14" s="176">
        <f>'2018'!X14+'2019'!X14+'2020'!X14+'2021'!X14+'2022'!X22</f>
        <v>0</v>
      </c>
      <c r="Y14" s="174">
        <f t="shared" si="1"/>
        <v>77</v>
      </c>
      <c r="Z14" s="174">
        <f>'2018'!Z14+'2019'!Z14+'2020'!Z14+'2021'!Z14+'2022'!Z22</f>
        <v>14</v>
      </c>
      <c r="AA14" s="174">
        <f>'2018'!AA14+'2019'!AA14+'2020'!AA14+'2021'!AA14+'2022'!AA22</f>
        <v>14</v>
      </c>
      <c r="AB14" s="174">
        <f>'2018'!AB14+'2019'!AB14+'2020'!AB14+'2021'!AB14+'2022'!AB22</f>
        <v>16</v>
      </c>
      <c r="AC14" s="174">
        <f>'2018'!AC14+'2019'!AC14+'2020'!AC14+'2021'!AC14+'2022'!AC22</f>
        <v>16</v>
      </c>
      <c r="AD14" s="174">
        <f>'2018'!AD14+'2019'!AD14+'2020'!AD14+'2021'!AD14+'2022'!AD22</f>
        <v>0</v>
      </c>
      <c r="AE14" s="174">
        <f>'2018'!AE14+'2019'!AE14+'2020'!AE14+'2021'!AE14+'2022'!AE22</f>
        <v>0</v>
      </c>
      <c r="AF14" s="174">
        <f>'2018'!AF14+'2019'!AF14+'2020'!AF14+'2021'!AF14+'2022'!AF22</f>
        <v>0</v>
      </c>
      <c r="AG14" s="174">
        <f>'2018'!AG14+'2019'!AG14+'2020'!AG14+'2021'!AG14+'2022'!AG22</f>
        <v>0</v>
      </c>
      <c r="AH14" s="174">
        <f>'2018'!AH14+'2019'!AH14+'2020'!AH14+'2021'!AH14+'2022'!AH22</f>
        <v>0</v>
      </c>
      <c r="AI14" s="174">
        <f>'2018'!AI14+'2019'!AI14+'2020'!AI14+'2021'!AI14+'2022'!AI22</f>
        <v>0</v>
      </c>
      <c r="AJ14" s="174">
        <f>'2018'!AJ14+'2019'!AJ14+'2020'!AJ14+'2021'!AJ14+'2022'!AJ22</f>
        <v>0</v>
      </c>
      <c r="AK14" s="174">
        <f>'2018'!AK14+'2019'!AK14+'2020'!AK14+'2021'!AK14+'2022'!AK22</f>
        <v>0</v>
      </c>
      <c r="AL14" s="174">
        <f>'2018'!AL14+'2019'!AL14+'2020'!AL14+'2021'!AL14+'2022'!AL22</f>
        <v>0</v>
      </c>
      <c r="AM14" s="174">
        <f>'2018'!AM14+'2019'!AM14+'2020'!AM14+'2021'!AM14+'2022'!AM22</f>
        <v>0</v>
      </c>
      <c r="AN14" s="174">
        <f>'2018'!AN14+'2019'!AN14+'2020'!AN14+'2021'!AN14+'2022'!AN22</f>
        <v>0</v>
      </c>
      <c r="AO14" s="174">
        <f>'2018'!AO14+'2019'!AO14+'2020'!AO14+'2021'!AO14+'2022'!AO22</f>
        <v>0</v>
      </c>
      <c r="AP14" s="174">
        <f>'2018'!AP14+'2019'!AP14+'2020'!AP14+'2021'!AP14+'2022'!AP22</f>
        <v>0</v>
      </c>
      <c r="AQ14" s="174">
        <f>'2018'!AQ14+'2019'!AQ14+'2020'!AQ14+'2021'!AQ14+'2022'!AQ22</f>
        <v>0</v>
      </c>
      <c r="AR14" s="174">
        <f>'2018'!AR14+'2019'!AR14+'2020'!AR14+'2021'!AR14+'2022'!AR22</f>
        <v>11</v>
      </c>
      <c r="AS14" s="174">
        <f>'2018'!AS14+'2019'!AS14+'2020'!AS14+'2021'!AS14+'2022'!AS22</f>
        <v>0</v>
      </c>
      <c r="AT14" s="174">
        <f>'2018'!AT14+'2019'!AT14+'2020'!AT14+'2021'!AT14+'2022'!AT22</f>
        <v>5</v>
      </c>
      <c r="AU14" s="174">
        <f>'2018'!AU14+'2019'!AU14+'2020'!AU14+'2021'!AU14+'2022'!AU22</f>
        <v>0</v>
      </c>
      <c r="AV14" s="174">
        <f>'2018'!AV14+'2019'!AV14+'2020'!AV14+'2021'!AV14+'2022'!AV22</f>
        <v>0</v>
      </c>
      <c r="AW14" s="174">
        <f t="shared" si="3"/>
        <v>16</v>
      </c>
      <c r="AX14" s="156">
        <f t="shared" si="5"/>
        <v>255.73333333333335</v>
      </c>
      <c r="AY14" s="14">
        <f>'2018'!AX14+'2019'!AX14+'2020'!AX14+'2021'!AX14+'2022'!AX22</f>
        <v>1278.6666666666667</v>
      </c>
      <c r="AZ14" s="14">
        <f t="shared" si="4"/>
        <v>20.779220779220779</v>
      </c>
      <c r="BA14" s="142"/>
      <c r="BB14" s="144"/>
      <c r="BC14" s="142"/>
    </row>
    <row r="15" spans="1:55" x14ac:dyDescent="0.25">
      <c r="A15" s="175" t="s">
        <v>77</v>
      </c>
      <c r="B15" s="176">
        <f>'2018'!B15+'2019'!B15+'2020'!B15+'2021'!B15+'2022'!B23</f>
        <v>17</v>
      </c>
      <c r="C15" s="176">
        <f>'2018'!C15+'2019'!C15+'2020'!C15+'2021'!C15+'2022'!C23</f>
        <v>4</v>
      </c>
      <c r="D15" s="176">
        <f>'2018'!D15+'2019'!D15+'2020'!D15+'2021'!D15+'2022'!D23</f>
        <v>77</v>
      </c>
      <c r="E15" s="176">
        <f>'2018'!E15+'2019'!E15+'2020'!E15+'2021'!E15+'2022'!E23</f>
        <v>26</v>
      </c>
      <c r="F15" s="176">
        <f>'2018'!F15+'2019'!F15+'2020'!F15+'2021'!F15+'2022'!F23</f>
        <v>0</v>
      </c>
      <c r="G15" s="176">
        <f>'2018'!G15+'2019'!G15+'2020'!G15+'2021'!G15+'2022'!G23</f>
        <v>0</v>
      </c>
      <c r="H15" s="176">
        <f>'2018'!H15+'2019'!H15+'2020'!H15+'2021'!H15+'2022'!H23</f>
        <v>37</v>
      </c>
      <c r="I15" s="176">
        <f>'2018'!I15+'2019'!I15+'2020'!I15+'2021'!I15+'2022'!I23</f>
        <v>0</v>
      </c>
      <c r="J15" s="176">
        <f>'2018'!J15+'2019'!J15+'2020'!J15+'2021'!J15+'2022'!J23</f>
        <v>0</v>
      </c>
      <c r="K15" s="176">
        <f>'2018'!K15+'2019'!K15+'2020'!K15+'2021'!K15+'2022'!K23</f>
        <v>0</v>
      </c>
      <c r="L15" s="176">
        <f>'2018'!L15+'2019'!L15+'2020'!L15+'2021'!L15+'2022'!L23</f>
        <v>0</v>
      </c>
      <c r="M15" s="176">
        <f>'2018'!M15+'2019'!M15+'2020'!M15+'2021'!M15+'2022'!M23</f>
        <v>0</v>
      </c>
      <c r="N15" s="176">
        <f>'2018'!N15+'2019'!N15+'2020'!N15+'2021'!N15+'2022'!N23</f>
        <v>0</v>
      </c>
      <c r="O15" s="176">
        <f>'2018'!O15+'2019'!O15+'2020'!O15+'2021'!O15+'2022'!O23</f>
        <v>0</v>
      </c>
      <c r="P15" s="176">
        <f>'2018'!P15+'2019'!P15+'2020'!P15+'2021'!P15+'2022'!P23</f>
        <v>0</v>
      </c>
      <c r="Q15" s="176">
        <f>'2018'!Q15+'2019'!Q15+'2020'!Q15+'2021'!Q15+'2022'!Q23</f>
        <v>0</v>
      </c>
      <c r="R15" s="176">
        <f>'2018'!R15+'2019'!R15+'2020'!R15+'2021'!R15+'2022'!R23</f>
        <v>0</v>
      </c>
      <c r="S15" s="176">
        <f>'2018'!S15+'2019'!S15+'2020'!S15+'2021'!S15+'2022'!S23</f>
        <v>0</v>
      </c>
      <c r="T15" s="176">
        <f>'2018'!T15+'2019'!T15+'2020'!T15+'2021'!T15+'2022'!T23</f>
        <v>0</v>
      </c>
      <c r="U15" s="176">
        <f>'2018'!U15+'2019'!U15+'2020'!U15+'2021'!U15+'2022'!U23</f>
        <v>14</v>
      </c>
      <c r="V15" s="176">
        <f>'2018'!V15+'2019'!V15+'2020'!V15+'2021'!V15+'2022'!V23</f>
        <v>17</v>
      </c>
      <c r="W15" s="176">
        <f>'2018'!W15+'2019'!W15+'2020'!W15+'2021'!W15+'2022'!W23</f>
        <v>0</v>
      </c>
      <c r="X15" s="176">
        <f>'2018'!X15+'2019'!X15+'2020'!X15+'2021'!X15+'2022'!X23</f>
        <v>9</v>
      </c>
      <c r="Y15" s="174">
        <f t="shared" si="1"/>
        <v>77</v>
      </c>
      <c r="Z15" s="174">
        <f>'2018'!Z15+'2019'!Z15+'2020'!Z15+'2021'!Z15+'2022'!Z23</f>
        <v>10</v>
      </c>
      <c r="AA15" s="174">
        <f>'2018'!AA15+'2019'!AA15+'2020'!AA15+'2021'!AA15+'2022'!AA23</f>
        <v>0</v>
      </c>
      <c r="AB15" s="174">
        <f>'2018'!AB15+'2019'!AB15+'2020'!AB15+'2021'!AB15+'2022'!AB23</f>
        <v>48</v>
      </c>
      <c r="AC15" s="174">
        <f>'2018'!AC15+'2019'!AC15+'2020'!AC15+'2021'!AC15+'2022'!AC23</f>
        <v>0</v>
      </c>
      <c r="AD15" s="174">
        <f>'2018'!AD15+'2019'!AD15+'2020'!AD15+'2021'!AD15+'2022'!AD23</f>
        <v>0</v>
      </c>
      <c r="AE15" s="174">
        <f>'2018'!AE15+'2019'!AE15+'2020'!AE15+'2021'!AE15+'2022'!AE23</f>
        <v>0</v>
      </c>
      <c r="AF15" s="174">
        <f>'2018'!AF15+'2019'!AF15+'2020'!AF15+'2021'!AF15+'2022'!AF23</f>
        <v>34</v>
      </c>
      <c r="AG15" s="174">
        <f>'2018'!AG15+'2019'!AG15+'2020'!AG15+'2021'!AG15+'2022'!AG23</f>
        <v>0</v>
      </c>
      <c r="AH15" s="174">
        <f>'2018'!AH15+'2019'!AH15+'2020'!AH15+'2021'!AH15+'2022'!AH23</f>
        <v>0</v>
      </c>
      <c r="AI15" s="174">
        <f>'2018'!AI15+'2019'!AI15+'2020'!AI15+'2021'!AI15+'2022'!AI23</f>
        <v>0</v>
      </c>
      <c r="AJ15" s="174">
        <f>'2018'!AJ15+'2019'!AJ15+'2020'!AJ15+'2021'!AJ15+'2022'!AJ23</f>
        <v>0</v>
      </c>
      <c r="AK15" s="174">
        <f>'2018'!AK15+'2019'!AK15+'2020'!AK15+'2021'!AK15+'2022'!AK23</f>
        <v>0</v>
      </c>
      <c r="AL15" s="174">
        <f>'2018'!AL15+'2019'!AL15+'2020'!AL15+'2021'!AL15+'2022'!AL23</f>
        <v>0</v>
      </c>
      <c r="AM15" s="174">
        <f>'2018'!AM15+'2019'!AM15+'2020'!AM15+'2021'!AM15+'2022'!AM23</f>
        <v>0</v>
      </c>
      <c r="AN15" s="174">
        <f>'2018'!AN15+'2019'!AN15+'2020'!AN15+'2021'!AN15+'2022'!AN23</f>
        <v>0</v>
      </c>
      <c r="AO15" s="174">
        <f>'2018'!AO15+'2019'!AO15+'2020'!AO15+'2021'!AO15+'2022'!AO23</f>
        <v>0</v>
      </c>
      <c r="AP15" s="174">
        <f>'2018'!AP15+'2019'!AP15+'2020'!AP15+'2021'!AP15+'2022'!AP23</f>
        <v>0</v>
      </c>
      <c r="AQ15" s="174">
        <f>'2018'!AQ15+'2019'!AQ15+'2020'!AQ15+'2021'!AQ15+'2022'!AQ23</f>
        <v>0</v>
      </c>
      <c r="AR15" s="174">
        <f>'2018'!AR15+'2019'!AR15+'2020'!AR15+'2021'!AR15+'2022'!AR23</f>
        <v>0</v>
      </c>
      <c r="AS15" s="174">
        <f>'2018'!AS15+'2019'!AS15+'2020'!AS15+'2021'!AS15+'2022'!AS23</f>
        <v>14</v>
      </c>
      <c r="AT15" s="174">
        <f>'2018'!AT15+'2019'!AT15+'2020'!AT15+'2021'!AT15+'2022'!AT23</f>
        <v>0</v>
      </c>
      <c r="AU15" s="174">
        <f>'2018'!AU15+'2019'!AU15+'2020'!AU15+'2021'!AU15+'2022'!AU23</f>
        <v>0</v>
      </c>
      <c r="AV15" s="174">
        <f>'2018'!AV15+'2019'!AV15+'2020'!AV15+'2021'!AV15+'2022'!AV23</f>
        <v>0</v>
      </c>
      <c r="AW15" s="174">
        <f t="shared" si="3"/>
        <v>48</v>
      </c>
      <c r="AX15" s="156">
        <f t="shared" si="5"/>
        <v>658.93333333333328</v>
      </c>
      <c r="AY15" s="14">
        <f>'2018'!AX15+'2019'!AX15+'2020'!AX15+'2021'!AX15+'2022'!AX23</f>
        <v>3294.6666666666665</v>
      </c>
      <c r="AZ15" s="14">
        <f t="shared" si="4"/>
        <v>62.337662337662337</v>
      </c>
      <c r="BA15" s="142"/>
      <c r="BB15" s="144"/>
      <c r="BC15" s="142"/>
    </row>
    <row r="16" spans="1:55" x14ac:dyDescent="0.25">
      <c r="A16" s="175" t="s">
        <v>78</v>
      </c>
      <c r="B16" s="176">
        <f>'2018'!B16+'2019'!B16+'2020'!B16+'2021'!B16+'2022'!B24</f>
        <v>129</v>
      </c>
      <c r="C16" s="176">
        <f>'2018'!C16+'2019'!C16+'2020'!C16+'2021'!C16+'2022'!C24</f>
        <v>103</v>
      </c>
      <c r="D16" s="176">
        <f>'2018'!D16+'2019'!D16+'2020'!D16+'2021'!D16+'2022'!D24</f>
        <v>364</v>
      </c>
      <c r="E16" s="176">
        <f>'2018'!E16+'2019'!E16+'2020'!E16+'2021'!E16+'2022'!E24</f>
        <v>223</v>
      </c>
      <c r="F16" s="176">
        <f>'2018'!F16+'2019'!F16+'2020'!F16+'2021'!F16+'2022'!F24</f>
        <v>0</v>
      </c>
      <c r="G16" s="176">
        <f>'2018'!G16+'2019'!G16+'2020'!G16+'2021'!G16+'2022'!G24</f>
        <v>0</v>
      </c>
      <c r="H16" s="176">
        <f>'2018'!H16+'2019'!H16+'2020'!H16+'2021'!H16+'2022'!H24</f>
        <v>10</v>
      </c>
      <c r="I16" s="176">
        <f>'2018'!I16+'2019'!I16+'2020'!I16+'2021'!I16+'2022'!I24</f>
        <v>0</v>
      </c>
      <c r="J16" s="176">
        <f>'2018'!J16+'2019'!J16+'2020'!J16+'2021'!J16+'2022'!J24</f>
        <v>1</v>
      </c>
      <c r="K16" s="176">
        <f>'2018'!K16+'2019'!K16+'2020'!K16+'2021'!K16+'2022'!K24</f>
        <v>0</v>
      </c>
      <c r="L16" s="176">
        <f>'2018'!L16+'2019'!L16+'2020'!L16+'2021'!L16+'2022'!L24</f>
        <v>10</v>
      </c>
      <c r="M16" s="176">
        <f>'2018'!M16+'2019'!M16+'2020'!M16+'2021'!M16+'2022'!M24</f>
        <v>0</v>
      </c>
      <c r="N16" s="176">
        <f>'2018'!N16+'2019'!N16+'2020'!N16+'2021'!N16+'2022'!N24</f>
        <v>0</v>
      </c>
      <c r="O16" s="176">
        <f>'2018'!O16+'2019'!O16+'2020'!O16+'2021'!O16+'2022'!O24</f>
        <v>0</v>
      </c>
      <c r="P16" s="176">
        <f>'2018'!P16+'2019'!P16+'2020'!P16+'2021'!P16+'2022'!P24</f>
        <v>0</v>
      </c>
      <c r="Q16" s="176">
        <f>'2018'!Q16+'2019'!Q16+'2020'!Q16+'2021'!Q16+'2022'!Q24</f>
        <v>0</v>
      </c>
      <c r="R16" s="176">
        <f>'2018'!R16+'2019'!R16+'2020'!R16+'2021'!R16+'2022'!R24</f>
        <v>2</v>
      </c>
      <c r="S16" s="176">
        <f>'2018'!S16+'2019'!S16+'2020'!S16+'2021'!S16+'2022'!S24</f>
        <v>70</v>
      </c>
      <c r="T16" s="176">
        <f>'2018'!T16+'2019'!T16+'2020'!T16+'2021'!T16+'2022'!T24</f>
        <v>153</v>
      </c>
      <c r="U16" s="176">
        <f>'2018'!U16+'2019'!U16+'2020'!U16+'2021'!U16+'2022'!U24</f>
        <v>3</v>
      </c>
      <c r="V16" s="176">
        <f>'2018'!V16+'2019'!V16+'2020'!V16+'2021'!V16+'2022'!V24</f>
        <v>114</v>
      </c>
      <c r="W16" s="176">
        <f>'2018'!W16+'2019'!W16+'2020'!W16+'2021'!W16+'2022'!W24</f>
        <v>0</v>
      </c>
      <c r="X16" s="176">
        <f>'2018'!X16+'2019'!X16+'2020'!X16+'2021'!X16+'2022'!X24</f>
        <v>1</v>
      </c>
      <c r="Y16" s="174">
        <f t="shared" si="1"/>
        <v>364</v>
      </c>
      <c r="Z16" s="174">
        <f>'2018'!Z16+'2019'!Z16+'2020'!Z16+'2021'!Z16+'2022'!Z24</f>
        <v>104</v>
      </c>
      <c r="AA16" s="174">
        <f>'2018'!AA16+'2019'!AA16+'2020'!AA16+'2021'!AA16+'2022'!AA24</f>
        <v>65</v>
      </c>
      <c r="AB16" s="174">
        <f>'2018'!AB16+'2019'!AB16+'2020'!AB16+'2021'!AB16+'2022'!AB24</f>
        <v>301</v>
      </c>
      <c r="AC16" s="174">
        <f>'2018'!AC16+'2019'!AC16+'2020'!AC16+'2021'!AC16+'2022'!AC24</f>
        <v>236</v>
      </c>
      <c r="AD16" s="174">
        <f>'2018'!AD16+'2019'!AD16+'2020'!AD16+'2021'!AD16+'2022'!AD24</f>
        <v>0</v>
      </c>
      <c r="AE16" s="174">
        <f>'2018'!AE16+'2019'!AE16+'2020'!AE16+'2021'!AE16+'2022'!AE24</f>
        <v>0</v>
      </c>
      <c r="AF16" s="174">
        <f>'2018'!AF16+'2019'!AF16+'2020'!AF16+'2021'!AF16+'2022'!AF24</f>
        <v>1</v>
      </c>
      <c r="AG16" s="174">
        <f>'2018'!AG16+'2019'!AG16+'2020'!AG16+'2021'!AG16+'2022'!AG24</f>
        <v>0</v>
      </c>
      <c r="AH16" s="174">
        <f>'2018'!AH16+'2019'!AH16+'2020'!AH16+'2021'!AH16+'2022'!AH24</f>
        <v>1</v>
      </c>
      <c r="AI16" s="174">
        <f>'2018'!AI16+'2019'!AI16+'2020'!AI16+'2021'!AI16+'2022'!AI24</f>
        <v>0</v>
      </c>
      <c r="AJ16" s="174">
        <f>'2018'!AJ16+'2019'!AJ16+'2020'!AJ16+'2021'!AJ16+'2022'!AJ24</f>
        <v>10</v>
      </c>
      <c r="AK16" s="174">
        <f>'2018'!AK16+'2019'!AK16+'2020'!AK16+'2021'!AK16+'2022'!AK24</f>
        <v>0</v>
      </c>
      <c r="AL16" s="174">
        <f>'2018'!AL16+'2019'!AL16+'2020'!AL16+'2021'!AL16+'2022'!AL24</f>
        <v>0</v>
      </c>
      <c r="AM16" s="174">
        <f>'2018'!AM16+'2019'!AM16+'2020'!AM16+'2021'!AM16+'2022'!AM24</f>
        <v>0</v>
      </c>
      <c r="AN16" s="174">
        <f>'2018'!AN16+'2019'!AN16+'2020'!AN16+'2021'!AN16+'2022'!AN24</f>
        <v>0</v>
      </c>
      <c r="AO16" s="174">
        <f>'2018'!AO16+'2019'!AO16+'2020'!AO16+'2021'!AO16+'2022'!AO24</f>
        <v>0</v>
      </c>
      <c r="AP16" s="174">
        <f>'2018'!AP16+'2019'!AP16+'2020'!AP16+'2021'!AP16+'2022'!AP24</f>
        <v>5</v>
      </c>
      <c r="AQ16" s="174">
        <f>'2018'!AQ16+'2019'!AQ16+'2020'!AQ16+'2021'!AQ16+'2022'!AQ24</f>
        <v>66</v>
      </c>
      <c r="AR16" s="174">
        <f>'2018'!AR16+'2019'!AR16+'2020'!AR16+'2021'!AR16+'2022'!AR24</f>
        <v>112</v>
      </c>
      <c r="AS16" s="174">
        <f>'2018'!AS16+'2019'!AS16+'2020'!AS16+'2021'!AS16+'2022'!AS24</f>
        <v>3</v>
      </c>
      <c r="AT16" s="174">
        <f>'2018'!AT16+'2019'!AT16+'2020'!AT16+'2021'!AT16+'2022'!AT24</f>
        <v>103</v>
      </c>
      <c r="AU16" s="174">
        <f>'2018'!AU16+'2019'!AU16+'2020'!AU16+'2021'!AU16+'2022'!AU24</f>
        <v>0</v>
      </c>
      <c r="AV16" s="174">
        <f>'2018'!AV16+'2019'!AV16+'2020'!AV16+'2021'!AV16+'2022'!AV24</f>
        <v>0</v>
      </c>
      <c r="AW16" s="174">
        <f t="shared" si="3"/>
        <v>301</v>
      </c>
      <c r="AX16" s="156">
        <f t="shared" si="5"/>
        <v>1142.3423055555554</v>
      </c>
      <c r="AY16" s="14">
        <f>'2018'!AX16+'2019'!AX16+'2020'!AX16+'2021'!AX16+'2022'!AX24</f>
        <v>5711.7115277777775</v>
      </c>
      <c r="AZ16" s="14">
        <f t="shared" si="4"/>
        <v>82.692307692307693</v>
      </c>
      <c r="BA16" s="142"/>
      <c r="BB16" s="144"/>
      <c r="BC16" s="142"/>
    </row>
    <row r="17" spans="1:55" x14ac:dyDescent="0.25">
      <c r="A17" s="175" t="s">
        <v>79</v>
      </c>
      <c r="B17" s="176">
        <f>'2018'!B17+'2019'!B17+'2020'!B17+'2021'!B17+'2022'!B25</f>
        <v>12</v>
      </c>
      <c r="C17" s="176">
        <f>'2018'!C17+'2019'!C17+'2020'!C17+'2021'!C17+'2022'!C25</f>
        <v>4</v>
      </c>
      <c r="D17" s="176">
        <f>'2018'!D17+'2019'!D17+'2020'!D17+'2021'!D17+'2022'!D25</f>
        <v>23</v>
      </c>
      <c r="E17" s="176">
        <f>'2018'!E17+'2019'!E17+'2020'!E17+'2021'!E17+'2022'!E25</f>
        <v>4</v>
      </c>
      <c r="F17" s="176">
        <f>'2018'!F17+'2019'!F17+'2020'!F17+'2021'!F17+'2022'!F25</f>
        <v>0</v>
      </c>
      <c r="G17" s="176">
        <f>'2018'!G17+'2019'!G17+'2020'!G17+'2021'!G17+'2022'!G25</f>
        <v>0</v>
      </c>
      <c r="H17" s="176">
        <f>'2018'!H17+'2019'!H17+'2020'!H17+'2021'!H17+'2022'!H25</f>
        <v>17</v>
      </c>
      <c r="I17" s="176">
        <f>'2018'!I17+'2019'!I17+'2020'!I17+'2021'!I17+'2022'!I25</f>
        <v>0</v>
      </c>
      <c r="J17" s="176">
        <f>'2018'!J17+'2019'!J17+'2020'!J17+'2021'!J17+'2022'!J25</f>
        <v>0</v>
      </c>
      <c r="K17" s="176">
        <f>'2018'!K17+'2019'!K17+'2020'!K17+'2021'!K17+'2022'!K25</f>
        <v>0</v>
      </c>
      <c r="L17" s="176">
        <f>'2018'!L17+'2019'!L17+'2020'!L17+'2021'!L17+'2022'!L25</f>
        <v>0</v>
      </c>
      <c r="M17" s="176">
        <f>'2018'!M17+'2019'!M17+'2020'!M17+'2021'!M17+'2022'!M25</f>
        <v>0</v>
      </c>
      <c r="N17" s="176">
        <f>'2018'!N17+'2019'!N17+'2020'!N17+'2021'!N17+'2022'!N25</f>
        <v>0</v>
      </c>
      <c r="O17" s="176">
        <f>'2018'!O17+'2019'!O17+'2020'!O17+'2021'!O17+'2022'!O25</f>
        <v>0</v>
      </c>
      <c r="P17" s="176">
        <f>'2018'!P17+'2019'!P17+'2020'!P17+'2021'!P17+'2022'!P25</f>
        <v>0</v>
      </c>
      <c r="Q17" s="176">
        <f>'2018'!Q17+'2019'!Q17+'2020'!Q17+'2021'!Q17+'2022'!Q25</f>
        <v>0</v>
      </c>
      <c r="R17" s="176">
        <f>'2018'!R17+'2019'!R17+'2020'!R17+'2021'!R17+'2022'!R25</f>
        <v>0</v>
      </c>
      <c r="S17" s="176">
        <f>'2018'!S17+'2019'!S17+'2020'!S17+'2021'!S17+'2022'!S25</f>
        <v>0</v>
      </c>
      <c r="T17" s="176">
        <f>'2018'!T17+'2019'!T17+'2020'!T17+'2021'!T17+'2022'!T25</f>
        <v>2</v>
      </c>
      <c r="U17" s="176">
        <f>'2018'!U17+'2019'!U17+'2020'!U17+'2021'!U17+'2022'!U25</f>
        <v>0</v>
      </c>
      <c r="V17" s="176">
        <f>'2018'!V17+'2019'!V17+'2020'!V17+'2021'!V17+'2022'!V25</f>
        <v>2</v>
      </c>
      <c r="W17" s="176">
        <f>'2018'!W17+'2019'!W17+'2020'!W17+'2021'!W17+'2022'!W25</f>
        <v>0</v>
      </c>
      <c r="X17" s="176">
        <f>'2018'!X17+'2019'!X17+'2020'!X17+'2021'!X17+'2022'!X25</f>
        <v>2</v>
      </c>
      <c r="Y17" s="174">
        <f t="shared" si="1"/>
        <v>23</v>
      </c>
      <c r="Z17" s="174">
        <f>'2018'!Z17+'2019'!Z17+'2020'!Z17+'2021'!Z17+'2022'!Z25</f>
        <v>9</v>
      </c>
      <c r="AA17" s="174">
        <f>'2018'!AA17+'2019'!AA17+'2020'!AA17+'2021'!AA17+'2022'!AA25</f>
        <v>2</v>
      </c>
      <c r="AB17" s="174">
        <f>'2018'!AB17+'2019'!AB17+'2020'!AB17+'2021'!AB17+'2022'!AB25</f>
        <v>20</v>
      </c>
      <c r="AC17" s="174">
        <f>'2018'!AC17+'2019'!AC17+'2020'!AC17+'2021'!AC17+'2022'!AC25</f>
        <v>2</v>
      </c>
      <c r="AD17" s="174">
        <f>'2018'!AD17+'2019'!AD17+'2020'!AD17+'2021'!AD17+'2022'!AD25</f>
        <v>0</v>
      </c>
      <c r="AE17" s="174">
        <f>'2018'!AE17+'2019'!AE17+'2020'!AE17+'2021'!AE17+'2022'!AE25</f>
        <v>0</v>
      </c>
      <c r="AF17" s="174">
        <f>'2018'!AF17+'2019'!AF17+'2020'!AF17+'2021'!AF17+'2022'!AF25</f>
        <v>16</v>
      </c>
      <c r="AG17" s="174">
        <f>'2018'!AG17+'2019'!AG17+'2020'!AG17+'2021'!AG17+'2022'!AG25</f>
        <v>0</v>
      </c>
      <c r="AH17" s="174">
        <f>'2018'!AH17+'2019'!AH17+'2020'!AH17+'2021'!AH17+'2022'!AH25</f>
        <v>0</v>
      </c>
      <c r="AI17" s="174">
        <f>'2018'!AI17+'2019'!AI17+'2020'!AI17+'2021'!AI17+'2022'!AI25</f>
        <v>0</v>
      </c>
      <c r="AJ17" s="174">
        <f>'2018'!AJ17+'2019'!AJ17+'2020'!AJ17+'2021'!AJ17+'2022'!AJ25</f>
        <v>0</v>
      </c>
      <c r="AK17" s="174">
        <f>'2018'!AK17+'2019'!AK17+'2020'!AK17+'2021'!AK17+'2022'!AK25</f>
        <v>0</v>
      </c>
      <c r="AL17" s="174">
        <f>'2018'!AL17+'2019'!AL17+'2020'!AL17+'2021'!AL17+'2022'!AL25</f>
        <v>0</v>
      </c>
      <c r="AM17" s="174">
        <f>'2018'!AM17+'2019'!AM17+'2020'!AM17+'2021'!AM17+'2022'!AM25</f>
        <v>0</v>
      </c>
      <c r="AN17" s="174">
        <f>'2018'!AN17+'2019'!AN17+'2020'!AN17+'2021'!AN17+'2022'!AN25</f>
        <v>0</v>
      </c>
      <c r="AO17" s="174">
        <f>'2018'!AO17+'2019'!AO17+'2020'!AO17+'2021'!AO17+'2022'!AO25</f>
        <v>0</v>
      </c>
      <c r="AP17" s="174">
        <f>'2018'!AP17+'2019'!AP17+'2020'!AP17+'2021'!AP17+'2022'!AP25</f>
        <v>0</v>
      </c>
      <c r="AQ17" s="174">
        <f>'2018'!AQ17+'2019'!AQ17+'2020'!AQ17+'2021'!AQ17+'2022'!AQ25</f>
        <v>0</v>
      </c>
      <c r="AR17" s="174">
        <f>'2018'!AR17+'2019'!AR17+'2020'!AR17+'2021'!AR17+'2022'!AR25</f>
        <v>0</v>
      </c>
      <c r="AS17" s="174">
        <f>'2018'!AS17+'2019'!AS17+'2020'!AS17+'2021'!AS17+'2022'!AS25</f>
        <v>0</v>
      </c>
      <c r="AT17" s="174">
        <f>'2018'!AT17+'2019'!AT17+'2020'!AT17+'2021'!AT17+'2022'!AT25</f>
        <v>2</v>
      </c>
      <c r="AU17" s="174">
        <f>'2018'!AU17+'2019'!AU17+'2020'!AU17+'2021'!AU17+'2022'!AU25</f>
        <v>0</v>
      </c>
      <c r="AV17" s="174">
        <f>'2018'!AV17+'2019'!AV17+'2020'!AV17+'2021'!AV17+'2022'!AV25</f>
        <v>2</v>
      </c>
      <c r="AW17" s="174">
        <f t="shared" si="3"/>
        <v>20</v>
      </c>
      <c r="AX17" s="156">
        <f t="shared" si="5"/>
        <v>363.85</v>
      </c>
      <c r="AY17" s="14">
        <f>'2018'!AX17+'2019'!AX17+'2020'!AX17+'2021'!AX17+'2022'!AX25</f>
        <v>1819.25</v>
      </c>
      <c r="AZ17" s="14">
        <f t="shared" si="4"/>
        <v>86.956521739130437</v>
      </c>
      <c r="BA17" s="142"/>
      <c r="BB17" s="144"/>
      <c r="BC17" s="142"/>
    </row>
    <row r="18" spans="1:55" x14ac:dyDescent="0.25">
      <c r="A18" s="175" t="s">
        <v>80</v>
      </c>
      <c r="B18" s="176">
        <f>'2018'!B18+'2019'!B18+'2020'!B18+'2021'!B18+'2022'!B8</f>
        <v>5</v>
      </c>
      <c r="C18" s="176">
        <f>'2018'!C18+'2019'!C18+'2020'!C18+'2021'!C18+'2022'!C8</f>
        <v>3</v>
      </c>
      <c r="D18" s="176">
        <f>'2018'!D18+'2019'!D18+'2020'!D18+'2021'!D18+'2022'!D8</f>
        <v>6</v>
      </c>
      <c r="E18" s="176">
        <f>'2018'!E18+'2019'!E18+'2020'!E18+'2021'!E18+'2022'!E8</f>
        <v>3</v>
      </c>
      <c r="F18" s="176">
        <f>'2018'!F18+'2019'!F18+'2020'!F18+'2021'!F18+'2022'!F8</f>
        <v>0</v>
      </c>
      <c r="G18" s="176">
        <f>'2018'!G18+'2019'!G18+'2020'!G18+'2021'!G18+'2022'!G8</f>
        <v>0</v>
      </c>
      <c r="H18" s="176">
        <f>'2018'!H18+'2019'!H18+'2020'!H18+'2021'!H18+'2022'!H8</f>
        <v>2</v>
      </c>
      <c r="I18" s="176">
        <f>'2018'!I18+'2019'!I18+'2020'!I18+'2021'!I18+'2022'!I8</f>
        <v>0</v>
      </c>
      <c r="J18" s="176">
        <f>'2018'!J18+'2019'!J18+'2020'!J18+'2021'!J18+'2022'!J8</f>
        <v>0</v>
      </c>
      <c r="K18" s="176">
        <f>'2018'!K18+'2019'!K18+'2020'!K18+'2021'!K18+'2022'!K8</f>
        <v>0</v>
      </c>
      <c r="L18" s="176">
        <f>'2018'!L18+'2019'!L18+'2020'!L18+'2021'!L18+'2022'!L8</f>
        <v>0</v>
      </c>
      <c r="M18" s="176">
        <f>'2018'!M18+'2019'!M18+'2020'!M18+'2021'!M18+'2022'!M8</f>
        <v>0</v>
      </c>
      <c r="N18" s="176">
        <f>'2018'!N18+'2019'!N18+'2020'!N18+'2021'!N18+'2022'!N8</f>
        <v>0</v>
      </c>
      <c r="O18" s="176">
        <f>'2018'!O18+'2019'!O18+'2020'!O18+'2021'!O18+'2022'!O8</f>
        <v>0</v>
      </c>
      <c r="P18" s="176">
        <f>'2018'!P18+'2019'!P18+'2020'!P18+'2021'!P18+'2022'!P8</f>
        <v>0</v>
      </c>
      <c r="Q18" s="176">
        <f>'2018'!Q18+'2019'!Q18+'2020'!Q18+'2021'!Q18+'2022'!Q8</f>
        <v>0</v>
      </c>
      <c r="R18" s="176">
        <f>'2018'!R18+'2019'!R18+'2020'!R18+'2021'!R18+'2022'!R8</f>
        <v>0</v>
      </c>
      <c r="S18" s="176">
        <f>'2018'!S18+'2019'!S18+'2020'!S18+'2021'!S18+'2022'!S8</f>
        <v>0</v>
      </c>
      <c r="T18" s="176">
        <f>'2018'!T18+'2019'!T18+'2020'!T18+'2021'!T18+'2022'!T8</f>
        <v>1</v>
      </c>
      <c r="U18" s="176">
        <f>'2018'!U18+'2019'!U18+'2020'!U18+'2021'!U18+'2022'!U8</f>
        <v>1</v>
      </c>
      <c r="V18" s="176">
        <f>'2018'!V18+'2019'!V18+'2020'!V18+'2021'!V18+'2022'!V8</f>
        <v>1</v>
      </c>
      <c r="W18" s="176">
        <f>'2018'!W18+'2019'!W18+'2020'!W18+'2021'!W18+'2022'!W8</f>
        <v>1</v>
      </c>
      <c r="X18" s="176">
        <f>'2018'!X18+'2019'!X18+'2020'!X18+'2021'!X18+'2022'!X8</f>
        <v>0</v>
      </c>
      <c r="Y18" s="174">
        <f t="shared" si="1"/>
        <v>6</v>
      </c>
      <c r="Z18" s="174">
        <f>'2018'!Z18+'2019'!Z18+'2020'!Z18+'2021'!Z18+'2022'!Z8</f>
        <v>3</v>
      </c>
      <c r="AA18" s="174">
        <f>'2018'!AA18+'2019'!AA18+'2020'!AA18+'2021'!AA18+'2022'!AA8</f>
        <v>2</v>
      </c>
      <c r="AB18" s="174">
        <f>'2018'!AB18+'2019'!AB18+'2020'!AB18+'2021'!AB18+'2022'!AB8</f>
        <v>3</v>
      </c>
      <c r="AC18" s="174">
        <f>'2018'!AC18+'2019'!AC18+'2020'!AC18+'2021'!AC18+'2022'!AC8</f>
        <v>2</v>
      </c>
      <c r="AD18" s="174">
        <f>'2018'!AD18+'2019'!AD18+'2020'!AD18+'2021'!AD18+'2022'!AD8</f>
        <v>0</v>
      </c>
      <c r="AE18" s="174">
        <f>'2018'!AE18+'2019'!AE18+'2020'!AE18+'2021'!AE18+'2022'!AE8</f>
        <v>0</v>
      </c>
      <c r="AF18" s="174">
        <f>'2018'!AF18+'2019'!AF18+'2020'!AF18+'2021'!AF18+'2022'!AF8</f>
        <v>0</v>
      </c>
      <c r="AG18" s="174">
        <f>'2018'!AG18+'2019'!AG18+'2020'!AG18+'2021'!AG18+'2022'!AG8</f>
        <v>0</v>
      </c>
      <c r="AH18" s="174">
        <f>'2018'!AH18+'2019'!AH18+'2020'!AH18+'2021'!AH18+'2022'!AH8</f>
        <v>0</v>
      </c>
      <c r="AI18" s="174">
        <f>'2018'!AI18+'2019'!AI18+'2020'!AI18+'2021'!AI18+'2022'!AI8</f>
        <v>0</v>
      </c>
      <c r="AJ18" s="174">
        <f>'2018'!AJ18+'2019'!AJ18+'2020'!AJ18+'2021'!AJ18+'2022'!AJ8</f>
        <v>0</v>
      </c>
      <c r="AK18" s="174">
        <f>'2018'!AK18+'2019'!AK18+'2020'!AK18+'2021'!AK18+'2022'!AK8</f>
        <v>0</v>
      </c>
      <c r="AL18" s="174">
        <f>'2018'!AL18+'2019'!AL18+'2020'!AL18+'2021'!AL18+'2022'!AL8</f>
        <v>0</v>
      </c>
      <c r="AM18" s="174">
        <f>'2018'!AM18+'2019'!AM18+'2020'!AM18+'2021'!AM18+'2022'!AM8</f>
        <v>0</v>
      </c>
      <c r="AN18" s="174">
        <f>'2018'!AN18+'2019'!AN18+'2020'!AN18+'2021'!AN18+'2022'!AN8</f>
        <v>0</v>
      </c>
      <c r="AO18" s="174">
        <f>'2018'!AO18+'2019'!AO18+'2020'!AO18+'2021'!AO18+'2022'!AO8</f>
        <v>0</v>
      </c>
      <c r="AP18" s="174">
        <f>'2018'!AP18+'2019'!AP18+'2020'!AP18+'2021'!AP18+'2022'!AP8</f>
        <v>0</v>
      </c>
      <c r="AQ18" s="174">
        <f>'2018'!AQ18+'2019'!AQ18+'2020'!AQ18+'2021'!AQ18+'2022'!AQ8</f>
        <v>0</v>
      </c>
      <c r="AR18" s="174">
        <f>'2018'!AR18+'2019'!AR18+'2020'!AR18+'2021'!AR18+'2022'!AR8</f>
        <v>0</v>
      </c>
      <c r="AS18" s="174">
        <f>'2018'!AS18+'2019'!AS18+'2020'!AS18+'2021'!AS18+'2022'!AS8</f>
        <v>1</v>
      </c>
      <c r="AT18" s="174">
        <f>'2018'!AT18+'2019'!AT18+'2020'!AT18+'2021'!AT18+'2022'!AT8</f>
        <v>1</v>
      </c>
      <c r="AU18" s="174">
        <f>'2018'!AU18+'2019'!AU18+'2020'!AU18+'2021'!AU18+'2022'!AU8</f>
        <v>1</v>
      </c>
      <c r="AV18" s="174">
        <f>'2018'!AV18+'2019'!AV18+'2020'!AV18+'2021'!AV18+'2022'!AV8</f>
        <v>0</v>
      </c>
      <c r="AW18" s="174">
        <f t="shared" si="3"/>
        <v>3</v>
      </c>
      <c r="AX18" s="156">
        <f t="shared" si="5"/>
        <v>340.4</v>
      </c>
      <c r="AY18" s="14">
        <f>'2018'!AX18+'2019'!AX18+'2020'!AX18+'2021'!AX18+'2022'!AX8</f>
        <v>1702</v>
      </c>
      <c r="AZ18" s="14">
        <f t="shared" si="4"/>
        <v>50</v>
      </c>
      <c r="BA18" s="142"/>
      <c r="BB18" s="144"/>
      <c r="BC18" s="142"/>
    </row>
    <row r="19" spans="1:55" x14ac:dyDescent="0.25">
      <c r="A19" s="175" t="s">
        <v>81</v>
      </c>
      <c r="B19" s="176">
        <f>'2018'!B19+'2019'!B19+'2020'!B19+'2021'!B19+'2022'!B9</f>
        <v>19</v>
      </c>
      <c r="C19" s="176">
        <f>'2018'!C19+'2019'!C19+'2020'!C19+'2021'!C19+'2022'!C9</f>
        <v>16</v>
      </c>
      <c r="D19" s="176">
        <f>'2018'!D19+'2019'!D19+'2020'!D19+'2021'!D19+'2022'!D9</f>
        <v>36</v>
      </c>
      <c r="E19" s="176">
        <f>'2018'!E19+'2019'!E19+'2020'!E19+'2021'!E19+'2022'!E9</f>
        <v>33</v>
      </c>
      <c r="F19" s="176">
        <f>'2018'!F19+'2019'!F19+'2020'!F19+'2021'!F19+'2022'!F9</f>
        <v>0</v>
      </c>
      <c r="G19" s="176">
        <f>'2018'!G19+'2019'!G19+'2020'!G19+'2021'!G19+'2022'!G9</f>
        <v>0</v>
      </c>
      <c r="H19" s="176">
        <f>'2018'!H19+'2019'!H19+'2020'!H19+'2021'!H19+'2022'!H9</f>
        <v>0</v>
      </c>
      <c r="I19" s="176">
        <f>'2018'!I19+'2019'!I19+'2020'!I19+'2021'!I19+'2022'!I9</f>
        <v>0</v>
      </c>
      <c r="J19" s="176">
        <f>'2018'!J19+'2019'!J19+'2020'!J19+'2021'!J19+'2022'!J9</f>
        <v>0</v>
      </c>
      <c r="K19" s="176">
        <f>'2018'!K19+'2019'!K19+'2020'!K19+'2021'!K19+'2022'!K9</f>
        <v>0</v>
      </c>
      <c r="L19" s="176">
        <f>'2018'!L19+'2019'!L19+'2020'!L19+'2021'!L19+'2022'!L9</f>
        <v>0</v>
      </c>
      <c r="M19" s="176">
        <f>'2018'!M19+'2019'!M19+'2020'!M19+'2021'!M19+'2022'!M9</f>
        <v>1</v>
      </c>
      <c r="N19" s="176">
        <f>'2018'!N19+'2019'!N19+'2020'!N19+'2021'!N19+'2022'!N9</f>
        <v>0</v>
      </c>
      <c r="O19" s="176">
        <f>'2018'!O19+'2019'!O19+'2020'!O19+'2021'!O19+'2022'!O9</f>
        <v>0</v>
      </c>
      <c r="P19" s="176">
        <f>'2018'!P19+'2019'!P19+'2020'!P19+'2021'!P19+'2022'!P9</f>
        <v>0</v>
      </c>
      <c r="Q19" s="176">
        <f>'2018'!Q19+'2019'!Q19+'2020'!Q19+'2021'!Q19+'2022'!Q9</f>
        <v>0</v>
      </c>
      <c r="R19" s="176">
        <f>'2018'!R19+'2019'!R19+'2020'!R19+'2021'!R19+'2022'!R9</f>
        <v>1</v>
      </c>
      <c r="S19" s="176">
        <f>'2018'!S19+'2019'!S19+'2020'!S19+'2021'!S19+'2022'!S9</f>
        <v>0</v>
      </c>
      <c r="T19" s="176">
        <f>'2018'!T19+'2019'!T19+'2020'!T19+'2021'!T19+'2022'!T9</f>
        <v>21</v>
      </c>
      <c r="U19" s="176">
        <f>'2018'!U19+'2019'!U19+'2020'!U19+'2021'!U19+'2022'!U9</f>
        <v>1</v>
      </c>
      <c r="V19" s="176">
        <f>'2018'!V19+'2019'!V19+'2020'!V19+'2021'!V19+'2022'!V9</f>
        <v>8</v>
      </c>
      <c r="W19" s="176">
        <f>'2018'!W19+'2019'!W19+'2020'!W19+'2021'!W19+'2022'!W9</f>
        <v>4</v>
      </c>
      <c r="X19" s="176">
        <f>'2018'!X19+'2019'!X19+'2020'!X19+'2021'!X19+'2022'!X9</f>
        <v>0</v>
      </c>
      <c r="Y19" s="174">
        <f t="shared" si="1"/>
        <v>36</v>
      </c>
      <c r="Z19" s="174">
        <f>'2018'!Z19+'2019'!Z19+'2020'!Z19+'2021'!Z19+'2022'!Z9</f>
        <v>12</v>
      </c>
      <c r="AA19" s="174">
        <f>'2018'!AA19+'2019'!AA19+'2020'!AA19+'2021'!AA19+'2022'!AA9</f>
        <v>10</v>
      </c>
      <c r="AB19" s="174">
        <f>'2018'!AB19+'2019'!AB19+'2020'!AB19+'2021'!AB19+'2022'!AB9</f>
        <v>18</v>
      </c>
      <c r="AC19" s="174">
        <f>'2018'!AC19+'2019'!AC19+'2020'!AC19+'2021'!AC19+'2022'!AC9</f>
        <v>16</v>
      </c>
      <c r="AD19" s="174">
        <f>'2018'!AD19+'2019'!AD19+'2020'!AD19+'2021'!AD19+'2022'!AD9</f>
        <v>0</v>
      </c>
      <c r="AE19" s="174">
        <f>'2018'!AE19+'2019'!AE19+'2020'!AE19+'2021'!AE19+'2022'!AE9</f>
        <v>0</v>
      </c>
      <c r="AF19" s="174">
        <f>'2018'!AF19+'2019'!AF19+'2020'!AF19+'2021'!AF19+'2022'!AF9</f>
        <v>0</v>
      </c>
      <c r="AG19" s="174">
        <f>'2018'!AG19+'2019'!AG19+'2020'!AG19+'2021'!AG19+'2022'!AG9</f>
        <v>0</v>
      </c>
      <c r="AH19" s="174">
        <f>'2018'!AH19+'2019'!AH19+'2020'!AH19+'2021'!AH19+'2022'!AH9</f>
        <v>0</v>
      </c>
      <c r="AI19" s="174">
        <f>'2018'!AI19+'2019'!AI19+'2020'!AI19+'2021'!AI19+'2022'!AI9</f>
        <v>0</v>
      </c>
      <c r="AJ19" s="174">
        <f>'2018'!AJ19+'2019'!AJ19+'2020'!AJ19+'2021'!AJ19+'2022'!AJ9</f>
        <v>0</v>
      </c>
      <c r="AK19" s="174">
        <f>'2018'!AK19+'2019'!AK19+'2020'!AK19+'2021'!AK19+'2022'!AK9</f>
        <v>1</v>
      </c>
      <c r="AL19" s="174">
        <f>'2018'!AL19+'2019'!AL19+'2020'!AL19+'2021'!AL19+'2022'!AL9</f>
        <v>0</v>
      </c>
      <c r="AM19" s="174">
        <f>'2018'!AM19+'2019'!AM19+'2020'!AM19+'2021'!AM19+'2022'!AM9</f>
        <v>0</v>
      </c>
      <c r="AN19" s="174">
        <f>'2018'!AN19+'2019'!AN19+'2020'!AN19+'2021'!AN19+'2022'!AN9</f>
        <v>0</v>
      </c>
      <c r="AO19" s="174">
        <f>'2018'!AO19+'2019'!AO19+'2020'!AO19+'2021'!AO19+'2022'!AO9</f>
        <v>0</v>
      </c>
      <c r="AP19" s="174">
        <f>'2018'!AP19+'2019'!AP19+'2020'!AP19+'2021'!AP19+'2022'!AP9</f>
        <v>1</v>
      </c>
      <c r="AQ19" s="174">
        <f>'2018'!AQ19+'2019'!AQ19+'2020'!AQ19+'2021'!AQ19+'2022'!AQ9</f>
        <v>0</v>
      </c>
      <c r="AR19" s="174">
        <f>'2018'!AR19+'2019'!AR19+'2020'!AR19+'2021'!AR19+'2022'!AR9</f>
        <v>12</v>
      </c>
      <c r="AS19" s="174">
        <f>'2018'!AS19+'2019'!AS19+'2020'!AS19+'2021'!AS19+'2022'!AS9</f>
        <v>0</v>
      </c>
      <c r="AT19" s="174">
        <f>'2018'!AT19+'2019'!AT19+'2020'!AT19+'2021'!AT19+'2022'!AT9</f>
        <v>1</v>
      </c>
      <c r="AU19" s="174">
        <f>'2018'!AU19+'2019'!AU19+'2020'!AU19+'2021'!AU19+'2022'!AU9</f>
        <v>1</v>
      </c>
      <c r="AV19" s="174">
        <f>'2018'!AV19+'2019'!AV19+'2020'!AV19+'2021'!AV19+'2022'!AV9</f>
        <v>0</v>
      </c>
      <c r="AW19" s="174">
        <f t="shared" si="3"/>
        <v>16</v>
      </c>
      <c r="AX19" s="156">
        <f t="shared" si="5"/>
        <v>1063.4193333333333</v>
      </c>
      <c r="AY19" s="14">
        <f>'2018'!AX19+'2019'!AX19+'2020'!AX19+'2021'!AX19+'2022'!AX9</f>
        <v>5317.0966666666664</v>
      </c>
      <c r="AZ19" s="14">
        <f t="shared" si="4"/>
        <v>50</v>
      </c>
      <c r="BA19" s="142"/>
      <c r="BB19" s="144"/>
      <c r="BC19" s="142"/>
    </row>
    <row r="20" spans="1:55" x14ac:dyDescent="0.25">
      <c r="A20" s="175" t="s">
        <v>82</v>
      </c>
      <c r="B20" s="176">
        <f>'2018'!B20+'2019'!B20+'2020'!B20+'2021'!B20+'2022'!B10</f>
        <v>31</v>
      </c>
      <c r="C20" s="176">
        <f>'2018'!C20+'2019'!C20+'2020'!C20+'2021'!C20+'2022'!C10</f>
        <v>18</v>
      </c>
      <c r="D20" s="176">
        <f>'2018'!D20+'2019'!D20+'2020'!D20+'2021'!D20+'2022'!D10</f>
        <v>40</v>
      </c>
      <c r="E20" s="176">
        <f>'2018'!E20+'2019'!E20+'2020'!E20+'2021'!E20+'2022'!E10</f>
        <v>27</v>
      </c>
      <c r="F20" s="176">
        <f>'2018'!F20+'2019'!F20+'2020'!F20+'2021'!F20+'2022'!F10</f>
        <v>0</v>
      </c>
      <c r="G20" s="176">
        <f>'2018'!G20+'2019'!G20+'2020'!G20+'2021'!G20+'2022'!G10</f>
        <v>0</v>
      </c>
      <c r="H20" s="176">
        <f>'2018'!H20+'2019'!H20+'2020'!H20+'2021'!H20+'2022'!H10</f>
        <v>1</v>
      </c>
      <c r="I20" s="176">
        <f>'2018'!I20+'2019'!I20+'2020'!I20+'2021'!I20+'2022'!I10</f>
        <v>0</v>
      </c>
      <c r="J20" s="176">
        <f>'2018'!J20+'2019'!J20+'2020'!J20+'2021'!J20+'2022'!J10</f>
        <v>0</v>
      </c>
      <c r="K20" s="176">
        <f>'2018'!K20+'2019'!K20+'2020'!K20+'2021'!K20+'2022'!K10</f>
        <v>4</v>
      </c>
      <c r="L20" s="176">
        <f>'2018'!L20+'2019'!L20+'2020'!L20+'2021'!L20+'2022'!L10</f>
        <v>1</v>
      </c>
      <c r="M20" s="176">
        <f>'2018'!M20+'2019'!M20+'2020'!M20+'2021'!M20+'2022'!M10</f>
        <v>1</v>
      </c>
      <c r="N20" s="176">
        <f>'2018'!N20+'2019'!N20+'2020'!N20+'2021'!N20+'2022'!N10</f>
        <v>0</v>
      </c>
      <c r="O20" s="176">
        <f>'2018'!O20+'2019'!O20+'2020'!O20+'2021'!O20+'2022'!O10</f>
        <v>1</v>
      </c>
      <c r="P20" s="176">
        <f>'2018'!P20+'2019'!P20+'2020'!P20+'2021'!P20+'2022'!P10</f>
        <v>0</v>
      </c>
      <c r="Q20" s="176">
        <f>'2018'!Q20+'2019'!Q20+'2020'!Q20+'2021'!Q20+'2022'!Q10</f>
        <v>0</v>
      </c>
      <c r="R20" s="176">
        <f>'2018'!R20+'2019'!R20+'2020'!R20+'2021'!R20+'2022'!R10</f>
        <v>4</v>
      </c>
      <c r="S20" s="176">
        <f>'2018'!S20+'2019'!S20+'2020'!S20+'2021'!S20+'2022'!S10</f>
        <v>0</v>
      </c>
      <c r="T20" s="176">
        <f>'2018'!T20+'2019'!T20+'2020'!T20+'2021'!T20+'2022'!T10</f>
        <v>2</v>
      </c>
      <c r="U20" s="176">
        <f>'2018'!U20+'2019'!U20+'2020'!U20+'2021'!U20+'2022'!U10</f>
        <v>7</v>
      </c>
      <c r="V20" s="176">
        <f>'2018'!V20+'2019'!V20+'2020'!V20+'2021'!V20+'2022'!V10</f>
        <v>16</v>
      </c>
      <c r="W20" s="176">
        <f>'2018'!W20+'2019'!W20+'2020'!W20+'2021'!W20+'2022'!W10</f>
        <v>0</v>
      </c>
      <c r="X20" s="176">
        <f>'2018'!X20+'2019'!X20+'2020'!X20+'2021'!X20+'2022'!X10</f>
        <v>3</v>
      </c>
      <c r="Y20" s="174">
        <f t="shared" si="1"/>
        <v>40</v>
      </c>
      <c r="Z20" s="174">
        <f>'2018'!Z20+'2019'!Z20+'2020'!Z20+'2021'!Z20+'2022'!Z10</f>
        <v>21</v>
      </c>
      <c r="AA20" s="174">
        <f>'2018'!AA20+'2019'!AA20+'2020'!AA20+'2021'!AA20+'2022'!AA10</f>
        <v>15</v>
      </c>
      <c r="AB20" s="174">
        <f>'2018'!AB20+'2019'!AB20+'2020'!AB20+'2021'!AB20+'2022'!AB10</f>
        <v>29</v>
      </c>
      <c r="AC20" s="174">
        <f>'2018'!AC20+'2019'!AC20+'2020'!AC20+'2021'!AC20+'2022'!AC10</f>
        <v>24</v>
      </c>
      <c r="AD20" s="174">
        <f>'2018'!AD20+'2019'!AD20+'2020'!AD20+'2021'!AD20+'2022'!AD10</f>
        <v>0</v>
      </c>
      <c r="AE20" s="174">
        <f>'2018'!AE20+'2019'!AE20+'2020'!AE20+'2021'!AE20+'2022'!AE10</f>
        <v>0</v>
      </c>
      <c r="AF20" s="174">
        <f>'2018'!AF20+'2019'!AF20+'2020'!AF20+'2021'!AF20+'2022'!AF10</f>
        <v>1</v>
      </c>
      <c r="AG20" s="174">
        <f>'2018'!AG20+'2019'!AG20+'2020'!AG20+'2021'!AG20+'2022'!AG10</f>
        <v>0</v>
      </c>
      <c r="AH20" s="174">
        <f>'2018'!AH20+'2019'!AH20+'2020'!AH20+'2021'!AH20+'2022'!AH10</f>
        <v>0</v>
      </c>
      <c r="AI20" s="174">
        <f>'2018'!AI20+'2019'!AI20+'2020'!AI20+'2021'!AI20+'2022'!AI10</f>
        <v>1</v>
      </c>
      <c r="AJ20" s="174">
        <f>'2018'!AJ20+'2019'!AJ20+'2020'!AJ20+'2021'!AJ20+'2022'!AJ10</f>
        <v>1</v>
      </c>
      <c r="AK20" s="174">
        <f>'2018'!AK20+'2019'!AK20+'2020'!AK20+'2021'!AK20+'2022'!AK10</f>
        <v>0</v>
      </c>
      <c r="AL20" s="174">
        <f>'2018'!AL20+'2019'!AL20+'2020'!AL20+'2021'!AL20+'2022'!AL10</f>
        <v>0</v>
      </c>
      <c r="AM20" s="174">
        <f>'2018'!AM20+'2019'!AM20+'2020'!AM20+'2021'!AM20+'2022'!AM10</f>
        <v>1</v>
      </c>
      <c r="AN20" s="174">
        <f>'2018'!AN20+'2019'!AN20+'2020'!AN20+'2021'!AN20+'2022'!AN10</f>
        <v>0</v>
      </c>
      <c r="AO20" s="174">
        <f>'2018'!AO20+'2019'!AO20+'2020'!AO20+'2021'!AO20+'2022'!AO10</f>
        <v>0</v>
      </c>
      <c r="AP20" s="174">
        <f>'2018'!AP20+'2019'!AP20+'2020'!AP20+'2021'!AP20+'2022'!AP10</f>
        <v>2</v>
      </c>
      <c r="AQ20" s="174">
        <f>'2018'!AQ20+'2019'!AQ20+'2020'!AQ20+'2021'!AQ20+'2022'!AQ10</f>
        <v>0</v>
      </c>
      <c r="AR20" s="174">
        <f>'2018'!AR20+'2019'!AR20+'2020'!AR20+'2021'!AR20+'2022'!AR10</f>
        <v>2</v>
      </c>
      <c r="AS20" s="174">
        <f>'2018'!AS20+'2019'!AS20+'2020'!AS20+'2021'!AS20+'2022'!AS10</f>
        <v>7</v>
      </c>
      <c r="AT20" s="174">
        <f>'2018'!AT20+'2019'!AT20+'2020'!AT20+'2021'!AT20+'2022'!AT10</f>
        <v>13</v>
      </c>
      <c r="AU20" s="174">
        <f>'2018'!AU20+'2019'!AU20+'2020'!AU20+'2021'!AU20+'2022'!AU10</f>
        <v>0</v>
      </c>
      <c r="AV20" s="174">
        <f>'2018'!AV20+'2019'!AV20+'2020'!AV20+'2021'!AV20+'2022'!AV10</f>
        <v>1</v>
      </c>
      <c r="AW20" s="174">
        <f t="shared" si="3"/>
        <v>29</v>
      </c>
      <c r="AX20" s="156">
        <f t="shared" si="5"/>
        <v>444.64499999999998</v>
      </c>
      <c r="AY20" s="14">
        <f>'2018'!AX20+'2019'!AX20+'2020'!AX20+'2021'!AX20+'2022'!AX10</f>
        <v>2223.2249999999999</v>
      </c>
      <c r="AZ20" s="14">
        <f t="shared" si="4"/>
        <v>72.5</v>
      </c>
      <c r="BA20" s="142"/>
      <c r="BB20" s="144"/>
      <c r="BC20" s="142"/>
    </row>
    <row r="21" spans="1:55" x14ac:dyDescent="0.25">
      <c r="A21" s="175" t="s">
        <v>83</v>
      </c>
      <c r="B21" s="176">
        <f>'2018'!B21+'2019'!B21+'2020'!B21+'2021'!B21+'2022'!B11</f>
        <v>0</v>
      </c>
      <c r="C21" s="176">
        <f>'2018'!C21+'2019'!C21+'2020'!C21+'2021'!C21+'2022'!C11</f>
        <v>0</v>
      </c>
      <c r="D21" s="176">
        <f>'2018'!D21+'2019'!D21+'2020'!D21+'2021'!D21+'2022'!D11</f>
        <v>0</v>
      </c>
      <c r="E21" s="176">
        <f>'2018'!E21+'2019'!E21+'2020'!E21+'2021'!E21+'2022'!E11</f>
        <v>0</v>
      </c>
      <c r="F21" s="176">
        <f>'2018'!F21+'2019'!F21+'2020'!F21+'2021'!F21+'2022'!F11</f>
        <v>0</v>
      </c>
      <c r="G21" s="176">
        <f>'2018'!G21+'2019'!G21+'2020'!G21+'2021'!G21+'2022'!G11</f>
        <v>0</v>
      </c>
      <c r="H21" s="176">
        <f>'2018'!H21+'2019'!H21+'2020'!H21+'2021'!H21+'2022'!H11</f>
        <v>0</v>
      </c>
      <c r="I21" s="176">
        <f>'2018'!I21+'2019'!I21+'2020'!I21+'2021'!I21+'2022'!I11</f>
        <v>0</v>
      </c>
      <c r="J21" s="176">
        <f>'2018'!J21+'2019'!J21+'2020'!J21+'2021'!J21+'2022'!J11</f>
        <v>0</v>
      </c>
      <c r="K21" s="176">
        <f>'2018'!K21+'2019'!K21+'2020'!K21+'2021'!K21+'2022'!K11</f>
        <v>0</v>
      </c>
      <c r="L21" s="176">
        <f>'2018'!L21+'2019'!L21+'2020'!L21+'2021'!L21+'2022'!L11</f>
        <v>0</v>
      </c>
      <c r="M21" s="176">
        <f>'2018'!M21+'2019'!M21+'2020'!M21+'2021'!M21+'2022'!M11</f>
        <v>0</v>
      </c>
      <c r="N21" s="176">
        <f>'2018'!N21+'2019'!N21+'2020'!N21+'2021'!N21+'2022'!N11</f>
        <v>0</v>
      </c>
      <c r="O21" s="176">
        <f>'2018'!O21+'2019'!O21+'2020'!O21+'2021'!O21+'2022'!O11</f>
        <v>0</v>
      </c>
      <c r="P21" s="176">
        <f>'2018'!P21+'2019'!P21+'2020'!P21+'2021'!P21+'2022'!P11</f>
        <v>0</v>
      </c>
      <c r="Q21" s="176">
        <f>'2018'!Q21+'2019'!Q21+'2020'!Q21+'2021'!Q21+'2022'!Q11</f>
        <v>0</v>
      </c>
      <c r="R21" s="176">
        <f>'2018'!R21+'2019'!R21+'2020'!R21+'2021'!R21+'2022'!R11</f>
        <v>0</v>
      </c>
      <c r="S21" s="176">
        <f>'2018'!S21+'2019'!S21+'2020'!S21+'2021'!S21+'2022'!S11</f>
        <v>0</v>
      </c>
      <c r="T21" s="176">
        <f>'2018'!T21+'2019'!T21+'2020'!T21+'2021'!T21+'2022'!T11</f>
        <v>0</v>
      </c>
      <c r="U21" s="176">
        <f>'2018'!U21+'2019'!U21+'2020'!U21+'2021'!U21+'2022'!U11</f>
        <v>0</v>
      </c>
      <c r="V21" s="176">
        <f>'2018'!V21+'2019'!V21+'2020'!V21+'2021'!V21+'2022'!V11</f>
        <v>0</v>
      </c>
      <c r="W21" s="176">
        <f>'2018'!W21+'2019'!W21+'2020'!W21+'2021'!W21+'2022'!W11</f>
        <v>0</v>
      </c>
      <c r="X21" s="176">
        <f>'2018'!X21+'2019'!X21+'2020'!X21+'2021'!X21+'2022'!X11</f>
        <v>0</v>
      </c>
      <c r="Y21" s="174">
        <f t="shared" si="1"/>
        <v>0</v>
      </c>
      <c r="Z21" s="174">
        <f>'2018'!Z21+'2019'!Z21+'2020'!Z21+'2021'!Z21+'2022'!Z11</f>
        <v>0</v>
      </c>
      <c r="AA21" s="174">
        <f>'2018'!AA21+'2019'!AA21+'2020'!AA21+'2021'!AA21+'2022'!AA11</f>
        <v>0</v>
      </c>
      <c r="AB21" s="174">
        <f>'2018'!AB21+'2019'!AB21+'2020'!AB21+'2021'!AB21+'2022'!AB11</f>
        <v>0</v>
      </c>
      <c r="AC21" s="174">
        <f>'2018'!AC21+'2019'!AC21+'2020'!AC21+'2021'!AC21+'2022'!AC11</f>
        <v>0</v>
      </c>
      <c r="AD21" s="174">
        <f>'2018'!AD21+'2019'!AD21+'2020'!AD21+'2021'!AD21+'2022'!AD11</f>
        <v>0</v>
      </c>
      <c r="AE21" s="174">
        <f>'2018'!AE21+'2019'!AE21+'2020'!AE21+'2021'!AE21+'2022'!AE11</f>
        <v>0</v>
      </c>
      <c r="AF21" s="174">
        <f>'2018'!AF21+'2019'!AF21+'2020'!AF21+'2021'!AF21+'2022'!AF11</f>
        <v>0</v>
      </c>
      <c r="AG21" s="174">
        <f>'2018'!AG21+'2019'!AG21+'2020'!AG21+'2021'!AG21+'2022'!AG11</f>
        <v>0</v>
      </c>
      <c r="AH21" s="174">
        <f>'2018'!AH21+'2019'!AH21+'2020'!AH21+'2021'!AH21+'2022'!AH11</f>
        <v>0</v>
      </c>
      <c r="AI21" s="174">
        <f>'2018'!AI21+'2019'!AI21+'2020'!AI21+'2021'!AI21+'2022'!AI11</f>
        <v>0</v>
      </c>
      <c r="AJ21" s="174">
        <f>'2018'!AJ21+'2019'!AJ21+'2020'!AJ21+'2021'!AJ21+'2022'!AJ11</f>
        <v>0</v>
      </c>
      <c r="AK21" s="174">
        <f>'2018'!AK21+'2019'!AK21+'2020'!AK21+'2021'!AK21+'2022'!AK11</f>
        <v>0</v>
      </c>
      <c r="AL21" s="174">
        <f>'2018'!AL21+'2019'!AL21+'2020'!AL21+'2021'!AL21+'2022'!AL11</f>
        <v>0</v>
      </c>
      <c r="AM21" s="174">
        <f>'2018'!AM21+'2019'!AM21+'2020'!AM21+'2021'!AM21+'2022'!AM11</f>
        <v>0</v>
      </c>
      <c r="AN21" s="174">
        <f>'2018'!AN21+'2019'!AN21+'2020'!AN21+'2021'!AN21+'2022'!AN11</f>
        <v>0</v>
      </c>
      <c r="AO21" s="174">
        <f>'2018'!AO21+'2019'!AO21+'2020'!AO21+'2021'!AO21+'2022'!AO11</f>
        <v>0</v>
      </c>
      <c r="AP21" s="174">
        <f>'2018'!AP21+'2019'!AP21+'2020'!AP21+'2021'!AP21+'2022'!AP11</f>
        <v>0</v>
      </c>
      <c r="AQ21" s="174">
        <f>'2018'!AQ21+'2019'!AQ21+'2020'!AQ21+'2021'!AQ21+'2022'!AQ11</f>
        <v>0</v>
      </c>
      <c r="AR21" s="174">
        <f>'2018'!AR21+'2019'!AR21+'2020'!AR21+'2021'!AR21+'2022'!AR11</f>
        <v>0</v>
      </c>
      <c r="AS21" s="174">
        <f>'2018'!AS21+'2019'!AS21+'2020'!AS21+'2021'!AS21+'2022'!AS11</f>
        <v>0</v>
      </c>
      <c r="AT21" s="174">
        <f>'2018'!AT21+'2019'!AT21+'2020'!AT21+'2021'!AT21+'2022'!AT11</f>
        <v>0</v>
      </c>
      <c r="AU21" s="174">
        <f>'2018'!AU21+'2019'!AU21+'2020'!AU21+'2021'!AU21+'2022'!AU11</f>
        <v>0</v>
      </c>
      <c r="AV21" s="174">
        <f>'2018'!AV21+'2019'!AV21+'2020'!AV21+'2021'!AV21+'2022'!AV11</f>
        <v>0</v>
      </c>
      <c r="AW21" s="174">
        <f t="shared" si="3"/>
        <v>0</v>
      </c>
      <c r="AX21" s="156">
        <f t="shared" si="5"/>
        <v>0</v>
      </c>
      <c r="AY21" s="14">
        <f>'2018'!AX21+'2019'!AX21+'2020'!AX21+'2021'!AX21+'2022'!AX11</f>
        <v>0</v>
      </c>
      <c r="AZ21" s="14" t="e">
        <f t="shared" si="4"/>
        <v>#DIV/0!</v>
      </c>
      <c r="BA21" s="142"/>
      <c r="BB21" s="142"/>
      <c r="BC21" s="142"/>
    </row>
    <row r="22" spans="1:55" x14ac:dyDescent="0.25">
      <c r="A22" s="175" t="s">
        <v>84</v>
      </c>
      <c r="B22" s="176">
        <f>'2018'!B22+'2019'!B22+'2020'!B22+'2021'!B22+'2022'!B12</f>
        <v>1</v>
      </c>
      <c r="C22" s="176">
        <f>'2018'!C22+'2019'!C22+'2020'!C22+'2021'!C22+'2022'!C12</f>
        <v>0</v>
      </c>
      <c r="D22" s="176">
        <f>'2018'!D22+'2019'!D22+'2020'!D22+'2021'!D22+'2022'!D12</f>
        <v>1</v>
      </c>
      <c r="E22" s="176">
        <f>'2018'!E22+'2019'!E22+'2020'!E22+'2021'!E22+'2022'!E12</f>
        <v>0</v>
      </c>
      <c r="F22" s="176">
        <f>'2018'!F22+'2019'!F22+'2020'!F22+'2021'!F22+'2022'!F12</f>
        <v>0</v>
      </c>
      <c r="G22" s="176">
        <f>'2018'!G22+'2019'!G22+'2020'!G22+'2021'!G22+'2022'!G12</f>
        <v>0</v>
      </c>
      <c r="H22" s="176">
        <f>'2018'!H22+'2019'!H22+'2020'!H22+'2021'!H22+'2022'!H12</f>
        <v>0</v>
      </c>
      <c r="I22" s="176">
        <f>'2018'!I22+'2019'!I22+'2020'!I22+'2021'!I22+'2022'!I12</f>
        <v>0</v>
      </c>
      <c r="J22" s="176">
        <f>'2018'!J22+'2019'!J22+'2020'!J22+'2021'!J22+'2022'!J12</f>
        <v>0</v>
      </c>
      <c r="K22" s="176">
        <f>'2018'!K22+'2019'!K22+'2020'!K22+'2021'!K22+'2022'!K12</f>
        <v>0</v>
      </c>
      <c r="L22" s="176">
        <f>'2018'!L22+'2019'!L22+'2020'!L22+'2021'!L22+'2022'!L12</f>
        <v>0</v>
      </c>
      <c r="M22" s="176">
        <f>'2018'!M22+'2019'!M22+'2020'!M22+'2021'!M22+'2022'!M12</f>
        <v>0</v>
      </c>
      <c r="N22" s="176">
        <f>'2018'!N22+'2019'!N22+'2020'!N22+'2021'!N22+'2022'!N12</f>
        <v>0</v>
      </c>
      <c r="O22" s="176">
        <f>'2018'!O22+'2019'!O22+'2020'!O22+'2021'!O22+'2022'!O12</f>
        <v>0</v>
      </c>
      <c r="P22" s="176">
        <f>'2018'!P22+'2019'!P22+'2020'!P22+'2021'!P22+'2022'!P12</f>
        <v>0</v>
      </c>
      <c r="Q22" s="176">
        <f>'2018'!Q22+'2019'!Q22+'2020'!Q22+'2021'!Q22+'2022'!Q12</f>
        <v>0</v>
      </c>
      <c r="R22" s="176">
        <f>'2018'!R22+'2019'!R22+'2020'!R22+'2021'!R22+'2022'!R12</f>
        <v>0</v>
      </c>
      <c r="S22" s="176">
        <f>'2018'!S22+'2019'!S22+'2020'!S22+'2021'!S22+'2022'!S12</f>
        <v>0</v>
      </c>
      <c r="T22" s="176">
        <f>'2018'!T22+'2019'!T22+'2020'!T22+'2021'!T22+'2022'!T12</f>
        <v>1</v>
      </c>
      <c r="U22" s="176">
        <f>'2018'!U22+'2019'!U22+'2020'!U22+'2021'!U22+'2022'!U12</f>
        <v>0</v>
      </c>
      <c r="V22" s="176">
        <f>'2018'!V22+'2019'!V22+'2020'!V22+'2021'!V22+'2022'!V12</f>
        <v>0</v>
      </c>
      <c r="W22" s="176">
        <f>'2018'!W22+'2019'!W22+'2020'!W22+'2021'!W22+'2022'!W12</f>
        <v>0</v>
      </c>
      <c r="X22" s="176">
        <f>'2018'!X22+'2019'!X22+'2020'!X22+'2021'!X22+'2022'!X12</f>
        <v>0</v>
      </c>
      <c r="Y22" s="174">
        <f t="shared" si="1"/>
        <v>1</v>
      </c>
      <c r="Z22" s="174">
        <f>'2018'!Z22+'2019'!Z22+'2020'!Z22+'2021'!Z22+'2022'!Z12</f>
        <v>1</v>
      </c>
      <c r="AA22" s="174">
        <f>'2018'!AA22+'2019'!AA22+'2020'!AA22+'2021'!AA22+'2022'!AA12</f>
        <v>0</v>
      </c>
      <c r="AB22" s="174">
        <f>'2018'!AB22+'2019'!AB22+'2020'!AB22+'2021'!AB22+'2022'!AB12</f>
        <v>1</v>
      </c>
      <c r="AC22" s="174">
        <f>'2018'!AC22+'2019'!AC22+'2020'!AC22+'2021'!AC22+'2022'!AC12</f>
        <v>0</v>
      </c>
      <c r="AD22" s="174">
        <f>'2018'!AD22+'2019'!AD22+'2020'!AD22+'2021'!AD22+'2022'!AD12</f>
        <v>0</v>
      </c>
      <c r="AE22" s="174">
        <f>'2018'!AE22+'2019'!AE22+'2020'!AE22+'2021'!AE22+'2022'!AE12</f>
        <v>0</v>
      </c>
      <c r="AF22" s="174">
        <f>'2018'!AF22+'2019'!AF22+'2020'!AF22+'2021'!AF22+'2022'!AF12</f>
        <v>0</v>
      </c>
      <c r="AG22" s="174">
        <f>'2018'!AG22+'2019'!AG22+'2020'!AG22+'2021'!AG22+'2022'!AG12</f>
        <v>0</v>
      </c>
      <c r="AH22" s="174">
        <f>'2018'!AH22+'2019'!AH22+'2020'!AH22+'2021'!AH22+'2022'!AH12</f>
        <v>0</v>
      </c>
      <c r="AI22" s="174">
        <f>'2018'!AI22+'2019'!AI22+'2020'!AI22+'2021'!AI22+'2022'!AI12</f>
        <v>0</v>
      </c>
      <c r="AJ22" s="174">
        <f>'2018'!AJ22+'2019'!AJ22+'2020'!AJ22+'2021'!AJ22+'2022'!AJ12</f>
        <v>0</v>
      </c>
      <c r="AK22" s="174">
        <f>'2018'!AK22+'2019'!AK22+'2020'!AK22+'2021'!AK22+'2022'!AK12</f>
        <v>0</v>
      </c>
      <c r="AL22" s="174">
        <f>'2018'!AL22+'2019'!AL22+'2020'!AL22+'2021'!AL22+'2022'!AL12</f>
        <v>0</v>
      </c>
      <c r="AM22" s="174">
        <f>'2018'!AM22+'2019'!AM22+'2020'!AM22+'2021'!AM22+'2022'!AM12</f>
        <v>0</v>
      </c>
      <c r="AN22" s="174">
        <f>'2018'!AN22+'2019'!AN22+'2020'!AN22+'2021'!AN22+'2022'!AN12</f>
        <v>0</v>
      </c>
      <c r="AO22" s="174">
        <f>'2018'!AO22+'2019'!AO22+'2020'!AO22+'2021'!AO22+'2022'!AO12</f>
        <v>0</v>
      </c>
      <c r="AP22" s="174">
        <f>'2018'!AP22+'2019'!AP22+'2020'!AP22+'2021'!AP22+'2022'!AP12</f>
        <v>0</v>
      </c>
      <c r="AQ22" s="174">
        <f>'2018'!AQ22+'2019'!AQ22+'2020'!AQ22+'2021'!AQ22+'2022'!AQ12</f>
        <v>0</v>
      </c>
      <c r="AR22" s="174">
        <f>'2018'!AR22+'2019'!AR22+'2020'!AR22+'2021'!AR22+'2022'!AR12</f>
        <v>1</v>
      </c>
      <c r="AS22" s="174">
        <f>'2018'!AS22+'2019'!AS22+'2020'!AS22+'2021'!AS22+'2022'!AS12</f>
        <v>0</v>
      </c>
      <c r="AT22" s="174">
        <f>'2018'!AT22+'2019'!AT22+'2020'!AT22+'2021'!AT22+'2022'!AT12</f>
        <v>0</v>
      </c>
      <c r="AU22" s="174">
        <f>'2018'!AU22+'2019'!AU22+'2020'!AU22+'2021'!AU22+'2022'!AU12</f>
        <v>0</v>
      </c>
      <c r="AV22" s="174">
        <f>'2018'!AV22+'2019'!AV22+'2020'!AV22+'2021'!AV22+'2022'!AV12</f>
        <v>0</v>
      </c>
      <c r="AW22" s="174"/>
      <c r="AX22" s="156"/>
      <c r="AY22" s="110"/>
      <c r="AZ22" s="110"/>
      <c r="BA22" s="142"/>
      <c r="BB22" s="142"/>
      <c r="BC22" s="142"/>
    </row>
    <row r="23" spans="1:55" x14ac:dyDescent="0.25">
      <c r="A23" s="175" t="s">
        <v>85</v>
      </c>
      <c r="B23" s="176">
        <f>'2018'!B23+'2019'!B23+'2020'!B23+'2021'!B23+'2022'!B13</f>
        <v>2</v>
      </c>
      <c r="C23" s="176">
        <f>'2018'!C23+'2019'!C23+'2020'!C23+'2021'!C23+'2022'!C13</f>
        <v>0</v>
      </c>
      <c r="D23" s="176">
        <f>'2018'!D23+'2019'!D23+'2020'!D23+'2021'!D23+'2022'!D13</f>
        <v>2</v>
      </c>
      <c r="E23" s="176">
        <f>'2018'!E23+'2019'!E23+'2020'!E23+'2021'!E23+'2022'!E13</f>
        <v>0</v>
      </c>
      <c r="F23" s="176">
        <f>'2018'!F23+'2019'!F23+'2020'!F23+'2021'!F23+'2022'!F13</f>
        <v>0</v>
      </c>
      <c r="G23" s="176">
        <f>'2018'!G23+'2019'!G23+'2020'!G23+'2021'!G23+'2022'!G13</f>
        <v>0</v>
      </c>
      <c r="H23" s="176">
        <f>'2018'!H23+'2019'!H23+'2020'!H23+'2021'!H23+'2022'!H13</f>
        <v>0</v>
      </c>
      <c r="I23" s="176">
        <f>'2018'!I23+'2019'!I23+'2020'!I23+'2021'!I23+'2022'!I13</f>
        <v>0</v>
      </c>
      <c r="J23" s="176">
        <f>'2018'!J23+'2019'!J23+'2020'!J23+'2021'!J23+'2022'!J13</f>
        <v>0</v>
      </c>
      <c r="K23" s="176">
        <f>'2018'!K23+'2019'!K23+'2020'!K23+'2021'!K23+'2022'!K13</f>
        <v>0</v>
      </c>
      <c r="L23" s="176">
        <f>'2018'!L23+'2019'!L23+'2020'!L23+'2021'!L23+'2022'!L13</f>
        <v>0</v>
      </c>
      <c r="M23" s="176">
        <f>'2018'!M23+'2019'!M23+'2020'!M23+'2021'!M23+'2022'!M13</f>
        <v>0</v>
      </c>
      <c r="N23" s="176">
        <f>'2018'!N23+'2019'!N23+'2020'!N23+'2021'!N23+'2022'!N13</f>
        <v>0</v>
      </c>
      <c r="O23" s="176">
        <f>'2018'!O23+'2019'!O23+'2020'!O23+'2021'!O23+'2022'!O13</f>
        <v>0</v>
      </c>
      <c r="P23" s="176">
        <f>'2018'!P23+'2019'!P23+'2020'!P23+'2021'!P23+'2022'!P13</f>
        <v>0</v>
      </c>
      <c r="Q23" s="176">
        <f>'2018'!Q23+'2019'!Q23+'2020'!Q23+'2021'!Q23+'2022'!Q13</f>
        <v>0</v>
      </c>
      <c r="R23" s="176">
        <f>'2018'!R23+'2019'!R23+'2020'!R23+'2021'!R23+'2022'!R13</f>
        <v>0</v>
      </c>
      <c r="S23" s="176">
        <f>'2018'!S23+'2019'!S23+'2020'!S23+'2021'!S23+'2022'!S13</f>
        <v>0</v>
      </c>
      <c r="T23" s="176">
        <f>'2018'!T23+'2019'!T23+'2020'!T23+'2021'!T23+'2022'!T13</f>
        <v>0</v>
      </c>
      <c r="U23" s="176">
        <f>'2018'!U23+'2019'!U23+'2020'!U23+'2021'!U23+'2022'!U13</f>
        <v>0</v>
      </c>
      <c r="V23" s="176">
        <f>'2018'!V23+'2019'!V23+'2020'!V23+'2021'!V23+'2022'!V13</f>
        <v>2</v>
      </c>
      <c r="W23" s="176">
        <f>'2018'!W23+'2019'!W23+'2020'!W23+'2021'!W23+'2022'!W13</f>
        <v>0</v>
      </c>
      <c r="X23" s="176">
        <f>'2018'!X23+'2019'!X23+'2020'!X23+'2021'!X23+'2022'!X13</f>
        <v>0</v>
      </c>
      <c r="Y23" s="174">
        <f t="shared" si="1"/>
        <v>2</v>
      </c>
      <c r="Z23" s="174">
        <f>'2018'!Z23+'2019'!Z23+'2020'!Z23+'2021'!Z23+'2022'!Z13</f>
        <v>2</v>
      </c>
      <c r="AA23" s="174">
        <f>'2018'!AA23+'2019'!AA23+'2020'!AA23+'2021'!AA23+'2022'!AA13</f>
        <v>0</v>
      </c>
      <c r="AB23" s="174">
        <f>'2018'!AB23+'2019'!AB23+'2020'!AB23+'2021'!AB23+'2022'!AB13</f>
        <v>2</v>
      </c>
      <c r="AC23" s="174">
        <f>'2018'!AC23+'2019'!AC23+'2020'!AC23+'2021'!AC23+'2022'!AC13</f>
        <v>0</v>
      </c>
      <c r="AD23" s="174">
        <f>'2018'!AD23+'2019'!AD23+'2020'!AD23+'2021'!AD23+'2022'!AD13</f>
        <v>0</v>
      </c>
      <c r="AE23" s="174">
        <f>'2018'!AE23+'2019'!AE23+'2020'!AE23+'2021'!AE23+'2022'!AE13</f>
        <v>0</v>
      </c>
      <c r="AF23" s="174">
        <f>'2018'!AF23+'2019'!AF23+'2020'!AF23+'2021'!AF23+'2022'!AF13</f>
        <v>0</v>
      </c>
      <c r="AG23" s="174">
        <f>'2018'!AG23+'2019'!AG23+'2020'!AG23+'2021'!AG23+'2022'!AG13</f>
        <v>0</v>
      </c>
      <c r="AH23" s="174">
        <f>'2018'!AH23+'2019'!AH23+'2020'!AH23+'2021'!AH23+'2022'!AH13</f>
        <v>0</v>
      </c>
      <c r="AI23" s="174">
        <f>'2018'!AI23+'2019'!AI23+'2020'!AI23+'2021'!AI23+'2022'!AI13</f>
        <v>0</v>
      </c>
      <c r="AJ23" s="174">
        <f>'2018'!AJ23+'2019'!AJ23+'2020'!AJ23+'2021'!AJ23+'2022'!AJ13</f>
        <v>0</v>
      </c>
      <c r="AK23" s="174">
        <f>'2018'!AK23+'2019'!AK23+'2020'!AK23+'2021'!AK23+'2022'!AK13</f>
        <v>0</v>
      </c>
      <c r="AL23" s="174">
        <f>'2018'!AL23+'2019'!AL23+'2020'!AL23+'2021'!AL23+'2022'!AL13</f>
        <v>0</v>
      </c>
      <c r="AM23" s="174">
        <f>'2018'!AM23+'2019'!AM23+'2020'!AM23+'2021'!AM23+'2022'!AM13</f>
        <v>0</v>
      </c>
      <c r="AN23" s="174">
        <f>'2018'!AN23+'2019'!AN23+'2020'!AN23+'2021'!AN23+'2022'!AN13</f>
        <v>0</v>
      </c>
      <c r="AO23" s="174">
        <f>'2018'!AO23+'2019'!AO23+'2020'!AO23+'2021'!AO23+'2022'!AO13</f>
        <v>0</v>
      </c>
      <c r="AP23" s="174">
        <f>'2018'!AP23+'2019'!AP23+'2020'!AP23+'2021'!AP23+'2022'!AP13</f>
        <v>0</v>
      </c>
      <c r="AQ23" s="174">
        <f>'2018'!AQ23+'2019'!AQ23+'2020'!AQ23+'2021'!AQ23+'2022'!AQ13</f>
        <v>0</v>
      </c>
      <c r="AR23" s="174">
        <f>'2018'!AR23+'2019'!AR23+'2020'!AR23+'2021'!AR23+'2022'!AR13</f>
        <v>0</v>
      </c>
      <c r="AS23" s="174">
        <f>'2018'!AS23+'2019'!AS23+'2020'!AS23+'2021'!AS23+'2022'!AS13</f>
        <v>0</v>
      </c>
      <c r="AT23" s="174">
        <f>'2018'!AT23+'2019'!AT23+'2020'!AT23+'2021'!AT23+'2022'!AT13</f>
        <v>2</v>
      </c>
      <c r="AU23" s="174">
        <f>'2018'!AU23+'2019'!AU23+'2020'!AU23+'2021'!AU23+'2022'!AU13</f>
        <v>0</v>
      </c>
      <c r="AV23" s="174">
        <f>'2018'!AV23+'2019'!AV23+'2020'!AV23+'2021'!AV23+'2022'!AV13</f>
        <v>0</v>
      </c>
      <c r="AW23" s="174">
        <f t="shared" si="3"/>
        <v>2</v>
      </c>
      <c r="AX23" s="156">
        <f t="shared" si="5"/>
        <v>75.039999999999992</v>
      </c>
      <c r="AY23" s="14">
        <f>'2018'!AX23+'2019'!AX23+'2020'!AX23+'2021'!AX23+'2022'!AX13</f>
        <v>375.2</v>
      </c>
      <c r="AZ23" s="14">
        <f t="shared" si="4"/>
        <v>100</v>
      </c>
      <c r="BA23" s="142"/>
      <c r="BB23" s="142"/>
      <c r="BC23" s="142"/>
    </row>
    <row r="24" spans="1:55" x14ac:dyDescent="0.25">
      <c r="A24" s="175" t="s">
        <v>86</v>
      </c>
      <c r="B24" s="176">
        <f>'2018'!B24+'2019'!B24+'2020'!B24+'2021'!B24+'2022'!B14</f>
        <v>27</v>
      </c>
      <c r="C24" s="176">
        <f>'2018'!C24+'2019'!C24+'2020'!C24+'2021'!C24+'2022'!C14</f>
        <v>12</v>
      </c>
      <c r="D24" s="176">
        <f>'2018'!D24+'2019'!D24+'2020'!D24+'2021'!D24+'2022'!D14</f>
        <v>211</v>
      </c>
      <c r="E24" s="176">
        <f>'2018'!E24+'2019'!E24+'2020'!E24+'2021'!E24+'2022'!E14</f>
        <v>76</v>
      </c>
      <c r="F24" s="176">
        <f>'2018'!F24+'2019'!F24+'2020'!F24+'2021'!F24+'2022'!F14</f>
        <v>0</v>
      </c>
      <c r="G24" s="176">
        <f>'2018'!G24+'2019'!G24+'2020'!G24+'2021'!G24+'2022'!G14</f>
        <v>0</v>
      </c>
      <c r="H24" s="176">
        <f>'2018'!H24+'2019'!H24+'2020'!H24+'2021'!H24+'2022'!H14</f>
        <v>9</v>
      </c>
      <c r="I24" s="176">
        <f>'2018'!I24+'2019'!I24+'2020'!I24+'2021'!I24+'2022'!I14</f>
        <v>0</v>
      </c>
      <c r="J24" s="176">
        <f>'2018'!J24+'2019'!J24+'2020'!J24+'2021'!J24+'2022'!J14</f>
        <v>97</v>
      </c>
      <c r="K24" s="176">
        <f>'2018'!K24+'2019'!K24+'2020'!K24+'2021'!K24+'2022'!K14</f>
        <v>1</v>
      </c>
      <c r="L24" s="176">
        <f>'2018'!L24+'2019'!L24+'2020'!L24+'2021'!L24+'2022'!L14</f>
        <v>1</v>
      </c>
      <c r="M24" s="176">
        <f>'2018'!M24+'2019'!M24+'2020'!M24+'2021'!M24+'2022'!M14</f>
        <v>0</v>
      </c>
      <c r="N24" s="176">
        <f>'2018'!N24+'2019'!N24+'2020'!N24+'2021'!N24+'2022'!N14</f>
        <v>0</v>
      </c>
      <c r="O24" s="176">
        <f>'2018'!O24+'2019'!O24+'2020'!O24+'2021'!O24+'2022'!O14</f>
        <v>0</v>
      </c>
      <c r="P24" s="176">
        <f>'2018'!P24+'2019'!P24+'2020'!P24+'2021'!P24+'2022'!P14</f>
        <v>0</v>
      </c>
      <c r="Q24" s="176">
        <f>'2018'!Q24+'2019'!Q24+'2020'!Q24+'2021'!Q24+'2022'!Q14</f>
        <v>0</v>
      </c>
      <c r="R24" s="176">
        <f>'2018'!R24+'2019'!R24+'2020'!R24+'2021'!R24+'2022'!R14</f>
        <v>9</v>
      </c>
      <c r="S24" s="176">
        <f>'2018'!S24+'2019'!S24+'2020'!S24+'2021'!S24+'2022'!S14</f>
        <v>0</v>
      </c>
      <c r="T24" s="176">
        <f>'2018'!T24+'2019'!T24+'2020'!T24+'2021'!T24+'2022'!T14</f>
        <v>7</v>
      </c>
      <c r="U24" s="176">
        <f>'2018'!U24+'2019'!U24+'2020'!U24+'2021'!U24+'2022'!U14</f>
        <v>0</v>
      </c>
      <c r="V24" s="176">
        <f>'2018'!V24+'2019'!V24+'2020'!V24+'2021'!V24+'2022'!V14</f>
        <v>86</v>
      </c>
      <c r="W24" s="176">
        <f>'2018'!W24+'2019'!W24+'2020'!W24+'2021'!W24+'2022'!W14</f>
        <v>0</v>
      </c>
      <c r="X24" s="176">
        <f>'2018'!X24+'2019'!X24+'2020'!X24+'2021'!X24+'2022'!X14</f>
        <v>1</v>
      </c>
      <c r="Y24" s="174">
        <f t="shared" si="1"/>
        <v>211</v>
      </c>
      <c r="Z24" s="174">
        <f>'2018'!Z24+'2019'!Z24+'2020'!Z24+'2021'!Z24+'2022'!Z14</f>
        <v>23</v>
      </c>
      <c r="AA24" s="174">
        <f>'2018'!AA24+'2019'!AA24+'2020'!AA24+'2021'!AA24+'2022'!AA14</f>
        <v>9</v>
      </c>
      <c r="AB24" s="174">
        <f>'2018'!AB24+'2019'!AB24+'2020'!AB24+'2021'!AB24+'2022'!AB14</f>
        <v>101</v>
      </c>
      <c r="AC24" s="174">
        <f>'2018'!AC24+'2019'!AC24+'2020'!AC24+'2021'!AC24+'2022'!AC14</f>
        <v>72</v>
      </c>
      <c r="AD24" s="174">
        <f>'2018'!AD24+'2019'!AD24+'2020'!AD24+'2021'!AD24+'2022'!AD14</f>
        <v>0</v>
      </c>
      <c r="AE24" s="174">
        <f>'2018'!AE24+'2019'!AE24+'2020'!AE24+'2021'!AE24+'2022'!AE14</f>
        <v>0</v>
      </c>
      <c r="AF24" s="174">
        <f>'2018'!AF24+'2019'!AF24+'2020'!AF24+'2021'!AF24+'2022'!AF14</f>
        <v>7</v>
      </c>
      <c r="AG24" s="174">
        <f>'2018'!AG24+'2019'!AG24+'2020'!AG24+'2021'!AG24+'2022'!AG14</f>
        <v>0</v>
      </c>
      <c r="AH24" s="174">
        <f>'2018'!AH24+'2019'!AH24+'2020'!AH24+'2021'!AH24+'2022'!AH14</f>
        <v>47</v>
      </c>
      <c r="AI24" s="174">
        <f>'2018'!AI24+'2019'!AI24+'2020'!AI24+'2021'!AI24+'2022'!AI14</f>
        <v>1</v>
      </c>
      <c r="AJ24" s="174">
        <f>'2018'!AJ24+'2019'!AJ24+'2020'!AJ24+'2021'!AJ24+'2022'!AJ14</f>
        <v>1</v>
      </c>
      <c r="AK24" s="174">
        <f>'2018'!AK24+'2019'!AK24+'2020'!AK24+'2021'!AK24+'2022'!AK14</f>
        <v>0</v>
      </c>
      <c r="AL24" s="174">
        <f>'2018'!AL24+'2019'!AL24+'2020'!AL24+'2021'!AL24+'2022'!AL14</f>
        <v>0</v>
      </c>
      <c r="AM24" s="174">
        <f>'2018'!AM24+'2019'!AM24+'2020'!AM24+'2021'!AM24+'2022'!AM14</f>
        <v>0</v>
      </c>
      <c r="AN24" s="174">
        <f>'2018'!AN24+'2019'!AN24+'2020'!AN24+'2021'!AN24+'2022'!AN14</f>
        <v>0</v>
      </c>
      <c r="AO24" s="174">
        <f>'2018'!AO24+'2019'!AO24+'2020'!AO24+'2021'!AO24+'2022'!AO14</f>
        <v>0</v>
      </c>
      <c r="AP24" s="174">
        <f>'2018'!AP24+'2019'!AP24+'2020'!AP24+'2021'!AP24+'2022'!AP14</f>
        <v>2</v>
      </c>
      <c r="AQ24" s="174">
        <f>'2018'!AQ24+'2019'!AQ24+'2020'!AQ24+'2021'!AQ24+'2022'!AQ14</f>
        <v>0</v>
      </c>
      <c r="AR24" s="174">
        <f>'2018'!AR24+'2019'!AR24+'2020'!AR24+'2021'!AR24+'2022'!AR14</f>
        <v>6</v>
      </c>
      <c r="AS24" s="174">
        <f>'2018'!AS24+'2019'!AS24+'2020'!AS24+'2021'!AS24+'2022'!AS14</f>
        <v>0</v>
      </c>
      <c r="AT24" s="174">
        <f>'2018'!AT24+'2019'!AT24+'2020'!AT24+'2021'!AT24+'2022'!AT14</f>
        <v>37</v>
      </c>
      <c r="AU24" s="174">
        <f>'2018'!AU24+'2019'!AU24+'2020'!AU24+'2021'!AU24+'2022'!AU14</f>
        <v>0</v>
      </c>
      <c r="AV24" s="174">
        <f>'2018'!AV24+'2019'!AV24+'2020'!AV24+'2021'!AV24+'2022'!AV14</f>
        <v>0</v>
      </c>
      <c r="AW24" s="174">
        <f t="shared" si="3"/>
        <v>101</v>
      </c>
      <c r="AX24" s="156">
        <f t="shared" si="5"/>
        <v>623.26900000000001</v>
      </c>
      <c r="AY24" s="14">
        <f>'2018'!AX24+'2019'!AX24+'2020'!AX24+'2021'!AX24+'2022'!AX14</f>
        <v>3116.3450000000003</v>
      </c>
      <c r="AZ24" s="14">
        <f t="shared" si="4"/>
        <v>47.867298578199055</v>
      </c>
      <c r="BA24" s="142"/>
      <c r="BB24" s="144"/>
      <c r="BC24" s="142"/>
    </row>
    <row r="25" spans="1:55" x14ac:dyDescent="0.25">
      <c r="A25" s="175" t="s">
        <v>87</v>
      </c>
      <c r="B25" s="176">
        <f>'2018'!B25+'2019'!B25+'2020'!B25+'2021'!B25+'2022'!B15</f>
        <v>24</v>
      </c>
      <c r="C25" s="176">
        <f>'2018'!C25+'2019'!C25+'2020'!C25+'2021'!C25+'2022'!C15</f>
        <v>3</v>
      </c>
      <c r="D25" s="176">
        <f>'2018'!D25+'2019'!D25+'2020'!D25+'2021'!D25+'2022'!D15</f>
        <v>68</v>
      </c>
      <c r="E25" s="176">
        <f>'2018'!E25+'2019'!E25+'2020'!E25+'2021'!E25+'2022'!E15</f>
        <v>18</v>
      </c>
      <c r="F25" s="176">
        <f>'2018'!F25+'2019'!F25+'2020'!F25+'2021'!F25+'2022'!F15</f>
        <v>0</v>
      </c>
      <c r="G25" s="176">
        <f>'2018'!G25+'2019'!G25+'2020'!G25+'2021'!G25+'2022'!G15</f>
        <v>0</v>
      </c>
      <c r="H25" s="176">
        <f>'2018'!H25+'2019'!H25+'2020'!H25+'2021'!H25+'2022'!H15</f>
        <v>35</v>
      </c>
      <c r="I25" s="176">
        <f>'2018'!I25+'2019'!I25+'2020'!I25+'2021'!I25+'2022'!I15</f>
        <v>0</v>
      </c>
      <c r="J25" s="176">
        <f>'2018'!J25+'2019'!J25+'2020'!J25+'2021'!J25+'2022'!J15</f>
        <v>0</v>
      </c>
      <c r="K25" s="176">
        <f>'2018'!K25+'2019'!K25+'2020'!K25+'2021'!K25+'2022'!K15</f>
        <v>0</v>
      </c>
      <c r="L25" s="176">
        <f>'2018'!L25+'2019'!L25+'2020'!L25+'2021'!L25+'2022'!L15</f>
        <v>2</v>
      </c>
      <c r="M25" s="176">
        <f>'2018'!M25+'2019'!M25+'2020'!M25+'2021'!M25+'2022'!M15</f>
        <v>9</v>
      </c>
      <c r="N25" s="176">
        <f>'2018'!N25+'2019'!N25+'2020'!N25+'2021'!N25+'2022'!N15</f>
        <v>0</v>
      </c>
      <c r="O25" s="176">
        <f>'2018'!O25+'2019'!O25+'2020'!O25+'2021'!O25+'2022'!O15</f>
        <v>0</v>
      </c>
      <c r="P25" s="176">
        <f>'2018'!P25+'2019'!P25+'2020'!P25+'2021'!P25+'2022'!P15</f>
        <v>0</v>
      </c>
      <c r="Q25" s="176">
        <f>'2018'!Q25+'2019'!Q25+'2020'!Q25+'2021'!Q25+'2022'!Q15</f>
        <v>0</v>
      </c>
      <c r="R25" s="176">
        <f>'2018'!R25+'2019'!R25+'2020'!R25+'2021'!R25+'2022'!R15</f>
        <v>2</v>
      </c>
      <c r="S25" s="176">
        <f>'2018'!S25+'2019'!S25+'2020'!S25+'2021'!S25+'2022'!S15</f>
        <v>0</v>
      </c>
      <c r="T25" s="176">
        <f>'2018'!T25+'2019'!T25+'2020'!T25+'2021'!T25+'2022'!T15</f>
        <v>1</v>
      </c>
      <c r="U25" s="176">
        <f>'2018'!U25+'2019'!U25+'2020'!U25+'2021'!U25+'2022'!U15</f>
        <v>0</v>
      </c>
      <c r="V25" s="176">
        <f>'2018'!V25+'2019'!V25+'2020'!V25+'2021'!V25+'2022'!V15</f>
        <v>18</v>
      </c>
      <c r="W25" s="176">
        <f>'2018'!W25+'2019'!W25+'2020'!W25+'2021'!W25+'2022'!W15</f>
        <v>0</v>
      </c>
      <c r="X25" s="176">
        <f>'2018'!X25+'2019'!X25+'2020'!X25+'2021'!X25+'2022'!X15</f>
        <v>1</v>
      </c>
      <c r="Y25" s="174">
        <f t="shared" si="1"/>
        <v>68</v>
      </c>
      <c r="Z25" s="174">
        <f>'2018'!Z25+'2019'!Z25+'2020'!Z25+'2021'!Z25+'2022'!Z15</f>
        <v>14</v>
      </c>
      <c r="AA25" s="174">
        <f>'2018'!AA25+'2019'!AA25+'2020'!AA25+'2021'!AA25+'2022'!AA15</f>
        <v>1</v>
      </c>
      <c r="AB25" s="174">
        <f>'2018'!AB25+'2019'!AB25+'2020'!AB25+'2021'!AB25+'2022'!AB15</f>
        <v>47</v>
      </c>
      <c r="AC25" s="174">
        <f>'2018'!AC25+'2019'!AC25+'2020'!AC25+'2021'!AC25+'2022'!AC15</f>
        <v>16</v>
      </c>
      <c r="AD25" s="174">
        <f>'2018'!AD25+'2019'!AD25+'2020'!AD25+'2021'!AD25+'2022'!AD15</f>
        <v>0</v>
      </c>
      <c r="AE25" s="174">
        <f>'2018'!AE25+'2019'!AE25+'2020'!AE25+'2021'!AE25+'2022'!AE15</f>
        <v>0</v>
      </c>
      <c r="AF25" s="174">
        <f>'2018'!AF25+'2019'!AF25+'2020'!AF25+'2021'!AF25+'2022'!AF15</f>
        <v>19</v>
      </c>
      <c r="AG25" s="174">
        <f>'2018'!AG25+'2019'!AG25+'2020'!AG25+'2021'!AG25+'2022'!AG15</f>
        <v>0</v>
      </c>
      <c r="AH25" s="174">
        <f>'2018'!AH25+'2019'!AH25+'2020'!AH25+'2021'!AH25+'2022'!AH15</f>
        <v>0</v>
      </c>
      <c r="AI25" s="174">
        <f>'2018'!AI25+'2019'!AI25+'2020'!AI25+'2021'!AI25+'2022'!AI15</f>
        <v>0</v>
      </c>
      <c r="AJ25" s="174">
        <f>'2018'!AJ25+'2019'!AJ25+'2020'!AJ25+'2021'!AJ25+'2022'!AJ15</f>
        <v>2</v>
      </c>
      <c r="AK25" s="174">
        <f>'2018'!AK25+'2019'!AK25+'2020'!AK25+'2021'!AK25+'2022'!AK15</f>
        <v>9</v>
      </c>
      <c r="AL25" s="174">
        <f>'2018'!AL25+'2019'!AL25+'2020'!AL25+'2021'!AL25+'2022'!AL15</f>
        <v>0</v>
      </c>
      <c r="AM25" s="174">
        <f>'2018'!AM25+'2019'!AM25+'2020'!AM25+'2021'!AM25+'2022'!AM15</f>
        <v>0</v>
      </c>
      <c r="AN25" s="174">
        <f>'2018'!AN25+'2019'!AN25+'2020'!AN25+'2021'!AN25+'2022'!AN15</f>
        <v>0</v>
      </c>
      <c r="AO25" s="174">
        <f>'2018'!AO25+'2019'!AO25+'2020'!AO25+'2021'!AO25+'2022'!AO15</f>
        <v>0</v>
      </c>
      <c r="AP25" s="174">
        <f>'2018'!AP25+'2019'!AP25+'2020'!AP25+'2021'!AP25+'2022'!AP15</f>
        <v>1</v>
      </c>
      <c r="AQ25" s="174">
        <f>'2018'!AQ25+'2019'!AQ25+'2020'!AQ25+'2021'!AQ25+'2022'!AQ15</f>
        <v>0</v>
      </c>
      <c r="AR25" s="174">
        <f>'2018'!AR25+'2019'!AR25+'2020'!AR25+'2021'!AR25+'2022'!AR15</f>
        <v>0</v>
      </c>
      <c r="AS25" s="174">
        <f>'2018'!AS25+'2019'!AS25+'2020'!AS25+'2021'!AS25+'2022'!AS15</f>
        <v>0</v>
      </c>
      <c r="AT25" s="174">
        <f>'2018'!AT25+'2019'!AT25+'2020'!AT25+'2021'!AT25+'2022'!AT15</f>
        <v>16</v>
      </c>
      <c r="AU25" s="174">
        <f>'2018'!AU25+'2019'!AU25+'2020'!AU25+'2021'!AU25+'2022'!AU15</f>
        <v>0</v>
      </c>
      <c r="AV25" s="174">
        <f>'2018'!AV25+'2019'!AV25+'2020'!AV25+'2021'!AV25+'2022'!AV15</f>
        <v>0</v>
      </c>
      <c r="AW25" s="174">
        <f t="shared" si="3"/>
        <v>47</v>
      </c>
      <c r="AX25" s="156">
        <f t="shared" si="5"/>
        <v>2152.2200000000003</v>
      </c>
      <c r="AY25" s="14">
        <f>'2018'!AX25+'2019'!AX25+'2020'!AX25+'2021'!AX25+'2022'!AX15</f>
        <v>10761.1</v>
      </c>
      <c r="AZ25" s="14">
        <f t="shared" si="4"/>
        <v>69.117647058823536</v>
      </c>
      <c r="BA25" s="142"/>
      <c r="BB25" s="144"/>
      <c r="BC25" s="142"/>
    </row>
    <row r="26" spans="1:55" x14ac:dyDescent="0.25">
      <c r="A26" s="173" t="s">
        <v>30</v>
      </c>
      <c r="B26" s="176">
        <f t="shared" ref="B26:X26" si="6">SUM(B27:B43)</f>
        <v>2566</v>
      </c>
      <c r="C26" s="176">
        <f t="shared" si="6"/>
        <v>557</v>
      </c>
      <c r="D26" s="176">
        <f t="shared" si="6"/>
        <v>7951</v>
      </c>
      <c r="E26" s="176">
        <f t="shared" si="6"/>
        <v>3941</v>
      </c>
      <c r="F26" s="176">
        <f t="shared" si="6"/>
        <v>3</v>
      </c>
      <c r="G26" s="176">
        <f t="shared" si="6"/>
        <v>4</v>
      </c>
      <c r="H26" s="176">
        <f t="shared" si="6"/>
        <v>198</v>
      </c>
      <c r="I26" s="176">
        <f t="shared" si="6"/>
        <v>2</v>
      </c>
      <c r="J26" s="176">
        <f t="shared" si="6"/>
        <v>22</v>
      </c>
      <c r="K26" s="176">
        <f t="shared" si="6"/>
        <v>93</v>
      </c>
      <c r="L26" s="176">
        <f t="shared" si="6"/>
        <v>79</v>
      </c>
      <c r="M26" s="176">
        <f t="shared" si="6"/>
        <v>57</v>
      </c>
      <c r="N26" s="176">
        <f t="shared" si="6"/>
        <v>27</v>
      </c>
      <c r="O26" s="176">
        <f t="shared" si="6"/>
        <v>16</v>
      </c>
      <c r="P26" s="176">
        <f t="shared" si="6"/>
        <v>5</v>
      </c>
      <c r="Q26" s="176">
        <f t="shared" si="6"/>
        <v>7</v>
      </c>
      <c r="R26" s="176">
        <f t="shared" si="6"/>
        <v>262</v>
      </c>
      <c r="S26" s="176">
        <f t="shared" si="6"/>
        <v>13</v>
      </c>
      <c r="T26" s="176">
        <f t="shared" si="6"/>
        <v>135</v>
      </c>
      <c r="U26" s="176">
        <f t="shared" si="6"/>
        <v>29</v>
      </c>
      <c r="V26" s="176">
        <f t="shared" si="6"/>
        <v>6692</v>
      </c>
      <c r="W26" s="176">
        <f t="shared" si="6"/>
        <v>63</v>
      </c>
      <c r="X26" s="176">
        <f t="shared" si="6"/>
        <v>244</v>
      </c>
      <c r="Y26" s="174">
        <f t="shared" si="1"/>
        <v>7951</v>
      </c>
      <c r="Z26" s="174">
        <f t="shared" ref="Z26:AV26" si="7">SUM(Z27:Z43)</f>
        <v>1933</v>
      </c>
      <c r="AA26" s="174">
        <f t="shared" si="7"/>
        <v>457</v>
      </c>
      <c r="AB26" s="174">
        <f t="shared" si="7"/>
        <v>6188</v>
      </c>
      <c r="AC26" s="174">
        <f t="shared" si="7"/>
        <v>3191</v>
      </c>
      <c r="AD26" s="174">
        <f t="shared" si="7"/>
        <v>2</v>
      </c>
      <c r="AE26" s="174">
        <f t="shared" si="7"/>
        <v>2</v>
      </c>
      <c r="AF26" s="174">
        <f t="shared" si="7"/>
        <v>121</v>
      </c>
      <c r="AG26" s="174">
        <f t="shared" si="7"/>
        <v>2</v>
      </c>
      <c r="AH26" s="174">
        <f t="shared" si="7"/>
        <v>18</v>
      </c>
      <c r="AI26" s="174">
        <f t="shared" si="7"/>
        <v>66</v>
      </c>
      <c r="AJ26" s="174">
        <f t="shared" si="7"/>
        <v>61</v>
      </c>
      <c r="AK26" s="174">
        <f t="shared" si="7"/>
        <v>37</v>
      </c>
      <c r="AL26" s="174">
        <f t="shared" si="7"/>
        <v>19</v>
      </c>
      <c r="AM26" s="174">
        <f t="shared" si="7"/>
        <v>8</v>
      </c>
      <c r="AN26" s="174">
        <f t="shared" si="7"/>
        <v>5</v>
      </c>
      <c r="AO26" s="174">
        <f t="shared" si="7"/>
        <v>7</v>
      </c>
      <c r="AP26" s="174">
        <f t="shared" si="7"/>
        <v>199</v>
      </c>
      <c r="AQ26" s="174">
        <f t="shared" si="7"/>
        <v>10</v>
      </c>
      <c r="AR26" s="174">
        <f t="shared" si="7"/>
        <v>106</v>
      </c>
      <c r="AS26" s="174">
        <f t="shared" si="7"/>
        <v>38</v>
      </c>
      <c r="AT26" s="174">
        <f t="shared" si="7"/>
        <v>5323</v>
      </c>
      <c r="AU26" s="174">
        <f t="shared" si="7"/>
        <v>31</v>
      </c>
      <c r="AV26" s="174">
        <f t="shared" si="7"/>
        <v>133</v>
      </c>
      <c r="AW26" s="174">
        <f t="shared" si="3"/>
        <v>6188</v>
      </c>
      <c r="AX26" s="156">
        <v>2185.46</v>
      </c>
      <c r="AY26" s="63"/>
      <c r="AZ26" s="63"/>
      <c r="BA26" s="184">
        <f>Z26*100/B26</f>
        <v>75.331254871395174</v>
      </c>
      <c r="BB26" s="185">
        <f>B26-Z26</f>
        <v>633</v>
      </c>
      <c r="BC26" s="184">
        <f>BB26*100/B26</f>
        <v>24.668745128604833</v>
      </c>
    </row>
    <row r="27" spans="1:55" x14ac:dyDescent="0.25">
      <c r="A27" s="175" t="s">
        <v>150</v>
      </c>
      <c r="B27" s="176">
        <f>'2018'!B27+'2019'!B27+'2020'!B27+'2021'!B27+'2022'!B224</f>
        <v>128</v>
      </c>
      <c r="C27" s="176">
        <f>'2018'!C27+'2019'!C27+'2020'!C27+'2021'!C27+'2022'!C224</f>
        <v>44</v>
      </c>
      <c r="D27" s="176">
        <f>'2018'!D27+'2019'!D27+'2020'!D27+'2021'!D27+'2022'!D224</f>
        <v>1861</v>
      </c>
      <c r="E27" s="176">
        <f>'2018'!E27+'2019'!E27+'2020'!E27+'2021'!E27+'2022'!E224</f>
        <v>1114</v>
      </c>
      <c r="F27" s="176">
        <f>'2018'!F27+'2019'!F27+'2020'!F27+'2021'!F27+'2022'!F224</f>
        <v>0</v>
      </c>
      <c r="G27" s="176">
        <f>'2018'!G27+'2019'!G27+'2020'!G27+'2021'!G27+'2022'!G224</f>
        <v>0</v>
      </c>
      <c r="H27" s="176">
        <f>'2018'!H27+'2019'!H27+'2020'!H27+'2021'!H27+'2022'!H224</f>
        <v>0</v>
      </c>
      <c r="I27" s="176">
        <f>'2018'!I27+'2019'!I27+'2020'!I27+'2021'!I27+'2022'!I224</f>
        <v>0</v>
      </c>
      <c r="J27" s="176">
        <f>'2018'!J27+'2019'!J27+'2020'!J27+'2021'!J27+'2022'!J224</f>
        <v>0</v>
      </c>
      <c r="K27" s="176">
        <f>'2018'!K27+'2019'!K27+'2020'!K27+'2021'!K27+'2022'!K224</f>
        <v>7</v>
      </c>
      <c r="L27" s="176">
        <f>'2018'!L27+'2019'!L27+'2020'!L27+'2021'!L27+'2022'!L224</f>
        <v>0</v>
      </c>
      <c r="M27" s="176">
        <f>'2018'!M27+'2019'!M27+'2020'!M27+'2021'!M27+'2022'!M224</f>
        <v>0</v>
      </c>
      <c r="N27" s="176">
        <f>'2018'!N27+'2019'!N27+'2020'!N27+'2021'!N27+'2022'!N224</f>
        <v>0</v>
      </c>
      <c r="O27" s="176">
        <f>'2018'!O27+'2019'!O27+'2020'!O27+'2021'!O27+'2022'!O224</f>
        <v>0</v>
      </c>
      <c r="P27" s="176">
        <f>'2018'!P27+'2019'!P27+'2020'!P27+'2021'!P27+'2022'!P224</f>
        <v>0</v>
      </c>
      <c r="Q27" s="176">
        <f>'2018'!Q27+'2019'!Q27+'2020'!Q27+'2021'!Q27+'2022'!Q224</f>
        <v>0</v>
      </c>
      <c r="R27" s="176">
        <f>'2018'!R27+'2019'!R27+'2020'!R27+'2021'!R27+'2022'!R224</f>
        <v>0</v>
      </c>
      <c r="S27" s="176">
        <f>'2018'!S27+'2019'!S27+'2020'!S27+'2021'!S27+'2022'!S224</f>
        <v>1</v>
      </c>
      <c r="T27" s="176">
        <f>'2018'!T27+'2019'!T27+'2020'!T27+'2021'!T27+'2022'!T224</f>
        <v>0</v>
      </c>
      <c r="U27" s="176">
        <f>'2018'!U27+'2019'!U27+'2020'!U27+'2021'!U27+'2022'!U224</f>
        <v>0</v>
      </c>
      <c r="V27" s="176">
        <f>'2018'!V27+'2019'!V27+'2020'!V27+'2021'!V27+'2022'!V224</f>
        <v>1849</v>
      </c>
      <c r="W27" s="176">
        <f>'2018'!W27+'2019'!W27+'2020'!W27+'2021'!W27+'2022'!W224</f>
        <v>1</v>
      </c>
      <c r="X27" s="176">
        <f>'2018'!X27+'2019'!X27+'2020'!X27+'2021'!X27+'2022'!X224</f>
        <v>3</v>
      </c>
      <c r="Y27" s="174">
        <f t="shared" si="1"/>
        <v>1861</v>
      </c>
      <c r="Z27" s="174">
        <f>'2018'!Z27+'2019'!Z27+'2020'!Z27+'2021'!Z27+'2022'!Z224</f>
        <v>110</v>
      </c>
      <c r="AA27" s="174">
        <f>'2018'!AA27+'2019'!AA27+'2020'!AA27+'2021'!AA27+'2022'!AA224</f>
        <v>66</v>
      </c>
      <c r="AB27" s="174">
        <f>'2018'!AB27+'2019'!AB27+'2020'!AB27+'2021'!AB27+'2022'!AB224</f>
        <v>1476</v>
      </c>
      <c r="AC27" s="174">
        <f>'2018'!AC27+'2019'!AC27+'2020'!AC27+'2021'!AC27+'2022'!AC224</f>
        <v>934</v>
      </c>
      <c r="AD27" s="174">
        <f>'2018'!AD27+'2019'!AD27+'2020'!AD27+'2021'!AD27+'2022'!AD224</f>
        <v>0</v>
      </c>
      <c r="AE27" s="174">
        <f>'2018'!AE27+'2019'!AE27+'2020'!AE27+'2021'!AE27+'2022'!AE224</f>
        <v>0</v>
      </c>
      <c r="AF27" s="174">
        <f>'2018'!AF27+'2019'!AF27+'2020'!AF27+'2021'!AF27+'2022'!AF224</f>
        <v>0</v>
      </c>
      <c r="AG27" s="174">
        <f>'2018'!AG27+'2019'!AG27+'2020'!AG27+'2021'!AG27+'2022'!AG224</f>
        <v>0</v>
      </c>
      <c r="AH27" s="174">
        <f>'2018'!AH27+'2019'!AH27+'2020'!AH27+'2021'!AH27+'2022'!AH224</f>
        <v>0</v>
      </c>
      <c r="AI27" s="174">
        <f>'2018'!AI27+'2019'!AI27+'2020'!AI27+'2021'!AI27+'2022'!AI224</f>
        <v>2</v>
      </c>
      <c r="AJ27" s="174">
        <f>'2018'!AJ27+'2019'!AJ27+'2020'!AJ27+'2021'!AJ27+'2022'!AJ224</f>
        <v>0</v>
      </c>
      <c r="AK27" s="174">
        <f>'2018'!AK27+'2019'!AK27+'2020'!AK27+'2021'!AK27+'2022'!AK224</f>
        <v>0</v>
      </c>
      <c r="AL27" s="174">
        <f>'2018'!AL27+'2019'!AL27+'2020'!AL27+'2021'!AL27+'2022'!AL224</f>
        <v>0</v>
      </c>
      <c r="AM27" s="174">
        <f>'2018'!AM27+'2019'!AM27+'2020'!AM27+'2021'!AM27+'2022'!AM224</f>
        <v>0</v>
      </c>
      <c r="AN27" s="174">
        <f>'2018'!AN27+'2019'!AN27+'2020'!AN27+'2021'!AN27+'2022'!AN224</f>
        <v>0</v>
      </c>
      <c r="AO27" s="174">
        <f>'2018'!AO27+'2019'!AO27+'2020'!AO27+'2021'!AO27+'2022'!AO224</f>
        <v>0</v>
      </c>
      <c r="AP27" s="174">
        <f>'2018'!AP27+'2019'!AP27+'2020'!AP27+'2021'!AP27+'2022'!AP224</f>
        <v>0</v>
      </c>
      <c r="AQ27" s="174">
        <f>'2018'!AQ27+'2019'!AQ27+'2020'!AQ27+'2021'!AQ27+'2022'!AQ224</f>
        <v>1</v>
      </c>
      <c r="AR27" s="174">
        <f>'2018'!AR27+'2019'!AR27+'2020'!AR27+'2021'!AR27+'2022'!AR224</f>
        <v>0</v>
      </c>
      <c r="AS27" s="174">
        <f>'2018'!AS27+'2019'!AS27+'2020'!AS27+'2021'!AS27+'2022'!AS224</f>
        <v>0</v>
      </c>
      <c r="AT27" s="174">
        <f>'2018'!AT27+'2019'!AT27+'2020'!AT27+'2021'!AT27+'2022'!AT224</f>
        <v>1472</v>
      </c>
      <c r="AU27" s="174">
        <f>'2018'!AU27+'2019'!AU27+'2020'!AU27+'2021'!AU27+'2022'!AU224</f>
        <v>1</v>
      </c>
      <c r="AV27" s="174">
        <f>'2018'!AV27+'2019'!AV27+'2020'!AV27+'2021'!AV27+'2022'!AV224</f>
        <v>0</v>
      </c>
      <c r="AW27" s="174">
        <f t="shared" si="3"/>
        <v>1476</v>
      </c>
      <c r="AX27" s="156">
        <f t="shared" si="5"/>
        <v>1120.5521333333334</v>
      </c>
      <c r="AY27" s="14">
        <f>'2018'!AX27+'2019'!AX27+'2020'!AX27+'2021'!AX27+'2022'!AX224</f>
        <v>5602.760666666667</v>
      </c>
      <c r="AZ27" s="14">
        <f t="shared" ref="AZ27:AZ43" si="8">AB27*100/D27</f>
        <v>79.312197743148843</v>
      </c>
      <c r="BA27" s="142"/>
      <c r="BB27" s="144"/>
      <c r="BC27" s="142"/>
    </row>
    <row r="28" spans="1:55" x14ac:dyDescent="0.25">
      <c r="A28" s="175" t="s">
        <v>149</v>
      </c>
      <c r="B28" s="176">
        <f>'2018'!B28+'2019'!B28+'2020'!B28+'2021'!B28+'2022'!B225</f>
        <v>29</v>
      </c>
      <c r="C28" s="176">
        <f>'2018'!C28+'2019'!C28+'2020'!C28+'2021'!C28+'2022'!C225</f>
        <v>16</v>
      </c>
      <c r="D28" s="176">
        <f>'2018'!D28+'2019'!D28+'2020'!D28+'2021'!D28+'2022'!D225</f>
        <v>454</v>
      </c>
      <c r="E28" s="176">
        <f>'2018'!E28+'2019'!E28+'2020'!E28+'2021'!E28+'2022'!E225</f>
        <v>370</v>
      </c>
      <c r="F28" s="176">
        <f>'2018'!F28+'2019'!F28+'2020'!F28+'2021'!F28+'2022'!F225</f>
        <v>0</v>
      </c>
      <c r="G28" s="176">
        <f>'2018'!G28+'2019'!G28+'2020'!G28+'2021'!G28+'2022'!G225</f>
        <v>0</v>
      </c>
      <c r="H28" s="176">
        <f>'2018'!H28+'2019'!H28+'2020'!H28+'2021'!H28+'2022'!H225</f>
        <v>0</v>
      </c>
      <c r="I28" s="176">
        <f>'2018'!I28+'2019'!I28+'2020'!I28+'2021'!I28+'2022'!I225</f>
        <v>0</v>
      </c>
      <c r="J28" s="176">
        <f>'2018'!J28+'2019'!J28+'2020'!J28+'2021'!J28+'2022'!J225</f>
        <v>0</v>
      </c>
      <c r="K28" s="176">
        <f>'2018'!K28+'2019'!K28+'2020'!K28+'2021'!K28+'2022'!K225</f>
        <v>9</v>
      </c>
      <c r="L28" s="176">
        <f>'2018'!L28+'2019'!L28+'2020'!L28+'2021'!L28+'2022'!L225</f>
        <v>0</v>
      </c>
      <c r="M28" s="176">
        <f>'2018'!M28+'2019'!M28+'2020'!M28+'2021'!M28+'2022'!M225</f>
        <v>17</v>
      </c>
      <c r="N28" s="176">
        <f>'2018'!N28+'2019'!N28+'2020'!N28+'2021'!N28+'2022'!N225</f>
        <v>0</v>
      </c>
      <c r="O28" s="176">
        <f>'2018'!O28+'2019'!O28+'2020'!O28+'2021'!O28+'2022'!O225</f>
        <v>0</v>
      </c>
      <c r="P28" s="176">
        <f>'2018'!P28+'2019'!P28+'2020'!P28+'2021'!P28+'2022'!P225</f>
        <v>0</v>
      </c>
      <c r="Q28" s="176">
        <f>'2018'!Q28+'2019'!Q28+'2020'!Q28+'2021'!Q28+'2022'!Q225</f>
        <v>0</v>
      </c>
      <c r="R28" s="176">
        <f>'2018'!R28+'2019'!R28+'2020'!R28+'2021'!R28+'2022'!R225</f>
        <v>1</v>
      </c>
      <c r="S28" s="176">
        <f>'2018'!S28+'2019'!S28+'2020'!S28+'2021'!S28+'2022'!S225</f>
        <v>0</v>
      </c>
      <c r="T28" s="176">
        <f>'2018'!T28+'2019'!T28+'2020'!T28+'2021'!T28+'2022'!T225</f>
        <v>2</v>
      </c>
      <c r="U28" s="176">
        <f>'2018'!U28+'2019'!U28+'2020'!U28+'2021'!U28+'2022'!U225</f>
        <v>0</v>
      </c>
      <c r="V28" s="176">
        <f>'2018'!V28+'2019'!V28+'2020'!V28+'2021'!V28+'2022'!V225</f>
        <v>425</v>
      </c>
      <c r="W28" s="176">
        <f>'2018'!W28+'2019'!W28+'2020'!W28+'2021'!W28+'2022'!W225</f>
        <v>0</v>
      </c>
      <c r="X28" s="176">
        <f>'2018'!X28+'2019'!X28+'2020'!X28+'2021'!X28+'2022'!X225</f>
        <v>0</v>
      </c>
      <c r="Y28" s="174">
        <f t="shared" si="1"/>
        <v>454</v>
      </c>
      <c r="Z28" s="174">
        <f>'2018'!Z28+'2019'!Z28+'2020'!Z28+'2021'!Z28+'2022'!Z225</f>
        <v>28</v>
      </c>
      <c r="AA28" s="174">
        <f>'2018'!AA28+'2019'!AA28+'2020'!AA28+'2021'!AA28+'2022'!AA225</f>
        <v>15</v>
      </c>
      <c r="AB28" s="174">
        <f>'2018'!AB28+'2019'!AB28+'2020'!AB28+'2021'!AB28+'2022'!AB225</f>
        <v>405</v>
      </c>
      <c r="AC28" s="174">
        <f>'2018'!AC28+'2019'!AC28+'2020'!AC28+'2021'!AC28+'2022'!AC225</f>
        <v>325</v>
      </c>
      <c r="AD28" s="174">
        <f>'2018'!AD28+'2019'!AD28+'2020'!AD28+'2021'!AD28+'2022'!AD225</f>
        <v>0</v>
      </c>
      <c r="AE28" s="174">
        <f>'2018'!AE28+'2019'!AE28+'2020'!AE28+'2021'!AE28+'2022'!AE225</f>
        <v>0</v>
      </c>
      <c r="AF28" s="174">
        <f>'2018'!AF28+'2019'!AF28+'2020'!AF28+'2021'!AF28+'2022'!AF225</f>
        <v>0</v>
      </c>
      <c r="AG28" s="174">
        <f>'2018'!AG28+'2019'!AG28+'2020'!AG28+'2021'!AG28+'2022'!AG225</f>
        <v>0</v>
      </c>
      <c r="AH28" s="174">
        <f>'2018'!AH28+'2019'!AH28+'2020'!AH28+'2021'!AH28+'2022'!AH225</f>
        <v>0</v>
      </c>
      <c r="AI28" s="174">
        <f>'2018'!AI28+'2019'!AI28+'2020'!AI28+'2021'!AI28+'2022'!AI225</f>
        <v>9</v>
      </c>
      <c r="AJ28" s="174">
        <f>'2018'!AJ28+'2019'!AJ28+'2020'!AJ28+'2021'!AJ28+'2022'!AJ225</f>
        <v>0</v>
      </c>
      <c r="AK28" s="174">
        <f>'2018'!AK28+'2019'!AK28+'2020'!AK28+'2021'!AK28+'2022'!AK225</f>
        <v>15</v>
      </c>
      <c r="AL28" s="174">
        <f>'2018'!AL28+'2019'!AL28+'2020'!AL28+'2021'!AL28+'2022'!AL225</f>
        <v>0</v>
      </c>
      <c r="AM28" s="174">
        <f>'2018'!AM28+'2019'!AM28+'2020'!AM28+'2021'!AM28+'2022'!AM225</f>
        <v>0</v>
      </c>
      <c r="AN28" s="174">
        <f>'2018'!AN28+'2019'!AN28+'2020'!AN28+'2021'!AN28+'2022'!AN225</f>
        <v>0</v>
      </c>
      <c r="AO28" s="174">
        <f>'2018'!AO28+'2019'!AO28+'2020'!AO28+'2021'!AO28+'2022'!AO225</f>
        <v>0</v>
      </c>
      <c r="AP28" s="174">
        <f>'2018'!AP28+'2019'!AP28+'2020'!AP28+'2021'!AP28+'2022'!AP225</f>
        <v>0</v>
      </c>
      <c r="AQ28" s="174">
        <f>'2018'!AQ28+'2019'!AQ28+'2020'!AQ28+'2021'!AQ28+'2022'!AQ225</f>
        <v>0</v>
      </c>
      <c r="AR28" s="174">
        <f>'2018'!AR28+'2019'!AR28+'2020'!AR28+'2021'!AR28+'2022'!AR225</f>
        <v>2</v>
      </c>
      <c r="AS28" s="174">
        <f>'2018'!AS28+'2019'!AS28+'2020'!AS28+'2021'!AS28+'2022'!AS225</f>
        <v>0</v>
      </c>
      <c r="AT28" s="174">
        <f>'2018'!AT28+'2019'!AT28+'2020'!AT28+'2021'!AT28+'2022'!AT225</f>
        <v>379</v>
      </c>
      <c r="AU28" s="174">
        <f>'2018'!AU28+'2019'!AU28+'2020'!AU28+'2021'!AU28+'2022'!AU225</f>
        <v>0</v>
      </c>
      <c r="AV28" s="174">
        <f>'2018'!AV28+'2019'!AV28+'2020'!AV28+'2021'!AV28+'2022'!AV225</f>
        <v>0</v>
      </c>
      <c r="AW28" s="174">
        <f t="shared" si="3"/>
        <v>405</v>
      </c>
      <c r="AX28" s="156">
        <f t="shared" si="5"/>
        <v>1118.0329999999999</v>
      </c>
      <c r="AY28" s="14">
        <f>'2018'!AX28+'2019'!AX28+'2020'!AX28+'2021'!AX28+'2022'!AX225</f>
        <v>5590.165</v>
      </c>
      <c r="AZ28" s="14">
        <f t="shared" si="8"/>
        <v>89.207048458149785</v>
      </c>
      <c r="BA28" s="142"/>
      <c r="BB28" s="144"/>
      <c r="BC28" s="142"/>
    </row>
    <row r="29" spans="1:55" x14ac:dyDescent="0.25">
      <c r="A29" s="175" t="s">
        <v>148</v>
      </c>
      <c r="B29" s="176">
        <f>'2018'!B29+'2019'!B29+'2020'!B29+'2021'!B29+'2022'!B226</f>
        <v>49</v>
      </c>
      <c r="C29" s="176">
        <f>'2018'!C29+'2019'!C29+'2020'!C29+'2021'!C29+'2022'!C226</f>
        <v>7</v>
      </c>
      <c r="D29" s="176">
        <f>'2018'!D29+'2019'!D29+'2020'!D29+'2021'!D29+'2022'!D226</f>
        <v>192</v>
      </c>
      <c r="E29" s="176">
        <f>'2018'!E29+'2019'!E29+'2020'!E29+'2021'!E29+'2022'!E226</f>
        <v>74</v>
      </c>
      <c r="F29" s="176">
        <f>'2018'!F29+'2019'!F29+'2020'!F29+'2021'!F29+'2022'!F226</f>
        <v>1</v>
      </c>
      <c r="G29" s="176">
        <f>'2018'!G29+'2019'!G29+'2020'!G29+'2021'!G29+'2022'!G226</f>
        <v>0</v>
      </c>
      <c r="H29" s="176">
        <f>'2018'!H29+'2019'!H29+'2020'!H29+'2021'!H29+'2022'!H226</f>
        <v>19</v>
      </c>
      <c r="I29" s="176">
        <f>'2018'!I29+'2019'!I29+'2020'!I29+'2021'!I29+'2022'!I226</f>
        <v>0</v>
      </c>
      <c r="J29" s="176">
        <f>'2018'!J29+'2019'!J29+'2020'!J29+'2021'!J29+'2022'!J226</f>
        <v>3</v>
      </c>
      <c r="K29" s="176">
        <f>'2018'!K29+'2019'!K29+'2020'!K29+'2021'!K29+'2022'!K226</f>
        <v>14</v>
      </c>
      <c r="L29" s="176">
        <f>'2018'!L29+'2019'!L29+'2020'!L29+'2021'!L29+'2022'!L226</f>
        <v>20</v>
      </c>
      <c r="M29" s="176">
        <f>'2018'!M29+'2019'!M29+'2020'!M29+'2021'!M29+'2022'!M226</f>
        <v>8</v>
      </c>
      <c r="N29" s="176">
        <f>'2018'!N29+'2019'!N29+'2020'!N29+'2021'!N29+'2022'!N226</f>
        <v>0</v>
      </c>
      <c r="O29" s="176">
        <f>'2018'!O29+'2019'!O29+'2020'!O29+'2021'!O29+'2022'!O226</f>
        <v>0</v>
      </c>
      <c r="P29" s="176">
        <f>'2018'!P29+'2019'!P29+'2020'!P29+'2021'!P29+'2022'!P226</f>
        <v>0</v>
      </c>
      <c r="Q29" s="176">
        <f>'2018'!Q29+'2019'!Q29+'2020'!Q29+'2021'!Q29+'2022'!Q226</f>
        <v>0</v>
      </c>
      <c r="R29" s="176">
        <f>'2018'!R29+'2019'!R29+'2020'!R29+'2021'!R29+'2022'!R226</f>
        <v>1</v>
      </c>
      <c r="S29" s="176">
        <f>'2018'!S29+'2019'!S29+'2020'!S29+'2021'!S29+'2022'!S226</f>
        <v>0</v>
      </c>
      <c r="T29" s="176">
        <f>'2018'!T29+'2019'!T29+'2020'!T29+'2021'!T29+'2022'!T226</f>
        <v>1</v>
      </c>
      <c r="U29" s="176">
        <f>'2018'!U29+'2019'!U29+'2020'!U29+'2021'!U29+'2022'!U226</f>
        <v>0</v>
      </c>
      <c r="V29" s="176">
        <f>'2018'!V29+'2019'!V29+'2020'!V29+'2021'!V29+'2022'!V226</f>
        <v>125</v>
      </c>
      <c r="W29" s="176">
        <f>'2018'!W29+'2019'!W29+'2020'!W29+'2021'!W29+'2022'!W226</f>
        <v>0</v>
      </c>
      <c r="X29" s="176">
        <f>'2018'!X29+'2019'!X29+'2020'!X29+'2021'!X29+'2022'!X226</f>
        <v>0</v>
      </c>
      <c r="Y29" s="174">
        <f t="shared" si="1"/>
        <v>192</v>
      </c>
      <c r="Z29" s="174">
        <f>'2018'!Z29+'2019'!Z29+'2020'!Z29+'2021'!Z29+'2022'!Z226</f>
        <v>39</v>
      </c>
      <c r="AA29" s="174">
        <f>'2018'!AA29+'2019'!AA29+'2020'!AA29+'2021'!AA29+'2022'!AA226</f>
        <v>6</v>
      </c>
      <c r="AB29" s="174">
        <f>'2018'!AB29+'2019'!AB29+'2020'!AB29+'2021'!AB29+'2022'!AB226</f>
        <v>122</v>
      </c>
      <c r="AC29" s="174">
        <f>'2018'!AC29+'2019'!AC29+'2020'!AC29+'2021'!AC29+'2022'!AC226</f>
        <v>60</v>
      </c>
      <c r="AD29" s="174">
        <f>'2018'!AD29+'2019'!AD29+'2020'!AD29+'2021'!AD29+'2022'!AD226</f>
        <v>0</v>
      </c>
      <c r="AE29" s="174">
        <f>'2018'!AE29+'2019'!AE29+'2020'!AE29+'2021'!AE29+'2022'!AE226</f>
        <v>0</v>
      </c>
      <c r="AF29" s="174">
        <f>'2018'!AF29+'2019'!AF29+'2020'!AF29+'2021'!AF29+'2022'!AF226</f>
        <v>7</v>
      </c>
      <c r="AG29" s="174">
        <f>'2018'!AG29+'2019'!AG29+'2020'!AG29+'2021'!AG29+'2022'!AG226</f>
        <v>0</v>
      </c>
      <c r="AH29" s="174">
        <f>'2018'!AH29+'2019'!AH29+'2020'!AH29+'2021'!AH29+'2022'!AH226</f>
        <v>3</v>
      </c>
      <c r="AI29" s="174">
        <f>'2018'!AI29+'2019'!AI29+'2020'!AI29+'2021'!AI29+'2022'!AI226</f>
        <v>13</v>
      </c>
      <c r="AJ29" s="174">
        <f>'2018'!AJ29+'2019'!AJ29+'2020'!AJ29+'2021'!AJ29+'2022'!AJ226</f>
        <v>16</v>
      </c>
      <c r="AK29" s="174">
        <f>'2018'!AK29+'2019'!AK29+'2020'!AK29+'2021'!AK29+'2022'!AK226</f>
        <v>4</v>
      </c>
      <c r="AL29" s="174">
        <f>'2018'!AL29+'2019'!AL29+'2020'!AL29+'2021'!AL29+'2022'!AL226</f>
        <v>0</v>
      </c>
      <c r="AM29" s="174">
        <f>'2018'!AM29+'2019'!AM29+'2020'!AM29+'2021'!AM29+'2022'!AM226</f>
        <v>0</v>
      </c>
      <c r="AN29" s="174">
        <f>'2018'!AN29+'2019'!AN29+'2020'!AN29+'2021'!AN29+'2022'!AN226</f>
        <v>0</v>
      </c>
      <c r="AO29" s="174">
        <f>'2018'!AO29+'2019'!AO29+'2020'!AO29+'2021'!AO29+'2022'!AO226</f>
        <v>0</v>
      </c>
      <c r="AP29" s="174">
        <f>'2018'!AP29+'2019'!AP29+'2020'!AP29+'2021'!AP29+'2022'!AP226</f>
        <v>1</v>
      </c>
      <c r="AQ29" s="174">
        <f>'2018'!AQ29+'2019'!AQ29+'2020'!AQ29+'2021'!AQ29+'2022'!AQ226</f>
        <v>0</v>
      </c>
      <c r="AR29" s="174">
        <f>'2018'!AR29+'2019'!AR29+'2020'!AR29+'2021'!AR29+'2022'!AR226</f>
        <v>0</v>
      </c>
      <c r="AS29" s="174">
        <f>'2018'!AS29+'2019'!AS29+'2020'!AS29+'2021'!AS29+'2022'!AS226</f>
        <v>0</v>
      </c>
      <c r="AT29" s="174">
        <f>'2018'!AT29+'2019'!AT29+'2020'!AT29+'2021'!AT29+'2022'!AT226</f>
        <v>78</v>
      </c>
      <c r="AU29" s="174">
        <f>'2018'!AU29+'2019'!AU29+'2020'!AU29+'2021'!AU29+'2022'!AU226</f>
        <v>0</v>
      </c>
      <c r="AV29" s="174">
        <f>'2018'!AV29+'2019'!AV29+'2020'!AV29+'2021'!AV29+'2022'!AV226</f>
        <v>0</v>
      </c>
      <c r="AW29" s="174">
        <f t="shared" si="3"/>
        <v>122</v>
      </c>
      <c r="AX29" s="156">
        <f t="shared" si="5"/>
        <v>1964.6567741935482</v>
      </c>
      <c r="AY29" s="14">
        <f>'2018'!AX29+'2019'!AX29+'2020'!AX29+'2021'!AX29+'2022'!AX226</f>
        <v>9823.2838709677417</v>
      </c>
      <c r="AZ29" s="14">
        <f t="shared" si="8"/>
        <v>63.541666666666664</v>
      </c>
      <c r="BA29" s="142"/>
      <c r="BB29" s="144"/>
      <c r="BC29" s="142"/>
    </row>
    <row r="30" spans="1:55" x14ac:dyDescent="0.25">
      <c r="A30" s="175" t="s">
        <v>147</v>
      </c>
      <c r="B30" s="176">
        <f>'2018'!B30+'2019'!B30+'2020'!B30+'2021'!B30+'2022'!B227</f>
        <v>1294</v>
      </c>
      <c r="C30" s="176">
        <f>'2018'!C30+'2019'!C30+'2020'!C30+'2021'!C30+'2022'!C227</f>
        <v>209</v>
      </c>
      <c r="D30" s="176">
        <f>'2018'!D30+'2019'!D30+'2020'!D30+'2021'!D30+'2022'!D227</f>
        <v>2203</v>
      </c>
      <c r="E30" s="176">
        <f>'2018'!E30+'2019'!E30+'2020'!E30+'2021'!E30+'2022'!E227</f>
        <v>645</v>
      </c>
      <c r="F30" s="176">
        <f>'2018'!F30+'2019'!F30+'2020'!F30+'2021'!F30+'2022'!F227</f>
        <v>0</v>
      </c>
      <c r="G30" s="176">
        <f>'2018'!G30+'2019'!G30+'2020'!G30+'2021'!G30+'2022'!G227</f>
        <v>0</v>
      </c>
      <c r="H30" s="176">
        <f>'2018'!H30+'2019'!H30+'2020'!H30+'2021'!H30+'2022'!H227</f>
        <v>5</v>
      </c>
      <c r="I30" s="176">
        <f>'2018'!I30+'2019'!I30+'2020'!I30+'2021'!I30+'2022'!I227</f>
        <v>0</v>
      </c>
      <c r="J30" s="176">
        <f>'2018'!J30+'2019'!J30+'2020'!J30+'2021'!J30+'2022'!J227</f>
        <v>0</v>
      </c>
      <c r="K30" s="176">
        <f>'2018'!K30+'2019'!K30+'2020'!K30+'2021'!K30+'2022'!K227</f>
        <v>7</v>
      </c>
      <c r="L30" s="176">
        <f>'2018'!L30+'2019'!L30+'2020'!L30+'2021'!L30+'2022'!L227</f>
        <v>10</v>
      </c>
      <c r="M30" s="176">
        <f>'2018'!M30+'2019'!M30+'2020'!M30+'2021'!M30+'2022'!M227</f>
        <v>6</v>
      </c>
      <c r="N30" s="176">
        <f>'2018'!N30+'2019'!N30+'2020'!N30+'2021'!N30+'2022'!N227</f>
        <v>14</v>
      </c>
      <c r="O30" s="176">
        <f>'2018'!O30+'2019'!O30+'2020'!O30+'2021'!O30+'2022'!O227</f>
        <v>0</v>
      </c>
      <c r="P30" s="176">
        <f>'2018'!P30+'2019'!P30+'2020'!P30+'2021'!P30+'2022'!P227</f>
        <v>0</v>
      </c>
      <c r="Q30" s="176">
        <f>'2018'!Q30+'2019'!Q30+'2020'!Q30+'2021'!Q30+'2022'!Q227</f>
        <v>0</v>
      </c>
      <c r="R30" s="176">
        <f>'2018'!R30+'2019'!R30+'2020'!R30+'2021'!R30+'2022'!R227</f>
        <v>5</v>
      </c>
      <c r="S30" s="176">
        <f>'2018'!S30+'2019'!S30+'2020'!S30+'2021'!S30+'2022'!S227</f>
        <v>7</v>
      </c>
      <c r="T30" s="176">
        <f>'2018'!T30+'2019'!T30+'2020'!T30+'2021'!T30+'2022'!T227</f>
        <v>9</v>
      </c>
      <c r="U30" s="176">
        <f>'2018'!U30+'2019'!U30+'2020'!U30+'2021'!U30+'2022'!U227</f>
        <v>19</v>
      </c>
      <c r="V30" s="176">
        <f>'2018'!V30+'2019'!V30+'2020'!V30+'2021'!V30+'2022'!V227</f>
        <v>1933</v>
      </c>
      <c r="W30" s="176">
        <f>'2018'!W30+'2019'!W30+'2020'!W30+'2021'!W30+'2022'!W227</f>
        <v>33</v>
      </c>
      <c r="X30" s="176">
        <f>'2018'!X30+'2019'!X30+'2020'!X30+'2021'!X30+'2022'!X227</f>
        <v>155</v>
      </c>
      <c r="Y30" s="174">
        <f t="shared" si="1"/>
        <v>2203</v>
      </c>
      <c r="Z30" s="174">
        <f>'2018'!Z30+'2019'!Z30+'2020'!Z30+'2021'!Z30+'2022'!Z227</f>
        <v>933</v>
      </c>
      <c r="AA30" s="174">
        <f>'2018'!AA30+'2019'!AA30+'2020'!AA30+'2021'!AA30+'2022'!AA227</f>
        <v>161</v>
      </c>
      <c r="AB30" s="174">
        <f>'2018'!AB30+'2019'!AB30+'2020'!AB30+'2021'!AB30+'2022'!AB227</f>
        <v>1850</v>
      </c>
      <c r="AC30" s="174">
        <f>'2018'!AC30+'2019'!AC30+'2020'!AC30+'2021'!AC30+'2022'!AC227</f>
        <v>511</v>
      </c>
      <c r="AD30" s="174">
        <f>'2018'!AD30+'2019'!AD30+'2020'!AD30+'2021'!AD30+'2022'!AD227</f>
        <v>0</v>
      </c>
      <c r="AE30" s="174">
        <f>'2018'!AE30+'2019'!AE30+'2020'!AE30+'2021'!AE30+'2022'!AE227</f>
        <v>0</v>
      </c>
      <c r="AF30" s="174">
        <f>'2018'!AF30+'2019'!AF30+'2020'!AF30+'2021'!AF30+'2022'!AF227</f>
        <v>5</v>
      </c>
      <c r="AG30" s="174">
        <f>'2018'!AG30+'2019'!AG30+'2020'!AG30+'2021'!AG30+'2022'!AG227</f>
        <v>0</v>
      </c>
      <c r="AH30" s="174">
        <f>'2018'!AH30+'2019'!AH30+'2020'!AH30+'2021'!AH30+'2022'!AH227</f>
        <v>0</v>
      </c>
      <c r="AI30" s="174">
        <f>'2018'!AI30+'2019'!AI30+'2020'!AI30+'2021'!AI30+'2022'!AI227</f>
        <v>7</v>
      </c>
      <c r="AJ30" s="174">
        <f>'2018'!AJ30+'2019'!AJ30+'2020'!AJ30+'2021'!AJ30+'2022'!AJ227</f>
        <v>9</v>
      </c>
      <c r="AK30" s="174">
        <f>'2018'!AK30+'2019'!AK30+'2020'!AK30+'2021'!AK30+'2022'!AK227</f>
        <v>3</v>
      </c>
      <c r="AL30" s="174">
        <f>'2018'!AL30+'2019'!AL30+'2020'!AL30+'2021'!AL30+'2022'!AL227</f>
        <v>9</v>
      </c>
      <c r="AM30" s="174">
        <f>'2018'!AM30+'2019'!AM30+'2020'!AM30+'2021'!AM30+'2022'!AM227</f>
        <v>0</v>
      </c>
      <c r="AN30" s="174">
        <f>'2018'!AN30+'2019'!AN30+'2020'!AN30+'2021'!AN30+'2022'!AN227</f>
        <v>0</v>
      </c>
      <c r="AO30" s="174">
        <f>'2018'!AO30+'2019'!AO30+'2020'!AO30+'2021'!AO30+'2022'!AO227</f>
        <v>0</v>
      </c>
      <c r="AP30" s="174">
        <f>'2018'!AP30+'2019'!AP30+'2020'!AP30+'2021'!AP30+'2022'!AP227</f>
        <v>3</v>
      </c>
      <c r="AQ30" s="174">
        <f>'2018'!AQ30+'2019'!AQ30+'2020'!AQ30+'2021'!AQ30+'2022'!AQ227</f>
        <v>7</v>
      </c>
      <c r="AR30" s="174">
        <f>'2018'!AR30+'2019'!AR30+'2020'!AR30+'2021'!AR30+'2022'!AR227</f>
        <v>0</v>
      </c>
      <c r="AS30" s="174">
        <f>'2018'!AS30+'2019'!AS30+'2020'!AS30+'2021'!AS30+'2022'!AS227</f>
        <v>29</v>
      </c>
      <c r="AT30" s="174">
        <f>'2018'!AT30+'2019'!AT30+'2020'!AT30+'2021'!AT30+'2022'!AT227</f>
        <v>1700</v>
      </c>
      <c r="AU30" s="174">
        <f>'2018'!AU30+'2019'!AU30+'2020'!AU30+'2021'!AU30+'2022'!AU227</f>
        <v>17</v>
      </c>
      <c r="AV30" s="174">
        <f>'2018'!AV30+'2019'!AV30+'2020'!AV30+'2021'!AV30+'2022'!AV227</f>
        <v>61</v>
      </c>
      <c r="AW30" s="174">
        <f t="shared" si="3"/>
        <v>1850</v>
      </c>
      <c r="AX30" s="156">
        <f t="shared" si="5"/>
        <v>3167.1392866795368</v>
      </c>
      <c r="AY30" s="14">
        <f>'2018'!AX30+'2019'!AX30+'2020'!AX30+'2021'!AX30+'2022'!AX227</f>
        <v>15835.696433397683</v>
      </c>
      <c r="AZ30" s="14">
        <f t="shared" si="8"/>
        <v>83.97639582387653</v>
      </c>
      <c r="BA30" s="142"/>
      <c r="BB30" s="144"/>
      <c r="BC30" s="142"/>
    </row>
    <row r="31" spans="1:55" x14ac:dyDescent="0.25">
      <c r="A31" s="175" t="s">
        <v>146</v>
      </c>
      <c r="B31" s="176">
        <f>'2018'!B31+'2019'!B31+'2020'!B31+'2021'!B31+'2022'!B228</f>
        <v>2</v>
      </c>
      <c r="C31" s="176">
        <f>'2018'!C31+'2019'!C31+'2020'!C31+'2021'!C31+'2022'!C228</f>
        <v>0</v>
      </c>
      <c r="D31" s="176">
        <f>'2018'!D31+'2019'!D31+'2020'!D31+'2021'!D31+'2022'!D228</f>
        <v>5</v>
      </c>
      <c r="E31" s="176">
        <f>'2018'!E31+'2019'!E31+'2020'!E31+'2021'!E31+'2022'!E228</f>
        <v>0</v>
      </c>
      <c r="F31" s="176">
        <f>'2018'!F31+'2019'!F31+'2020'!F31+'2021'!F31+'2022'!F228</f>
        <v>0</v>
      </c>
      <c r="G31" s="176">
        <f>'2018'!G31+'2019'!G31+'2020'!G31+'2021'!G31+'2022'!G228</f>
        <v>0</v>
      </c>
      <c r="H31" s="176">
        <f>'2018'!H31+'2019'!H31+'2020'!H31+'2021'!H31+'2022'!H228</f>
        <v>0</v>
      </c>
      <c r="I31" s="176">
        <f>'2018'!I31+'2019'!I31+'2020'!I31+'2021'!I31+'2022'!I228</f>
        <v>0</v>
      </c>
      <c r="J31" s="176">
        <f>'2018'!J31+'2019'!J31+'2020'!J31+'2021'!J31+'2022'!J228</f>
        <v>0</v>
      </c>
      <c r="K31" s="176">
        <f>'2018'!K31+'2019'!K31+'2020'!K31+'2021'!K31+'2022'!K228</f>
        <v>0</v>
      </c>
      <c r="L31" s="176">
        <f>'2018'!L31+'2019'!L31+'2020'!L31+'2021'!L31+'2022'!L228</f>
        <v>0</v>
      </c>
      <c r="M31" s="176">
        <f>'2018'!M31+'2019'!M31+'2020'!M31+'2021'!M31+'2022'!M228</f>
        <v>0</v>
      </c>
      <c r="N31" s="176">
        <f>'2018'!N31+'2019'!N31+'2020'!N31+'2021'!N31+'2022'!N228</f>
        <v>0</v>
      </c>
      <c r="O31" s="176">
        <f>'2018'!O31+'2019'!O31+'2020'!O31+'2021'!O31+'2022'!O228</f>
        <v>0</v>
      </c>
      <c r="P31" s="176">
        <f>'2018'!P31+'2019'!P31+'2020'!P31+'2021'!P31+'2022'!P228</f>
        <v>0</v>
      </c>
      <c r="Q31" s="176">
        <f>'2018'!Q31+'2019'!Q31+'2020'!Q31+'2021'!Q31+'2022'!Q228</f>
        <v>0</v>
      </c>
      <c r="R31" s="176">
        <f>'2018'!R31+'2019'!R31+'2020'!R31+'2021'!R31+'2022'!R228</f>
        <v>0</v>
      </c>
      <c r="S31" s="176">
        <f>'2018'!S31+'2019'!S31+'2020'!S31+'2021'!S31+'2022'!S228</f>
        <v>0</v>
      </c>
      <c r="T31" s="176">
        <f>'2018'!T31+'2019'!T31+'2020'!T31+'2021'!T31+'2022'!T228</f>
        <v>0</v>
      </c>
      <c r="U31" s="176">
        <f>'2018'!U31+'2019'!U31+'2020'!U31+'2021'!U31+'2022'!U228</f>
        <v>0</v>
      </c>
      <c r="V31" s="176">
        <f>'2018'!V31+'2019'!V31+'2020'!V31+'2021'!V31+'2022'!V228</f>
        <v>5</v>
      </c>
      <c r="W31" s="176">
        <f>'2018'!W31+'2019'!W31+'2020'!W31+'2021'!W31+'2022'!W228</f>
        <v>0</v>
      </c>
      <c r="X31" s="176">
        <f>'2018'!X31+'2019'!X31+'2020'!X31+'2021'!X31+'2022'!X228</f>
        <v>0</v>
      </c>
      <c r="Y31" s="174">
        <f t="shared" si="1"/>
        <v>5</v>
      </c>
      <c r="Z31" s="174">
        <f>'2018'!Z31+'2019'!Z31+'2020'!Z31+'2021'!Z31+'2022'!Z228</f>
        <v>1</v>
      </c>
      <c r="AA31" s="174">
        <f>'2018'!AA31+'2019'!AA31+'2020'!AA31+'2021'!AA31+'2022'!AA228</f>
        <v>0</v>
      </c>
      <c r="AB31" s="174">
        <f>'2018'!AB31+'2019'!AB31+'2020'!AB31+'2021'!AB31+'2022'!AB228</f>
        <v>4</v>
      </c>
      <c r="AC31" s="174">
        <f>'2018'!AC31+'2019'!AC31+'2020'!AC31+'2021'!AC31+'2022'!AC228</f>
        <v>0</v>
      </c>
      <c r="AD31" s="174">
        <f>'2018'!AD31+'2019'!AD31+'2020'!AD31+'2021'!AD31+'2022'!AD228</f>
        <v>0</v>
      </c>
      <c r="AE31" s="174">
        <f>'2018'!AE31+'2019'!AE31+'2020'!AE31+'2021'!AE31+'2022'!AE228</f>
        <v>0</v>
      </c>
      <c r="AF31" s="174">
        <f>'2018'!AF31+'2019'!AF31+'2020'!AF31+'2021'!AF31+'2022'!AF228</f>
        <v>0</v>
      </c>
      <c r="AG31" s="174">
        <f>'2018'!AG31+'2019'!AG31+'2020'!AG31+'2021'!AG31+'2022'!AG228</f>
        <v>0</v>
      </c>
      <c r="AH31" s="174">
        <f>'2018'!AH31+'2019'!AH31+'2020'!AH31+'2021'!AH31+'2022'!AH228</f>
        <v>0</v>
      </c>
      <c r="AI31" s="174">
        <f>'2018'!AI31+'2019'!AI31+'2020'!AI31+'2021'!AI31+'2022'!AI228</f>
        <v>0</v>
      </c>
      <c r="AJ31" s="174">
        <f>'2018'!AJ31+'2019'!AJ31+'2020'!AJ31+'2021'!AJ31+'2022'!AJ228</f>
        <v>0</v>
      </c>
      <c r="AK31" s="174">
        <f>'2018'!AK31+'2019'!AK31+'2020'!AK31+'2021'!AK31+'2022'!AK228</f>
        <v>0</v>
      </c>
      <c r="AL31" s="174">
        <f>'2018'!AL31+'2019'!AL31+'2020'!AL31+'2021'!AL31+'2022'!AL228</f>
        <v>0</v>
      </c>
      <c r="AM31" s="174">
        <f>'2018'!AM31+'2019'!AM31+'2020'!AM31+'2021'!AM31+'2022'!AM228</f>
        <v>0</v>
      </c>
      <c r="AN31" s="174">
        <f>'2018'!AN31+'2019'!AN31+'2020'!AN31+'2021'!AN31+'2022'!AN228</f>
        <v>0</v>
      </c>
      <c r="AO31" s="174">
        <f>'2018'!AO31+'2019'!AO31+'2020'!AO31+'2021'!AO31+'2022'!AO228</f>
        <v>0</v>
      </c>
      <c r="AP31" s="174">
        <f>'2018'!AP31+'2019'!AP31+'2020'!AP31+'2021'!AP31+'2022'!AP228</f>
        <v>0</v>
      </c>
      <c r="AQ31" s="174">
        <f>'2018'!AQ31+'2019'!AQ31+'2020'!AQ31+'2021'!AQ31+'2022'!AQ228</f>
        <v>0</v>
      </c>
      <c r="AR31" s="174">
        <f>'2018'!AR31+'2019'!AR31+'2020'!AR31+'2021'!AR31+'2022'!AR228</f>
        <v>0</v>
      </c>
      <c r="AS31" s="174">
        <f>'2018'!AS31+'2019'!AS31+'2020'!AS31+'2021'!AS31+'2022'!AS228</f>
        <v>0</v>
      </c>
      <c r="AT31" s="174">
        <f>'2018'!AT31+'2019'!AT31+'2020'!AT31+'2021'!AT31+'2022'!AT228</f>
        <v>4</v>
      </c>
      <c r="AU31" s="174">
        <f>'2018'!AU31+'2019'!AU31+'2020'!AU31+'2021'!AU31+'2022'!AU228</f>
        <v>0</v>
      </c>
      <c r="AV31" s="174">
        <f>'2018'!AV31+'2019'!AV31+'2020'!AV31+'2021'!AV31+'2022'!AV228</f>
        <v>0</v>
      </c>
      <c r="AW31" s="174">
        <f t="shared" si="3"/>
        <v>4</v>
      </c>
      <c r="AX31" s="156">
        <f t="shared" si="5"/>
        <v>960</v>
      </c>
      <c r="AY31" s="14">
        <f>'2018'!AX31+'2019'!AX31+'2020'!AX31+'2021'!AX31+'2022'!AX228</f>
        <v>4800</v>
      </c>
      <c r="AZ31" s="14">
        <f t="shared" si="8"/>
        <v>80</v>
      </c>
      <c r="BA31" s="142"/>
      <c r="BB31" s="144"/>
      <c r="BC31" s="142"/>
    </row>
    <row r="32" spans="1:55" x14ac:dyDescent="0.25">
      <c r="A32" s="175" t="s">
        <v>58</v>
      </c>
      <c r="B32" s="176">
        <f>'2018'!B32+'2019'!B32+'2020'!B32+'2021'!B32+'2022'!B229</f>
        <v>8</v>
      </c>
      <c r="C32" s="176">
        <f>'2018'!C32+'2019'!C32+'2020'!C32+'2021'!C32+'2022'!C229</f>
        <v>4</v>
      </c>
      <c r="D32" s="176">
        <f>'2018'!D32+'2019'!D32+'2020'!D32+'2021'!D32+'2022'!D229</f>
        <v>151</v>
      </c>
      <c r="E32" s="176">
        <f>'2018'!E32+'2019'!E32+'2020'!E32+'2021'!E32+'2022'!E229</f>
        <v>61</v>
      </c>
      <c r="F32" s="176">
        <f>'2018'!F32+'2019'!F32+'2020'!F32+'2021'!F32+'2022'!F229</f>
        <v>0</v>
      </c>
      <c r="G32" s="176">
        <f>'2018'!G32+'2019'!G32+'2020'!G32+'2021'!G32+'2022'!G229</f>
        <v>0</v>
      </c>
      <c r="H32" s="176">
        <f>'2018'!H32+'2019'!H32+'2020'!H32+'2021'!H32+'2022'!H229</f>
        <v>0</v>
      </c>
      <c r="I32" s="176">
        <f>'2018'!I32+'2019'!I32+'2020'!I32+'2021'!I32+'2022'!I229</f>
        <v>0</v>
      </c>
      <c r="J32" s="176">
        <f>'2018'!J32+'2019'!J32+'2020'!J32+'2021'!J32+'2022'!J229</f>
        <v>0</v>
      </c>
      <c r="K32" s="176">
        <f>'2018'!K32+'2019'!K32+'2020'!K32+'2021'!K32+'2022'!K229</f>
        <v>0</v>
      </c>
      <c r="L32" s="176">
        <f>'2018'!L32+'2019'!L32+'2020'!L32+'2021'!L32+'2022'!L229</f>
        <v>0</v>
      </c>
      <c r="M32" s="176">
        <f>'2018'!M32+'2019'!M32+'2020'!M32+'2021'!M32+'2022'!M229</f>
        <v>0</v>
      </c>
      <c r="N32" s="176">
        <f>'2018'!N32+'2019'!N32+'2020'!N32+'2021'!N32+'2022'!N229</f>
        <v>0</v>
      </c>
      <c r="O32" s="176">
        <f>'2018'!O32+'2019'!O32+'2020'!O32+'2021'!O32+'2022'!O229</f>
        <v>0</v>
      </c>
      <c r="P32" s="176">
        <f>'2018'!P32+'2019'!P32+'2020'!P32+'2021'!P32+'2022'!P229</f>
        <v>0</v>
      </c>
      <c r="Q32" s="176">
        <f>'2018'!Q32+'2019'!Q32+'2020'!Q32+'2021'!Q32+'2022'!Q229</f>
        <v>0</v>
      </c>
      <c r="R32" s="176">
        <f>'2018'!R32+'2019'!R32+'2020'!R32+'2021'!R32+'2022'!R229</f>
        <v>0</v>
      </c>
      <c r="S32" s="176">
        <f>'2018'!S32+'2019'!S32+'2020'!S32+'2021'!S32+'2022'!S229</f>
        <v>0</v>
      </c>
      <c r="T32" s="176">
        <f>'2018'!T32+'2019'!T32+'2020'!T32+'2021'!T32+'2022'!T229</f>
        <v>0</v>
      </c>
      <c r="U32" s="176">
        <f>'2018'!U32+'2019'!U32+'2020'!U32+'2021'!U32+'2022'!U229</f>
        <v>0</v>
      </c>
      <c r="V32" s="176">
        <f>'2018'!V32+'2019'!V32+'2020'!V32+'2021'!V32+'2022'!V229</f>
        <v>151</v>
      </c>
      <c r="W32" s="176">
        <f>'2018'!W32+'2019'!W32+'2020'!W32+'2021'!W32+'2022'!W229</f>
        <v>0</v>
      </c>
      <c r="X32" s="176">
        <f>'2018'!X32+'2019'!X32+'2020'!X32+'2021'!X32+'2022'!X229</f>
        <v>0</v>
      </c>
      <c r="Y32" s="174">
        <f t="shared" si="1"/>
        <v>151</v>
      </c>
      <c r="Z32" s="174">
        <f>'2018'!Z32+'2019'!Z32+'2020'!Z32+'2021'!Z32+'2022'!Z229</f>
        <v>8</v>
      </c>
      <c r="AA32" s="174">
        <f>'2018'!AA32+'2019'!AA32+'2020'!AA32+'2021'!AA32+'2022'!AA229</f>
        <v>4</v>
      </c>
      <c r="AB32" s="174">
        <f>'2018'!AB32+'2019'!AB32+'2020'!AB32+'2021'!AB32+'2022'!AB229</f>
        <v>149</v>
      </c>
      <c r="AC32" s="174">
        <f>'2018'!AC32+'2019'!AC32+'2020'!AC32+'2021'!AC32+'2022'!AC229</f>
        <v>61</v>
      </c>
      <c r="AD32" s="174">
        <f>'2018'!AD32+'2019'!AD32+'2020'!AD32+'2021'!AD32+'2022'!AD229</f>
        <v>0</v>
      </c>
      <c r="AE32" s="174">
        <f>'2018'!AE32+'2019'!AE32+'2020'!AE32+'2021'!AE32+'2022'!AE229</f>
        <v>0</v>
      </c>
      <c r="AF32" s="174">
        <f>'2018'!AF32+'2019'!AF32+'2020'!AF32+'2021'!AF32+'2022'!AF229</f>
        <v>0</v>
      </c>
      <c r="AG32" s="174">
        <f>'2018'!AG32+'2019'!AG32+'2020'!AG32+'2021'!AG32+'2022'!AG229</f>
        <v>0</v>
      </c>
      <c r="AH32" s="174">
        <f>'2018'!AH32+'2019'!AH32+'2020'!AH32+'2021'!AH32+'2022'!AH229</f>
        <v>0</v>
      </c>
      <c r="AI32" s="174">
        <f>'2018'!AI32+'2019'!AI32+'2020'!AI32+'2021'!AI32+'2022'!AI229</f>
        <v>0</v>
      </c>
      <c r="AJ32" s="174">
        <f>'2018'!AJ32+'2019'!AJ32+'2020'!AJ32+'2021'!AJ32+'2022'!AJ229</f>
        <v>0</v>
      </c>
      <c r="AK32" s="174">
        <f>'2018'!AK32+'2019'!AK32+'2020'!AK32+'2021'!AK32+'2022'!AK229</f>
        <v>0</v>
      </c>
      <c r="AL32" s="174">
        <f>'2018'!AL32+'2019'!AL32+'2020'!AL32+'2021'!AL32+'2022'!AL229</f>
        <v>0</v>
      </c>
      <c r="AM32" s="174">
        <f>'2018'!AM32+'2019'!AM32+'2020'!AM32+'2021'!AM32+'2022'!AM229</f>
        <v>0</v>
      </c>
      <c r="AN32" s="174">
        <f>'2018'!AN32+'2019'!AN32+'2020'!AN32+'2021'!AN32+'2022'!AN229</f>
        <v>0</v>
      </c>
      <c r="AO32" s="174">
        <f>'2018'!AO32+'2019'!AO32+'2020'!AO32+'2021'!AO32+'2022'!AO229</f>
        <v>0</v>
      </c>
      <c r="AP32" s="174">
        <f>'2018'!AP32+'2019'!AP32+'2020'!AP32+'2021'!AP32+'2022'!AP229</f>
        <v>0</v>
      </c>
      <c r="AQ32" s="174">
        <f>'2018'!AQ32+'2019'!AQ32+'2020'!AQ32+'2021'!AQ32+'2022'!AQ229</f>
        <v>0</v>
      </c>
      <c r="AR32" s="174">
        <f>'2018'!AR32+'2019'!AR32+'2020'!AR32+'2021'!AR32+'2022'!AR229</f>
        <v>0</v>
      </c>
      <c r="AS32" s="174">
        <f>'2018'!AS32+'2019'!AS32+'2020'!AS32+'2021'!AS32+'2022'!AS229</f>
        <v>0</v>
      </c>
      <c r="AT32" s="174">
        <f>'2018'!AT32+'2019'!AT32+'2020'!AT32+'2021'!AT32+'2022'!AT229</f>
        <v>149</v>
      </c>
      <c r="AU32" s="174">
        <f>'2018'!AU32+'2019'!AU32+'2020'!AU32+'2021'!AU32+'2022'!AU229</f>
        <v>0</v>
      </c>
      <c r="AV32" s="174">
        <f>'2018'!AV32+'2019'!AV32+'2020'!AV32+'2021'!AV32+'2022'!AV229</f>
        <v>0</v>
      </c>
      <c r="AW32" s="174">
        <f t="shared" si="3"/>
        <v>149</v>
      </c>
      <c r="AX32" s="156">
        <f t="shared" si="5"/>
        <v>7590</v>
      </c>
      <c r="AY32" s="14">
        <f>'2018'!AX32+'2019'!AX32+'2020'!AX32+'2021'!AX32+'2022'!AX229</f>
        <v>37950</v>
      </c>
      <c r="AZ32" s="14">
        <f t="shared" si="8"/>
        <v>98.675496688741717</v>
      </c>
      <c r="BA32" s="142"/>
      <c r="BB32" s="144"/>
      <c r="BC32" s="142"/>
    </row>
    <row r="33" spans="1:55" x14ac:dyDescent="0.25">
      <c r="A33" s="175" t="s">
        <v>88</v>
      </c>
      <c r="B33" s="176">
        <f>'2018'!B33+'2019'!B33+'2020'!B33+'2021'!B33+'2022'!B230</f>
        <v>14</v>
      </c>
      <c r="C33" s="176">
        <f>'2018'!C33+'2019'!C33+'2020'!C33+'2021'!C33+'2022'!C230</f>
        <v>4</v>
      </c>
      <c r="D33" s="176">
        <f>'2018'!D33+'2019'!D33+'2020'!D33+'2021'!D33+'2022'!D230</f>
        <v>92</v>
      </c>
      <c r="E33" s="176">
        <f>'2018'!E33+'2019'!E33+'2020'!E33+'2021'!E33+'2022'!E230</f>
        <v>20</v>
      </c>
      <c r="F33" s="176">
        <f>'2018'!F33+'2019'!F33+'2020'!F33+'2021'!F33+'2022'!F230</f>
        <v>0</v>
      </c>
      <c r="G33" s="176">
        <f>'2018'!G33+'2019'!G33+'2020'!G33+'2021'!G33+'2022'!G230</f>
        <v>0</v>
      </c>
      <c r="H33" s="176">
        <f>'2018'!H33+'2019'!H33+'2020'!H33+'2021'!H33+'2022'!H230</f>
        <v>0</v>
      </c>
      <c r="I33" s="176">
        <f>'2018'!I33+'2019'!I33+'2020'!I33+'2021'!I33+'2022'!I230</f>
        <v>0</v>
      </c>
      <c r="J33" s="176">
        <f>'2018'!J33+'2019'!J33+'2020'!J33+'2021'!J33+'2022'!J230</f>
        <v>0</v>
      </c>
      <c r="K33" s="176">
        <f>'2018'!K33+'2019'!K33+'2020'!K33+'2021'!K33+'2022'!K230</f>
        <v>0</v>
      </c>
      <c r="L33" s="176">
        <f>'2018'!L33+'2019'!L33+'2020'!L33+'2021'!L33+'2022'!L230</f>
        <v>3</v>
      </c>
      <c r="M33" s="176">
        <f>'2018'!M33+'2019'!M33+'2020'!M33+'2021'!M33+'2022'!M230</f>
        <v>0</v>
      </c>
      <c r="N33" s="176">
        <f>'2018'!N33+'2019'!N33+'2020'!N33+'2021'!N33+'2022'!N230</f>
        <v>0</v>
      </c>
      <c r="O33" s="176">
        <f>'2018'!O33+'2019'!O33+'2020'!O33+'2021'!O33+'2022'!O230</f>
        <v>0</v>
      </c>
      <c r="P33" s="176">
        <f>'2018'!P33+'2019'!P33+'2020'!P33+'2021'!P33+'2022'!P230</f>
        <v>0</v>
      </c>
      <c r="Q33" s="176">
        <f>'2018'!Q33+'2019'!Q33+'2020'!Q33+'2021'!Q33+'2022'!Q230</f>
        <v>0</v>
      </c>
      <c r="R33" s="176">
        <f>'2018'!R33+'2019'!R33+'2020'!R33+'2021'!R33+'2022'!R230</f>
        <v>0</v>
      </c>
      <c r="S33" s="176">
        <f>'2018'!S33+'2019'!S33+'2020'!S33+'2021'!S33+'2022'!S230</f>
        <v>0</v>
      </c>
      <c r="T33" s="176">
        <f>'2018'!T33+'2019'!T33+'2020'!T33+'2021'!T33+'2022'!T230</f>
        <v>0</v>
      </c>
      <c r="U33" s="176">
        <f>'2018'!U33+'2019'!U33+'2020'!U33+'2021'!U33+'2022'!U230</f>
        <v>0</v>
      </c>
      <c r="V33" s="176">
        <f>'2018'!V33+'2019'!V33+'2020'!V33+'2021'!V33+'2022'!V230</f>
        <v>65</v>
      </c>
      <c r="W33" s="176">
        <f>'2018'!W33+'2019'!W33+'2020'!W33+'2021'!W33+'2022'!W230</f>
        <v>6</v>
      </c>
      <c r="X33" s="176">
        <f>'2018'!X33+'2019'!X33+'2020'!X33+'2021'!X33+'2022'!X230</f>
        <v>18</v>
      </c>
      <c r="Y33" s="174">
        <f t="shared" si="1"/>
        <v>92</v>
      </c>
      <c r="Z33" s="174">
        <f>'2018'!Z33+'2019'!Z33+'2020'!Z33+'2021'!Z33+'2022'!Z230</f>
        <v>8</v>
      </c>
      <c r="AA33" s="174">
        <f>'2018'!AA33+'2019'!AA33+'2020'!AA33+'2021'!AA33+'2022'!AA230</f>
        <v>3</v>
      </c>
      <c r="AB33" s="174">
        <f>'2018'!AB33+'2019'!AB33+'2020'!AB33+'2021'!AB33+'2022'!AB230</f>
        <v>52</v>
      </c>
      <c r="AC33" s="174">
        <f>'2018'!AC33+'2019'!AC33+'2020'!AC33+'2021'!AC33+'2022'!AC230</f>
        <v>18</v>
      </c>
      <c r="AD33" s="174">
        <f>'2018'!AD33+'2019'!AD33+'2020'!AD33+'2021'!AD33+'2022'!AD230</f>
        <v>0</v>
      </c>
      <c r="AE33" s="174">
        <f>'2018'!AE33+'2019'!AE33+'2020'!AE33+'2021'!AE33+'2022'!AE230</f>
        <v>0</v>
      </c>
      <c r="AF33" s="174">
        <f>'2018'!AF33+'2019'!AF33+'2020'!AF33+'2021'!AF33+'2022'!AF230</f>
        <v>0</v>
      </c>
      <c r="AG33" s="174">
        <f>'2018'!AG33+'2019'!AG33+'2020'!AG33+'2021'!AG33+'2022'!AG230</f>
        <v>0</v>
      </c>
      <c r="AH33" s="174">
        <f>'2018'!AH33+'2019'!AH33+'2020'!AH33+'2021'!AH33+'2022'!AH230</f>
        <v>0</v>
      </c>
      <c r="AI33" s="174">
        <f>'2018'!AI33+'2019'!AI33+'2020'!AI33+'2021'!AI33+'2022'!AI230</f>
        <v>0</v>
      </c>
      <c r="AJ33" s="174">
        <f>'2018'!AJ33+'2019'!AJ33+'2020'!AJ33+'2021'!AJ33+'2022'!AJ230</f>
        <v>0</v>
      </c>
      <c r="AK33" s="174">
        <f>'2018'!AK33+'2019'!AK33+'2020'!AK33+'2021'!AK33+'2022'!AK230</f>
        <v>0</v>
      </c>
      <c r="AL33" s="174">
        <f>'2018'!AL33+'2019'!AL33+'2020'!AL33+'2021'!AL33+'2022'!AL230</f>
        <v>0</v>
      </c>
      <c r="AM33" s="174">
        <f>'2018'!AM33+'2019'!AM33+'2020'!AM33+'2021'!AM33+'2022'!AM230</f>
        <v>0</v>
      </c>
      <c r="AN33" s="174">
        <f>'2018'!AN33+'2019'!AN33+'2020'!AN33+'2021'!AN33+'2022'!AN230</f>
        <v>0</v>
      </c>
      <c r="AO33" s="174">
        <f>'2018'!AO33+'2019'!AO33+'2020'!AO33+'2021'!AO33+'2022'!AO230</f>
        <v>0</v>
      </c>
      <c r="AP33" s="174">
        <f>'2018'!AP33+'2019'!AP33+'2020'!AP33+'2021'!AP33+'2022'!AP230</f>
        <v>0</v>
      </c>
      <c r="AQ33" s="174">
        <f>'2018'!AQ33+'2019'!AQ33+'2020'!AQ33+'2021'!AQ33+'2022'!AQ230</f>
        <v>0</v>
      </c>
      <c r="AR33" s="174">
        <f>'2018'!AR33+'2019'!AR33+'2020'!AR33+'2021'!AR33+'2022'!AR230</f>
        <v>0</v>
      </c>
      <c r="AS33" s="174">
        <f>'2018'!AS33+'2019'!AS33+'2020'!AS33+'2021'!AS33+'2022'!AS230</f>
        <v>0</v>
      </c>
      <c r="AT33" s="174">
        <f>'2018'!AT33+'2019'!AT33+'2020'!AT33+'2021'!AT33+'2022'!AT230</f>
        <v>36</v>
      </c>
      <c r="AU33" s="174">
        <f>'2018'!AU33+'2019'!AU33+'2020'!AU33+'2021'!AU33+'2022'!AU230</f>
        <v>0</v>
      </c>
      <c r="AV33" s="174">
        <f>'2018'!AV33+'2019'!AV33+'2020'!AV33+'2021'!AV33+'2022'!AV230</f>
        <v>16</v>
      </c>
      <c r="AW33" s="174">
        <f t="shared" si="3"/>
        <v>52</v>
      </c>
      <c r="AX33" s="156">
        <f t="shared" si="5"/>
        <v>686.65933333333339</v>
      </c>
      <c r="AY33" s="14">
        <f>'2018'!AX33+'2019'!AX33+'2020'!AX33+'2021'!AX33+'2022'!AX230</f>
        <v>3433.2966666666671</v>
      </c>
      <c r="AZ33" s="14">
        <f t="shared" si="8"/>
        <v>56.521739130434781</v>
      </c>
      <c r="BA33" s="142"/>
      <c r="BB33" s="144"/>
      <c r="BC33" s="142"/>
    </row>
    <row r="34" spans="1:55" x14ac:dyDescent="0.25">
      <c r="A34" s="175" t="s">
        <v>89</v>
      </c>
      <c r="B34" s="176">
        <f>'2018'!B34+'2019'!B34+'2020'!B34+'2021'!B34+'2022'!B231</f>
        <v>394</v>
      </c>
      <c r="C34" s="176">
        <f>'2018'!C34+'2019'!C34+'2020'!C34+'2021'!C34+'2022'!C231</f>
        <v>89</v>
      </c>
      <c r="D34" s="176">
        <f>'2018'!D34+'2019'!D34+'2020'!D34+'2021'!D34+'2022'!D231</f>
        <v>569</v>
      </c>
      <c r="E34" s="176">
        <f>'2018'!E34+'2019'!E34+'2020'!E34+'2021'!E34+'2022'!E231</f>
        <v>137</v>
      </c>
      <c r="F34" s="176">
        <f>'2018'!F34+'2019'!F34+'2020'!F34+'2021'!F34+'2022'!F231</f>
        <v>1</v>
      </c>
      <c r="G34" s="176">
        <f>'2018'!G34+'2019'!G34+'2020'!G34+'2021'!G34+'2022'!G231</f>
        <v>2</v>
      </c>
      <c r="H34" s="176">
        <f>'2018'!H34+'2019'!H34+'2020'!H34+'2021'!H34+'2022'!H231</f>
        <v>86</v>
      </c>
      <c r="I34" s="176">
        <f>'2018'!I34+'2019'!I34+'2020'!I34+'2021'!I34+'2022'!I231</f>
        <v>1</v>
      </c>
      <c r="J34" s="176">
        <f>'2018'!J34+'2019'!J34+'2020'!J34+'2021'!J34+'2022'!J231</f>
        <v>12</v>
      </c>
      <c r="K34" s="176">
        <f>'2018'!K34+'2019'!K34+'2020'!K34+'2021'!K34+'2022'!K231</f>
        <v>34</v>
      </c>
      <c r="L34" s="176">
        <f>'2018'!L34+'2019'!L34+'2020'!L34+'2021'!L34+'2022'!L231</f>
        <v>35</v>
      </c>
      <c r="M34" s="176">
        <f>'2018'!M34+'2019'!M34+'2020'!M34+'2021'!M34+'2022'!M231</f>
        <v>19</v>
      </c>
      <c r="N34" s="176">
        <f>'2018'!N34+'2019'!N34+'2020'!N34+'2021'!N34+'2022'!N231</f>
        <v>8</v>
      </c>
      <c r="O34" s="176">
        <f>'2018'!O34+'2019'!O34+'2020'!O34+'2021'!O34+'2022'!O231</f>
        <v>11</v>
      </c>
      <c r="P34" s="176">
        <f>'2018'!P34+'2019'!P34+'2020'!P34+'2021'!P34+'2022'!P231</f>
        <v>3</v>
      </c>
      <c r="Q34" s="176">
        <f>'2018'!Q34+'2019'!Q34+'2020'!Q34+'2021'!Q34+'2022'!Q231</f>
        <v>4</v>
      </c>
      <c r="R34" s="176">
        <f>'2018'!R34+'2019'!R34+'2020'!R34+'2021'!R34+'2022'!R231</f>
        <v>158</v>
      </c>
      <c r="S34" s="176">
        <f>'2018'!S34+'2019'!S34+'2020'!S34+'2021'!S34+'2022'!S231</f>
        <v>3</v>
      </c>
      <c r="T34" s="176">
        <f>'2018'!T34+'2019'!T34+'2020'!T34+'2021'!T34+'2022'!T231</f>
        <v>101</v>
      </c>
      <c r="U34" s="176">
        <f>'2018'!U34+'2019'!U34+'2020'!U34+'2021'!U34+'2022'!U231</f>
        <v>7</v>
      </c>
      <c r="V34" s="176">
        <f>'2018'!V34+'2019'!V34+'2020'!V34+'2021'!V34+'2022'!V231</f>
        <v>65</v>
      </c>
      <c r="W34" s="176">
        <f>'2018'!W34+'2019'!W34+'2020'!W34+'2021'!W34+'2022'!W231</f>
        <v>7</v>
      </c>
      <c r="X34" s="176">
        <f>'2018'!X34+'2019'!X34+'2020'!X34+'2021'!X34+'2022'!X231</f>
        <v>12</v>
      </c>
      <c r="Y34" s="174">
        <f t="shared" si="1"/>
        <v>569</v>
      </c>
      <c r="Z34" s="174">
        <f>'2018'!Z34+'2019'!Z34+'2020'!Z34+'2021'!Z34+'2022'!Z231</f>
        <v>297</v>
      </c>
      <c r="AA34" s="174">
        <f>'2018'!AA34+'2019'!AA34+'2020'!AA34+'2021'!AA34+'2022'!AA231</f>
        <v>79</v>
      </c>
      <c r="AB34" s="174">
        <f>'2018'!AB34+'2019'!AB34+'2020'!AB34+'2021'!AB34+'2022'!AB231</f>
        <v>419</v>
      </c>
      <c r="AC34" s="174">
        <f>'2018'!AC34+'2019'!AC34+'2020'!AC34+'2021'!AC34+'2022'!AC231</f>
        <v>114</v>
      </c>
      <c r="AD34" s="174">
        <f>'2018'!AD34+'2019'!AD34+'2020'!AD34+'2021'!AD34+'2022'!AD231</f>
        <v>1</v>
      </c>
      <c r="AE34" s="174">
        <f>'2018'!AE34+'2019'!AE34+'2020'!AE34+'2021'!AE34+'2022'!AE231</f>
        <v>1</v>
      </c>
      <c r="AF34" s="174">
        <f>'2018'!AF34+'2019'!AF34+'2020'!AF34+'2021'!AF34+'2022'!AF231</f>
        <v>61</v>
      </c>
      <c r="AG34" s="174">
        <f>'2018'!AG34+'2019'!AG34+'2020'!AG34+'2021'!AG34+'2022'!AG231</f>
        <v>1</v>
      </c>
      <c r="AH34" s="174">
        <f>'2018'!AH34+'2019'!AH34+'2020'!AH34+'2021'!AH34+'2022'!AH231</f>
        <v>10</v>
      </c>
      <c r="AI34" s="174">
        <f>'2018'!AI34+'2019'!AI34+'2020'!AI34+'2021'!AI34+'2022'!AI231</f>
        <v>22</v>
      </c>
      <c r="AJ34" s="174">
        <f>'2018'!AJ34+'2019'!AJ34+'2020'!AJ34+'2021'!AJ34+'2022'!AJ231</f>
        <v>27</v>
      </c>
      <c r="AK34" s="174">
        <f>'2018'!AK34+'2019'!AK34+'2020'!AK34+'2021'!AK34+'2022'!AK231</f>
        <v>12</v>
      </c>
      <c r="AL34" s="174">
        <f>'2018'!AL34+'2019'!AL34+'2020'!AL34+'2021'!AL34+'2022'!AL231</f>
        <v>6</v>
      </c>
      <c r="AM34" s="174">
        <f>'2018'!AM34+'2019'!AM34+'2020'!AM34+'2021'!AM34+'2022'!AM231</f>
        <v>6</v>
      </c>
      <c r="AN34" s="174">
        <f>'2018'!AN34+'2019'!AN34+'2020'!AN34+'2021'!AN34+'2022'!AN231</f>
        <v>3</v>
      </c>
      <c r="AO34" s="174">
        <f>'2018'!AO34+'2019'!AO34+'2020'!AO34+'2021'!AO34+'2022'!AO231</f>
        <v>4</v>
      </c>
      <c r="AP34" s="174">
        <f>'2018'!AP34+'2019'!AP34+'2020'!AP34+'2021'!AP34+'2022'!AP231</f>
        <v>119</v>
      </c>
      <c r="AQ34" s="174">
        <f>'2018'!AQ34+'2019'!AQ34+'2020'!AQ34+'2021'!AQ34+'2022'!AQ231</f>
        <v>1</v>
      </c>
      <c r="AR34" s="174">
        <f>'2018'!AR34+'2019'!AR34+'2020'!AR34+'2021'!AR34+'2022'!AR231</f>
        <v>83</v>
      </c>
      <c r="AS34" s="174">
        <f>'2018'!AS34+'2019'!AS34+'2020'!AS34+'2021'!AS34+'2022'!AS231</f>
        <v>6</v>
      </c>
      <c r="AT34" s="174">
        <f>'2018'!AT34+'2019'!AT34+'2020'!AT34+'2021'!AT34+'2022'!AT231</f>
        <v>46</v>
      </c>
      <c r="AU34" s="174">
        <f>'2018'!AU34+'2019'!AU34+'2020'!AU34+'2021'!AU34+'2022'!AU231</f>
        <v>4</v>
      </c>
      <c r="AV34" s="174">
        <f>'2018'!AV34+'2019'!AV34+'2020'!AV34+'2021'!AV34+'2022'!AV231</f>
        <v>6</v>
      </c>
      <c r="AW34" s="174">
        <f t="shared" si="3"/>
        <v>419</v>
      </c>
      <c r="AX34" s="156">
        <f t="shared" si="5"/>
        <v>1156.3120000000001</v>
      </c>
      <c r="AY34" s="14">
        <f>'2018'!AX34+'2019'!AX34+'2020'!AX34+'2021'!AX34+'2022'!AX231</f>
        <v>5781.56</v>
      </c>
      <c r="AZ34" s="14">
        <f t="shared" si="8"/>
        <v>73.637961335676621</v>
      </c>
      <c r="BA34" s="142"/>
      <c r="BB34" s="144"/>
      <c r="BC34" s="142"/>
    </row>
    <row r="35" spans="1:55" x14ac:dyDescent="0.25">
      <c r="A35" s="175" t="s">
        <v>90</v>
      </c>
      <c r="B35" s="176">
        <f>'2018'!B35+'2019'!B35+'2020'!B35+'2021'!B35+'2022'!B232</f>
        <v>312</v>
      </c>
      <c r="C35" s="176">
        <f>'2018'!C35+'2019'!C35+'2020'!C35+'2021'!C35+'2022'!C232</f>
        <v>109</v>
      </c>
      <c r="D35" s="176">
        <f>'2018'!D35+'2019'!D35+'2020'!D35+'2021'!D35+'2022'!D232</f>
        <v>1373</v>
      </c>
      <c r="E35" s="176">
        <f>'2018'!E35+'2019'!E35+'2020'!E35+'2021'!E35+'2022'!E232</f>
        <v>1073</v>
      </c>
      <c r="F35" s="176">
        <f>'2018'!F35+'2019'!F35+'2020'!F35+'2021'!F35+'2022'!F232</f>
        <v>0</v>
      </c>
      <c r="G35" s="176">
        <f>'2018'!G35+'2019'!G35+'2020'!G35+'2021'!G35+'2022'!G232</f>
        <v>0</v>
      </c>
      <c r="H35" s="176">
        <f>'2018'!H35+'2019'!H35+'2020'!H35+'2021'!H35+'2022'!H232</f>
        <v>16</v>
      </c>
      <c r="I35" s="176">
        <f>'2018'!I35+'2019'!I35+'2020'!I35+'2021'!I35+'2022'!I232</f>
        <v>0</v>
      </c>
      <c r="J35" s="176">
        <f>'2018'!J35+'2019'!J35+'2020'!J35+'2021'!J35+'2022'!J232</f>
        <v>1</v>
      </c>
      <c r="K35" s="176">
        <f>'2018'!K35+'2019'!K35+'2020'!K35+'2021'!K35+'2022'!K232</f>
        <v>11</v>
      </c>
      <c r="L35" s="176">
        <f>'2018'!L35+'2019'!L35+'2020'!L35+'2021'!L35+'2022'!L232</f>
        <v>3</v>
      </c>
      <c r="M35" s="176">
        <f>'2018'!M35+'2019'!M35+'2020'!M35+'2021'!M35+'2022'!M232</f>
        <v>1</v>
      </c>
      <c r="N35" s="176">
        <f>'2018'!N35+'2019'!N35+'2020'!N35+'2021'!N35+'2022'!N232</f>
        <v>3</v>
      </c>
      <c r="O35" s="176">
        <f>'2018'!O35+'2019'!O35+'2020'!O35+'2021'!O35+'2022'!O232</f>
        <v>1</v>
      </c>
      <c r="P35" s="176">
        <f>'2018'!P35+'2019'!P35+'2020'!P35+'2021'!P35+'2022'!P232</f>
        <v>1</v>
      </c>
      <c r="Q35" s="176">
        <f>'2018'!Q35+'2019'!Q35+'2020'!Q35+'2021'!Q35+'2022'!Q232</f>
        <v>0</v>
      </c>
      <c r="R35" s="176">
        <f>'2018'!R35+'2019'!R35+'2020'!R35+'2021'!R35+'2022'!R232</f>
        <v>47</v>
      </c>
      <c r="S35" s="176">
        <f>'2018'!S35+'2019'!S35+'2020'!S35+'2021'!S35+'2022'!S232</f>
        <v>1</v>
      </c>
      <c r="T35" s="176">
        <f>'2018'!T35+'2019'!T35+'2020'!T35+'2021'!T35+'2022'!T232</f>
        <v>3</v>
      </c>
      <c r="U35" s="176">
        <f>'2018'!U35+'2019'!U35+'2020'!U35+'2021'!U35+'2022'!U232</f>
        <v>0</v>
      </c>
      <c r="V35" s="176">
        <f>'2018'!V35+'2019'!V35+'2020'!V35+'2021'!V35+'2022'!V232</f>
        <v>1283</v>
      </c>
      <c r="W35" s="176">
        <f>'2018'!W35+'2019'!W35+'2020'!W35+'2021'!W35+'2022'!W232</f>
        <v>1</v>
      </c>
      <c r="X35" s="176">
        <f>'2018'!X35+'2019'!X35+'2020'!X35+'2021'!X35+'2022'!X232</f>
        <v>1</v>
      </c>
      <c r="Y35" s="174">
        <f t="shared" si="1"/>
        <v>1373</v>
      </c>
      <c r="Z35" s="174">
        <f>'2018'!Z35+'2019'!Z35+'2020'!Z35+'2021'!Z35+'2022'!Z232</f>
        <v>261</v>
      </c>
      <c r="AA35" s="174">
        <f>'2018'!AA35+'2019'!AA35+'2020'!AA35+'2021'!AA35+'2022'!AA232</f>
        <v>75</v>
      </c>
      <c r="AB35" s="174">
        <f>'2018'!AB35+'2019'!AB35+'2020'!AB35+'2021'!AB35+'2022'!AB232</f>
        <v>1156</v>
      </c>
      <c r="AC35" s="174">
        <f>'2018'!AC35+'2019'!AC35+'2020'!AC35+'2021'!AC35+'2022'!AC232</f>
        <v>954</v>
      </c>
      <c r="AD35" s="174">
        <f>'2018'!AD35+'2019'!AD35+'2020'!AD35+'2021'!AD35+'2022'!AD232</f>
        <v>0</v>
      </c>
      <c r="AE35" s="174">
        <f>'2018'!AE35+'2019'!AE35+'2020'!AE35+'2021'!AE35+'2022'!AE232</f>
        <v>0</v>
      </c>
      <c r="AF35" s="174">
        <f>'2018'!AF35+'2019'!AF35+'2020'!AF35+'2021'!AF35+'2022'!AF232</f>
        <v>11</v>
      </c>
      <c r="AG35" s="174">
        <f>'2018'!AG35+'2019'!AG35+'2020'!AG35+'2021'!AG35+'2022'!AG232</f>
        <v>0</v>
      </c>
      <c r="AH35" s="174">
        <f>'2018'!AH35+'2019'!AH35+'2020'!AH35+'2021'!AH35+'2022'!AH232</f>
        <v>1</v>
      </c>
      <c r="AI35" s="174">
        <f>'2018'!AI35+'2019'!AI35+'2020'!AI35+'2021'!AI35+'2022'!AI232</f>
        <v>4</v>
      </c>
      <c r="AJ35" s="174">
        <f>'2018'!AJ35+'2019'!AJ35+'2020'!AJ35+'2021'!AJ35+'2022'!AJ232</f>
        <v>3</v>
      </c>
      <c r="AK35" s="174">
        <f>'2018'!AK35+'2019'!AK35+'2020'!AK35+'2021'!AK35+'2022'!AK232</f>
        <v>0</v>
      </c>
      <c r="AL35" s="174">
        <f>'2018'!AL35+'2019'!AL35+'2020'!AL35+'2021'!AL35+'2022'!AL232</f>
        <v>2</v>
      </c>
      <c r="AM35" s="174">
        <f>'2018'!AM35+'2019'!AM35+'2020'!AM35+'2021'!AM35+'2022'!AM232</f>
        <v>1</v>
      </c>
      <c r="AN35" s="174">
        <f>'2018'!AN35+'2019'!AN35+'2020'!AN35+'2021'!AN35+'2022'!AN232</f>
        <v>1</v>
      </c>
      <c r="AO35" s="174">
        <f>'2018'!AO35+'2019'!AO35+'2020'!AO35+'2021'!AO35+'2022'!AO232</f>
        <v>0</v>
      </c>
      <c r="AP35" s="174">
        <f>'2018'!AP35+'2019'!AP35+'2020'!AP35+'2021'!AP35+'2022'!AP232</f>
        <v>33</v>
      </c>
      <c r="AQ35" s="174">
        <f>'2018'!AQ35+'2019'!AQ35+'2020'!AQ35+'2021'!AQ35+'2022'!AQ232</f>
        <v>1</v>
      </c>
      <c r="AR35" s="174">
        <f>'2018'!AR35+'2019'!AR35+'2020'!AR35+'2021'!AR35+'2022'!AR232</f>
        <v>3</v>
      </c>
      <c r="AS35" s="174">
        <f>'2018'!AS35+'2019'!AS35+'2020'!AS35+'2021'!AS35+'2022'!AS232</f>
        <v>0</v>
      </c>
      <c r="AT35" s="174">
        <f>'2018'!AT35+'2019'!AT35+'2020'!AT35+'2021'!AT35+'2022'!AT232</f>
        <v>1096</v>
      </c>
      <c r="AU35" s="174">
        <f>'2018'!AU35+'2019'!AU35+'2020'!AU35+'2021'!AU35+'2022'!AU232</f>
        <v>0</v>
      </c>
      <c r="AV35" s="174">
        <f>'2018'!AV35+'2019'!AV35+'2020'!AV35+'2021'!AV35+'2022'!AV232</f>
        <v>0</v>
      </c>
      <c r="AW35" s="174">
        <f t="shared" si="3"/>
        <v>1156</v>
      </c>
      <c r="AX35" s="156">
        <f t="shared" si="5"/>
        <v>2424.3522763636365</v>
      </c>
      <c r="AY35" s="14">
        <f>'2018'!AX35+'2019'!AX35+'2020'!AX35+'2021'!AX35+'2022'!AX232</f>
        <v>12121.761381818182</v>
      </c>
      <c r="AZ35" s="14">
        <f t="shared" si="8"/>
        <v>84.195193008011657</v>
      </c>
      <c r="BA35" s="142"/>
      <c r="BB35" s="144"/>
      <c r="BC35" s="142"/>
    </row>
    <row r="36" spans="1:55" x14ac:dyDescent="0.25">
      <c r="A36" s="175" t="s">
        <v>91</v>
      </c>
      <c r="B36" s="176">
        <f>'2018'!B36+'2019'!B36+'2020'!B36+'2021'!B36+'2022'!B241</f>
        <v>130</v>
      </c>
      <c r="C36" s="176">
        <f>'2018'!C36+'2019'!C36+'2020'!C36+'2021'!C36+'2022'!C241</f>
        <v>1</v>
      </c>
      <c r="D36" s="176">
        <f>'2018'!D36+'2019'!D36+'2020'!D36+'2021'!D36+'2022'!D241</f>
        <v>207</v>
      </c>
      <c r="E36" s="176">
        <f>'2018'!E36+'2019'!E36+'2020'!E36+'2021'!E36+'2022'!E241</f>
        <v>1</v>
      </c>
      <c r="F36" s="176">
        <f>'2018'!F36+'2019'!F36+'2020'!F36+'2021'!F36+'2022'!F241</f>
        <v>1</v>
      </c>
      <c r="G36" s="176">
        <f>'2018'!G36+'2019'!G36+'2020'!G36+'2021'!G36+'2022'!G241</f>
        <v>0</v>
      </c>
      <c r="H36" s="176">
        <f>'2018'!H36+'2019'!H36+'2020'!H36+'2021'!H36+'2022'!H241</f>
        <v>27</v>
      </c>
      <c r="I36" s="176">
        <f>'2018'!I36+'2019'!I36+'2020'!I36+'2021'!I36+'2022'!I241</f>
        <v>0</v>
      </c>
      <c r="J36" s="176">
        <f>'2018'!J36+'2019'!J36+'2020'!J36+'2021'!J36+'2022'!J241</f>
        <v>0</v>
      </c>
      <c r="K36" s="176">
        <f>'2018'!K36+'2019'!K36+'2020'!K36+'2021'!K36+'2022'!K241</f>
        <v>2</v>
      </c>
      <c r="L36" s="176">
        <f>'2018'!L36+'2019'!L36+'2020'!L36+'2021'!L36+'2022'!L241</f>
        <v>0</v>
      </c>
      <c r="M36" s="176">
        <f>'2018'!M36+'2019'!M36+'2020'!M36+'2021'!M36+'2022'!M241</f>
        <v>3</v>
      </c>
      <c r="N36" s="176">
        <f>'2018'!N36+'2019'!N36+'2020'!N36+'2021'!N36+'2022'!N241</f>
        <v>0</v>
      </c>
      <c r="O36" s="176">
        <f>'2018'!O36+'2019'!O36+'2020'!O36+'2021'!O36+'2022'!O241</f>
        <v>0</v>
      </c>
      <c r="P36" s="176">
        <f>'2018'!P36+'2019'!P36+'2020'!P36+'2021'!P36+'2022'!P241</f>
        <v>0</v>
      </c>
      <c r="Q36" s="176">
        <f>'2018'!Q36+'2019'!Q36+'2020'!Q36+'2021'!Q36+'2022'!Q241</f>
        <v>0</v>
      </c>
      <c r="R36" s="176">
        <f>'2018'!R36+'2019'!R36+'2020'!R36+'2021'!R36+'2022'!R241</f>
        <v>4</v>
      </c>
      <c r="S36" s="176">
        <f>'2018'!S36+'2019'!S36+'2020'!S36+'2021'!S36+'2022'!S241</f>
        <v>1</v>
      </c>
      <c r="T36" s="176">
        <f>'2018'!T36+'2019'!T36+'2020'!T36+'2021'!T36+'2022'!T241</f>
        <v>0</v>
      </c>
      <c r="U36" s="176">
        <f>'2018'!U36+'2019'!U36+'2020'!U36+'2021'!U36+'2022'!U241</f>
        <v>0</v>
      </c>
      <c r="V36" s="176">
        <f>'2018'!V36+'2019'!V36+'2020'!V36+'2021'!V36+'2022'!V241</f>
        <v>163</v>
      </c>
      <c r="W36" s="176">
        <f>'2018'!W36+'2019'!W36+'2020'!W36+'2021'!W36+'2022'!W241</f>
        <v>4</v>
      </c>
      <c r="X36" s="176">
        <f>'2018'!X36+'2019'!X36+'2020'!X36+'2021'!X36+'2022'!X241</f>
        <v>2</v>
      </c>
      <c r="Y36" s="174">
        <f t="shared" si="1"/>
        <v>207</v>
      </c>
      <c r="Z36" s="174">
        <f>'2018'!Z36+'2019'!Z36+'2020'!Z36+'2021'!Z36+'2022'!Z241</f>
        <v>119</v>
      </c>
      <c r="AA36" s="174">
        <f>'2018'!AA36+'2019'!AA36+'2020'!AA36+'2021'!AA36+'2022'!AA241</f>
        <v>1</v>
      </c>
      <c r="AB36" s="174">
        <f>'2018'!AB36+'2019'!AB36+'2020'!AB36+'2021'!AB36+'2022'!AB241</f>
        <v>146</v>
      </c>
      <c r="AC36" s="174">
        <f>'2018'!AC36+'2019'!AC36+'2020'!AC36+'2021'!AC36+'2022'!AC241</f>
        <v>1</v>
      </c>
      <c r="AD36" s="174">
        <f>'2018'!AD36+'2019'!AD36+'2020'!AD36+'2021'!AD36+'2022'!AD241</f>
        <v>1</v>
      </c>
      <c r="AE36" s="174">
        <f>'2018'!AE36+'2019'!AE36+'2020'!AE36+'2021'!AE36+'2022'!AE241</f>
        <v>0</v>
      </c>
      <c r="AF36" s="174">
        <f>'2018'!AF36+'2019'!AF36+'2020'!AF36+'2021'!AF36+'2022'!AF241</f>
        <v>22</v>
      </c>
      <c r="AG36" s="174">
        <f>'2018'!AG36+'2019'!AG36+'2020'!AG36+'2021'!AG36+'2022'!AG241</f>
        <v>0</v>
      </c>
      <c r="AH36" s="174">
        <f>'2018'!AH36+'2019'!AH36+'2020'!AH36+'2021'!AH36+'2022'!AH241</f>
        <v>0</v>
      </c>
      <c r="AI36" s="174">
        <f>'2018'!AI36+'2019'!AI36+'2020'!AI36+'2021'!AI36+'2022'!AI241</f>
        <v>2</v>
      </c>
      <c r="AJ36" s="174">
        <f>'2018'!AJ36+'2019'!AJ36+'2020'!AJ36+'2021'!AJ36+'2022'!AJ241</f>
        <v>0</v>
      </c>
      <c r="AK36" s="174">
        <f>'2018'!AK36+'2019'!AK36+'2020'!AK36+'2021'!AK36+'2022'!AK241</f>
        <v>1</v>
      </c>
      <c r="AL36" s="174">
        <f>'2018'!AL36+'2019'!AL36+'2020'!AL36+'2021'!AL36+'2022'!AL241</f>
        <v>0</v>
      </c>
      <c r="AM36" s="174">
        <f>'2018'!AM36+'2019'!AM36+'2020'!AM36+'2021'!AM36+'2022'!AM241</f>
        <v>0</v>
      </c>
      <c r="AN36" s="174">
        <f>'2018'!AN36+'2019'!AN36+'2020'!AN36+'2021'!AN36+'2022'!AN241</f>
        <v>0</v>
      </c>
      <c r="AO36" s="174">
        <f>'2018'!AO36+'2019'!AO36+'2020'!AO36+'2021'!AO36+'2022'!AO241</f>
        <v>0</v>
      </c>
      <c r="AP36" s="174">
        <f>'2018'!AP36+'2019'!AP36+'2020'!AP36+'2021'!AP36+'2022'!AP241</f>
        <v>4</v>
      </c>
      <c r="AQ36" s="174">
        <f>'2018'!AQ36+'2019'!AQ36+'2020'!AQ36+'2021'!AQ36+'2022'!AQ241</f>
        <v>0</v>
      </c>
      <c r="AR36" s="174">
        <f>'2018'!AR36+'2019'!AR36+'2020'!AR36+'2021'!AR36+'2022'!AR241</f>
        <v>0</v>
      </c>
      <c r="AS36" s="174">
        <f>'2018'!AS36+'2019'!AS36+'2020'!AS36+'2021'!AS36+'2022'!AS241</f>
        <v>0</v>
      </c>
      <c r="AT36" s="174">
        <f>'2018'!AT36+'2019'!AT36+'2020'!AT36+'2021'!AT36+'2022'!AT241</f>
        <v>110</v>
      </c>
      <c r="AU36" s="174">
        <f>'2018'!AU36+'2019'!AU36+'2020'!AU36+'2021'!AU36+'2022'!AU241</f>
        <v>4</v>
      </c>
      <c r="AV36" s="174">
        <f>'2018'!AV36+'2019'!AV36+'2020'!AV36+'2021'!AV36+'2022'!AV241</f>
        <v>2</v>
      </c>
      <c r="AW36" s="174">
        <f t="shared" si="3"/>
        <v>146</v>
      </c>
      <c r="AX36" s="156">
        <f t="shared" si="5"/>
        <v>4877.9744949494943</v>
      </c>
      <c r="AY36" s="14">
        <f>'2018'!AX36+'2019'!AX36+'2020'!AX36+'2021'!AX36+'2022'!AX241</f>
        <v>24389.872474747473</v>
      </c>
      <c r="AZ36" s="14">
        <f t="shared" si="8"/>
        <v>70.531400966183568</v>
      </c>
      <c r="BA36" s="142"/>
      <c r="BB36" s="144"/>
      <c r="BC36" s="142"/>
    </row>
    <row r="37" spans="1:55" x14ac:dyDescent="0.25">
      <c r="A37" s="175" t="s">
        <v>145</v>
      </c>
      <c r="B37" s="176">
        <f>'2018'!B37+'2019'!B37+'2020'!B37+'2021'!B37+'2022'!B242</f>
        <v>6</v>
      </c>
      <c r="C37" s="176">
        <f>'2018'!C37+'2019'!C37+'2020'!C37+'2021'!C37+'2022'!C242</f>
        <v>2</v>
      </c>
      <c r="D37" s="176">
        <f>'2018'!D37+'2019'!D37+'2020'!D37+'2021'!D37+'2022'!D242</f>
        <v>115</v>
      </c>
      <c r="E37" s="176">
        <f>'2018'!E37+'2019'!E37+'2020'!E37+'2021'!E37+'2022'!E242</f>
        <v>19</v>
      </c>
      <c r="F37" s="176">
        <f>'2018'!F37+'2019'!F37+'2020'!F37+'2021'!F37+'2022'!F242</f>
        <v>0</v>
      </c>
      <c r="G37" s="176">
        <f>'2018'!G37+'2019'!G37+'2020'!G37+'2021'!G37+'2022'!G242</f>
        <v>0</v>
      </c>
      <c r="H37" s="176">
        <f>'2018'!H37+'2019'!H37+'2020'!H37+'2021'!H37+'2022'!H242</f>
        <v>23</v>
      </c>
      <c r="I37" s="176">
        <f>'2018'!I37+'2019'!I37+'2020'!I37+'2021'!I37+'2022'!I242</f>
        <v>0</v>
      </c>
      <c r="J37" s="176">
        <f>'2018'!J37+'2019'!J37+'2020'!J37+'2021'!J37+'2022'!J242</f>
        <v>0</v>
      </c>
      <c r="K37" s="176">
        <f>'2018'!K37+'2019'!K37+'2020'!K37+'2021'!K37+'2022'!K242</f>
        <v>0</v>
      </c>
      <c r="L37" s="176">
        <f>'2018'!L37+'2019'!L37+'2020'!L37+'2021'!L37+'2022'!L242</f>
        <v>0</v>
      </c>
      <c r="M37" s="176">
        <f>'2018'!M37+'2019'!M37+'2020'!M37+'2021'!M37+'2022'!M242</f>
        <v>0</v>
      </c>
      <c r="N37" s="176">
        <f>'2018'!N37+'2019'!N37+'2020'!N37+'2021'!N37+'2022'!N242</f>
        <v>0</v>
      </c>
      <c r="O37" s="176">
        <f>'2018'!O37+'2019'!O37+'2020'!O37+'2021'!O37+'2022'!O242</f>
        <v>0</v>
      </c>
      <c r="P37" s="176">
        <f>'2018'!P37+'2019'!P37+'2020'!P37+'2021'!P37+'2022'!P242</f>
        <v>0</v>
      </c>
      <c r="Q37" s="176">
        <f>'2018'!Q37+'2019'!Q37+'2020'!Q37+'2021'!Q37+'2022'!Q242</f>
        <v>0</v>
      </c>
      <c r="R37" s="176">
        <f>'2018'!R37+'2019'!R37+'2020'!R37+'2021'!R37+'2022'!R242</f>
        <v>0</v>
      </c>
      <c r="S37" s="176">
        <f>'2018'!S37+'2019'!S37+'2020'!S37+'2021'!S37+'2022'!S242</f>
        <v>0</v>
      </c>
      <c r="T37" s="176">
        <f>'2018'!T37+'2019'!T37+'2020'!T37+'2021'!T37+'2022'!T242</f>
        <v>0</v>
      </c>
      <c r="U37" s="176">
        <f>'2018'!U37+'2019'!U37+'2020'!U37+'2021'!U37+'2022'!U242</f>
        <v>0</v>
      </c>
      <c r="V37" s="176">
        <f>'2018'!V37+'2019'!V37+'2020'!V37+'2021'!V37+'2022'!V242</f>
        <v>53</v>
      </c>
      <c r="W37" s="176">
        <f>'2018'!W37+'2019'!W37+'2020'!W37+'2021'!W37+'2022'!W242</f>
        <v>0</v>
      </c>
      <c r="X37" s="176">
        <f>'2018'!X37+'2019'!X37+'2020'!X37+'2021'!X37+'2022'!X242</f>
        <v>39</v>
      </c>
      <c r="Y37" s="174">
        <f t="shared" si="1"/>
        <v>115</v>
      </c>
      <c r="Z37" s="174">
        <f>'2018'!Z37+'2019'!Z37+'2020'!Z37+'2021'!Z37+'2022'!Z242</f>
        <v>4</v>
      </c>
      <c r="AA37" s="174">
        <f>'2018'!AA37+'2019'!AA37+'2020'!AA37+'2021'!AA37+'2022'!AA242</f>
        <v>2</v>
      </c>
      <c r="AB37" s="174">
        <f>'2018'!AB37+'2019'!AB37+'2020'!AB37+'2021'!AB37+'2022'!AB242</f>
        <v>92</v>
      </c>
      <c r="AC37" s="174">
        <f>'2018'!AC37+'2019'!AC37+'2020'!AC37+'2021'!AC37+'2022'!AC242</f>
        <v>19</v>
      </c>
      <c r="AD37" s="174">
        <f>'2018'!AD37+'2019'!AD37+'2020'!AD37+'2021'!AD37+'2022'!AD242</f>
        <v>0</v>
      </c>
      <c r="AE37" s="174">
        <f>'2018'!AE37+'2019'!AE37+'2020'!AE37+'2021'!AE37+'2022'!AE242</f>
        <v>0</v>
      </c>
      <c r="AF37" s="174">
        <f>'2018'!AF37+'2019'!AF37+'2020'!AF37+'2021'!AF37+'2022'!AF242</f>
        <v>0</v>
      </c>
      <c r="AG37" s="174">
        <f>'2018'!AG37+'2019'!AG37+'2020'!AG37+'2021'!AG37+'2022'!AG242</f>
        <v>0</v>
      </c>
      <c r="AH37" s="174">
        <f>'2018'!AH37+'2019'!AH37+'2020'!AH37+'2021'!AH37+'2022'!AH242</f>
        <v>0</v>
      </c>
      <c r="AI37" s="174">
        <f>'2018'!AI37+'2019'!AI37+'2020'!AI37+'2021'!AI37+'2022'!AI242</f>
        <v>0</v>
      </c>
      <c r="AJ37" s="174">
        <f>'2018'!AJ37+'2019'!AJ37+'2020'!AJ37+'2021'!AJ37+'2022'!AJ242</f>
        <v>0</v>
      </c>
      <c r="AK37" s="174">
        <f>'2018'!AK37+'2019'!AK37+'2020'!AK37+'2021'!AK37+'2022'!AK242</f>
        <v>0</v>
      </c>
      <c r="AL37" s="174">
        <f>'2018'!AL37+'2019'!AL37+'2020'!AL37+'2021'!AL37+'2022'!AL242</f>
        <v>0</v>
      </c>
      <c r="AM37" s="174">
        <f>'2018'!AM37+'2019'!AM37+'2020'!AM37+'2021'!AM37+'2022'!AM242</f>
        <v>0</v>
      </c>
      <c r="AN37" s="174">
        <f>'2018'!AN37+'2019'!AN37+'2020'!AN37+'2021'!AN37+'2022'!AN242</f>
        <v>0</v>
      </c>
      <c r="AO37" s="174">
        <f>'2018'!AO37+'2019'!AO37+'2020'!AO37+'2021'!AO37+'2022'!AO242</f>
        <v>0</v>
      </c>
      <c r="AP37" s="174">
        <f>'2018'!AP37+'2019'!AP37+'2020'!AP37+'2021'!AP37+'2022'!AP242</f>
        <v>0</v>
      </c>
      <c r="AQ37" s="174">
        <f>'2018'!AQ37+'2019'!AQ37+'2020'!AQ37+'2021'!AQ37+'2022'!AQ242</f>
        <v>0</v>
      </c>
      <c r="AR37" s="174">
        <f>'2018'!AR37+'2019'!AR37+'2020'!AR37+'2021'!AR37+'2022'!AR242</f>
        <v>0</v>
      </c>
      <c r="AS37" s="174">
        <f>'2018'!AS37+'2019'!AS37+'2020'!AS37+'2021'!AS37+'2022'!AS242</f>
        <v>0</v>
      </c>
      <c r="AT37" s="174">
        <f>'2018'!AT37+'2019'!AT37+'2020'!AT37+'2021'!AT37+'2022'!AT242</f>
        <v>53</v>
      </c>
      <c r="AU37" s="174">
        <f>'2018'!AU37+'2019'!AU37+'2020'!AU37+'2021'!AU37+'2022'!AU242</f>
        <v>0</v>
      </c>
      <c r="AV37" s="174">
        <f>'2018'!AV37+'2019'!AV37+'2020'!AV37+'2021'!AV37+'2022'!AV242</f>
        <v>39</v>
      </c>
      <c r="AW37" s="174">
        <f t="shared" si="3"/>
        <v>92</v>
      </c>
      <c r="AX37" s="156">
        <f t="shared" si="5"/>
        <v>40.510000000000005</v>
      </c>
      <c r="AY37" s="14">
        <f>'2018'!AX37+'2019'!AX37+'2020'!AX37+'2021'!AX37+'2022'!AX242</f>
        <v>202.55</v>
      </c>
      <c r="AZ37" s="14">
        <f t="shared" si="8"/>
        <v>80</v>
      </c>
      <c r="BA37" s="142"/>
      <c r="BB37" s="144"/>
      <c r="BC37" s="142"/>
    </row>
    <row r="38" spans="1:55" x14ac:dyDescent="0.25">
      <c r="A38" s="175" t="s">
        <v>144</v>
      </c>
      <c r="B38" s="176">
        <f>'2018'!B38+'2019'!B38+'2020'!B38+'2021'!B38+'2022'!B243</f>
        <v>8</v>
      </c>
      <c r="C38" s="176">
        <f>'2018'!C38+'2019'!C38+'2020'!C38+'2021'!C38+'2022'!C243</f>
        <v>1</v>
      </c>
      <c r="D38" s="176">
        <f>'2018'!D38+'2019'!D38+'2020'!D38+'2021'!D38+'2022'!D243</f>
        <v>12</v>
      </c>
      <c r="E38" s="176">
        <f>'2018'!E38+'2019'!E38+'2020'!E38+'2021'!E38+'2022'!E243</f>
        <v>1</v>
      </c>
      <c r="F38" s="176">
        <f>'2018'!F38+'2019'!F38+'2020'!F38+'2021'!F38+'2022'!F243</f>
        <v>0</v>
      </c>
      <c r="G38" s="176">
        <f>'2018'!G38+'2019'!G38+'2020'!G38+'2021'!G38+'2022'!G243</f>
        <v>0</v>
      </c>
      <c r="H38" s="176">
        <f>'2018'!H38+'2019'!H38+'2020'!H38+'2021'!H38+'2022'!H243</f>
        <v>0</v>
      </c>
      <c r="I38" s="176">
        <f>'2018'!I38+'2019'!I38+'2020'!I38+'2021'!I38+'2022'!I243</f>
        <v>0</v>
      </c>
      <c r="J38" s="176">
        <f>'2018'!J38+'2019'!J38+'2020'!J38+'2021'!J38+'2022'!J243</f>
        <v>0</v>
      </c>
      <c r="K38" s="176">
        <f>'2018'!K38+'2019'!K38+'2020'!K38+'2021'!K38+'2022'!K243</f>
        <v>0</v>
      </c>
      <c r="L38" s="176">
        <f>'2018'!L38+'2019'!L38+'2020'!L38+'2021'!L38+'2022'!L243</f>
        <v>0</v>
      </c>
      <c r="M38" s="176">
        <f>'2018'!M38+'2019'!M38+'2020'!M38+'2021'!M38+'2022'!M243</f>
        <v>0</v>
      </c>
      <c r="N38" s="176">
        <f>'2018'!N38+'2019'!N38+'2020'!N38+'2021'!N38+'2022'!N243</f>
        <v>0</v>
      </c>
      <c r="O38" s="176">
        <f>'2018'!O38+'2019'!O38+'2020'!O38+'2021'!O38+'2022'!O243</f>
        <v>0</v>
      </c>
      <c r="P38" s="176">
        <f>'2018'!P38+'2019'!P38+'2020'!P38+'2021'!P38+'2022'!P243</f>
        <v>0</v>
      </c>
      <c r="Q38" s="176">
        <f>'2018'!Q38+'2019'!Q38+'2020'!Q38+'2021'!Q38+'2022'!Q243</f>
        <v>0</v>
      </c>
      <c r="R38" s="176">
        <f>'2018'!R38+'2019'!R38+'2020'!R38+'2021'!R38+'2022'!R243</f>
        <v>1</v>
      </c>
      <c r="S38" s="176">
        <f>'2018'!S38+'2019'!S38+'2020'!S38+'2021'!S38+'2022'!S243</f>
        <v>0</v>
      </c>
      <c r="T38" s="176">
        <f>'2018'!T38+'2019'!T38+'2020'!T38+'2021'!T38+'2022'!T243</f>
        <v>0</v>
      </c>
      <c r="U38" s="176">
        <f>'2018'!U38+'2019'!U38+'2020'!U38+'2021'!U38+'2022'!U243</f>
        <v>0</v>
      </c>
      <c r="V38" s="176">
        <f>'2018'!V38+'2019'!V38+'2020'!V38+'2021'!V38+'2022'!V243</f>
        <v>11</v>
      </c>
      <c r="W38" s="176">
        <f>'2018'!W38+'2019'!W38+'2020'!W38+'2021'!W38+'2022'!W243</f>
        <v>0</v>
      </c>
      <c r="X38" s="176">
        <f>'2018'!X38+'2019'!X38+'2020'!X38+'2021'!X38+'2022'!X243</f>
        <v>0</v>
      </c>
      <c r="Y38" s="174">
        <f t="shared" si="1"/>
        <v>12</v>
      </c>
      <c r="Z38" s="174">
        <f>'2018'!Z38+'2019'!Z38+'2020'!Z38+'2021'!Z38+'2022'!Z243</f>
        <v>2</v>
      </c>
      <c r="AA38" s="174">
        <f>'2018'!AA38+'2019'!AA38+'2020'!AA38+'2021'!AA38+'2022'!AA243</f>
        <v>1</v>
      </c>
      <c r="AB38" s="174">
        <f>'2018'!AB38+'2019'!AB38+'2020'!AB38+'2021'!AB38+'2022'!AB243</f>
        <v>2</v>
      </c>
      <c r="AC38" s="174">
        <f>'2018'!AC38+'2019'!AC38+'2020'!AC38+'2021'!AC38+'2022'!AC243</f>
        <v>1</v>
      </c>
      <c r="AD38" s="174">
        <f>'2018'!AD38+'2019'!AD38+'2020'!AD38+'2021'!AD38+'2022'!AD243</f>
        <v>0</v>
      </c>
      <c r="AE38" s="174">
        <f>'2018'!AE38+'2019'!AE38+'2020'!AE38+'2021'!AE38+'2022'!AE243</f>
        <v>0</v>
      </c>
      <c r="AF38" s="174">
        <f>'2018'!AF38+'2019'!AF38+'2020'!AF38+'2021'!AF38+'2022'!AF243</f>
        <v>0</v>
      </c>
      <c r="AG38" s="174">
        <f>'2018'!AG38+'2019'!AG38+'2020'!AG38+'2021'!AG38+'2022'!AG243</f>
        <v>0</v>
      </c>
      <c r="AH38" s="174">
        <f>'2018'!AH38+'2019'!AH38+'2020'!AH38+'2021'!AH38+'2022'!AH243</f>
        <v>0</v>
      </c>
      <c r="AI38" s="174">
        <f>'2018'!AI38+'2019'!AI38+'2020'!AI38+'2021'!AI38+'2022'!AI243</f>
        <v>0</v>
      </c>
      <c r="AJ38" s="174">
        <f>'2018'!AJ38+'2019'!AJ38+'2020'!AJ38+'2021'!AJ38+'2022'!AJ243</f>
        <v>0</v>
      </c>
      <c r="AK38" s="174">
        <f>'2018'!AK38+'2019'!AK38+'2020'!AK38+'2021'!AK38+'2022'!AK243</f>
        <v>0</v>
      </c>
      <c r="AL38" s="174">
        <f>'2018'!AL38+'2019'!AL38+'2020'!AL38+'2021'!AL38+'2022'!AL243</f>
        <v>0</v>
      </c>
      <c r="AM38" s="174">
        <f>'2018'!AM38+'2019'!AM38+'2020'!AM38+'2021'!AM38+'2022'!AM243</f>
        <v>0</v>
      </c>
      <c r="AN38" s="174">
        <f>'2018'!AN38+'2019'!AN38+'2020'!AN38+'2021'!AN38+'2022'!AN243</f>
        <v>0</v>
      </c>
      <c r="AO38" s="174">
        <f>'2018'!AO38+'2019'!AO38+'2020'!AO38+'2021'!AO38+'2022'!AO243</f>
        <v>0</v>
      </c>
      <c r="AP38" s="174">
        <f>'2018'!AP38+'2019'!AP38+'2020'!AP38+'2021'!AP38+'2022'!AP243</f>
        <v>1</v>
      </c>
      <c r="AQ38" s="174">
        <f>'2018'!AQ38+'2019'!AQ38+'2020'!AQ38+'2021'!AQ38+'2022'!AQ243</f>
        <v>0</v>
      </c>
      <c r="AR38" s="174">
        <f>'2018'!AR38+'2019'!AR38+'2020'!AR38+'2021'!AR38+'2022'!AR243</f>
        <v>0</v>
      </c>
      <c r="AS38" s="174">
        <f>'2018'!AS38+'2019'!AS38+'2020'!AS38+'2021'!AS38+'2022'!AS243</f>
        <v>0</v>
      </c>
      <c r="AT38" s="174">
        <f>'2018'!AT38+'2019'!AT38+'2020'!AT38+'2021'!AT38+'2022'!AT243</f>
        <v>1</v>
      </c>
      <c r="AU38" s="174">
        <f>'2018'!AU38+'2019'!AU38+'2020'!AU38+'2021'!AU38+'2022'!AU243</f>
        <v>0</v>
      </c>
      <c r="AV38" s="174">
        <f>'2018'!AV38+'2019'!AV38+'2020'!AV38+'2021'!AV38+'2022'!AV243</f>
        <v>0</v>
      </c>
      <c r="AW38" s="174">
        <f t="shared" si="3"/>
        <v>2</v>
      </c>
      <c r="AX38" s="156">
        <f t="shared" si="5"/>
        <v>628.79999999999995</v>
      </c>
      <c r="AY38" s="14">
        <f>'2018'!AX38+'2019'!AX38+'2020'!AX38+'2021'!AX38+'2022'!AX243</f>
        <v>3144</v>
      </c>
      <c r="AZ38" s="14">
        <f t="shared" si="8"/>
        <v>16.666666666666668</v>
      </c>
      <c r="BA38" s="142"/>
      <c r="BB38" s="144"/>
      <c r="BC38" s="142"/>
    </row>
    <row r="39" spans="1:55" x14ac:dyDescent="0.25">
      <c r="A39" s="175" t="s">
        <v>143</v>
      </c>
      <c r="B39" s="176">
        <f>'2018'!B39+'2019'!B39+'2020'!B39+'2021'!B39+'2022'!B244</f>
        <v>9</v>
      </c>
      <c r="C39" s="176">
        <f>'2018'!C39+'2019'!C39+'2020'!C39+'2021'!C39+'2022'!C244</f>
        <v>3</v>
      </c>
      <c r="D39" s="176">
        <f>'2018'!D39+'2019'!D39+'2020'!D39+'2021'!D39+'2022'!D244</f>
        <v>10</v>
      </c>
      <c r="E39" s="176">
        <f>'2018'!E39+'2019'!E39+'2020'!E39+'2021'!E39+'2022'!E244</f>
        <v>4</v>
      </c>
      <c r="F39" s="176">
        <f>'2018'!F39+'2019'!F39+'2020'!F39+'2021'!F39+'2022'!F244</f>
        <v>0</v>
      </c>
      <c r="G39" s="176">
        <f>'2018'!G39+'2019'!G39+'2020'!G39+'2021'!G39+'2022'!G244</f>
        <v>0</v>
      </c>
      <c r="H39" s="176">
        <f>'2018'!H39+'2019'!H39+'2020'!H39+'2021'!H39+'2022'!H244</f>
        <v>0</v>
      </c>
      <c r="I39" s="176">
        <f>'2018'!I39+'2019'!I39+'2020'!I39+'2021'!I39+'2022'!I244</f>
        <v>0</v>
      </c>
      <c r="J39" s="176">
        <f>'2018'!J39+'2019'!J39+'2020'!J39+'2021'!J39+'2022'!J244</f>
        <v>0</v>
      </c>
      <c r="K39" s="176">
        <f>'2018'!K39+'2019'!K39+'2020'!K39+'2021'!K39+'2022'!K244</f>
        <v>0</v>
      </c>
      <c r="L39" s="176">
        <f>'2018'!L39+'2019'!L39+'2020'!L39+'2021'!L39+'2022'!L244</f>
        <v>0</v>
      </c>
      <c r="M39" s="176">
        <f>'2018'!M39+'2019'!M39+'2020'!M39+'2021'!M39+'2022'!M244</f>
        <v>0</v>
      </c>
      <c r="N39" s="176">
        <f>'2018'!N39+'2019'!N39+'2020'!N39+'2021'!N39+'2022'!N244</f>
        <v>0</v>
      </c>
      <c r="O39" s="176">
        <f>'2018'!O39+'2019'!O39+'2020'!O39+'2021'!O39+'2022'!O244</f>
        <v>0</v>
      </c>
      <c r="P39" s="176">
        <f>'2018'!P39+'2019'!P39+'2020'!P39+'2021'!P39+'2022'!P244</f>
        <v>0</v>
      </c>
      <c r="Q39" s="176">
        <f>'2018'!Q39+'2019'!Q39+'2020'!Q39+'2021'!Q39+'2022'!Q244</f>
        <v>0</v>
      </c>
      <c r="R39" s="176">
        <f>'2018'!R39+'2019'!R39+'2020'!R39+'2021'!R39+'2022'!R244</f>
        <v>1</v>
      </c>
      <c r="S39" s="176">
        <f>'2018'!S39+'2019'!S39+'2020'!S39+'2021'!S39+'2022'!S244</f>
        <v>0</v>
      </c>
      <c r="T39" s="176">
        <f>'2018'!T39+'2019'!T39+'2020'!T39+'2021'!T39+'2022'!T244</f>
        <v>1</v>
      </c>
      <c r="U39" s="176">
        <f>'2018'!U39+'2019'!U39+'2020'!U39+'2021'!U39+'2022'!U244</f>
        <v>0</v>
      </c>
      <c r="V39" s="176">
        <f>'2018'!V39+'2019'!V39+'2020'!V39+'2021'!V39+'2022'!V244</f>
        <v>3</v>
      </c>
      <c r="W39" s="176">
        <f>'2018'!W39+'2019'!W39+'2020'!W39+'2021'!W39+'2022'!W244</f>
        <v>0</v>
      </c>
      <c r="X39" s="176">
        <f>'2018'!X39+'2019'!X39+'2020'!X39+'2021'!X39+'2022'!X244</f>
        <v>5</v>
      </c>
      <c r="Y39" s="174">
        <f t="shared" si="1"/>
        <v>10</v>
      </c>
      <c r="Z39" s="174">
        <f>'2018'!Z39+'2019'!Z39+'2020'!Z39+'2021'!Z39+'2022'!Z244</f>
        <v>11</v>
      </c>
      <c r="AA39" s="174">
        <f>'2018'!AA39+'2019'!AA39+'2020'!AA39+'2021'!AA39+'2022'!AA244</f>
        <v>3</v>
      </c>
      <c r="AB39" s="174">
        <f>'2018'!AB39+'2019'!AB39+'2020'!AB39+'2021'!AB39+'2022'!AB244</f>
        <v>7</v>
      </c>
      <c r="AC39" s="174">
        <f>'2018'!AC39+'2019'!AC39+'2020'!AC39+'2021'!AC39+'2022'!AC244</f>
        <v>4</v>
      </c>
      <c r="AD39" s="174">
        <f>'2018'!AD39+'2019'!AD39+'2020'!AD39+'2021'!AD39+'2022'!AD244</f>
        <v>0</v>
      </c>
      <c r="AE39" s="174">
        <f>'2018'!AE39+'2019'!AE39+'2020'!AE39+'2021'!AE39+'2022'!AE244</f>
        <v>0</v>
      </c>
      <c r="AF39" s="174">
        <f>'2018'!AF39+'2019'!AF39+'2020'!AF39+'2021'!AF39+'2022'!AF244</f>
        <v>0</v>
      </c>
      <c r="AG39" s="174">
        <f>'2018'!AG39+'2019'!AG39+'2020'!AG39+'2021'!AG39+'2022'!AG244</f>
        <v>0</v>
      </c>
      <c r="AH39" s="174">
        <f>'2018'!AH39+'2019'!AH39+'2020'!AH39+'2021'!AH39+'2022'!AH244</f>
        <v>0</v>
      </c>
      <c r="AI39" s="174">
        <f>'2018'!AI39+'2019'!AI39+'2020'!AI39+'2021'!AI39+'2022'!AI244</f>
        <v>0</v>
      </c>
      <c r="AJ39" s="174">
        <f>'2018'!AJ39+'2019'!AJ39+'2020'!AJ39+'2021'!AJ39+'2022'!AJ244</f>
        <v>0</v>
      </c>
      <c r="AK39" s="174">
        <f>'2018'!AK39+'2019'!AK39+'2020'!AK39+'2021'!AK39+'2022'!AK244</f>
        <v>0</v>
      </c>
      <c r="AL39" s="174">
        <f>'2018'!AL39+'2019'!AL39+'2020'!AL39+'2021'!AL39+'2022'!AL244</f>
        <v>0</v>
      </c>
      <c r="AM39" s="174">
        <f>'2018'!AM39+'2019'!AM39+'2020'!AM39+'2021'!AM39+'2022'!AM244</f>
        <v>0</v>
      </c>
      <c r="AN39" s="174">
        <f>'2018'!AN39+'2019'!AN39+'2020'!AN39+'2021'!AN39+'2022'!AN244</f>
        <v>0</v>
      </c>
      <c r="AO39" s="174">
        <f>'2018'!AO39+'2019'!AO39+'2020'!AO39+'2021'!AO39+'2022'!AO244</f>
        <v>0</v>
      </c>
      <c r="AP39" s="174">
        <f>'2018'!AP39+'2019'!AP39+'2020'!AP39+'2021'!AP39+'2022'!AP244</f>
        <v>0</v>
      </c>
      <c r="AQ39" s="174">
        <f>'2018'!AQ39+'2019'!AQ39+'2020'!AQ39+'2021'!AQ39+'2022'!AQ244</f>
        <v>0</v>
      </c>
      <c r="AR39" s="174">
        <f>'2018'!AR39+'2019'!AR39+'2020'!AR39+'2021'!AR39+'2022'!AR244</f>
        <v>1</v>
      </c>
      <c r="AS39" s="174">
        <f>'2018'!AS39+'2019'!AS39+'2020'!AS39+'2021'!AS39+'2022'!AS244</f>
        <v>0</v>
      </c>
      <c r="AT39" s="174">
        <f>'2018'!AT39+'2019'!AT39+'2020'!AT39+'2021'!AT39+'2022'!AT244</f>
        <v>2</v>
      </c>
      <c r="AU39" s="174">
        <f>'2018'!AU39+'2019'!AU39+'2020'!AU39+'2021'!AU39+'2022'!AU244</f>
        <v>0</v>
      </c>
      <c r="AV39" s="174">
        <f>'2018'!AV39+'2019'!AV39+'2020'!AV39+'2021'!AV39+'2022'!AV244</f>
        <v>4</v>
      </c>
      <c r="AW39" s="174">
        <f t="shared" si="3"/>
        <v>7</v>
      </c>
      <c r="AX39" s="156">
        <f t="shared" si="5"/>
        <v>1826</v>
      </c>
      <c r="AY39" s="14">
        <f>'2018'!AX39+'2019'!AX39+'2020'!AX39+'2021'!AX39+'2022'!AX244</f>
        <v>9130</v>
      </c>
      <c r="AZ39" s="14">
        <f t="shared" si="8"/>
        <v>70</v>
      </c>
      <c r="BA39" s="142"/>
      <c r="BB39" s="144"/>
      <c r="BC39" s="142"/>
    </row>
    <row r="40" spans="1:55" x14ac:dyDescent="0.25">
      <c r="A40" s="175" t="s">
        <v>92</v>
      </c>
      <c r="B40" s="176">
        <f>'2018'!B40+'2019'!B40+'2020'!B40+'2021'!B40+'2022'!B245</f>
        <v>27</v>
      </c>
      <c r="C40" s="176">
        <f>'2018'!C40+'2019'!C40+'2020'!C40+'2021'!C40+'2022'!C245</f>
        <v>8</v>
      </c>
      <c r="D40" s="176">
        <f>'2018'!D40+'2019'!D40+'2020'!D40+'2021'!D40+'2022'!D245</f>
        <v>37</v>
      </c>
      <c r="E40" s="176">
        <f>'2018'!E40+'2019'!E40+'2020'!E40+'2021'!E40+'2022'!E245</f>
        <v>8</v>
      </c>
      <c r="F40" s="176">
        <f>'2018'!F40+'2019'!F40+'2020'!F40+'2021'!F40+'2022'!F245</f>
        <v>0</v>
      </c>
      <c r="G40" s="176">
        <f>'2018'!G40+'2019'!G40+'2020'!G40+'2021'!G40+'2022'!G245</f>
        <v>0</v>
      </c>
      <c r="H40" s="176">
        <f>'2018'!H40+'2019'!H40+'2020'!H40+'2021'!H40+'2022'!H245</f>
        <v>5</v>
      </c>
      <c r="I40" s="176">
        <f>'2018'!I40+'2019'!I40+'2020'!I40+'2021'!I40+'2022'!I245</f>
        <v>0</v>
      </c>
      <c r="J40" s="176">
        <f>'2018'!J40+'2019'!J40+'2020'!J40+'2021'!J40+'2022'!J245</f>
        <v>0</v>
      </c>
      <c r="K40" s="176">
        <f>'2018'!K40+'2019'!K40+'2020'!K40+'2021'!K40+'2022'!K245</f>
        <v>6</v>
      </c>
      <c r="L40" s="176">
        <f>'2018'!L40+'2019'!L40+'2020'!L40+'2021'!L40+'2022'!L245</f>
        <v>1</v>
      </c>
      <c r="M40" s="176">
        <f>'2018'!M40+'2019'!M40+'2020'!M40+'2021'!M40+'2022'!M245</f>
        <v>0</v>
      </c>
      <c r="N40" s="176">
        <f>'2018'!N40+'2019'!N40+'2020'!N40+'2021'!N40+'2022'!N245</f>
        <v>2</v>
      </c>
      <c r="O40" s="176">
        <f>'2018'!O40+'2019'!O40+'2020'!O40+'2021'!O40+'2022'!O245</f>
        <v>3</v>
      </c>
      <c r="P40" s="176">
        <f>'2018'!P40+'2019'!P40+'2020'!P40+'2021'!P40+'2022'!P245</f>
        <v>1</v>
      </c>
      <c r="Q40" s="176">
        <f>'2018'!Q40+'2019'!Q40+'2020'!Q40+'2021'!Q40+'2022'!Q245</f>
        <v>0</v>
      </c>
      <c r="R40" s="176">
        <f>'2018'!R40+'2019'!R40+'2020'!R40+'2021'!R40+'2022'!R245</f>
        <v>8</v>
      </c>
      <c r="S40" s="176">
        <f>'2018'!S40+'2019'!S40+'2020'!S40+'2021'!S40+'2022'!S245</f>
        <v>0</v>
      </c>
      <c r="T40" s="176">
        <f>'2018'!T40+'2019'!T40+'2020'!T40+'2021'!T40+'2022'!T245</f>
        <v>7</v>
      </c>
      <c r="U40" s="176">
        <f>'2018'!U40+'2019'!U40+'2020'!U40+'2021'!U40+'2022'!U245</f>
        <v>2</v>
      </c>
      <c r="V40" s="176">
        <f>'2018'!V40+'2019'!V40+'2020'!V40+'2021'!V40+'2022'!V245</f>
        <v>1</v>
      </c>
      <c r="W40" s="176">
        <f>'2018'!W40+'2019'!W40+'2020'!W40+'2021'!W40+'2022'!W245</f>
        <v>0</v>
      </c>
      <c r="X40" s="176">
        <f>'2018'!X40+'2019'!X40+'2020'!X40+'2021'!X40+'2022'!X245</f>
        <v>1</v>
      </c>
      <c r="Y40" s="174">
        <f t="shared" si="1"/>
        <v>37</v>
      </c>
      <c r="Z40" s="174">
        <f>'2018'!Z40+'2019'!Z40+'2020'!Z40+'2021'!Z40+'2022'!Z245</f>
        <v>18</v>
      </c>
      <c r="AA40" s="174">
        <f>'2018'!AA40+'2019'!AA40+'2020'!AA40+'2021'!AA40+'2022'!AA245</f>
        <v>7</v>
      </c>
      <c r="AB40" s="174">
        <f>'2018'!AB40+'2019'!AB40+'2020'!AB40+'2021'!AB40+'2022'!AB245</f>
        <v>26</v>
      </c>
      <c r="AC40" s="174">
        <f>'2018'!AC40+'2019'!AC40+'2020'!AC40+'2021'!AC40+'2022'!AC245</f>
        <v>7</v>
      </c>
      <c r="AD40" s="174">
        <f>'2018'!AD40+'2019'!AD40+'2020'!AD40+'2021'!AD40+'2022'!AD245</f>
        <v>0</v>
      </c>
      <c r="AE40" s="174">
        <f>'2018'!AE40+'2019'!AE40+'2020'!AE40+'2021'!AE40+'2022'!AE245</f>
        <v>0</v>
      </c>
      <c r="AF40" s="174">
        <f>'2018'!AF40+'2019'!AF40+'2020'!AF40+'2021'!AF40+'2022'!AF245</f>
        <v>3</v>
      </c>
      <c r="AG40" s="174">
        <f>'2018'!AG40+'2019'!AG40+'2020'!AG40+'2021'!AG40+'2022'!AG245</f>
        <v>0</v>
      </c>
      <c r="AH40" s="174">
        <f>'2018'!AH40+'2019'!AH40+'2020'!AH40+'2021'!AH40+'2022'!AH245</f>
        <v>0</v>
      </c>
      <c r="AI40" s="174">
        <f>'2018'!AI40+'2019'!AI40+'2020'!AI40+'2021'!AI40+'2022'!AI245</f>
        <v>4</v>
      </c>
      <c r="AJ40" s="174">
        <f>'2018'!AJ40+'2019'!AJ40+'2020'!AJ40+'2021'!AJ40+'2022'!AJ245</f>
        <v>0</v>
      </c>
      <c r="AK40" s="174">
        <f>'2018'!AK40+'2019'!AK40+'2020'!AK40+'2021'!AK40+'2022'!AK245</f>
        <v>0</v>
      </c>
      <c r="AL40" s="174">
        <f>'2018'!AL40+'2019'!AL40+'2020'!AL40+'2021'!AL40+'2022'!AL245</f>
        <v>2</v>
      </c>
      <c r="AM40" s="174">
        <f>'2018'!AM40+'2019'!AM40+'2020'!AM40+'2021'!AM40+'2022'!AM245</f>
        <v>0</v>
      </c>
      <c r="AN40" s="174">
        <f>'2018'!AN40+'2019'!AN40+'2020'!AN40+'2021'!AN40+'2022'!AN245</f>
        <v>1</v>
      </c>
      <c r="AO40" s="174">
        <f>'2018'!AO40+'2019'!AO40+'2020'!AO40+'2021'!AO40+'2022'!AO245</f>
        <v>0</v>
      </c>
      <c r="AP40" s="174">
        <f>'2018'!AP40+'2019'!AP40+'2020'!AP40+'2021'!AP40+'2022'!AP245</f>
        <v>6</v>
      </c>
      <c r="AQ40" s="174">
        <f>'2018'!AQ40+'2019'!AQ40+'2020'!AQ40+'2021'!AQ40+'2022'!AQ245</f>
        <v>0</v>
      </c>
      <c r="AR40" s="174">
        <f>'2018'!AR40+'2019'!AR40+'2020'!AR40+'2021'!AR40+'2022'!AR245</f>
        <v>6</v>
      </c>
      <c r="AS40" s="174">
        <f>'2018'!AS40+'2019'!AS40+'2020'!AS40+'2021'!AS40+'2022'!AS245</f>
        <v>2</v>
      </c>
      <c r="AT40" s="174">
        <f>'2018'!AT40+'2019'!AT40+'2020'!AT40+'2021'!AT40+'2022'!AT245</f>
        <v>1</v>
      </c>
      <c r="AU40" s="174">
        <f>'2018'!AU40+'2019'!AU40+'2020'!AU40+'2021'!AU40+'2022'!AU245</f>
        <v>0</v>
      </c>
      <c r="AV40" s="174">
        <f>'2018'!AV40+'2019'!AV40+'2020'!AV40+'2021'!AV40+'2022'!AV245</f>
        <v>1</v>
      </c>
      <c r="AW40" s="174">
        <f t="shared" si="3"/>
        <v>26</v>
      </c>
      <c r="AX40" s="156">
        <f t="shared" si="5"/>
        <v>2475.235714285714</v>
      </c>
      <c r="AY40" s="14">
        <f>'2018'!AX40+'2019'!AX40+'2020'!AX40+'2021'!AX40+'2022'!AX245</f>
        <v>12376.178571428571</v>
      </c>
      <c r="AZ40" s="14">
        <f t="shared" si="8"/>
        <v>70.270270270270274</v>
      </c>
      <c r="BA40" s="142"/>
      <c r="BB40" s="144"/>
      <c r="BC40" s="142"/>
    </row>
    <row r="41" spans="1:55" x14ac:dyDescent="0.25">
      <c r="A41" s="175" t="s">
        <v>93</v>
      </c>
      <c r="B41" s="176">
        <f>'2018'!B41+'2019'!B41+'2020'!B41+'2021'!B41+'2022'!B246</f>
        <v>35</v>
      </c>
      <c r="C41" s="176">
        <f>'2018'!C41+'2019'!C41+'2020'!C41+'2021'!C41+'2022'!C246</f>
        <v>40</v>
      </c>
      <c r="D41" s="176">
        <f>'2018'!D41+'2019'!D41+'2020'!D41+'2021'!D41+'2022'!D246</f>
        <v>532</v>
      </c>
      <c r="E41" s="176">
        <f>'2018'!E41+'2019'!E41+'2020'!E41+'2021'!E41+'2022'!E246</f>
        <v>393</v>
      </c>
      <c r="F41" s="176">
        <f>'2018'!F41+'2019'!F41+'2020'!F41+'2021'!F41+'2022'!F246</f>
        <v>0</v>
      </c>
      <c r="G41" s="176">
        <f>'2018'!G41+'2019'!G41+'2020'!G41+'2021'!G41+'2022'!G246</f>
        <v>0</v>
      </c>
      <c r="H41" s="176">
        <f>'2018'!H41+'2019'!H41+'2020'!H41+'2021'!H41+'2022'!H246</f>
        <v>2</v>
      </c>
      <c r="I41" s="176">
        <f>'2018'!I41+'2019'!I41+'2020'!I41+'2021'!I41+'2022'!I246</f>
        <v>1</v>
      </c>
      <c r="J41" s="176">
        <f>'2018'!J41+'2019'!J41+'2020'!J41+'2021'!J41+'2022'!J246</f>
        <v>0</v>
      </c>
      <c r="K41" s="176">
        <f>'2018'!K41+'2019'!K41+'2020'!K41+'2021'!K41+'2022'!K246</f>
        <v>0</v>
      </c>
      <c r="L41" s="176">
        <f>'2018'!L41+'2019'!L41+'2020'!L41+'2021'!L41+'2022'!L246</f>
        <v>2</v>
      </c>
      <c r="M41" s="176">
        <f>'2018'!M41+'2019'!M41+'2020'!M41+'2021'!M41+'2022'!M246</f>
        <v>0</v>
      </c>
      <c r="N41" s="176">
        <f>'2018'!N41+'2019'!N41+'2020'!N41+'2021'!N41+'2022'!N246</f>
        <v>0</v>
      </c>
      <c r="O41" s="176">
        <f>'2018'!O41+'2019'!O41+'2020'!O41+'2021'!O41+'2022'!O246</f>
        <v>0</v>
      </c>
      <c r="P41" s="176">
        <f>'2018'!P41+'2019'!P41+'2020'!P41+'2021'!P41+'2022'!P246</f>
        <v>0</v>
      </c>
      <c r="Q41" s="176">
        <f>'2018'!Q41+'2019'!Q41+'2020'!Q41+'2021'!Q41+'2022'!Q246</f>
        <v>0</v>
      </c>
      <c r="R41" s="176">
        <f>'2018'!R41+'2019'!R41+'2020'!R41+'2021'!R41+'2022'!R246</f>
        <v>3</v>
      </c>
      <c r="S41" s="176">
        <f>'2018'!S41+'2019'!S41+'2020'!S41+'2021'!S41+'2022'!S246</f>
        <v>0</v>
      </c>
      <c r="T41" s="176">
        <f>'2018'!T41+'2019'!T41+'2020'!T41+'2021'!T41+'2022'!T246</f>
        <v>0</v>
      </c>
      <c r="U41" s="176">
        <f>'2018'!U41+'2019'!U41+'2020'!U41+'2021'!U41+'2022'!U246</f>
        <v>0</v>
      </c>
      <c r="V41" s="176">
        <f>'2018'!V41+'2019'!V41+'2020'!V41+'2021'!V41+'2022'!V246</f>
        <v>521</v>
      </c>
      <c r="W41" s="176">
        <f>'2018'!W41+'2019'!W41+'2020'!W41+'2021'!W41+'2022'!W246</f>
        <v>1</v>
      </c>
      <c r="X41" s="176">
        <f>'2018'!X41+'2019'!X41+'2020'!X41+'2021'!X41+'2022'!X246</f>
        <v>2</v>
      </c>
      <c r="Y41" s="174">
        <f t="shared" si="1"/>
        <v>532</v>
      </c>
      <c r="Z41" s="174">
        <f>'2018'!Z41+'2019'!Z41+'2020'!Z41+'2021'!Z41+'2022'!Z246</f>
        <v>18</v>
      </c>
      <c r="AA41" s="174">
        <f>'2018'!AA41+'2019'!AA41+'2020'!AA41+'2021'!AA41+'2022'!AA246</f>
        <v>15</v>
      </c>
      <c r="AB41" s="174">
        <f>'2018'!AB41+'2019'!AB41+'2020'!AB41+'2021'!AB41+'2022'!AB246</f>
        <v>184</v>
      </c>
      <c r="AC41" s="174">
        <f>'2018'!AC41+'2019'!AC41+'2020'!AC41+'2021'!AC41+'2022'!AC246</f>
        <v>163</v>
      </c>
      <c r="AD41" s="174">
        <f>'2018'!AD41+'2019'!AD41+'2020'!AD41+'2021'!AD41+'2022'!AD246</f>
        <v>0</v>
      </c>
      <c r="AE41" s="174">
        <f>'2018'!AE41+'2019'!AE41+'2020'!AE41+'2021'!AE41+'2022'!AE246</f>
        <v>0</v>
      </c>
      <c r="AF41" s="174">
        <f>'2018'!AF41+'2019'!AF41+'2020'!AF41+'2021'!AF41+'2022'!AF246</f>
        <v>2</v>
      </c>
      <c r="AG41" s="174">
        <f>'2018'!AG41+'2019'!AG41+'2020'!AG41+'2021'!AG41+'2022'!AG246</f>
        <v>1</v>
      </c>
      <c r="AH41" s="174">
        <f>'2018'!AH41+'2019'!AH41+'2020'!AH41+'2021'!AH41+'2022'!AH246</f>
        <v>0</v>
      </c>
      <c r="AI41" s="174">
        <f>'2018'!AI41+'2019'!AI41+'2020'!AI41+'2021'!AI41+'2022'!AI246</f>
        <v>0</v>
      </c>
      <c r="AJ41" s="174">
        <f>'2018'!AJ41+'2019'!AJ41+'2020'!AJ41+'2021'!AJ41+'2022'!AJ246</f>
        <v>1</v>
      </c>
      <c r="AK41" s="174">
        <f>'2018'!AK41+'2019'!AK41+'2020'!AK41+'2021'!AK41+'2022'!AK246</f>
        <v>0</v>
      </c>
      <c r="AL41" s="174">
        <f>'2018'!AL41+'2019'!AL41+'2020'!AL41+'2021'!AL41+'2022'!AL246</f>
        <v>0</v>
      </c>
      <c r="AM41" s="174">
        <f>'2018'!AM41+'2019'!AM41+'2020'!AM41+'2021'!AM41+'2022'!AM246</f>
        <v>0</v>
      </c>
      <c r="AN41" s="174">
        <f>'2018'!AN41+'2019'!AN41+'2020'!AN41+'2021'!AN41+'2022'!AN246</f>
        <v>0</v>
      </c>
      <c r="AO41" s="174">
        <f>'2018'!AO41+'2019'!AO41+'2020'!AO41+'2021'!AO41+'2022'!AO246</f>
        <v>0</v>
      </c>
      <c r="AP41" s="174">
        <f>'2018'!AP41+'2019'!AP41+'2020'!AP41+'2021'!AP41+'2022'!AP246</f>
        <v>2</v>
      </c>
      <c r="AQ41" s="174">
        <f>'2018'!AQ41+'2019'!AQ41+'2020'!AQ41+'2021'!AQ41+'2022'!AQ246</f>
        <v>0</v>
      </c>
      <c r="AR41" s="174">
        <f>'2018'!AR41+'2019'!AR41+'2020'!AR41+'2021'!AR41+'2022'!AR246</f>
        <v>0</v>
      </c>
      <c r="AS41" s="174">
        <f>'2018'!AS41+'2019'!AS41+'2020'!AS41+'2021'!AS41+'2022'!AS246</f>
        <v>0</v>
      </c>
      <c r="AT41" s="174">
        <f>'2018'!AT41+'2019'!AT41+'2020'!AT41+'2021'!AT41+'2022'!AT246</f>
        <v>178</v>
      </c>
      <c r="AU41" s="174">
        <f>'2018'!AU41+'2019'!AU41+'2020'!AU41+'2021'!AU41+'2022'!AU246</f>
        <v>0</v>
      </c>
      <c r="AV41" s="174">
        <f>'2018'!AV41+'2019'!AV41+'2020'!AV41+'2021'!AV41+'2022'!AV246</f>
        <v>0</v>
      </c>
      <c r="AW41" s="174">
        <f t="shared" si="3"/>
        <v>184</v>
      </c>
      <c r="AX41" s="156">
        <f t="shared" si="5"/>
        <v>1524.0359999999998</v>
      </c>
      <c r="AY41" s="14">
        <f>'2018'!AX41+'2019'!AX41+'2020'!AX41+'2021'!AX41+'2022'!AX246</f>
        <v>7620.1799999999994</v>
      </c>
      <c r="AZ41" s="14">
        <f t="shared" si="8"/>
        <v>34.586466165413533</v>
      </c>
      <c r="BA41" s="142"/>
      <c r="BB41" s="144"/>
      <c r="BC41" s="142"/>
    </row>
    <row r="42" spans="1:55" x14ac:dyDescent="0.25">
      <c r="A42" s="175" t="s">
        <v>94</v>
      </c>
      <c r="B42" s="176">
        <f>'2018'!B42+'2019'!B42+'2020'!B42+'2021'!B42+'2022'!B233</f>
        <v>62</v>
      </c>
      <c r="C42" s="176">
        <f>'2018'!C42+'2019'!C42+'2020'!C42+'2021'!C42+'2022'!C233</f>
        <v>14</v>
      </c>
      <c r="D42" s="176">
        <f>'2018'!D42+'2019'!D42+'2020'!D42+'2021'!D42+'2022'!D233</f>
        <v>56</v>
      </c>
      <c r="E42" s="176">
        <f>'2018'!E42+'2019'!E42+'2020'!E42+'2021'!E42+'2022'!E233</f>
        <v>15</v>
      </c>
      <c r="F42" s="176">
        <f>'2018'!F42+'2019'!F42+'2020'!F42+'2021'!F42+'2022'!F233</f>
        <v>0</v>
      </c>
      <c r="G42" s="176">
        <f>'2018'!G42+'2019'!G42+'2020'!G42+'2021'!G42+'2022'!G233</f>
        <v>0</v>
      </c>
      <c r="H42" s="176">
        <f>'2018'!H42+'2019'!H42+'2020'!H42+'2021'!H42+'2022'!H233</f>
        <v>1</v>
      </c>
      <c r="I42" s="176">
        <f>'2018'!I42+'2019'!I42+'2020'!I42+'2021'!I42+'2022'!I233</f>
        <v>0</v>
      </c>
      <c r="J42" s="176">
        <f>'2018'!J42+'2019'!J42+'2020'!J42+'2021'!J42+'2022'!J233</f>
        <v>5</v>
      </c>
      <c r="K42" s="176">
        <f>'2018'!K42+'2019'!K42+'2020'!K42+'2021'!K42+'2022'!K233</f>
        <v>0</v>
      </c>
      <c r="L42" s="176">
        <f>'2018'!L42+'2019'!L42+'2020'!L42+'2021'!L42+'2022'!L233</f>
        <v>0</v>
      </c>
      <c r="M42" s="176">
        <f>'2018'!M42+'2019'!M42+'2020'!M42+'2021'!M42+'2022'!M233</f>
        <v>1</v>
      </c>
      <c r="N42" s="176">
        <f>'2018'!N42+'2019'!N42+'2020'!N42+'2021'!N42+'2022'!N233</f>
        <v>0</v>
      </c>
      <c r="O42" s="176">
        <f>'2018'!O42+'2019'!O42+'2020'!O42+'2021'!O42+'2022'!O233</f>
        <v>0</v>
      </c>
      <c r="P42" s="176">
        <f>'2018'!P42+'2019'!P42+'2020'!P42+'2021'!P42+'2022'!P233</f>
        <v>0</v>
      </c>
      <c r="Q42" s="176">
        <f>'2018'!Q42+'2019'!Q42+'2020'!Q42+'2021'!Q42+'2022'!Q233</f>
        <v>1</v>
      </c>
      <c r="R42" s="176">
        <f>'2018'!R42+'2019'!R42+'2020'!R42+'2021'!R42+'2022'!R233</f>
        <v>2</v>
      </c>
      <c r="S42" s="176">
        <f>'2018'!S42+'2019'!S42+'2020'!S42+'2021'!S42+'2022'!S233</f>
        <v>0</v>
      </c>
      <c r="T42" s="176">
        <f>'2018'!T42+'2019'!T42+'2020'!T42+'2021'!T42+'2022'!T233</f>
        <v>8</v>
      </c>
      <c r="U42" s="176">
        <f>'2018'!U42+'2019'!U42+'2020'!U42+'2021'!U42+'2022'!U233</f>
        <v>0</v>
      </c>
      <c r="V42" s="176">
        <f>'2018'!V42+'2019'!V42+'2020'!V42+'2021'!V42+'2022'!V233</f>
        <v>37</v>
      </c>
      <c r="W42" s="176">
        <f>'2018'!W42+'2019'!W42+'2020'!W42+'2021'!W42+'2022'!W233</f>
        <v>0</v>
      </c>
      <c r="X42" s="176">
        <f>'2018'!X42+'2019'!X42+'2020'!X42+'2021'!X42+'2022'!X233</f>
        <v>1</v>
      </c>
      <c r="Y42" s="174">
        <f t="shared" si="1"/>
        <v>56</v>
      </c>
      <c r="Z42" s="174">
        <f>'2018'!Z42+'2019'!Z42+'2020'!Z42+'2021'!Z42+'2022'!Z233</f>
        <v>31</v>
      </c>
      <c r="AA42" s="174">
        <f>'2018'!AA42+'2019'!AA42+'2020'!AA42+'2021'!AA42+'2022'!AA233</f>
        <v>14</v>
      </c>
      <c r="AB42" s="174">
        <f>'2018'!AB42+'2019'!AB42+'2020'!AB42+'2021'!AB42+'2022'!AB233</f>
        <v>32</v>
      </c>
      <c r="AC42" s="174">
        <f>'2018'!AC42+'2019'!AC42+'2020'!AC42+'2021'!AC42+'2022'!AC233</f>
        <v>15</v>
      </c>
      <c r="AD42" s="174">
        <f>'2018'!AD42+'2019'!AD42+'2020'!AD42+'2021'!AD42+'2022'!AD233</f>
        <v>0</v>
      </c>
      <c r="AE42" s="174">
        <f>'2018'!AE42+'2019'!AE42+'2020'!AE42+'2021'!AE42+'2022'!AE233</f>
        <v>0</v>
      </c>
      <c r="AF42" s="174">
        <f>'2018'!AF42+'2019'!AF42+'2020'!AF42+'2021'!AF42+'2022'!AF233</f>
        <v>0</v>
      </c>
      <c r="AG42" s="174">
        <f>'2018'!AG42+'2019'!AG42+'2020'!AG42+'2021'!AG42+'2022'!AG233</f>
        <v>0</v>
      </c>
      <c r="AH42" s="174">
        <f>'2018'!AH42+'2019'!AH42+'2020'!AH42+'2021'!AH42+'2022'!AH233</f>
        <v>4</v>
      </c>
      <c r="AI42" s="174">
        <f>'2018'!AI42+'2019'!AI42+'2020'!AI42+'2021'!AI42+'2022'!AI233</f>
        <v>0</v>
      </c>
      <c r="AJ42" s="174">
        <f>'2018'!AJ42+'2019'!AJ42+'2020'!AJ42+'2021'!AJ42+'2022'!AJ233</f>
        <v>0</v>
      </c>
      <c r="AK42" s="174">
        <f>'2018'!AK42+'2019'!AK42+'2020'!AK42+'2021'!AK42+'2022'!AK233</f>
        <v>1</v>
      </c>
      <c r="AL42" s="174">
        <f>'2018'!AL42+'2019'!AL42+'2020'!AL42+'2021'!AL42+'2022'!AL233</f>
        <v>0</v>
      </c>
      <c r="AM42" s="174">
        <f>'2018'!AM42+'2019'!AM42+'2020'!AM42+'2021'!AM42+'2022'!AM233</f>
        <v>0</v>
      </c>
      <c r="AN42" s="174">
        <f>'2018'!AN42+'2019'!AN42+'2020'!AN42+'2021'!AN42+'2022'!AN233</f>
        <v>0</v>
      </c>
      <c r="AO42" s="174">
        <f>'2018'!AO42+'2019'!AO42+'2020'!AO42+'2021'!AO42+'2022'!AO233</f>
        <v>1</v>
      </c>
      <c r="AP42" s="174">
        <f>'2018'!AP42+'2019'!AP42+'2020'!AP42+'2021'!AP42+'2022'!AP233</f>
        <v>1</v>
      </c>
      <c r="AQ42" s="174">
        <f>'2018'!AQ42+'2019'!AQ42+'2020'!AQ42+'2021'!AQ42+'2022'!AQ233</f>
        <v>0</v>
      </c>
      <c r="AR42" s="174">
        <f>'2018'!AR42+'2019'!AR42+'2020'!AR42+'2021'!AR42+'2022'!AR233</f>
        <v>8</v>
      </c>
      <c r="AS42" s="174">
        <f>'2018'!AS42+'2019'!AS42+'2020'!AS42+'2021'!AS42+'2022'!AS233</f>
        <v>0</v>
      </c>
      <c r="AT42" s="174">
        <f>'2018'!AT42+'2019'!AT42+'2020'!AT42+'2021'!AT42+'2022'!AT233</f>
        <v>17</v>
      </c>
      <c r="AU42" s="174">
        <f>'2018'!AU42+'2019'!AU42+'2020'!AU42+'2021'!AU42+'2022'!AU233</f>
        <v>0</v>
      </c>
      <c r="AV42" s="174">
        <f>'2018'!AV42+'2019'!AV42+'2020'!AV42+'2021'!AV42+'2022'!AV233</f>
        <v>0</v>
      </c>
      <c r="AW42" s="174">
        <f t="shared" si="3"/>
        <v>32</v>
      </c>
      <c r="AX42" s="156">
        <f t="shared" si="5"/>
        <v>3737.8363636363638</v>
      </c>
      <c r="AY42" s="14">
        <f>'2018'!AX42+'2019'!AX42+'2020'!AX42+'2021'!AX42+'2022'!AX233</f>
        <v>18689.18181818182</v>
      </c>
      <c r="AZ42" s="14">
        <f t="shared" si="8"/>
        <v>57.142857142857146</v>
      </c>
      <c r="BA42" s="142"/>
      <c r="BB42" s="144"/>
      <c r="BC42" s="142"/>
    </row>
    <row r="43" spans="1:55" x14ac:dyDescent="0.25">
      <c r="A43" s="175" t="s">
        <v>95</v>
      </c>
      <c r="B43" s="176">
        <f>'2018'!B43+'2019'!B43+'2020'!B43+'2021'!B43+'2022'!B234</f>
        <v>59</v>
      </c>
      <c r="C43" s="176">
        <f>'2018'!C43+'2019'!C43+'2020'!C43+'2021'!C43+'2022'!C234</f>
        <v>6</v>
      </c>
      <c r="D43" s="176">
        <f>'2018'!D43+'2019'!D43+'2020'!D43+'2021'!D43+'2022'!D234</f>
        <v>82</v>
      </c>
      <c r="E43" s="176">
        <f>'2018'!E43+'2019'!E43+'2020'!E43+'2021'!E43+'2022'!E234</f>
        <v>6</v>
      </c>
      <c r="F43" s="176">
        <f>'2018'!F43+'2019'!F43+'2020'!F43+'2021'!F43+'2022'!F234</f>
        <v>0</v>
      </c>
      <c r="G43" s="176">
        <f>'2018'!G43+'2019'!G43+'2020'!G43+'2021'!G43+'2022'!G234</f>
        <v>2</v>
      </c>
      <c r="H43" s="176">
        <f>'2018'!H43+'2019'!H43+'2020'!H43+'2021'!H43+'2022'!H234</f>
        <v>14</v>
      </c>
      <c r="I43" s="176">
        <f>'2018'!I43+'2019'!I43+'2020'!I43+'2021'!I43+'2022'!I234</f>
        <v>0</v>
      </c>
      <c r="J43" s="176">
        <f>'2018'!J43+'2019'!J43+'2020'!J43+'2021'!J43+'2022'!J234</f>
        <v>1</v>
      </c>
      <c r="K43" s="176">
        <f>'2018'!K43+'2019'!K43+'2020'!K43+'2021'!K43+'2022'!K234</f>
        <v>3</v>
      </c>
      <c r="L43" s="176">
        <f>'2018'!L43+'2019'!L43+'2020'!L43+'2021'!L43+'2022'!L234</f>
        <v>5</v>
      </c>
      <c r="M43" s="176">
        <f>'2018'!M43+'2019'!M43+'2020'!M43+'2021'!M43+'2022'!M234</f>
        <v>2</v>
      </c>
      <c r="N43" s="176">
        <f>'2018'!N43+'2019'!N43+'2020'!N43+'2021'!N43+'2022'!N234</f>
        <v>0</v>
      </c>
      <c r="O43" s="176">
        <f>'2018'!O43+'2019'!O43+'2020'!O43+'2021'!O43+'2022'!O234</f>
        <v>1</v>
      </c>
      <c r="P43" s="176">
        <f>'2018'!P43+'2019'!P43+'2020'!P43+'2021'!P43+'2022'!P234</f>
        <v>0</v>
      </c>
      <c r="Q43" s="176">
        <f>'2018'!Q43+'2019'!Q43+'2020'!Q43+'2021'!Q43+'2022'!Q234</f>
        <v>2</v>
      </c>
      <c r="R43" s="176">
        <f>'2018'!R43+'2019'!R43+'2020'!R43+'2021'!R43+'2022'!R234</f>
        <v>31</v>
      </c>
      <c r="S43" s="176">
        <f>'2018'!S43+'2019'!S43+'2020'!S43+'2021'!S43+'2022'!S234</f>
        <v>0</v>
      </c>
      <c r="T43" s="176">
        <f>'2018'!T43+'2019'!T43+'2020'!T43+'2021'!T43+'2022'!T234</f>
        <v>3</v>
      </c>
      <c r="U43" s="176">
        <f>'2018'!U43+'2019'!U43+'2020'!U43+'2021'!U43+'2022'!U234</f>
        <v>1</v>
      </c>
      <c r="V43" s="176">
        <f>'2018'!V43+'2019'!V43+'2020'!V43+'2021'!V43+'2022'!V234</f>
        <v>2</v>
      </c>
      <c r="W43" s="176">
        <f>'2018'!W43+'2019'!W43+'2020'!W43+'2021'!W43+'2022'!W234</f>
        <v>10</v>
      </c>
      <c r="X43" s="176">
        <f>'2018'!X43+'2019'!X43+'2020'!X43+'2021'!X43+'2022'!X234</f>
        <v>5</v>
      </c>
      <c r="Y43" s="174">
        <f t="shared" si="1"/>
        <v>82</v>
      </c>
      <c r="Z43" s="174">
        <f>'2018'!Z43+'2019'!Z43+'2020'!Z43+'2021'!Z43+'2022'!Z234</f>
        <v>45</v>
      </c>
      <c r="AA43" s="174">
        <f>'2018'!AA43+'2019'!AA43+'2020'!AA43+'2021'!AA43+'2022'!AA234</f>
        <v>5</v>
      </c>
      <c r="AB43" s="174">
        <f>'2018'!AB43+'2019'!AB43+'2020'!AB43+'2021'!AB43+'2022'!AB234</f>
        <v>66</v>
      </c>
      <c r="AC43" s="174">
        <f>'2018'!AC43+'2019'!AC43+'2020'!AC43+'2021'!AC43+'2022'!AC234</f>
        <v>4</v>
      </c>
      <c r="AD43" s="174">
        <f>'2018'!AD43+'2019'!AD43+'2020'!AD43+'2021'!AD43+'2022'!AD234</f>
        <v>0</v>
      </c>
      <c r="AE43" s="174">
        <f>'2018'!AE43+'2019'!AE43+'2020'!AE43+'2021'!AE43+'2022'!AE234</f>
        <v>1</v>
      </c>
      <c r="AF43" s="174">
        <f>'2018'!AF43+'2019'!AF43+'2020'!AF43+'2021'!AF43+'2022'!AF234</f>
        <v>10</v>
      </c>
      <c r="AG43" s="174">
        <f>'2018'!AG43+'2019'!AG43+'2020'!AG43+'2021'!AG43+'2022'!AG234</f>
        <v>0</v>
      </c>
      <c r="AH43" s="174">
        <f>'2018'!AH43+'2019'!AH43+'2020'!AH43+'2021'!AH43+'2022'!AH234</f>
        <v>0</v>
      </c>
      <c r="AI43" s="174">
        <f>'2018'!AI43+'2019'!AI43+'2020'!AI43+'2021'!AI43+'2022'!AI234</f>
        <v>3</v>
      </c>
      <c r="AJ43" s="174">
        <f>'2018'!AJ43+'2019'!AJ43+'2020'!AJ43+'2021'!AJ43+'2022'!AJ234</f>
        <v>5</v>
      </c>
      <c r="AK43" s="174">
        <f>'2018'!AK43+'2019'!AK43+'2020'!AK43+'2021'!AK43+'2022'!AK234</f>
        <v>1</v>
      </c>
      <c r="AL43" s="174">
        <f>'2018'!AL43+'2019'!AL43+'2020'!AL43+'2021'!AL43+'2022'!AL234</f>
        <v>0</v>
      </c>
      <c r="AM43" s="174">
        <f>'2018'!AM43+'2019'!AM43+'2020'!AM43+'2021'!AM43+'2022'!AM234</f>
        <v>1</v>
      </c>
      <c r="AN43" s="174">
        <f>'2018'!AN43+'2019'!AN43+'2020'!AN43+'2021'!AN43+'2022'!AN234</f>
        <v>0</v>
      </c>
      <c r="AO43" s="174">
        <f>'2018'!AO43+'2019'!AO43+'2020'!AO43+'2021'!AO43+'2022'!AO234</f>
        <v>2</v>
      </c>
      <c r="AP43" s="174">
        <f>'2018'!AP43+'2019'!AP43+'2020'!AP43+'2021'!AP43+'2022'!AP234</f>
        <v>29</v>
      </c>
      <c r="AQ43" s="174">
        <f>'2018'!AQ43+'2019'!AQ43+'2020'!AQ43+'2021'!AQ43+'2022'!AQ234</f>
        <v>0</v>
      </c>
      <c r="AR43" s="174">
        <f>'2018'!AR43+'2019'!AR43+'2020'!AR43+'2021'!AR43+'2022'!AR234</f>
        <v>3</v>
      </c>
      <c r="AS43" s="174">
        <f>'2018'!AS43+'2019'!AS43+'2020'!AS43+'2021'!AS43+'2022'!AS234</f>
        <v>1</v>
      </c>
      <c r="AT43" s="174">
        <f>'2018'!AT43+'2019'!AT43+'2020'!AT43+'2021'!AT43+'2022'!AT234</f>
        <v>1</v>
      </c>
      <c r="AU43" s="174">
        <f>'2018'!AU43+'2019'!AU43+'2020'!AU43+'2021'!AU43+'2022'!AU234</f>
        <v>5</v>
      </c>
      <c r="AV43" s="174">
        <f>'2018'!AV43+'2019'!AV43+'2020'!AV43+'2021'!AV43+'2022'!AV234</f>
        <v>4</v>
      </c>
      <c r="AW43" s="174">
        <f t="shared" si="3"/>
        <v>66</v>
      </c>
      <c r="AX43" s="156">
        <f t="shared" si="5"/>
        <v>625.88055555555559</v>
      </c>
      <c r="AY43" s="14">
        <f>'2018'!AX43+'2019'!AX43+'2020'!AX43+'2021'!AX43+'2022'!AX234</f>
        <v>3129.4027777777778</v>
      </c>
      <c r="AZ43" s="14">
        <f t="shared" si="8"/>
        <v>80.487804878048777</v>
      </c>
      <c r="BA43" s="142"/>
      <c r="BB43" s="144"/>
      <c r="BC43" s="142"/>
    </row>
    <row r="44" spans="1:55" x14ac:dyDescent="0.25">
      <c r="A44" s="173" t="s">
        <v>31</v>
      </c>
      <c r="B44" s="176">
        <f t="shared" ref="B44:X44" si="9">SUM(B45:B62)</f>
        <v>1671</v>
      </c>
      <c r="C44" s="176">
        <f t="shared" si="9"/>
        <v>241</v>
      </c>
      <c r="D44" s="176">
        <f t="shared" si="9"/>
        <v>6946</v>
      </c>
      <c r="E44" s="176">
        <f t="shared" si="9"/>
        <v>2569</v>
      </c>
      <c r="F44" s="176">
        <f t="shared" si="9"/>
        <v>0</v>
      </c>
      <c r="G44" s="176">
        <f t="shared" si="9"/>
        <v>0</v>
      </c>
      <c r="H44" s="176">
        <f t="shared" si="9"/>
        <v>811</v>
      </c>
      <c r="I44" s="176">
        <f t="shared" si="9"/>
        <v>7</v>
      </c>
      <c r="J44" s="176">
        <f t="shared" si="9"/>
        <v>43</v>
      </c>
      <c r="K44" s="176">
        <f t="shared" si="9"/>
        <v>89</v>
      </c>
      <c r="L44" s="176">
        <f t="shared" si="9"/>
        <v>642</v>
      </c>
      <c r="M44" s="176">
        <f t="shared" si="9"/>
        <v>72</v>
      </c>
      <c r="N44" s="176">
        <f t="shared" si="9"/>
        <v>134</v>
      </c>
      <c r="O44" s="176">
        <f t="shared" si="9"/>
        <v>64</v>
      </c>
      <c r="P44" s="176">
        <f t="shared" si="9"/>
        <v>64</v>
      </c>
      <c r="Q44" s="176">
        <f t="shared" si="9"/>
        <v>7</v>
      </c>
      <c r="R44" s="176">
        <f t="shared" si="9"/>
        <v>108</v>
      </c>
      <c r="S44" s="176">
        <f t="shared" si="9"/>
        <v>16</v>
      </c>
      <c r="T44" s="176">
        <f t="shared" si="9"/>
        <v>48</v>
      </c>
      <c r="U44" s="176">
        <f t="shared" si="9"/>
        <v>134</v>
      </c>
      <c r="V44" s="176">
        <f t="shared" si="9"/>
        <v>4301</v>
      </c>
      <c r="W44" s="176">
        <f t="shared" si="9"/>
        <v>49</v>
      </c>
      <c r="X44" s="176">
        <f t="shared" si="9"/>
        <v>357</v>
      </c>
      <c r="Y44" s="174">
        <f t="shared" si="1"/>
        <v>6946</v>
      </c>
      <c r="Z44" s="174">
        <f t="shared" ref="Z44:AV44" si="10">SUM(Z45:Z62)</f>
        <v>1118</v>
      </c>
      <c r="AA44" s="174">
        <f t="shared" si="10"/>
        <v>177</v>
      </c>
      <c r="AB44" s="174">
        <f t="shared" si="10"/>
        <v>4631</v>
      </c>
      <c r="AC44" s="174">
        <f t="shared" si="10"/>
        <v>1868</v>
      </c>
      <c r="AD44" s="174">
        <f t="shared" si="10"/>
        <v>0</v>
      </c>
      <c r="AE44" s="174">
        <f t="shared" si="10"/>
        <v>0</v>
      </c>
      <c r="AF44" s="174">
        <f t="shared" si="10"/>
        <v>402</v>
      </c>
      <c r="AG44" s="174">
        <f t="shared" si="10"/>
        <v>7</v>
      </c>
      <c r="AH44" s="174">
        <f t="shared" si="10"/>
        <v>42</v>
      </c>
      <c r="AI44" s="174">
        <f t="shared" si="10"/>
        <v>25</v>
      </c>
      <c r="AJ44" s="174">
        <f t="shared" si="10"/>
        <v>326</v>
      </c>
      <c r="AK44" s="174">
        <f t="shared" si="10"/>
        <v>17</v>
      </c>
      <c r="AL44" s="174">
        <f t="shared" si="10"/>
        <v>62</v>
      </c>
      <c r="AM44" s="174">
        <f t="shared" si="10"/>
        <v>31</v>
      </c>
      <c r="AN44" s="174">
        <f t="shared" si="10"/>
        <v>36</v>
      </c>
      <c r="AO44" s="174">
        <f t="shared" si="10"/>
        <v>3</v>
      </c>
      <c r="AP44" s="174">
        <f t="shared" si="10"/>
        <v>47</v>
      </c>
      <c r="AQ44" s="174">
        <f t="shared" si="10"/>
        <v>6</v>
      </c>
      <c r="AR44" s="174">
        <f t="shared" si="10"/>
        <v>34</v>
      </c>
      <c r="AS44" s="174">
        <f t="shared" si="10"/>
        <v>103</v>
      </c>
      <c r="AT44" s="174">
        <f t="shared" si="10"/>
        <v>3287</v>
      </c>
      <c r="AU44" s="174">
        <f t="shared" si="10"/>
        <v>40</v>
      </c>
      <c r="AV44" s="174">
        <f t="shared" si="10"/>
        <v>163</v>
      </c>
      <c r="AW44" s="174">
        <f t="shared" si="3"/>
        <v>4631</v>
      </c>
      <c r="AX44" s="156">
        <v>1189.03</v>
      </c>
      <c r="AY44" s="63"/>
      <c r="AZ44" s="63"/>
      <c r="BA44" s="184">
        <f>Z44*100/B44</f>
        <v>66.906044284859362</v>
      </c>
      <c r="BB44" s="185">
        <f>B44-Z44</f>
        <v>553</v>
      </c>
      <c r="BC44" s="184">
        <f>BB44*100/B44</f>
        <v>33.093955715140638</v>
      </c>
    </row>
    <row r="45" spans="1:55" x14ac:dyDescent="0.25">
      <c r="A45" s="175" t="s">
        <v>142</v>
      </c>
      <c r="B45" s="176">
        <f>'2018'!B45+'2019'!B45+'2020'!B45+'2021'!B45+'2022'!B236</f>
        <v>60</v>
      </c>
      <c r="C45" s="176">
        <f>'2018'!C45+'2019'!C45+'2020'!C45+'2021'!C45+'2022'!C236</f>
        <v>4</v>
      </c>
      <c r="D45" s="176">
        <f>'2018'!D45+'2019'!D45+'2020'!D45+'2021'!D45+'2022'!D236</f>
        <v>156</v>
      </c>
      <c r="E45" s="176">
        <f>'2018'!E45+'2019'!E45+'2020'!E45+'2021'!E45+'2022'!E236</f>
        <v>5</v>
      </c>
      <c r="F45" s="176">
        <f>'2018'!F45+'2019'!F45+'2020'!F45+'2021'!F45+'2022'!F236</f>
        <v>0</v>
      </c>
      <c r="G45" s="176">
        <f>'2018'!G45+'2019'!G45+'2020'!G45+'2021'!G45+'2022'!G236</f>
        <v>0</v>
      </c>
      <c r="H45" s="176">
        <f>'2018'!H45+'2019'!H45+'2020'!H45+'2021'!H45+'2022'!H236</f>
        <v>18</v>
      </c>
      <c r="I45" s="176">
        <f>'2018'!I45+'2019'!I45+'2020'!I45+'2021'!I45+'2022'!I236</f>
        <v>2</v>
      </c>
      <c r="J45" s="176">
        <f>'2018'!J45+'2019'!J45+'2020'!J45+'2021'!J45+'2022'!J236</f>
        <v>4</v>
      </c>
      <c r="K45" s="176">
        <f>'2018'!K45+'2019'!K45+'2020'!K45+'2021'!K45+'2022'!K236</f>
        <v>0</v>
      </c>
      <c r="L45" s="176">
        <f>'2018'!L45+'2019'!L45+'2020'!L45+'2021'!L45+'2022'!L236</f>
        <v>14</v>
      </c>
      <c r="M45" s="176">
        <f>'2018'!M45+'2019'!M45+'2020'!M45+'2021'!M45+'2022'!M236</f>
        <v>21</v>
      </c>
      <c r="N45" s="176">
        <f>'2018'!N45+'2019'!N45+'2020'!N45+'2021'!N45+'2022'!N236</f>
        <v>1</v>
      </c>
      <c r="O45" s="176">
        <f>'2018'!O45+'2019'!O45+'2020'!O45+'2021'!O45+'2022'!O236</f>
        <v>0</v>
      </c>
      <c r="P45" s="176">
        <f>'2018'!P45+'2019'!P45+'2020'!P45+'2021'!P45+'2022'!P236</f>
        <v>0</v>
      </c>
      <c r="Q45" s="176">
        <f>'2018'!Q45+'2019'!Q45+'2020'!Q45+'2021'!Q45+'2022'!Q236</f>
        <v>0</v>
      </c>
      <c r="R45" s="176">
        <f>'2018'!R45+'2019'!R45+'2020'!R45+'2021'!R45+'2022'!R236</f>
        <v>22</v>
      </c>
      <c r="S45" s="176">
        <f>'2018'!S45+'2019'!S45+'2020'!S45+'2021'!S45+'2022'!S236</f>
        <v>0</v>
      </c>
      <c r="T45" s="176">
        <f>'2018'!T45+'2019'!T45+'2020'!T45+'2021'!T45+'2022'!T236</f>
        <v>2</v>
      </c>
      <c r="U45" s="176">
        <f>'2018'!U45+'2019'!U45+'2020'!U45+'2021'!U45+'2022'!U236</f>
        <v>20</v>
      </c>
      <c r="V45" s="176">
        <f>'2018'!V45+'2019'!V45+'2020'!V45+'2021'!V45+'2022'!V236</f>
        <v>50</v>
      </c>
      <c r="W45" s="176">
        <f>'2018'!W45+'2019'!W45+'2020'!W45+'2021'!W45+'2022'!W236</f>
        <v>0</v>
      </c>
      <c r="X45" s="176">
        <f>'2018'!X45+'2019'!X45+'2020'!X45+'2021'!X45+'2022'!X236</f>
        <v>2</v>
      </c>
      <c r="Y45" s="174">
        <f t="shared" si="1"/>
        <v>156</v>
      </c>
      <c r="Z45" s="174">
        <f>'2018'!Z45+'2019'!Z45+'2020'!Z45+'2021'!Z45+'2022'!Z236</f>
        <v>48</v>
      </c>
      <c r="AA45" s="174">
        <f>'2018'!AA45+'2019'!AA45+'2020'!AA45+'2021'!AA45+'2022'!AA236</f>
        <v>3</v>
      </c>
      <c r="AB45" s="174">
        <f>'2018'!AB45+'2019'!AB45+'2020'!AB45+'2021'!AB45+'2022'!AB236</f>
        <v>125</v>
      </c>
      <c r="AC45" s="174">
        <f>'2018'!AC45+'2019'!AC45+'2020'!AC45+'2021'!AC45+'2022'!AC236</f>
        <v>4</v>
      </c>
      <c r="AD45" s="174">
        <f>'2018'!AD45+'2019'!AD45+'2020'!AD45+'2021'!AD45+'2022'!AD236</f>
        <v>0</v>
      </c>
      <c r="AE45" s="174">
        <f>'2018'!AE45+'2019'!AE45+'2020'!AE45+'2021'!AE45+'2022'!AE236</f>
        <v>0</v>
      </c>
      <c r="AF45" s="174">
        <f>'2018'!AF45+'2019'!AF45+'2020'!AF45+'2021'!AF45+'2022'!AF236</f>
        <v>12</v>
      </c>
      <c r="AG45" s="174">
        <f>'2018'!AG45+'2019'!AG45+'2020'!AG45+'2021'!AG45+'2022'!AG236</f>
        <v>2</v>
      </c>
      <c r="AH45" s="174">
        <f>'2018'!AH45+'2019'!AH45+'2020'!AH45+'2021'!AH45+'2022'!AH236</f>
        <v>4</v>
      </c>
      <c r="AI45" s="174">
        <f>'2018'!AI45+'2019'!AI45+'2020'!AI45+'2021'!AI45+'2022'!AI236</f>
        <v>0</v>
      </c>
      <c r="AJ45" s="174">
        <f>'2018'!AJ45+'2019'!AJ45+'2020'!AJ45+'2021'!AJ45+'2022'!AJ236</f>
        <v>10</v>
      </c>
      <c r="AK45" s="174">
        <f>'2018'!AK45+'2019'!AK45+'2020'!AK45+'2021'!AK45+'2022'!AK236</f>
        <v>8</v>
      </c>
      <c r="AL45" s="174">
        <f>'2018'!AL45+'2019'!AL45+'2020'!AL45+'2021'!AL45+'2022'!AL236</f>
        <v>1</v>
      </c>
      <c r="AM45" s="174">
        <f>'2018'!AM45+'2019'!AM45+'2020'!AM45+'2021'!AM45+'2022'!AM236</f>
        <v>0</v>
      </c>
      <c r="AN45" s="174">
        <f>'2018'!AN45+'2019'!AN45+'2020'!AN45+'2021'!AN45+'2022'!AN236</f>
        <v>0</v>
      </c>
      <c r="AO45" s="174">
        <f>'2018'!AO45+'2019'!AO45+'2020'!AO45+'2021'!AO45+'2022'!AO236</f>
        <v>0</v>
      </c>
      <c r="AP45" s="174">
        <f>'2018'!AP45+'2019'!AP45+'2020'!AP45+'2021'!AP45+'2022'!AP236</f>
        <v>15</v>
      </c>
      <c r="AQ45" s="174">
        <f>'2018'!AQ45+'2019'!AQ45+'2020'!AQ45+'2021'!AQ45+'2022'!AQ236</f>
        <v>0</v>
      </c>
      <c r="AR45" s="174">
        <f>'2018'!AR45+'2019'!AR45+'2020'!AR45+'2021'!AR45+'2022'!AR236</f>
        <v>2</v>
      </c>
      <c r="AS45" s="174">
        <f>'2018'!AS45+'2019'!AS45+'2020'!AS45+'2021'!AS45+'2022'!AS236</f>
        <v>20</v>
      </c>
      <c r="AT45" s="174">
        <f>'2018'!AT45+'2019'!AT45+'2020'!AT45+'2021'!AT45+'2022'!AT236</f>
        <v>50</v>
      </c>
      <c r="AU45" s="174">
        <f>'2018'!AU45+'2019'!AU45+'2020'!AU45+'2021'!AU45+'2022'!AU236</f>
        <v>0</v>
      </c>
      <c r="AV45" s="174">
        <f>'2018'!AV45+'2019'!AV45+'2020'!AV45+'2021'!AV45+'2022'!AV236</f>
        <v>1</v>
      </c>
      <c r="AW45" s="174">
        <f t="shared" si="3"/>
        <v>125</v>
      </c>
      <c r="AX45" s="156">
        <f t="shared" si="5"/>
        <v>2022.5736842105264</v>
      </c>
      <c r="AY45" s="14">
        <f>'2018'!AX45+'2019'!AX45+'2020'!AX45+'2021'!AX45+'2022'!AX236</f>
        <v>10112.868421052632</v>
      </c>
      <c r="AZ45" s="14">
        <f t="shared" ref="AZ45:AZ108" si="11">AB45*100/D45</f>
        <v>80.128205128205124</v>
      </c>
      <c r="BA45" s="142"/>
      <c r="BB45" s="144"/>
      <c r="BC45" s="142"/>
    </row>
    <row r="46" spans="1:55" x14ac:dyDescent="0.25">
      <c r="A46" s="175" t="s">
        <v>141</v>
      </c>
      <c r="B46" s="176">
        <f>'2018'!B46+'2019'!B46+'2020'!B46+'2021'!B46+'2022'!B237</f>
        <v>88</v>
      </c>
      <c r="C46" s="176">
        <f>'2018'!C46+'2019'!C46+'2020'!C46+'2021'!C46+'2022'!C237</f>
        <v>9</v>
      </c>
      <c r="D46" s="176">
        <f>'2018'!D46+'2019'!D46+'2020'!D46+'2021'!D46+'2022'!D237</f>
        <v>174</v>
      </c>
      <c r="E46" s="176">
        <f>'2018'!E46+'2019'!E46+'2020'!E46+'2021'!E46+'2022'!E237</f>
        <v>15</v>
      </c>
      <c r="F46" s="176">
        <f>'2018'!F46+'2019'!F46+'2020'!F46+'2021'!F46+'2022'!F237</f>
        <v>0</v>
      </c>
      <c r="G46" s="176">
        <f>'2018'!G46+'2019'!G46+'2020'!G46+'2021'!G46+'2022'!G237</f>
        <v>0</v>
      </c>
      <c r="H46" s="176">
        <f>'2018'!H46+'2019'!H46+'2020'!H46+'2021'!H46+'2022'!H237</f>
        <v>103</v>
      </c>
      <c r="I46" s="176">
        <f>'2018'!I46+'2019'!I46+'2020'!I46+'2021'!I46+'2022'!I237</f>
        <v>0</v>
      </c>
      <c r="J46" s="176">
        <f>'2018'!J46+'2019'!J46+'2020'!J46+'2021'!J46+'2022'!J237</f>
        <v>12</v>
      </c>
      <c r="K46" s="176">
        <f>'2018'!K46+'2019'!K46+'2020'!K46+'2021'!K46+'2022'!K237</f>
        <v>3</v>
      </c>
      <c r="L46" s="176">
        <f>'2018'!L46+'2019'!L46+'2020'!L46+'2021'!L46+'2022'!L237</f>
        <v>15</v>
      </c>
      <c r="M46" s="176">
        <f>'2018'!M46+'2019'!M46+'2020'!M46+'2021'!M46+'2022'!M237</f>
        <v>1</v>
      </c>
      <c r="N46" s="176">
        <f>'2018'!N46+'2019'!N46+'2020'!N46+'2021'!N46+'2022'!N237</f>
        <v>1</v>
      </c>
      <c r="O46" s="176">
        <f>'2018'!O46+'2019'!O46+'2020'!O46+'2021'!O46+'2022'!O237</f>
        <v>10</v>
      </c>
      <c r="P46" s="176">
        <f>'2018'!P46+'2019'!P46+'2020'!P46+'2021'!P46+'2022'!P237</f>
        <v>2</v>
      </c>
      <c r="Q46" s="176">
        <f>'2018'!Q46+'2019'!Q46+'2020'!Q46+'2021'!Q46+'2022'!Q237</f>
        <v>0</v>
      </c>
      <c r="R46" s="176">
        <f>'2018'!R46+'2019'!R46+'2020'!R46+'2021'!R46+'2022'!R237</f>
        <v>4</v>
      </c>
      <c r="S46" s="176">
        <f>'2018'!S46+'2019'!S46+'2020'!S46+'2021'!S46+'2022'!S237</f>
        <v>1</v>
      </c>
      <c r="T46" s="176">
        <f>'2018'!T46+'2019'!T46+'2020'!T46+'2021'!T46+'2022'!T237</f>
        <v>9</v>
      </c>
      <c r="U46" s="176">
        <f>'2018'!U46+'2019'!U46+'2020'!U46+'2021'!U46+'2022'!U237</f>
        <v>3</v>
      </c>
      <c r="V46" s="176">
        <f>'2018'!V46+'2019'!V46+'2020'!V46+'2021'!V46+'2022'!V237</f>
        <v>8</v>
      </c>
      <c r="W46" s="176">
        <f>'2018'!W46+'2019'!W46+'2020'!W46+'2021'!W46+'2022'!W237</f>
        <v>1</v>
      </c>
      <c r="X46" s="176">
        <f>'2018'!X46+'2019'!X46+'2020'!X46+'2021'!X46+'2022'!X237</f>
        <v>1</v>
      </c>
      <c r="Y46" s="174">
        <f t="shared" si="1"/>
        <v>174</v>
      </c>
      <c r="Z46" s="174">
        <f>'2018'!Z46+'2019'!Z46+'2020'!Z46+'2021'!Z46+'2022'!Z237</f>
        <v>62</v>
      </c>
      <c r="AA46" s="174">
        <f>'2018'!AA46+'2019'!AA46+'2020'!AA46+'2021'!AA46+'2022'!AA237</f>
        <v>8</v>
      </c>
      <c r="AB46" s="174">
        <f>'2018'!AB46+'2019'!AB46+'2020'!AB46+'2021'!AB46+'2022'!AB237</f>
        <v>103</v>
      </c>
      <c r="AC46" s="174">
        <f>'2018'!AC46+'2019'!AC46+'2020'!AC46+'2021'!AC46+'2022'!AC237</f>
        <v>14</v>
      </c>
      <c r="AD46" s="174">
        <f>'2018'!AD46+'2019'!AD46+'2020'!AD46+'2021'!AD46+'2022'!AD237</f>
        <v>0</v>
      </c>
      <c r="AE46" s="174">
        <f>'2018'!AE46+'2019'!AE46+'2020'!AE46+'2021'!AE46+'2022'!AE237</f>
        <v>0</v>
      </c>
      <c r="AF46" s="174">
        <f>'2018'!AF46+'2019'!AF46+'2020'!AF46+'2021'!AF46+'2022'!AF237</f>
        <v>54</v>
      </c>
      <c r="AG46" s="174">
        <f>'2018'!AG46+'2019'!AG46+'2020'!AG46+'2021'!AG46+'2022'!AG237</f>
        <v>0</v>
      </c>
      <c r="AH46" s="174">
        <f>'2018'!AH46+'2019'!AH46+'2020'!AH46+'2021'!AH46+'2022'!AH237</f>
        <v>11</v>
      </c>
      <c r="AI46" s="174">
        <f>'2018'!AI46+'2019'!AI46+'2020'!AI46+'2021'!AI46+'2022'!AI237</f>
        <v>1</v>
      </c>
      <c r="AJ46" s="174">
        <f>'2018'!AJ46+'2019'!AJ46+'2020'!AJ46+'2021'!AJ46+'2022'!AJ237</f>
        <v>9</v>
      </c>
      <c r="AK46" s="174">
        <f>'2018'!AK46+'2019'!AK46+'2020'!AK46+'2021'!AK46+'2022'!AK237</f>
        <v>0</v>
      </c>
      <c r="AL46" s="174">
        <f>'2018'!AL46+'2019'!AL46+'2020'!AL46+'2021'!AL46+'2022'!AL237</f>
        <v>1</v>
      </c>
      <c r="AM46" s="174">
        <f>'2018'!AM46+'2019'!AM46+'2020'!AM46+'2021'!AM46+'2022'!AM237</f>
        <v>3</v>
      </c>
      <c r="AN46" s="174">
        <f>'2018'!AN46+'2019'!AN46+'2020'!AN46+'2021'!AN46+'2022'!AN237</f>
        <v>2</v>
      </c>
      <c r="AO46" s="174">
        <f>'2018'!AO46+'2019'!AO46+'2020'!AO46+'2021'!AO46+'2022'!AO237</f>
        <v>0</v>
      </c>
      <c r="AP46" s="174">
        <f>'2018'!AP46+'2019'!AP46+'2020'!AP46+'2021'!AP46+'2022'!AP237</f>
        <v>3</v>
      </c>
      <c r="AQ46" s="174">
        <f>'2018'!AQ46+'2019'!AQ46+'2020'!AQ46+'2021'!AQ46+'2022'!AQ237</f>
        <v>1</v>
      </c>
      <c r="AR46" s="174">
        <f>'2018'!AR46+'2019'!AR46+'2020'!AR46+'2021'!AR46+'2022'!AR237</f>
        <v>9</v>
      </c>
      <c r="AS46" s="174">
        <f>'2018'!AS46+'2019'!AS46+'2020'!AS46+'2021'!AS46+'2022'!AS237</f>
        <v>0</v>
      </c>
      <c r="AT46" s="174">
        <f>'2018'!AT46+'2019'!AT46+'2020'!AT46+'2021'!AT46+'2022'!AT237</f>
        <v>8</v>
      </c>
      <c r="AU46" s="174">
        <f>'2018'!AU46+'2019'!AU46+'2020'!AU46+'2021'!AU46+'2022'!AU237</f>
        <v>1</v>
      </c>
      <c r="AV46" s="174">
        <f>'2018'!AV46+'2019'!AV46+'2020'!AV46+'2021'!AV46+'2022'!AV237</f>
        <v>0</v>
      </c>
      <c r="AW46" s="174">
        <f t="shared" si="3"/>
        <v>103</v>
      </c>
      <c r="AX46" s="156">
        <f t="shared" si="5"/>
        <v>3929.206579710145</v>
      </c>
      <c r="AY46" s="14">
        <f>'2018'!AX46+'2019'!AX46+'2020'!AX46+'2021'!AX46+'2022'!AX237</f>
        <v>19646.032898550726</v>
      </c>
      <c r="AZ46" s="14">
        <f t="shared" si="11"/>
        <v>59.195402298850574</v>
      </c>
      <c r="BA46" s="142"/>
      <c r="BB46" s="144"/>
      <c r="BC46" s="142"/>
    </row>
    <row r="47" spans="1:55" x14ac:dyDescent="0.25">
      <c r="A47" s="175" t="s">
        <v>140</v>
      </c>
      <c r="B47" s="176">
        <f>'2018'!B47+'2019'!B47+'2020'!B47+'2021'!B47+'2022'!B238</f>
        <v>23</v>
      </c>
      <c r="C47" s="176">
        <f>'2018'!C47+'2019'!C47+'2020'!C47+'2021'!C47+'2022'!C238</f>
        <v>7</v>
      </c>
      <c r="D47" s="176">
        <f>'2018'!D47+'2019'!D47+'2020'!D47+'2021'!D47+'2022'!D238</f>
        <v>128</v>
      </c>
      <c r="E47" s="176">
        <f>'2018'!E47+'2019'!E47+'2020'!E47+'2021'!E47+'2022'!E238</f>
        <v>37</v>
      </c>
      <c r="F47" s="176">
        <f>'2018'!F47+'2019'!F47+'2020'!F47+'2021'!F47+'2022'!F238</f>
        <v>0</v>
      </c>
      <c r="G47" s="176">
        <f>'2018'!G47+'2019'!G47+'2020'!G47+'2021'!G47+'2022'!G238</f>
        <v>0</v>
      </c>
      <c r="H47" s="176">
        <f>'2018'!H47+'2019'!H47+'2020'!H47+'2021'!H47+'2022'!H238</f>
        <v>52</v>
      </c>
      <c r="I47" s="176">
        <f>'2018'!I47+'2019'!I47+'2020'!I47+'2021'!I47+'2022'!I238</f>
        <v>0</v>
      </c>
      <c r="J47" s="176">
        <f>'2018'!J47+'2019'!J47+'2020'!J47+'2021'!J47+'2022'!J238</f>
        <v>12</v>
      </c>
      <c r="K47" s="176">
        <f>'2018'!K47+'2019'!K47+'2020'!K47+'2021'!K47+'2022'!K238</f>
        <v>2</v>
      </c>
      <c r="L47" s="176">
        <f>'2018'!L47+'2019'!L47+'2020'!L47+'2021'!L47+'2022'!L238</f>
        <v>0</v>
      </c>
      <c r="M47" s="176">
        <f>'2018'!M47+'2019'!M47+'2020'!M47+'2021'!M47+'2022'!M238</f>
        <v>0</v>
      </c>
      <c r="N47" s="176">
        <f>'2018'!N47+'2019'!N47+'2020'!N47+'2021'!N47+'2022'!N238</f>
        <v>0</v>
      </c>
      <c r="O47" s="176">
        <f>'2018'!O47+'2019'!O47+'2020'!O47+'2021'!O47+'2022'!O238</f>
        <v>0</v>
      </c>
      <c r="P47" s="176">
        <f>'2018'!P47+'2019'!P47+'2020'!P47+'2021'!P47+'2022'!P238</f>
        <v>0</v>
      </c>
      <c r="Q47" s="176">
        <f>'2018'!Q47+'2019'!Q47+'2020'!Q47+'2021'!Q47+'2022'!Q238</f>
        <v>0</v>
      </c>
      <c r="R47" s="176">
        <f>'2018'!R47+'2019'!R47+'2020'!R47+'2021'!R47+'2022'!R238</f>
        <v>26</v>
      </c>
      <c r="S47" s="176">
        <f>'2018'!S47+'2019'!S47+'2020'!S47+'2021'!S47+'2022'!S238</f>
        <v>0</v>
      </c>
      <c r="T47" s="176">
        <f>'2018'!T47+'2019'!T47+'2020'!T47+'2021'!T47+'2022'!T238</f>
        <v>0</v>
      </c>
      <c r="U47" s="176">
        <f>'2018'!U47+'2019'!U47+'2020'!U47+'2021'!U47+'2022'!U238</f>
        <v>36</v>
      </c>
      <c r="V47" s="176">
        <f>'2018'!V47+'2019'!V47+'2020'!V47+'2021'!V47+'2022'!V238</f>
        <v>0</v>
      </c>
      <c r="W47" s="176">
        <f>'2018'!W47+'2019'!W47+'2020'!W47+'2021'!W47+'2022'!W238</f>
        <v>0</v>
      </c>
      <c r="X47" s="176">
        <f>'2018'!X47+'2019'!X47+'2020'!X47+'2021'!X47+'2022'!X238</f>
        <v>0</v>
      </c>
      <c r="Y47" s="174">
        <f t="shared" si="1"/>
        <v>128</v>
      </c>
      <c r="Z47" s="174">
        <f>'2018'!Z47+'2019'!Z47+'2020'!Z47+'2021'!Z47+'2022'!Z238</f>
        <v>14</v>
      </c>
      <c r="AA47" s="174">
        <f>'2018'!AA47+'2019'!AA47+'2020'!AA47+'2021'!AA47+'2022'!AA238</f>
        <v>7</v>
      </c>
      <c r="AB47" s="174">
        <f>'2018'!AB47+'2019'!AB47+'2020'!AB47+'2021'!AB47+'2022'!AB238</f>
        <v>66</v>
      </c>
      <c r="AC47" s="174">
        <f>'2018'!AC47+'2019'!AC47+'2020'!AC47+'2021'!AC47+'2022'!AC238</f>
        <v>32</v>
      </c>
      <c r="AD47" s="174">
        <f>'2018'!AD47+'2019'!AD47+'2020'!AD47+'2021'!AD47+'2022'!AD238</f>
        <v>0</v>
      </c>
      <c r="AE47" s="174">
        <f>'2018'!AE47+'2019'!AE47+'2020'!AE47+'2021'!AE47+'2022'!AE238</f>
        <v>0</v>
      </c>
      <c r="AF47" s="174">
        <f>'2018'!AF47+'2019'!AF47+'2020'!AF47+'2021'!AF47+'2022'!AF238</f>
        <v>22</v>
      </c>
      <c r="AG47" s="174">
        <f>'2018'!AG47+'2019'!AG47+'2020'!AG47+'2021'!AG47+'2022'!AG238</f>
        <v>0</v>
      </c>
      <c r="AH47" s="174">
        <f>'2018'!AH47+'2019'!AH47+'2020'!AH47+'2021'!AH47+'2022'!AH238</f>
        <v>12</v>
      </c>
      <c r="AI47" s="174">
        <f>'2018'!AI47+'2019'!AI47+'2020'!AI47+'2021'!AI47+'2022'!AI238</f>
        <v>0</v>
      </c>
      <c r="AJ47" s="174">
        <f>'2018'!AJ47+'2019'!AJ47+'2020'!AJ47+'2021'!AJ47+'2022'!AJ238</f>
        <v>0</v>
      </c>
      <c r="AK47" s="174">
        <f>'2018'!AK47+'2019'!AK47+'2020'!AK47+'2021'!AK47+'2022'!AK238</f>
        <v>0</v>
      </c>
      <c r="AL47" s="174">
        <f>'2018'!AL47+'2019'!AL47+'2020'!AL47+'2021'!AL47+'2022'!AL238</f>
        <v>0</v>
      </c>
      <c r="AM47" s="174">
        <f>'2018'!AM47+'2019'!AM47+'2020'!AM47+'2021'!AM47+'2022'!AM238</f>
        <v>0</v>
      </c>
      <c r="AN47" s="174">
        <f>'2018'!AN47+'2019'!AN47+'2020'!AN47+'2021'!AN47+'2022'!AN238</f>
        <v>0</v>
      </c>
      <c r="AO47" s="174">
        <f>'2018'!AO47+'2019'!AO47+'2020'!AO47+'2021'!AO47+'2022'!AO238</f>
        <v>0</v>
      </c>
      <c r="AP47" s="174">
        <f>'2018'!AP47+'2019'!AP47+'2020'!AP47+'2021'!AP47+'2022'!AP238</f>
        <v>1</v>
      </c>
      <c r="AQ47" s="174">
        <f>'2018'!AQ47+'2019'!AQ47+'2020'!AQ47+'2021'!AQ47+'2022'!AQ238</f>
        <v>0</v>
      </c>
      <c r="AR47" s="174">
        <f>'2018'!AR47+'2019'!AR47+'2020'!AR47+'2021'!AR47+'2022'!AR238</f>
        <v>0</v>
      </c>
      <c r="AS47" s="174">
        <f>'2018'!AS47+'2019'!AS47+'2020'!AS47+'2021'!AS47+'2022'!AS238</f>
        <v>31</v>
      </c>
      <c r="AT47" s="174">
        <f>'2018'!AT47+'2019'!AT47+'2020'!AT47+'2021'!AT47+'2022'!AT238</f>
        <v>0</v>
      </c>
      <c r="AU47" s="174">
        <f>'2018'!AU47+'2019'!AU47+'2020'!AU47+'2021'!AU47+'2022'!AU238</f>
        <v>0</v>
      </c>
      <c r="AV47" s="174">
        <f>'2018'!AV47+'2019'!AV47+'2020'!AV47+'2021'!AV47+'2022'!AV238</f>
        <v>0</v>
      </c>
      <c r="AW47" s="174">
        <f t="shared" si="3"/>
        <v>66</v>
      </c>
      <c r="AX47" s="156">
        <f t="shared" si="5"/>
        <v>1336.2526666666668</v>
      </c>
      <c r="AY47" s="14">
        <f>'2018'!AX47+'2019'!AX47+'2020'!AX47+'2021'!AX47+'2022'!AX238</f>
        <v>6681.2633333333333</v>
      </c>
      <c r="AZ47" s="14">
        <f t="shared" si="11"/>
        <v>51.5625</v>
      </c>
      <c r="BA47" s="142"/>
      <c r="BB47" s="144"/>
      <c r="BC47" s="142"/>
    </row>
    <row r="48" spans="1:55" x14ac:dyDescent="0.25">
      <c r="A48" s="175" t="s">
        <v>139</v>
      </c>
      <c r="B48" s="176">
        <f>'2018'!B48+'2019'!B48+'2020'!B48+'2021'!B48+'2022'!B239</f>
        <v>307</v>
      </c>
      <c r="C48" s="176">
        <f>'2018'!C48+'2019'!C48+'2020'!C48+'2021'!C48+'2022'!C239</f>
        <v>10</v>
      </c>
      <c r="D48" s="176">
        <f>'2018'!D48+'2019'!D48+'2020'!D48+'2021'!D48+'2022'!D239</f>
        <v>1289</v>
      </c>
      <c r="E48" s="176">
        <f>'2018'!E48+'2019'!E48+'2020'!E48+'2021'!E48+'2022'!E239</f>
        <v>19</v>
      </c>
      <c r="F48" s="176">
        <f>'2018'!F48+'2019'!F48+'2020'!F48+'2021'!F48+'2022'!F239</f>
        <v>0</v>
      </c>
      <c r="G48" s="176">
        <f>'2018'!G48+'2019'!G48+'2020'!G48+'2021'!G48+'2022'!G239</f>
        <v>0</v>
      </c>
      <c r="H48" s="176">
        <f>'2018'!H48+'2019'!H48+'2020'!H48+'2021'!H48+'2022'!H239</f>
        <v>305</v>
      </c>
      <c r="I48" s="176">
        <f>'2018'!I48+'2019'!I48+'2020'!I48+'2021'!I48+'2022'!I239</f>
        <v>0</v>
      </c>
      <c r="J48" s="176">
        <f>'2018'!J48+'2019'!J48+'2020'!J48+'2021'!J48+'2022'!J239</f>
        <v>3</v>
      </c>
      <c r="K48" s="176">
        <f>'2018'!K48+'2019'!K48+'2020'!K48+'2021'!K48+'2022'!K239</f>
        <v>34</v>
      </c>
      <c r="L48" s="176">
        <f>'2018'!L48+'2019'!L48+'2020'!L48+'2021'!L48+'2022'!L239</f>
        <v>544</v>
      </c>
      <c r="M48" s="176">
        <f>'2018'!M48+'2019'!M48+'2020'!M48+'2021'!M48+'2022'!M239</f>
        <v>50</v>
      </c>
      <c r="N48" s="176">
        <f>'2018'!N48+'2019'!N48+'2020'!N48+'2021'!N48+'2022'!N239</f>
        <v>116</v>
      </c>
      <c r="O48" s="176">
        <f>'2018'!O48+'2019'!O48+'2020'!O48+'2021'!O48+'2022'!O239</f>
        <v>53</v>
      </c>
      <c r="P48" s="176">
        <f>'2018'!P48+'2019'!P48+'2020'!P48+'2021'!P48+'2022'!P239</f>
        <v>34</v>
      </c>
      <c r="Q48" s="176">
        <f>'2018'!Q48+'2019'!Q48+'2020'!Q48+'2021'!Q48+'2022'!Q239</f>
        <v>1</v>
      </c>
      <c r="R48" s="176">
        <f>'2018'!R48+'2019'!R48+'2020'!R48+'2021'!R48+'2022'!R239</f>
        <v>53</v>
      </c>
      <c r="S48" s="176">
        <f>'2018'!S48+'2019'!S48+'2020'!S48+'2021'!S48+'2022'!S239</f>
        <v>12</v>
      </c>
      <c r="T48" s="176">
        <f>'2018'!T48+'2019'!T48+'2020'!T48+'2021'!T48+'2022'!T239</f>
        <v>1</v>
      </c>
      <c r="U48" s="176">
        <f>'2018'!U48+'2019'!U48+'2020'!U48+'2021'!U48+'2022'!U239</f>
        <v>23</v>
      </c>
      <c r="V48" s="176">
        <f>'2018'!V48+'2019'!V48+'2020'!V48+'2021'!V48+'2022'!V239</f>
        <v>2</v>
      </c>
      <c r="W48" s="176">
        <f>'2018'!W48+'2019'!W48+'2020'!W48+'2021'!W48+'2022'!W239</f>
        <v>4</v>
      </c>
      <c r="X48" s="176">
        <f>'2018'!X48+'2019'!X48+'2020'!X48+'2021'!X48+'2022'!X239</f>
        <v>54</v>
      </c>
      <c r="Y48" s="174">
        <f t="shared" si="1"/>
        <v>1289</v>
      </c>
      <c r="Z48" s="174">
        <f>'2018'!Z48+'2019'!Z48+'2020'!Z48+'2021'!Z48+'2022'!Z239</f>
        <v>152</v>
      </c>
      <c r="AA48" s="174">
        <f>'2018'!AA48+'2019'!AA48+'2020'!AA48+'2021'!AA48+'2022'!AA239</f>
        <v>9</v>
      </c>
      <c r="AB48" s="174">
        <f>'2018'!AB48+'2019'!AB48+'2020'!AB48+'2021'!AB48+'2022'!AB239</f>
        <v>654</v>
      </c>
      <c r="AC48" s="174">
        <f>'2018'!AC48+'2019'!AC48+'2020'!AC48+'2021'!AC48+'2022'!AC239</f>
        <v>14</v>
      </c>
      <c r="AD48" s="174">
        <f>'2018'!AD48+'2019'!AD48+'2020'!AD48+'2021'!AD48+'2022'!AD239</f>
        <v>0</v>
      </c>
      <c r="AE48" s="174">
        <f>'2018'!AE48+'2019'!AE48+'2020'!AE48+'2021'!AE48+'2022'!AE239</f>
        <v>0</v>
      </c>
      <c r="AF48" s="174">
        <f>'2018'!AF48+'2019'!AF48+'2020'!AF48+'2021'!AF48+'2022'!AF239</f>
        <v>200</v>
      </c>
      <c r="AG48" s="174">
        <f>'2018'!AG48+'2019'!AG48+'2020'!AG48+'2021'!AG48+'2022'!AG239</f>
        <v>0</v>
      </c>
      <c r="AH48" s="174">
        <f>'2018'!AH48+'2019'!AH48+'2020'!AH48+'2021'!AH48+'2022'!AH239</f>
        <v>3</v>
      </c>
      <c r="AI48" s="174">
        <f>'2018'!AI48+'2019'!AI48+'2020'!AI48+'2021'!AI48+'2022'!AI239</f>
        <v>8</v>
      </c>
      <c r="AJ48" s="174">
        <f>'2018'!AJ48+'2019'!AJ48+'2020'!AJ48+'2021'!AJ48+'2022'!AJ239</f>
        <v>269</v>
      </c>
      <c r="AK48" s="174">
        <f>'2018'!AK48+'2019'!AK48+'2020'!AK48+'2021'!AK48+'2022'!AK239</f>
        <v>9</v>
      </c>
      <c r="AL48" s="174">
        <f>'2018'!AL48+'2019'!AL48+'2020'!AL48+'2021'!AL48+'2022'!AL239</f>
        <v>60</v>
      </c>
      <c r="AM48" s="174">
        <f>'2018'!AM48+'2019'!AM48+'2020'!AM48+'2021'!AM48+'2022'!AM239</f>
        <v>28</v>
      </c>
      <c r="AN48" s="174">
        <f>'2018'!AN48+'2019'!AN48+'2020'!AN48+'2021'!AN48+'2022'!AN239</f>
        <v>16</v>
      </c>
      <c r="AO48" s="174">
        <f>'2018'!AO48+'2019'!AO48+'2020'!AO48+'2021'!AO48+'2022'!AO239</f>
        <v>1</v>
      </c>
      <c r="AP48" s="174">
        <f>'2018'!AP48+'2019'!AP48+'2020'!AP48+'2021'!AP48+'2022'!AP239</f>
        <v>25</v>
      </c>
      <c r="AQ48" s="174">
        <f>'2018'!AQ48+'2019'!AQ48+'2020'!AQ48+'2021'!AQ48+'2022'!AQ239</f>
        <v>2</v>
      </c>
      <c r="AR48" s="174">
        <f>'2018'!AR48+'2019'!AR48+'2020'!AR48+'2021'!AR48+'2022'!AR239</f>
        <v>1</v>
      </c>
      <c r="AS48" s="174">
        <f>'2018'!AS48+'2019'!AS48+'2020'!AS48+'2021'!AS48+'2022'!AS239</f>
        <v>21</v>
      </c>
      <c r="AT48" s="174">
        <f>'2018'!AT48+'2019'!AT48+'2020'!AT48+'2021'!AT48+'2022'!AT239</f>
        <v>2</v>
      </c>
      <c r="AU48" s="174">
        <f>'2018'!AU48+'2019'!AU48+'2020'!AU48+'2021'!AU48+'2022'!AU239</f>
        <v>3</v>
      </c>
      <c r="AV48" s="174">
        <f>'2018'!AV48+'2019'!AV48+'2020'!AV48+'2021'!AV48+'2022'!AV239</f>
        <v>6</v>
      </c>
      <c r="AW48" s="174">
        <f t="shared" si="3"/>
        <v>654</v>
      </c>
      <c r="AX48" s="156">
        <f t="shared" si="5"/>
        <v>1739.9052088452088</v>
      </c>
      <c r="AY48" s="14">
        <f>'2018'!AX48+'2019'!AX48+'2020'!AX48+'2021'!AX48+'2022'!AX239</f>
        <v>8699.5260442260442</v>
      </c>
      <c r="AZ48" s="14">
        <f t="shared" si="11"/>
        <v>50.737005430566327</v>
      </c>
      <c r="BA48" s="142"/>
      <c r="BB48" s="144"/>
      <c r="BC48" s="142"/>
    </row>
    <row r="49" spans="1:55" x14ac:dyDescent="0.25">
      <c r="A49" s="175" t="s">
        <v>138</v>
      </c>
      <c r="B49" s="176">
        <f>'2018'!B49+'2019'!B49+'2020'!B49+'2021'!B49+'2022'!B240</f>
        <v>25</v>
      </c>
      <c r="C49" s="176">
        <f>'2018'!C49+'2019'!C49+'2020'!C49+'2021'!C49+'2022'!C240</f>
        <v>19</v>
      </c>
      <c r="D49" s="176">
        <f>'2018'!D49+'2019'!D49+'2020'!D49+'2021'!D49+'2022'!D240</f>
        <v>157</v>
      </c>
      <c r="E49" s="176">
        <f>'2018'!E49+'2019'!E49+'2020'!E49+'2021'!E49+'2022'!E240</f>
        <v>127</v>
      </c>
      <c r="F49" s="176">
        <f>'2018'!F49+'2019'!F49+'2020'!F49+'2021'!F49+'2022'!F240</f>
        <v>0</v>
      </c>
      <c r="G49" s="176">
        <f>'2018'!G49+'2019'!G49+'2020'!G49+'2021'!G49+'2022'!G240</f>
        <v>0</v>
      </c>
      <c r="H49" s="176">
        <f>'2018'!H49+'2019'!H49+'2020'!H49+'2021'!H49+'2022'!H240</f>
        <v>27</v>
      </c>
      <c r="I49" s="176">
        <f>'2018'!I49+'2019'!I49+'2020'!I49+'2021'!I49+'2022'!I240</f>
        <v>0</v>
      </c>
      <c r="J49" s="176">
        <f>'2018'!J49+'2019'!J49+'2020'!J49+'2021'!J49+'2022'!J240</f>
        <v>0</v>
      </c>
      <c r="K49" s="176">
        <f>'2018'!K49+'2019'!K49+'2020'!K49+'2021'!K49+'2022'!K240</f>
        <v>0</v>
      </c>
      <c r="L49" s="176">
        <f>'2018'!L49+'2019'!L49+'2020'!L49+'2021'!L49+'2022'!L240</f>
        <v>0</v>
      </c>
      <c r="M49" s="176">
        <f>'2018'!M49+'2019'!M49+'2020'!M49+'2021'!M49+'2022'!M240</f>
        <v>0</v>
      </c>
      <c r="N49" s="176">
        <f>'2018'!N49+'2019'!N49+'2020'!N49+'2021'!N49+'2022'!N240</f>
        <v>0</v>
      </c>
      <c r="O49" s="176">
        <f>'2018'!O49+'2019'!O49+'2020'!O49+'2021'!O49+'2022'!O240</f>
        <v>0</v>
      </c>
      <c r="P49" s="176">
        <f>'2018'!P49+'2019'!P49+'2020'!P49+'2021'!P49+'2022'!P240</f>
        <v>0</v>
      </c>
      <c r="Q49" s="176">
        <f>'2018'!Q49+'2019'!Q49+'2020'!Q49+'2021'!Q49+'2022'!Q240</f>
        <v>0</v>
      </c>
      <c r="R49" s="176">
        <f>'2018'!R49+'2019'!R49+'2020'!R49+'2021'!R49+'2022'!R240</f>
        <v>1</v>
      </c>
      <c r="S49" s="176">
        <f>'2018'!S49+'2019'!S49+'2020'!S49+'2021'!S49+'2022'!S240</f>
        <v>0</v>
      </c>
      <c r="T49" s="176">
        <f>'2018'!T49+'2019'!T49+'2020'!T49+'2021'!T49+'2022'!T240</f>
        <v>36</v>
      </c>
      <c r="U49" s="176">
        <f>'2018'!U49+'2019'!U49+'2020'!U49+'2021'!U49+'2022'!U240</f>
        <v>1</v>
      </c>
      <c r="V49" s="176">
        <f>'2018'!V49+'2019'!V49+'2020'!V49+'2021'!V49+'2022'!V240</f>
        <v>87</v>
      </c>
      <c r="W49" s="176">
        <f>'2018'!W49+'2019'!W49+'2020'!W49+'2021'!W49+'2022'!W240</f>
        <v>0</v>
      </c>
      <c r="X49" s="176">
        <f>'2018'!X49+'2019'!X49+'2020'!X49+'2021'!X49+'2022'!X240</f>
        <v>5</v>
      </c>
      <c r="Y49" s="174">
        <f t="shared" si="1"/>
        <v>157</v>
      </c>
      <c r="Z49" s="174">
        <f>'2018'!Z49+'2019'!Z49+'2020'!Z49+'2021'!Z49+'2022'!Z240</f>
        <v>15</v>
      </c>
      <c r="AA49" s="174">
        <f>'2018'!AA49+'2019'!AA49+'2020'!AA49+'2021'!AA49+'2022'!AA240</f>
        <v>13</v>
      </c>
      <c r="AB49" s="174">
        <f>'2018'!AB49+'2019'!AB49+'2020'!AB49+'2021'!AB49+'2022'!AB240</f>
        <v>76</v>
      </c>
      <c r="AC49" s="174">
        <f>'2018'!AC49+'2019'!AC49+'2020'!AC49+'2021'!AC49+'2022'!AC240</f>
        <v>53</v>
      </c>
      <c r="AD49" s="174">
        <f>'2018'!AD49+'2019'!AD49+'2020'!AD49+'2021'!AD49+'2022'!AD240</f>
        <v>0</v>
      </c>
      <c r="AE49" s="174">
        <f>'2018'!AE49+'2019'!AE49+'2020'!AE49+'2021'!AE49+'2022'!AE240</f>
        <v>0</v>
      </c>
      <c r="AF49" s="174">
        <f>'2018'!AF49+'2019'!AF49+'2020'!AF49+'2021'!AF49+'2022'!AF240</f>
        <v>23</v>
      </c>
      <c r="AG49" s="174">
        <f>'2018'!AG49+'2019'!AG49+'2020'!AG49+'2021'!AG49+'2022'!AG240</f>
        <v>0</v>
      </c>
      <c r="AH49" s="174">
        <f>'2018'!AH49+'2019'!AH49+'2020'!AH49+'2021'!AH49+'2022'!AH240</f>
        <v>0</v>
      </c>
      <c r="AI49" s="174">
        <f>'2018'!AI49+'2019'!AI49+'2020'!AI49+'2021'!AI49+'2022'!AI240</f>
        <v>0</v>
      </c>
      <c r="AJ49" s="174">
        <f>'2018'!AJ49+'2019'!AJ49+'2020'!AJ49+'2021'!AJ49+'2022'!AJ240</f>
        <v>0</v>
      </c>
      <c r="AK49" s="174">
        <f>'2018'!AK49+'2019'!AK49+'2020'!AK49+'2021'!AK49+'2022'!AK240</f>
        <v>0</v>
      </c>
      <c r="AL49" s="174">
        <f>'2018'!AL49+'2019'!AL49+'2020'!AL49+'2021'!AL49+'2022'!AL240</f>
        <v>0</v>
      </c>
      <c r="AM49" s="174">
        <f>'2018'!AM49+'2019'!AM49+'2020'!AM49+'2021'!AM49+'2022'!AM240</f>
        <v>0</v>
      </c>
      <c r="AN49" s="174">
        <f>'2018'!AN49+'2019'!AN49+'2020'!AN49+'2021'!AN49+'2022'!AN240</f>
        <v>0</v>
      </c>
      <c r="AO49" s="174">
        <f>'2018'!AO49+'2019'!AO49+'2020'!AO49+'2021'!AO49+'2022'!AO240</f>
        <v>0</v>
      </c>
      <c r="AP49" s="174">
        <f>'2018'!AP49+'2019'!AP49+'2020'!AP49+'2021'!AP49+'2022'!AP240</f>
        <v>1</v>
      </c>
      <c r="AQ49" s="174">
        <f>'2018'!AQ49+'2019'!AQ49+'2020'!AQ49+'2021'!AQ49+'2022'!AQ240</f>
        <v>0</v>
      </c>
      <c r="AR49" s="174">
        <f>'2018'!AR49+'2019'!AR49+'2020'!AR49+'2021'!AR49+'2022'!AR240</f>
        <v>22</v>
      </c>
      <c r="AS49" s="174">
        <f>'2018'!AS49+'2019'!AS49+'2020'!AS49+'2021'!AS49+'2022'!AS240</f>
        <v>1</v>
      </c>
      <c r="AT49" s="174">
        <f>'2018'!AT49+'2019'!AT49+'2020'!AT49+'2021'!AT49+'2022'!AT240</f>
        <v>28</v>
      </c>
      <c r="AU49" s="174">
        <f>'2018'!AU49+'2019'!AU49+'2020'!AU49+'2021'!AU49+'2022'!AU240</f>
        <v>0</v>
      </c>
      <c r="AV49" s="174">
        <f>'2018'!AV49+'2019'!AV49+'2020'!AV49+'2021'!AV49+'2022'!AV240</f>
        <v>1</v>
      </c>
      <c r="AW49" s="174">
        <f t="shared" si="3"/>
        <v>76</v>
      </c>
      <c r="AX49" s="156">
        <f t="shared" si="5"/>
        <v>727.49983333333341</v>
      </c>
      <c r="AY49" s="14">
        <f>'2018'!AX49+'2019'!AX49+'2020'!AX49+'2021'!AX49+'2022'!AX240</f>
        <v>3637.499166666667</v>
      </c>
      <c r="AZ49" s="14">
        <f t="shared" si="11"/>
        <v>48.407643312101911</v>
      </c>
      <c r="BA49" s="142"/>
      <c r="BB49" s="144"/>
      <c r="BC49" s="142"/>
    </row>
    <row r="50" spans="1:55" x14ac:dyDescent="0.25">
      <c r="A50" s="175" t="s">
        <v>137</v>
      </c>
      <c r="B50" s="176">
        <f>'2018'!B50+'2019'!B50+'2020'!B50+'2021'!B50+'2022'!B26</f>
        <v>582</v>
      </c>
      <c r="C50" s="176">
        <f>'2018'!C50+'2019'!C50+'2020'!C50+'2021'!C50+'2022'!C26</f>
        <v>99</v>
      </c>
      <c r="D50" s="176">
        <f>'2018'!D50+'2019'!D50+'2020'!D50+'2021'!D50+'2022'!D26</f>
        <v>2430</v>
      </c>
      <c r="E50" s="176">
        <f>'2018'!E50+'2019'!E50+'2020'!E50+'2021'!E50+'2022'!E26</f>
        <v>1178</v>
      </c>
      <c r="F50" s="176">
        <f>'2018'!F50+'2019'!F50+'2020'!F50+'2021'!F50+'2022'!F26</f>
        <v>0</v>
      </c>
      <c r="G50" s="176">
        <f>'2018'!G50+'2019'!G50+'2020'!G50+'2021'!G50+'2022'!G26</f>
        <v>0</v>
      </c>
      <c r="H50" s="176">
        <f>'2018'!H50+'2019'!H50+'2020'!H50+'2021'!H50+'2022'!H26</f>
        <v>44</v>
      </c>
      <c r="I50" s="176">
        <f>'2018'!I50+'2019'!I50+'2020'!I50+'2021'!I50+'2022'!I26</f>
        <v>0</v>
      </c>
      <c r="J50" s="176">
        <f>'2018'!J50+'2019'!J50+'2020'!J50+'2021'!J50+'2022'!J26</f>
        <v>0</v>
      </c>
      <c r="K50" s="176">
        <f>'2018'!K50+'2019'!K50+'2020'!K50+'2021'!K50+'2022'!K26</f>
        <v>8</v>
      </c>
      <c r="L50" s="176">
        <f>'2018'!L50+'2019'!L50+'2020'!L50+'2021'!L50+'2022'!L26</f>
        <v>28</v>
      </c>
      <c r="M50" s="176">
        <f>'2018'!M50+'2019'!M50+'2020'!M50+'2021'!M50+'2022'!M26</f>
        <v>0</v>
      </c>
      <c r="N50" s="176">
        <f>'2018'!N50+'2019'!N50+'2020'!N50+'2021'!N50+'2022'!N26</f>
        <v>8</v>
      </c>
      <c r="O50" s="176">
        <f>'2018'!O50+'2019'!O50+'2020'!O50+'2021'!O50+'2022'!O26</f>
        <v>0</v>
      </c>
      <c r="P50" s="176">
        <f>'2018'!P50+'2019'!P50+'2020'!P50+'2021'!P50+'2022'!P26</f>
        <v>28</v>
      </c>
      <c r="Q50" s="176">
        <f>'2018'!Q50+'2019'!Q50+'2020'!Q50+'2021'!Q50+'2022'!Q26</f>
        <v>3</v>
      </c>
      <c r="R50" s="176">
        <f>'2018'!R50+'2019'!R50+'2020'!R50+'2021'!R50+'2022'!R26</f>
        <v>1</v>
      </c>
      <c r="S50" s="176">
        <f>'2018'!S50+'2019'!S50+'2020'!S50+'2021'!S50+'2022'!S26</f>
        <v>0</v>
      </c>
      <c r="T50" s="176">
        <f>'2018'!T50+'2019'!T50+'2020'!T50+'2021'!T50+'2022'!T26</f>
        <v>0</v>
      </c>
      <c r="U50" s="176">
        <f>'2018'!U50+'2019'!U50+'2020'!U50+'2021'!U50+'2022'!U26</f>
        <v>25</v>
      </c>
      <c r="V50" s="176">
        <f>'2018'!V50+'2019'!V50+'2020'!V50+'2021'!V50+'2022'!V26</f>
        <v>2119</v>
      </c>
      <c r="W50" s="176">
        <f>'2018'!W50+'2019'!W50+'2020'!W50+'2021'!W50+'2022'!W26</f>
        <v>22</v>
      </c>
      <c r="X50" s="176">
        <f>'2018'!X50+'2019'!X50+'2020'!X50+'2021'!X50+'2022'!X26</f>
        <v>144</v>
      </c>
      <c r="Y50" s="174">
        <f t="shared" si="1"/>
        <v>2430</v>
      </c>
      <c r="Z50" s="174">
        <f>'2018'!Z50+'2019'!Z50+'2020'!Z50+'2021'!Z50+'2022'!Z26</f>
        <v>419</v>
      </c>
      <c r="AA50" s="174">
        <f>'2018'!AA50+'2019'!AA50+'2020'!AA50+'2021'!AA50+'2022'!AA26</f>
        <v>69</v>
      </c>
      <c r="AB50" s="174">
        <f>'2018'!AB50+'2019'!AB50+'2020'!AB50+'2021'!AB50+'2022'!AB26</f>
        <v>1808</v>
      </c>
      <c r="AC50" s="174">
        <f>'2018'!AC50+'2019'!AC50+'2020'!AC50+'2021'!AC50+'2022'!AC26</f>
        <v>861</v>
      </c>
      <c r="AD50" s="174">
        <f>'2018'!AD50+'2019'!AD50+'2020'!AD50+'2021'!AD50+'2022'!AD26</f>
        <v>0</v>
      </c>
      <c r="AE50" s="174">
        <f>'2018'!AE50+'2019'!AE50+'2020'!AE50+'2021'!AE50+'2022'!AE26</f>
        <v>0</v>
      </c>
      <c r="AF50" s="174">
        <f>'2018'!AF50+'2019'!AF50+'2020'!AF50+'2021'!AF50+'2022'!AF26</f>
        <v>21</v>
      </c>
      <c r="AG50" s="174">
        <f>'2018'!AG50+'2019'!AG50+'2020'!AG50+'2021'!AG50+'2022'!AG26</f>
        <v>0</v>
      </c>
      <c r="AH50" s="174">
        <f>'2018'!AH50+'2019'!AH50+'2020'!AH50+'2021'!AH50+'2022'!AH26</f>
        <v>0</v>
      </c>
      <c r="AI50" s="174">
        <f>'2018'!AI50+'2019'!AI50+'2020'!AI50+'2021'!AI50+'2022'!AI26</f>
        <v>8</v>
      </c>
      <c r="AJ50" s="174">
        <f>'2018'!AJ50+'2019'!AJ50+'2020'!AJ50+'2021'!AJ50+'2022'!AJ26</f>
        <v>27</v>
      </c>
      <c r="AK50" s="174">
        <f>'2018'!AK50+'2019'!AK50+'2020'!AK50+'2021'!AK50+'2022'!AK26</f>
        <v>0</v>
      </c>
      <c r="AL50" s="174">
        <f>'2018'!AL50+'2019'!AL50+'2020'!AL50+'2021'!AL50+'2022'!AL26</f>
        <v>0</v>
      </c>
      <c r="AM50" s="174">
        <f>'2018'!AM50+'2019'!AM50+'2020'!AM50+'2021'!AM50+'2022'!AM26</f>
        <v>0</v>
      </c>
      <c r="AN50" s="174">
        <f>'2018'!AN50+'2019'!AN50+'2020'!AN50+'2021'!AN50+'2022'!AN26</f>
        <v>18</v>
      </c>
      <c r="AO50" s="174">
        <f>'2018'!AO50+'2019'!AO50+'2020'!AO50+'2021'!AO50+'2022'!AO26</f>
        <v>1</v>
      </c>
      <c r="AP50" s="174">
        <f>'2018'!AP50+'2019'!AP50+'2020'!AP50+'2021'!AP50+'2022'!AP26</f>
        <v>1</v>
      </c>
      <c r="AQ50" s="174">
        <f>'2018'!AQ50+'2019'!AQ50+'2020'!AQ50+'2021'!AQ50+'2022'!AQ26</f>
        <v>0</v>
      </c>
      <c r="AR50" s="174">
        <f>'2018'!AR50+'2019'!AR50+'2020'!AR50+'2021'!AR50+'2022'!AR26</f>
        <v>0</v>
      </c>
      <c r="AS50" s="174">
        <f>'2018'!AS50+'2019'!AS50+'2020'!AS50+'2021'!AS50+'2022'!AS26</f>
        <v>15</v>
      </c>
      <c r="AT50" s="174">
        <f>'2018'!AT50+'2019'!AT50+'2020'!AT50+'2021'!AT50+'2022'!AT26</f>
        <v>1631</v>
      </c>
      <c r="AU50" s="174">
        <f>'2018'!AU50+'2019'!AU50+'2020'!AU50+'2021'!AU50+'2022'!AU26</f>
        <v>18</v>
      </c>
      <c r="AV50" s="174">
        <f>'2018'!AV50+'2019'!AV50+'2020'!AV50+'2021'!AV50+'2022'!AV26</f>
        <v>68</v>
      </c>
      <c r="AW50" s="174">
        <f t="shared" si="3"/>
        <v>1808</v>
      </c>
      <c r="AX50" s="156">
        <f t="shared" si="5"/>
        <v>729.00266666666664</v>
      </c>
      <c r="AY50" s="14">
        <f>'2018'!AX50+'2019'!AX50+'2020'!AX50+'2021'!AX50+'2022'!AX26</f>
        <v>3645.0133333333333</v>
      </c>
      <c r="AZ50" s="14">
        <f t="shared" si="11"/>
        <v>74.403292181069958</v>
      </c>
      <c r="BA50" s="142"/>
      <c r="BB50" s="144"/>
      <c r="BC50" s="142"/>
    </row>
    <row r="51" spans="1:55" x14ac:dyDescent="0.25">
      <c r="A51" s="175" t="s">
        <v>136</v>
      </c>
      <c r="B51" s="176">
        <f>'2018'!B51+'2019'!B51+'2020'!B51+'2021'!B51+'2022'!B27</f>
        <v>28</v>
      </c>
      <c r="C51" s="176">
        <f>'2018'!C51+'2019'!C51+'2020'!C51+'2021'!C51+'2022'!C27</f>
        <v>9</v>
      </c>
      <c r="D51" s="176">
        <f>'2018'!D51+'2019'!D51+'2020'!D51+'2021'!D51+'2022'!D27</f>
        <v>565</v>
      </c>
      <c r="E51" s="176">
        <f>'2018'!E51+'2019'!E51+'2020'!E51+'2021'!E51+'2022'!E27</f>
        <v>400</v>
      </c>
      <c r="F51" s="176">
        <f>'2018'!F51+'2019'!F51+'2020'!F51+'2021'!F51+'2022'!F27</f>
        <v>0</v>
      </c>
      <c r="G51" s="176">
        <f>'2018'!G51+'2019'!G51+'2020'!G51+'2021'!G51+'2022'!G27</f>
        <v>0</v>
      </c>
      <c r="H51" s="176">
        <f>'2018'!H51+'2019'!H51+'2020'!H51+'2021'!H51+'2022'!H27</f>
        <v>0</v>
      </c>
      <c r="I51" s="176">
        <f>'2018'!I51+'2019'!I51+'2020'!I51+'2021'!I51+'2022'!I27</f>
        <v>0</v>
      </c>
      <c r="J51" s="176">
        <f>'2018'!J51+'2019'!J51+'2020'!J51+'2021'!J51+'2022'!J27</f>
        <v>0</v>
      </c>
      <c r="K51" s="176">
        <f>'2018'!K51+'2019'!K51+'2020'!K51+'2021'!K51+'2022'!K27</f>
        <v>0</v>
      </c>
      <c r="L51" s="176">
        <f>'2018'!L51+'2019'!L51+'2020'!L51+'2021'!L51+'2022'!L27</f>
        <v>2</v>
      </c>
      <c r="M51" s="176">
        <f>'2018'!M51+'2019'!M51+'2020'!M51+'2021'!M51+'2022'!M27</f>
        <v>0</v>
      </c>
      <c r="N51" s="176">
        <f>'2018'!N51+'2019'!N51+'2020'!N51+'2021'!N51+'2022'!N27</f>
        <v>0</v>
      </c>
      <c r="O51" s="176">
        <f>'2018'!O51+'2019'!O51+'2020'!O51+'2021'!O51+'2022'!O27</f>
        <v>1</v>
      </c>
      <c r="P51" s="176">
        <f>'2018'!P51+'2019'!P51+'2020'!P51+'2021'!P51+'2022'!P27</f>
        <v>0</v>
      </c>
      <c r="Q51" s="176">
        <f>'2018'!Q51+'2019'!Q51+'2020'!Q51+'2021'!Q51+'2022'!Q27</f>
        <v>0</v>
      </c>
      <c r="R51" s="176">
        <f>'2018'!R51+'2019'!R51+'2020'!R51+'2021'!R51+'2022'!R27</f>
        <v>0</v>
      </c>
      <c r="S51" s="176">
        <f>'2018'!S51+'2019'!S51+'2020'!S51+'2021'!S51+'2022'!S27</f>
        <v>0</v>
      </c>
      <c r="T51" s="176">
        <f>'2018'!T51+'2019'!T51+'2020'!T51+'2021'!T51+'2022'!T27</f>
        <v>0</v>
      </c>
      <c r="U51" s="176">
        <f>'2018'!U51+'2019'!U51+'2020'!U51+'2021'!U51+'2022'!U27</f>
        <v>2</v>
      </c>
      <c r="V51" s="176">
        <f>'2018'!V51+'2019'!V51+'2020'!V51+'2021'!V51+'2022'!V27</f>
        <v>552</v>
      </c>
      <c r="W51" s="176">
        <f>'2018'!W51+'2019'!W51+'2020'!W51+'2021'!W51+'2022'!W27</f>
        <v>0</v>
      </c>
      <c r="X51" s="176">
        <f>'2018'!X51+'2019'!X51+'2020'!X51+'2021'!X51+'2022'!X27</f>
        <v>8</v>
      </c>
      <c r="Y51" s="174">
        <f t="shared" si="1"/>
        <v>565</v>
      </c>
      <c r="Z51" s="174">
        <f>'2018'!Z51+'2019'!Z51+'2020'!Z51+'2021'!Z51+'2022'!Z27</f>
        <v>21</v>
      </c>
      <c r="AA51" s="174">
        <f>'2018'!AA51+'2019'!AA51+'2020'!AA51+'2021'!AA51+'2022'!AA27</f>
        <v>8</v>
      </c>
      <c r="AB51" s="174">
        <f>'2018'!AB51+'2019'!AB51+'2020'!AB51+'2021'!AB51+'2022'!AB27</f>
        <v>407</v>
      </c>
      <c r="AC51" s="174">
        <f>'2018'!AC51+'2019'!AC51+'2020'!AC51+'2021'!AC51+'2022'!AC27</f>
        <v>253</v>
      </c>
      <c r="AD51" s="174">
        <f>'2018'!AD51+'2019'!AD51+'2020'!AD51+'2021'!AD51+'2022'!AD27</f>
        <v>0</v>
      </c>
      <c r="AE51" s="174">
        <f>'2018'!AE51+'2019'!AE51+'2020'!AE51+'2021'!AE51+'2022'!AE27</f>
        <v>0</v>
      </c>
      <c r="AF51" s="174">
        <f>'2018'!AF51+'2019'!AF51+'2020'!AF51+'2021'!AF51+'2022'!AF27</f>
        <v>0</v>
      </c>
      <c r="AG51" s="174">
        <f>'2018'!AG51+'2019'!AG51+'2020'!AG51+'2021'!AG51+'2022'!AG27</f>
        <v>0</v>
      </c>
      <c r="AH51" s="174">
        <f>'2018'!AH51+'2019'!AH51+'2020'!AH51+'2021'!AH51+'2022'!AH27</f>
        <v>0</v>
      </c>
      <c r="AI51" s="174">
        <f>'2018'!AI51+'2019'!AI51+'2020'!AI51+'2021'!AI51+'2022'!AI27</f>
        <v>0</v>
      </c>
      <c r="AJ51" s="174">
        <f>'2018'!AJ51+'2019'!AJ51+'2020'!AJ51+'2021'!AJ51+'2022'!AJ27</f>
        <v>0</v>
      </c>
      <c r="AK51" s="174">
        <f>'2018'!AK51+'2019'!AK51+'2020'!AK51+'2021'!AK51+'2022'!AK27</f>
        <v>0</v>
      </c>
      <c r="AL51" s="174">
        <f>'2018'!AL51+'2019'!AL51+'2020'!AL51+'2021'!AL51+'2022'!AL27</f>
        <v>0</v>
      </c>
      <c r="AM51" s="174">
        <f>'2018'!AM51+'2019'!AM51+'2020'!AM51+'2021'!AM51+'2022'!AM27</f>
        <v>0</v>
      </c>
      <c r="AN51" s="174">
        <f>'2018'!AN51+'2019'!AN51+'2020'!AN51+'2021'!AN51+'2022'!AN27</f>
        <v>0</v>
      </c>
      <c r="AO51" s="174">
        <f>'2018'!AO51+'2019'!AO51+'2020'!AO51+'2021'!AO51+'2022'!AO27</f>
        <v>0</v>
      </c>
      <c r="AP51" s="174">
        <f>'2018'!AP51+'2019'!AP51+'2020'!AP51+'2021'!AP51+'2022'!AP27</f>
        <v>0</v>
      </c>
      <c r="AQ51" s="174">
        <f>'2018'!AQ51+'2019'!AQ51+'2020'!AQ51+'2021'!AQ51+'2022'!AQ27</f>
        <v>0</v>
      </c>
      <c r="AR51" s="174">
        <f>'2018'!AR51+'2019'!AR51+'2020'!AR51+'2021'!AR51+'2022'!AR27</f>
        <v>0</v>
      </c>
      <c r="AS51" s="174">
        <f>'2018'!AS51+'2019'!AS51+'2020'!AS51+'2021'!AS51+'2022'!AS27</f>
        <v>2</v>
      </c>
      <c r="AT51" s="174">
        <f>'2018'!AT51+'2019'!AT51+'2020'!AT51+'2021'!AT51+'2022'!AT27</f>
        <v>403</v>
      </c>
      <c r="AU51" s="174">
        <f>'2018'!AU51+'2019'!AU51+'2020'!AU51+'2021'!AU51+'2022'!AU27</f>
        <v>0</v>
      </c>
      <c r="AV51" s="174">
        <f>'2018'!AV51+'2019'!AV51+'2020'!AV51+'2021'!AV51+'2022'!AV27</f>
        <v>2</v>
      </c>
      <c r="AW51" s="174">
        <f t="shared" si="3"/>
        <v>407</v>
      </c>
      <c r="AX51" s="156">
        <f t="shared" si="5"/>
        <v>1646.3044444444445</v>
      </c>
      <c r="AY51" s="14">
        <f>'2018'!AX51+'2019'!AX51+'2020'!AX51+'2021'!AX51+'2022'!AX27</f>
        <v>8231.5222222222219</v>
      </c>
      <c r="AZ51" s="14">
        <f t="shared" si="11"/>
        <v>72.035398230088489</v>
      </c>
      <c r="BA51" s="142"/>
      <c r="BB51" s="144"/>
      <c r="BC51" s="142"/>
    </row>
    <row r="52" spans="1:55" x14ac:dyDescent="0.25">
      <c r="A52" s="175" t="s">
        <v>135</v>
      </c>
      <c r="B52" s="176">
        <f>'2018'!B52+'2019'!B52+'2020'!B52+'2021'!B52+'2022'!B36</f>
        <v>42</v>
      </c>
      <c r="C52" s="176">
        <f>'2018'!C52+'2019'!C52+'2020'!C52+'2021'!C52+'2022'!C36</f>
        <v>3</v>
      </c>
      <c r="D52" s="176">
        <f>'2018'!D52+'2019'!D52+'2020'!D52+'2021'!D52+'2022'!D36</f>
        <v>165</v>
      </c>
      <c r="E52" s="176">
        <f>'2018'!E52+'2019'!E52+'2020'!E52+'2021'!E52+'2022'!E36</f>
        <v>4</v>
      </c>
      <c r="F52" s="176">
        <f>'2018'!F52+'2019'!F52+'2020'!F52+'2021'!F52+'2022'!F36</f>
        <v>0</v>
      </c>
      <c r="G52" s="176">
        <f>'2018'!G52+'2019'!G52+'2020'!G52+'2021'!G52+'2022'!G36</f>
        <v>0</v>
      </c>
      <c r="H52" s="176">
        <f>'2018'!H52+'2019'!H52+'2020'!H52+'2021'!H52+'2022'!H36</f>
        <v>120</v>
      </c>
      <c r="I52" s="176">
        <f>'2018'!I52+'2019'!I52+'2020'!I52+'2021'!I52+'2022'!I36</f>
        <v>0</v>
      </c>
      <c r="J52" s="176">
        <f>'2018'!J52+'2019'!J52+'2020'!J52+'2021'!J52+'2022'!J36</f>
        <v>0</v>
      </c>
      <c r="K52" s="176">
        <f>'2018'!K52+'2019'!K52+'2020'!K52+'2021'!K52+'2022'!K36</f>
        <v>0</v>
      </c>
      <c r="L52" s="176">
        <f>'2018'!L52+'2019'!L52+'2020'!L52+'2021'!L52+'2022'!L36</f>
        <v>0</v>
      </c>
      <c r="M52" s="176">
        <f>'2018'!M52+'2019'!M52+'2020'!M52+'2021'!M52+'2022'!M36</f>
        <v>0</v>
      </c>
      <c r="N52" s="176">
        <f>'2018'!N52+'2019'!N52+'2020'!N52+'2021'!N52+'2022'!N36</f>
        <v>0</v>
      </c>
      <c r="O52" s="176">
        <f>'2018'!O52+'2019'!O52+'2020'!O52+'2021'!O52+'2022'!O36</f>
        <v>0</v>
      </c>
      <c r="P52" s="176">
        <f>'2018'!P52+'2019'!P52+'2020'!P52+'2021'!P52+'2022'!P36</f>
        <v>0</v>
      </c>
      <c r="Q52" s="176">
        <f>'2018'!Q52+'2019'!Q52+'2020'!Q52+'2021'!Q52+'2022'!Q36</f>
        <v>0</v>
      </c>
      <c r="R52" s="176">
        <f>'2018'!R52+'2019'!R52+'2020'!R52+'2021'!R52+'2022'!R36</f>
        <v>0</v>
      </c>
      <c r="S52" s="176">
        <f>'2018'!S52+'2019'!S52+'2020'!S52+'2021'!S52+'2022'!S36</f>
        <v>0</v>
      </c>
      <c r="T52" s="176">
        <f>'2018'!T52+'2019'!T52+'2020'!T52+'2021'!T52+'2022'!T36</f>
        <v>0</v>
      </c>
      <c r="U52" s="176">
        <f>'2018'!U52+'2019'!U52+'2020'!U52+'2021'!U52+'2022'!U36</f>
        <v>0</v>
      </c>
      <c r="V52" s="176">
        <f>'2018'!V52+'2019'!V52+'2020'!V52+'2021'!V52+'2022'!V36</f>
        <v>44</v>
      </c>
      <c r="W52" s="176">
        <f>'2018'!W52+'2019'!W52+'2020'!W52+'2021'!W52+'2022'!W36</f>
        <v>0</v>
      </c>
      <c r="X52" s="176">
        <f>'2018'!X52+'2019'!X52+'2020'!X52+'2021'!X52+'2022'!X36</f>
        <v>1</v>
      </c>
      <c r="Y52" s="174">
        <f t="shared" si="1"/>
        <v>165</v>
      </c>
      <c r="Z52" s="174">
        <f>'2018'!Z52+'2019'!Z52+'2020'!Z52+'2021'!Z52+'2022'!Z36</f>
        <v>24</v>
      </c>
      <c r="AA52" s="174">
        <f>'2018'!AA52+'2019'!AA52+'2020'!AA52+'2021'!AA52+'2022'!AA36</f>
        <v>1</v>
      </c>
      <c r="AB52" s="174">
        <f>'2018'!AB52+'2019'!AB52+'2020'!AB52+'2021'!AB52+'2022'!AB36</f>
        <v>27</v>
      </c>
      <c r="AC52" s="174">
        <f>'2018'!AC52+'2019'!AC52+'2020'!AC52+'2021'!AC52+'2022'!AC36</f>
        <v>1</v>
      </c>
      <c r="AD52" s="174">
        <f>'2018'!AD52+'2019'!AD52+'2020'!AD52+'2021'!AD52+'2022'!AD36</f>
        <v>0</v>
      </c>
      <c r="AE52" s="174">
        <f>'2018'!AE52+'2019'!AE52+'2020'!AE52+'2021'!AE52+'2022'!AE36</f>
        <v>0</v>
      </c>
      <c r="AF52" s="174">
        <f>'2018'!AF52+'2019'!AF52+'2020'!AF52+'2021'!AF52+'2022'!AF36</f>
        <v>0</v>
      </c>
      <c r="AG52" s="174">
        <f>'2018'!AG52+'2019'!AG52+'2020'!AG52+'2021'!AG52+'2022'!AG36</f>
        <v>0</v>
      </c>
      <c r="AH52" s="174">
        <f>'2018'!AH52+'2019'!AH52+'2020'!AH52+'2021'!AH52+'2022'!AH36</f>
        <v>0</v>
      </c>
      <c r="AI52" s="174">
        <f>'2018'!AI52+'2019'!AI52+'2020'!AI52+'2021'!AI52+'2022'!AI36</f>
        <v>0</v>
      </c>
      <c r="AJ52" s="174">
        <f>'2018'!AJ52+'2019'!AJ52+'2020'!AJ52+'2021'!AJ52+'2022'!AJ36</f>
        <v>0</v>
      </c>
      <c r="AK52" s="174">
        <f>'2018'!AK52+'2019'!AK52+'2020'!AK52+'2021'!AK52+'2022'!AK36</f>
        <v>0</v>
      </c>
      <c r="AL52" s="174">
        <f>'2018'!AL52+'2019'!AL52+'2020'!AL52+'2021'!AL52+'2022'!AL36</f>
        <v>0</v>
      </c>
      <c r="AM52" s="174">
        <f>'2018'!AM52+'2019'!AM52+'2020'!AM52+'2021'!AM52+'2022'!AM36</f>
        <v>0</v>
      </c>
      <c r="AN52" s="174">
        <f>'2018'!AN52+'2019'!AN52+'2020'!AN52+'2021'!AN52+'2022'!AN36</f>
        <v>0</v>
      </c>
      <c r="AO52" s="174">
        <f>'2018'!AO52+'2019'!AO52+'2020'!AO52+'2021'!AO52+'2022'!AO36</f>
        <v>0</v>
      </c>
      <c r="AP52" s="174">
        <f>'2018'!AP52+'2019'!AP52+'2020'!AP52+'2021'!AP52+'2022'!AP36</f>
        <v>0</v>
      </c>
      <c r="AQ52" s="174">
        <f>'2018'!AQ52+'2019'!AQ52+'2020'!AQ52+'2021'!AQ52+'2022'!AQ36</f>
        <v>0</v>
      </c>
      <c r="AR52" s="174">
        <f>'2018'!AR52+'2019'!AR52+'2020'!AR52+'2021'!AR52+'2022'!AR36</f>
        <v>0</v>
      </c>
      <c r="AS52" s="174">
        <f>'2018'!AS52+'2019'!AS52+'2020'!AS52+'2021'!AS52+'2022'!AS36</f>
        <v>0</v>
      </c>
      <c r="AT52" s="174">
        <f>'2018'!AT52+'2019'!AT52+'2020'!AT52+'2021'!AT52+'2022'!AT36</f>
        <v>27</v>
      </c>
      <c r="AU52" s="174">
        <f>'2018'!AU52+'2019'!AU52+'2020'!AU52+'2021'!AU52+'2022'!AU36</f>
        <v>0</v>
      </c>
      <c r="AV52" s="174">
        <f>'2018'!AV52+'2019'!AV52+'2020'!AV52+'2021'!AV52+'2022'!AV36</f>
        <v>0</v>
      </c>
      <c r="AW52" s="174">
        <f t="shared" si="3"/>
        <v>27</v>
      </c>
      <c r="AX52" s="156">
        <f t="shared" si="5"/>
        <v>791.45169230769238</v>
      </c>
      <c r="AY52" s="14">
        <f>'2018'!AX52+'2019'!AX52+'2020'!AX52+'2021'!AX52+'2022'!AX36</f>
        <v>3957.2584615384617</v>
      </c>
      <c r="AZ52" s="14">
        <f t="shared" si="11"/>
        <v>16.363636363636363</v>
      </c>
      <c r="BA52" s="142"/>
      <c r="BB52" s="144"/>
      <c r="BC52" s="142"/>
    </row>
    <row r="53" spans="1:55" x14ac:dyDescent="0.25">
      <c r="A53" s="175" t="s">
        <v>134</v>
      </c>
      <c r="B53" s="176">
        <f>'2018'!B53+'2019'!B53+'2020'!B53+'2021'!B53+'2022'!B37</f>
        <v>7</v>
      </c>
      <c r="C53" s="176">
        <f>'2018'!C53+'2019'!C53+'2020'!C53+'2021'!C53+'2022'!C37</f>
        <v>3</v>
      </c>
      <c r="D53" s="176">
        <f>'2018'!D53+'2019'!D53+'2020'!D53+'2021'!D53+'2022'!D37</f>
        <v>307</v>
      </c>
      <c r="E53" s="176">
        <f>'2018'!E53+'2019'!E53+'2020'!E53+'2021'!E53+'2022'!E37</f>
        <v>272</v>
      </c>
      <c r="F53" s="176">
        <f>'2018'!F53+'2019'!F53+'2020'!F53+'2021'!F53+'2022'!F37</f>
        <v>0</v>
      </c>
      <c r="G53" s="176">
        <f>'2018'!G53+'2019'!G53+'2020'!G53+'2021'!G53+'2022'!G37</f>
        <v>0</v>
      </c>
      <c r="H53" s="176">
        <f>'2018'!H53+'2019'!H53+'2020'!H53+'2021'!H53+'2022'!H37</f>
        <v>0</v>
      </c>
      <c r="I53" s="176">
        <f>'2018'!I53+'2019'!I53+'2020'!I53+'2021'!I53+'2022'!I37</f>
        <v>0</v>
      </c>
      <c r="J53" s="176">
        <f>'2018'!J53+'2019'!J53+'2020'!J53+'2021'!J53+'2022'!J37</f>
        <v>0</v>
      </c>
      <c r="K53" s="176">
        <f>'2018'!K53+'2019'!K53+'2020'!K53+'2021'!K53+'2022'!K37</f>
        <v>0</v>
      </c>
      <c r="L53" s="176">
        <f>'2018'!L53+'2019'!L53+'2020'!L53+'2021'!L53+'2022'!L37</f>
        <v>0</v>
      </c>
      <c r="M53" s="176">
        <f>'2018'!M53+'2019'!M53+'2020'!M53+'2021'!M53+'2022'!M37</f>
        <v>0</v>
      </c>
      <c r="N53" s="176">
        <f>'2018'!N53+'2019'!N53+'2020'!N53+'2021'!N53+'2022'!N37</f>
        <v>0</v>
      </c>
      <c r="O53" s="176">
        <f>'2018'!O53+'2019'!O53+'2020'!O53+'2021'!O53+'2022'!O37</f>
        <v>0</v>
      </c>
      <c r="P53" s="176">
        <f>'2018'!P53+'2019'!P53+'2020'!P53+'2021'!P53+'2022'!P37</f>
        <v>0</v>
      </c>
      <c r="Q53" s="176">
        <f>'2018'!Q53+'2019'!Q53+'2020'!Q53+'2021'!Q53+'2022'!Q37</f>
        <v>0</v>
      </c>
      <c r="R53" s="176">
        <f>'2018'!R53+'2019'!R53+'2020'!R53+'2021'!R53+'2022'!R37</f>
        <v>0</v>
      </c>
      <c r="S53" s="176">
        <f>'2018'!S53+'2019'!S53+'2020'!S53+'2021'!S53+'2022'!S37</f>
        <v>0</v>
      </c>
      <c r="T53" s="176">
        <f>'2018'!T53+'2019'!T53+'2020'!T53+'2021'!T53+'2022'!T37</f>
        <v>0</v>
      </c>
      <c r="U53" s="176">
        <f>'2018'!U53+'2019'!U53+'2020'!U53+'2021'!U53+'2022'!U37</f>
        <v>0</v>
      </c>
      <c r="V53" s="176">
        <f>'2018'!V53+'2019'!V53+'2020'!V53+'2021'!V53+'2022'!V37</f>
        <v>297</v>
      </c>
      <c r="W53" s="176">
        <f>'2018'!W53+'2019'!W53+'2020'!W53+'2021'!W53+'2022'!W37</f>
        <v>0</v>
      </c>
      <c r="X53" s="176">
        <f>'2018'!X53+'2019'!X53+'2020'!X53+'2021'!X53+'2022'!X37</f>
        <v>10</v>
      </c>
      <c r="Y53" s="174">
        <f t="shared" si="1"/>
        <v>307</v>
      </c>
      <c r="Z53" s="174">
        <f>'2018'!Z53+'2019'!Z53+'2020'!Z53+'2021'!Z53+'2022'!Z37</f>
        <v>3</v>
      </c>
      <c r="AA53" s="174">
        <f>'2018'!AA53+'2019'!AA53+'2020'!AA53+'2021'!AA53+'2022'!AA37</f>
        <v>2</v>
      </c>
      <c r="AB53" s="174">
        <f>'2018'!AB53+'2019'!AB53+'2020'!AB53+'2021'!AB53+'2022'!AB37</f>
        <v>288</v>
      </c>
      <c r="AC53" s="174">
        <f>'2018'!AC53+'2019'!AC53+'2020'!AC53+'2021'!AC53+'2022'!AC37</f>
        <v>262</v>
      </c>
      <c r="AD53" s="174">
        <f>'2018'!AD53+'2019'!AD53+'2020'!AD53+'2021'!AD53+'2022'!AD37</f>
        <v>0</v>
      </c>
      <c r="AE53" s="174">
        <f>'2018'!AE53+'2019'!AE53+'2020'!AE53+'2021'!AE53+'2022'!AE37</f>
        <v>0</v>
      </c>
      <c r="AF53" s="174">
        <f>'2018'!AF53+'2019'!AF53+'2020'!AF53+'2021'!AF53+'2022'!AF37</f>
        <v>0</v>
      </c>
      <c r="AG53" s="174">
        <f>'2018'!AG53+'2019'!AG53+'2020'!AG53+'2021'!AG53+'2022'!AG37</f>
        <v>0</v>
      </c>
      <c r="AH53" s="174">
        <f>'2018'!AH53+'2019'!AH53+'2020'!AH53+'2021'!AH53+'2022'!AH37</f>
        <v>0</v>
      </c>
      <c r="AI53" s="174">
        <f>'2018'!AI53+'2019'!AI53+'2020'!AI53+'2021'!AI53+'2022'!AI37</f>
        <v>0</v>
      </c>
      <c r="AJ53" s="174">
        <f>'2018'!AJ53+'2019'!AJ53+'2020'!AJ53+'2021'!AJ53+'2022'!AJ37</f>
        <v>0</v>
      </c>
      <c r="AK53" s="174">
        <f>'2018'!AK53+'2019'!AK53+'2020'!AK53+'2021'!AK53+'2022'!AK37</f>
        <v>0</v>
      </c>
      <c r="AL53" s="174">
        <f>'2018'!AL53+'2019'!AL53+'2020'!AL53+'2021'!AL53+'2022'!AL37</f>
        <v>0</v>
      </c>
      <c r="AM53" s="174">
        <f>'2018'!AM53+'2019'!AM53+'2020'!AM53+'2021'!AM53+'2022'!AM37</f>
        <v>0</v>
      </c>
      <c r="AN53" s="174">
        <f>'2018'!AN53+'2019'!AN53+'2020'!AN53+'2021'!AN53+'2022'!AN37</f>
        <v>0</v>
      </c>
      <c r="AO53" s="174">
        <f>'2018'!AO53+'2019'!AO53+'2020'!AO53+'2021'!AO53+'2022'!AO37</f>
        <v>0</v>
      </c>
      <c r="AP53" s="174">
        <f>'2018'!AP53+'2019'!AP53+'2020'!AP53+'2021'!AP53+'2022'!AP37</f>
        <v>0</v>
      </c>
      <c r="AQ53" s="174">
        <f>'2018'!AQ53+'2019'!AQ53+'2020'!AQ53+'2021'!AQ53+'2022'!AQ37</f>
        <v>0</v>
      </c>
      <c r="AR53" s="174">
        <f>'2018'!AR53+'2019'!AR53+'2020'!AR53+'2021'!AR53+'2022'!AR37</f>
        <v>0</v>
      </c>
      <c r="AS53" s="174">
        <f>'2018'!AS53+'2019'!AS53+'2020'!AS53+'2021'!AS53+'2022'!AS37</f>
        <v>0</v>
      </c>
      <c r="AT53" s="174">
        <f>'2018'!AT53+'2019'!AT53+'2020'!AT53+'2021'!AT53+'2022'!AT37</f>
        <v>288</v>
      </c>
      <c r="AU53" s="174">
        <f>'2018'!AU53+'2019'!AU53+'2020'!AU53+'2021'!AU53+'2022'!AU37</f>
        <v>0</v>
      </c>
      <c r="AV53" s="174">
        <f>'2018'!AV53+'2019'!AV53+'2020'!AV53+'2021'!AV53+'2022'!AV37</f>
        <v>0</v>
      </c>
      <c r="AW53" s="174">
        <f t="shared" si="3"/>
        <v>288</v>
      </c>
      <c r="AX53" s="156">
        <f t="shared" si="5"/>
        <v>151.57333333333332</v>
      </c>
      <c r="AY53" s="14">
        <f>'2018'!AX53+'2019'!AX53+'2020'!AX53+'2021'!AX53+'2022'!AX37</f>
        <v>757.86666666666667</v>
      </c>
      <c r="AZ53" s="14">
        <f t="shared" si="11"/>
        <v>93.811074918566774</v>
      </c>
      <c r="BA53" s="142"/>
      <c r="BB53" s="142"/>
      <c r="BC53" s="142"/>
    </row>
    <row r="54" spans="1:55" x14ac:dyDescent="0.25">
      <c r="A54" s="175" t="s">
        <v>32</v>
      </c>
      <c r="B54" s="176">
        <f>'2018'!B54+'2019'!B54+'2020'!B54+'2021'!B54+'2022'!B38</f>
        <v>5</v>
      </c>
      <c r="C54" s="176">
        <f>'2018'!C54+'2019'!C54+'2020'!C54+'2021'!C54+'2022'!C38</f>
        <v>0</v>
      </c>
      <c r="D54" s="176">
        <f>'2018'!D54+'2019'!D54+'2020'!D54+'2021'!D54+'2022'!D38</f>
        <v>7</v>
      </c>
      <c r="E54" s="176">
        <f>'2018'!E54+'2019'!E54+'2020'!E54+'2021'!E54+'2022'!E38</f>
        <v>0</v>
      </c>
      <c r="F54" s="176">
        <f>'2018'!F54+'2019'!F54+'2020'!F54+'2021'!F54+'2022'!F38</f>
        <v>0</v>
      </c>
      <c r="G54" s="176">
        <f>'2018'!G54+'2019'!G54+'2020'!G54+'2021'!G54+'2022'!G38</f>
        <v>0</v>
      </c>
      <c r="H54" s="176">
        <f>'2018'!H54+'2019'!H54+'2020'!H54+'2021'!H54+'2022'!H38</f>
        <v>1</v>
      </c>
      <c r="I54" s="176">
        <f>'2018'!I54+'2019'!I54+'2020'!I54+'2021'!I54+'2022'!I38</f>
        <v>0</v>
      </c>
      <c r="J54" s="176">
        <f>'2018'!J54+'2019'!J54+'2020'!J54+'2021'!J54+'2022'!J38</f>
        <v>0</v>
      </c>
      <c r="K54" s="176">
        <f>'2018'!K54+'2019'!K54+'2020'!K54+'2021'!K54+'2022'!K38</f>
        <v>0</v>
      </c>
      <c r="L54" s="176">
        <f>'2018'!L54+'2019'!L54+'2020'!L54+'2021'!L54+'2022'!L38</f>
        <v>1</v>
      </c>
      <c r="M54" s="176">
        <f>'2018'!M54+'2019'!M54+'2020'!M54+'2021'!M54+'2022'!M38</f>
        <v>0</v>
      </c>
      <c r="N54" s="176">
        <f>'2018'!N54+'2019'!N54+'2020'!N54+'2021'!N54+'2022'!N38</f>
        <v>0</v>
      </c>
      <c r="O54" s="176">
        <f>'2018'!O54+'2019'!O54+'2020'!O54+'2021'!O54+'2022'!O38</f>
        <v>0</v>
      </c>
      <c r="P54" s="176">
        <f>'2018'!P54+'2019'!P54+'2020'!P54+'2021'!P54+'2022'!P38</f>
        <v>0</v>
      </c>
      <c r="Q54" s="176">
        <f>'2018'!Q54+'2019'!Q54+'2020'!Q54+'2021'!Q54+'2022'!Q38</f>
        <v>0</v>
      </c>
      <c r="R54" s="176">
        <f>'2018'!R54+'2019'!R54+'2020'!R54+'2021'!R54+'2022'!R38</f>
        <v>0</v>
      </c>
      <c r="S54" s="176">
        <f>'2018'!S54+'2019'!S54+'2020'!S54+'2021'!S54+'2022'!S38</f>
        <v>0</v>
      </c>
      <c r="T54" s="176">
        <f>'2018'!T54+'2019'!T54+'2020'!T54+'2021'!T54+'2022'!T38</f>
        <v>0</v>
      </c>
      <c r="U54" s="176">
        <f>'2018'!U54+'2019'!U54+'2020'!U54+'2021'!U54+'2022'!U38</f>
        <v>0</v>
      </c>
      <c r="V54" s="176">
        <f>'2018'!V54+'2019'!V54+'2020'!V54+'2021'!V54+'2022'!V38</f>
        <v>2</v>
      </c>
      <c r="W54" s="176">
        <f>'2018'!W54+'2019'!W54+'2020'!W54+'2021'!W54+'2022'!W38</f>
        <v>0</v>
      </c>
      <c r="X54" s="176">
        <f>'2018'!X54+'2019'!X54+'2020'!X54+'2021'!X54+'2022'!X38</f>
        <v>3</v>
      </c>
      <c r="Y54" s="174">
        <f t="shared" si="1"/>
        <v>7</v>
      </c>
      <c r="Z54" s="174">
        <f>'2018'!Z54+'2019'!Z54+'2020'!Z54+'2021'!Z54+'2022'!Z38</f>
        <v>3</v>
      </c>
      <c r="AA54" s="174">
        <f>'2018'!AA54+'2019'!AA54+'2020'!AA54+'2021'!AA54+'2022'!AA38</f>
        <v>0</v>
      </c>
      <c r="AB54" s="174">
        <f>'2018'!AB54+'2019'!AB54+'2020'!AB54+'2021'!AB54+'2022'!AB38</f>
        <v>5</v>
      </c>
      <c r="AC54" s="174">
        <f>'2018'!AC54+'2019'!AC54+'2020'!AC54+'2021'!AC54+'2022'!AC38</f>
        <v>0</v>
      </c>
      <c r="AD54" s="174">
        <f>'2018'!AD54+'2019'!AD54+'2020'!AD54+'2021'!AD54+'2022'!AD38</f>
        <v>0</v>
      </c>
      <c r="AE54" s="174">
        <f>'2018'!AE54+'2019'!AE54+'2020'!AE54+'2021'!AE54+'2022'!AE38</f>
        <v>0</v>
      </c>
      <c r="AF54" s="174">
        <f>'2018'!AF54+'2019'!AF54+'2020'!AF54+'2021'!AF54+'2022'!AF38</f>
        <v>0</v>
      </c>
      <c r="AG54" s="174">
        <f>'2018'!AG54+'2019'!AG54+'2020'!AG54+'2021'!AG54+'2022'!AG38</f>
        <v>0</v>
      </c>
      <c r="AH54" s="174">
        <f>'2018'!AH54+'2019'!AH54+'2020'!AH54+'2021'!AH54+'2022'!AH38</f>
        <v>0</v>
      </c>
      <c r="AI54" s="174">
        <f>'2018'!AI54+'2019'!AI54+'2020'!AI54+'2021'!AI54+'2022'!AI38</f>
        <v>0</v>
      </c>
      <c r="AJ54" s="174">
        <f>'2018'!AJ54+'2019'!AJ54+'2020'!AJ54+'2021'!AJ54+'2022'!AJ38</f>
        <v>1</v>
      </c>
      <c r="AK54" s="174">
        <f>'2018'!AK54+'2019'!AK54+'2020'!AK54+'2021'!AK54+'2022'!AK38</f>
        <v>0</v>
      </c>
      <c r="AL54" s="174">
        <f>'2018'!AL54+'2019'!AL54+'2020'!AL54+'2021'!AL54+'2022'!AL38</f>
        <v>0</v>
      </c>
      <c r="AM54" s="174">
        <f>'2018'!AM54+'2019'!AM54+'2020'!AM54+'2021'!AM54+'2022'!AM38</f>
        <v>0</v>
      </c>
      <c r="AN54" s="174">
        <f>'2018'!AN54+'2019'!AN54+'2020'!AN54+'2021'!AN54+'2022'!AN38</f>
        <v>0</v>
      </c>
      <c r="AO54" s="174">
        <f>'2018'!AO54+'2019'!AO54+'2020'!AO54+'2021'!AO54+'2022'!AO38</f>
        <v>0</v>
      </c>
      <c r="AP54" s="174">
        <f>'2018'!AP54+'2019'!AP54+'2020'!AP54+'2021'!AP54+'2022'!AP38</f>
        <v>0</v>
      </c>
      <c r="AQ54" s="174">
        <f>'2018'!AQ54+'2019'!AQ54+'2020'!AQ54+'2021'!AQ54+'2022'!AQ38</f>
        <v>0</v>
      </c>
      <c r="AR54" s="174">
        <f>'2018'!AR54+'2019'!AR54+'2020'!AR54+'2021'!AR54+'2022'!AR38</f>
        <v>0</v>
      </c>
      <c r="AS54" s="174">
        <f>'2018'!AS54+'2019'!AS54+'2020'!AS54+'2021'!AS54+'2022'!AS38</f>
        <v>0</v>
      </c>
      <c r="AT54" s="174">
        <f>'2018'!AT54+'2019'!AT54+'2020'!AT54+'2021'!AT54+'2022'!AT38</f>
        <v>1</v>
      </c>
      <c r="AU54" s="174">
        <f>'2018'!AU54+'2019'!AU54+'2020'!AU54+'2021'!AU54+'2022'!AU38</f>
        <v>0</v>
      </c>
      <c r="AV54" s="174">
        <f>'2018'!AV54+'2019'!AV54+'2020'!AV54+'2021'!AV54+'2022'!AV38</f>
        <v>3</v>
      </c>
      <c r="AW54" s="174">
        <f t="shared" si="3"/>
        <v>5</v>
      </c>
      <c r="AX54" s="156">
        <f t="shared" si="5"/>
        <v>902</v>
      </c>
      <c r="AY54" s="14">
        <f>'2018'!AX54+'2019'!AX54+'2020'!AX54+'2021'!AX54+'2022'!AX38</f>
        <v>4510</v>
      </c>
      <c r="AZ54" s="14">
        <f t="shared" si="11"/>
        <v>71.428571428571431</v>
      </c>
      <c r="BA54" s="142"/>
      <c r="BB54" s="144"/>
      <c r="BC54" s="142"/>
    </row>
    <row r="55" spans="1:55" x14ac:dyDescent="0.25">
      <c r="A55" s="175" t="s">
        <v>33</v>
      </c>
      <c r="B55" s="176">
        <f>'2018'!B55+'2019'!B55+'2020'!B55+'2021'!B55+'2022'!B39</f>
        <v>7</v>
      </c>
      <c r="C55" s="176">
        <f>'2018'!C55+'2019'!C55+'2020'!C55+'2021'!C55+'2022'!C39</f>
        <v>1</v>
      </c>
      <c r="D55" s="176">
        <f>'2018'!D55+'2019'!D55+'2020'!D55+'2021'!D55+'2022'!D39</f>
        <v>29</v>
      </c>
      <c r="E55" s="176">
        <f>'2018'!E55+'2019'!E55+'2020'!E55+'2021'!E55+'2022'!E39</f>
        <v>1</v>
      </c>
      <c r="F55" s="176">
        <f>'2018'!F55+'2019'!F55+'2020'!F55+'2021'!F55+'2022'!F39</f>
        <v>0</v>
      </c>
      <c r="G55" s="176">
        <f>'2018'!G55+'2019'!G55+'2020'!G55+'2021'!G55+'2022'!G39</f>
        <v>0</v>
      </c>
      <c r="H55" s="176">
        <f>'2018'!H55+'2019'!H55+'2020'!H55+'2021'!H55+'2022'!H39</f>
        <v>0</v>
      </c>
      <c r="I55" s="176">
        <f>'2018'!I55+'2019'!I55+'2020'!I55+'2021'!I55+'2022'!I39</f>
        <v>0</v>
      </c>
      <c r="J55" s="176">
        <f>'2018'!J55+'2019'!J55+'2020'!J55+'2021'!J55+'2022'!J39</f>
        <v>0</v>
      </c>
      <c r="K55" s="176">
        <f>'2018'!K55+'2019'!K55+'2020'!K55+'2021'!K55+'2022'!K39</f>
        <v>0</v>
      </c>
      <c r="L55" s="176">
        <f>'2018'!L55+'2019'!L55+'2020'!L55+'2021'!L55+'2022'!L39</f>
        <v>0</v>
      </c>
      <c r="M55" s="176">
        <f>'2018'!M55+'2019'!M55+'2020'!M55+'2021'!M55+'2022'!M39</f>
        <v>0</v>
      </c>
      <c r="N55" s="176">
        <f>'2018'!N55+'2019'!N55+'2020'!N55+'2021'!N55+'2022'!N39</f>
        <v>8</v>
      </c>
      <c r="O55" s="176">
        <f>'2018'!O55+'2019'!O55+'2020'!O55+'2021'!O55+'2022'!O39</f>
        <v>0</v>
      </c>
      <c r="P55" s="176">
        <f>'2018'!P55+'2019'!P55+'2020'!P55+'2021'!P55+'2022'!P39</f>
        <v>0</v>
      </c>
      <c r="Q55" s="176">
        <f>'2018'!Q55+'2019'!Q55+'2020'!Q55+'2021'!Q55+'2022'!Q39</f>
        <v>0</v>
      </c>
      <c r="R55" s="176">
        <f>'2018'!R55+'2019'!R55+'2020'!R55+'2021'!R55+'2022'!R39</f>
        <v>0</v>
      </c>
      <c r="S55" s="176">
        <f>'2018'!S55+'2019'!S55+'2020'!S55+'2021'!S55+'2022'!S39</f>
        <v>0</v>
      </c>
      <c r="T55" s="176">
        <f>'2018'!T55+'2019'!T55+'2020'!T55+'2021'!T55+'2022'!T39</f>
        <v>0</v>
      </c>
      <c r="U55" s="176">
        <f>'2018'!U55+'2019'!U55+'2020'!U55+'2021'!U55+'2022'!U39</f>
        <v>2</v>
      </c>
      <c r="V55" s="176">
        <f>'2018'!V55+'2019'!V55+'2020'!V55+'2021'!V55+'2022'!V39</f>
        <v>1</v>
      </c>
      <c r="W55" s="176">
        <f>'2018'!W55+'2019'!W55+'2020'!W55+'2021'!W55+'2022'!W39</f>
        <v>0</v>
      </c>
      <c r="X55" s="176">
        <f>'2018'!X55+'2019'!X55+'2020'!X55+'2021'!X55+'2022'!X39</f>
        <v>18</v>
      </c>
      <c r="Y55" s="174">
        <f t="shared" si="1"/>
        <v>29</v>
      </c>
      <c r="Z55" s="174">
        <f>'2018'!Z55+'2019'!Z55+'2020'!Z55+'2021'!Z55+'2022'!Z39</f>
        <v>3</v>
      </c>
      <c r="AA55" s="174">
        <f>'2018'!AA55+'2019'!AA55+'2020'!AA55+'2021'!AA55+'2022'!AA39</f>
        <v>0</v>
      </c>
      <c r="AB55" s="174">
        <f>'2018'!AB55+'2019'!AB55+'2020'!AB55+'2021'!AB55+'2022'!AB39</f>
        <v>18</v>
      </c>
      <c r="AC55" s="174">
        <f>'2018'!AC55+'2019'!AC55+'2020'!AC55+'2021'!AC55+'2022'!AC39</f>
        <v>0</v>
      </c>
      <c r="AD55" s="174">
        <f>'2018'!AD55+'2019'!AD55+'2020'!AD55+'2021'!AD55+'2022'!AD39</f>
        <v>0</v>
      </c>
      <c r="AE55" s="174">
        <f>'2018'!AE55+'2019'!AE55+'2020'!AE55+'2021'!AE55+'2022'!AE39</f>
        <v>0</v>
      </c>
      <c r="AF55" s="174">
        <f>'2018'!AF55+'2019'!AF55+'2020'!AF55+'2021'!AF55+'2022'!AF39</f>
        <v>0</v>
      </c>
      <c r="AG55" s="174">
        <f>'2018'!AG55+'2019'!AG55+'2020'!AG55+'2021'!AG55+'2022'!AG39</f>
        <v>0</v>
      </c>
      <c r="AH55" s="174">
        <f>'2018'!AH55+'2019'!AH55+'2020'!AH55+'2021'!AH55+'2022'!AH39</f>
        <v>0</v>
      </c>
      <c r="AI55" s="174">
        <f>'2018'!AI55+'2019'!AI55+'2020'!AI55+'2021'!AI55+'2022'!AI39</f>
        <v>0</v>
      </c>
      <c r="AJ55" s="174">
        <f>'2018'!AJ55+'2019'!AJ55+'2020'!AJ55+'2021'!AJ55+'2022'!AJ39</f>
        <v>0</v>
      </c>
      <c r="AK55" s="174">
        <f>'2018'!AK55+'2019'!AK55+'2020'!AK55+'2021'!AK55+'2022'!AK39</f>
        <v>0</v>
      </c>
      <c r="AL55" s="174">
        <f>'2018'!AL55+'2019'!AL55+'2020'!AL55+'2021'!AL55+'2022'!AL39</f>
        <v>0</v>
      </c>
      <c r="AM55" s="174">
        <f>'2018'!AM55+'2019'!AM55+'2020'!AM55+'2021'!AM55+'2022'!AM39</f>
        <v>0</v>
      </c>
      <c r="AN55" s="174">
        <f>'2018'!AN55+'2019'!AN55+'2020'!AN55+'2021'!AN55+'2022'!AN39</f>
        <v>0</v>
      </c>
      <c r="AO55" s="174">
        <f>'2018'!AO55+'2019'!AO55+'2020'!AO55+'2021'!AO55+'2022'!AO39</f>
        <v>0</v>
      </c>
      <c r="AP55" s="174">
        <f>'2018'!AP55+'2019'!AP55+'2020'!AP55+'2021'!AP55+'2022'!AP39</f>
        <v>0</v>
      </c>
      <c r="AQ55" s="174">
        <f>'2018'!AQ55+'2019'!AQ55+'2020'!AQ55+'2021'!AQ55+'2022'!AQ39</f>
        <v>0</v>
      </c>
      <c r="AR55" s="174">
        <f>'2018'!AR55+'2019'!AR55+'2020'!AR55+'2021'!AR55+'2022'!AR39</f>
        <v>0</v>
      </c>
      <c r="AS55" s="174">
        <f>'2018'!AS55+'2019'!AS55+'2020'!AS55+'2021'!AS55+'2022'!AS39</f>
        <v>0</v>
      </c>
      <c r="AT55" s="174">
        <f>'2018'!AT55+'2019'!AT55+'2020'!AT55+'2021'!AT55+'2022'!AT39</f>
        <v>0</v>
      </c>
      <c r="AU55" s="174">
        <f>'2018'!AU55+'2019'!AU55+'2020'!AU55+'2021'!AU55+'2022'!AU39</f>
        <v>0</v>
      </c>
      <c r="AV55" s="174">
        <f>'2018'!AV55+'2019'!AV55+'2020'!AV55+'2021'!AV55+'2022'!AV39</f>
        <v>18</v>
      </c>
      <c r="AW55" s="174">
        <f t="shared" si="3"/>
        <v>18</v>
      </c>
      <c r="AX55" s="156">
        <f t="shared" si="5"/>
        <v>412</v>
      </c>
      <c r="AY55" s="14">
        <f>'2018'!AX55+'2019'!AX55+'2020'!AX55+'2021'!AX55+'2022'!AX39</f>
        <v>2060</v>
      </c>
      <c r="AZ55" s="14">
        <f t="shared" si="11"/>
        <v>62.068965517241381</v>
      </c>
      <c r="BA55" s="142"/>
      <c r="BB55" s="142"/>
      <c r="BC55" s="142"/>
    </row>
    <row r="56" spans="1:55" x14ac:dyDescent="0.25">
      <c r="A56" s="175" t="s">
        <v>34</v>
      </c>
      <c r="B56" s="176">
        <f>'2018'!B56+'2019'!B56+'2020'!B56+'2021'!B56+'2022'!B40</f>
        <v>5</v>
      </c>
      <c r="C56" s="176">
        <f>'2018'!C56+'2019'!C56+'2020'!C56+'2021'!C56+'2022'!C40</f>
        <v>1</v>
      </c>
      <c r="D56" s="176">
        <f>'2018'!D56+'2019'!D56+'2020'!D56+'2021'!D56+'2022'!D40</f>
        <v>57</v>
      </c>
      <c r="E56" s="176">
        <f>'2018'!E56+'2019'!E56+'2020'!E56+'2021'!E56+'2022'!E40</f>
        <v>30</v>
      </c>
      <c r="F56" s="176">
        <f>'2018'!F56+'2019'!F56+'2020'!F56+'2021'!F56+'2022'!F40</f>
        <v>0</v>
      </c>
      <c r="G56" s="176">
        <f>'2018'!G56+'2019'!G56+'2020'!G56+'2021'!G56+'2022'!G40</f>
        <v>0</v>
      </c>
      <c r="H56" s="176">
        <f>'2018'!H56+'2019'!H56+'2020'!H56+'2021'!H56+'2022'!H40</f>
        <v>0</v>
      </c>
      <c r="I56" s="176">
        <f>'2018'!I56+'2019'!I56+'2020'!I56+'2021'!I56+'2022'!I40</f>
        <v>0</v>
      </c>
      <c r="J56" s="176">
        <f>'2018'!J56+'2019'!J56+'2020'!J56+'2021'!J56+'2022'!J40</f>
        <v>0</v>
      </c>
      <c r="K56" s="176">
        <f>'2018'!K56+'2019'!K56+'2020'!K56+'2021'!K56+'2022'!K40</f>
        <v>0</v>
      </c>
      <c r="L56" s="176">
        <f>'2018'!L56+'2019'!L56+'2020'!L56+'2021'!L56+'2022'!L40</f>
        <v>27</v>
      </c>
      <c r="M56" s="176">
        <f>'2018'!M56+'2019'!M56+'2020'!M56+'2021'!M56+'2022'!M40</f>
        <v>0</v>
      </c>
      <c r="N56" s="176">
        <f>'2018'!N56+'2019'!N56+'2020'!N56+'2021'!N56+'2022'!N40</f>
        <v>0</v>
      </c>
      <c r="O56" s="176">
        <f>'2018'!O56+'2019'!O56+'2020'!O56+'2021'!O56+'2022'!O40</f>
        <v>0</v>
      </c>
      <c r="P56" s="176">
        <f>'2018'!P56+'2019'!P56+'2020'!P56+'2021'!P56+'2022'!P40</f>
        <v>0</v>
      </c>
      <c r="Q56" s="176">
        <f>'2018'!Q56+'2019'!Q56+'2020'!Q56+'2021'!Q56+'2022'!Q40</f>
        <v>0</v>
      </c>
      <c r="R56" s="176">
        <f>'2018'!R56+'2019'!R56+'2020'!R56+'2021'!R56+'2022'!R40</f>
        <v>0</v>
      </c>
      <c r="S56" s="176">
        <f>'2018'!S56+'2019'!S56+'2020'!S56+'2021'!S56+'2022'!S40</f>
        <v>0</v>
      </c>
      <c r="T56" s="176">
        <f>'2018'!T56+'2019'!T56+'2020'!T56+'2021'!T56+'2022'!T40</f>
        <v>0</v>
      </c>
      <c r="U56" s="176">
        <f>'2018'!U56+'2019'!U56+'2020'!U56+'2021'!U56+'2022'!U40</f>
        <v>0</v>
      </c>
      <c r="V56" s="176">
        <f>'2018'!V56+'2019'!V56+'2020'!V56+'2021'!V56+'2022'!V40</f>
        <v>0</v>
      </c>
      <c r="W56" s="176">
        <f>'2018'!W56+'2019'!W56+'2020'!W56+'2021'!W56+'2022'!W40</f>
        <v>0</v>
      </c>
      <c r="X56" s="176">
        <f>'2018'!X56+'2019'!X56+'2020'!X56+'2021'!X56+'2022'!X40</f>
        <v>30</v>
      </c>
      <c r="Y56" s="174">
        <f t="shared" si="1"/>
        <v>57</v>
      </c>
      <c r="Z56" s="174">
        <f>'2018'!Z56+'2019'!Z56+'2020'!Z56+'2021'!Z56+'2022'!Z40</f>
        <v>1</v>
      </c>
      <c r="AA56" s="174">
        <f>'2018'!AA56+'2019'!AA56+'2020'!AA56+'2021'!AA56+'2022'!AA40</f>
        <v>1</v>
      </c>
      <c r="AB56" s="174">
        <f>'2018'!AB56+'2019'!AB56+'2020'!AB56+'2021'!AB56+'2022'!AB40</f>
        <v>26</v>
      </c>
      <c r="AC56" s="174">
        <f>'2018'!AC56+'2019'!AC56+'2020'!AC56+'2021'!AC56+'2022'!AC40</f>
        <v>26</v>
      </c>
      <c r="AD56" s="174">
        <f>'2018'!AD56+'2019'!AD56+'2020'!AD56+'2021'!AD56+'2022'!AD40</f>
        <v>0</v>
      </c>
      <c r="AE56" s="174">
        <f>'2018'!AE56+'2019'!AE56+'2020'!AE56+'2021'!AE56+'2022'!AE40</f>
        <v>0</v>
      </c>
      <c r="AF56" s="174">
        <f>'2018'!AF56+'2019'!AF56+'2020'!AF56+'2021'!AF56+'2022'!AF40</f>
        <v>0</v>
      </c>
      <c r="AG56" s="174">
        <f>'2018'!AG56+'2019'!AG56+'2020'!AG56+'2021'!AG56+'2022'!AG40</f>
        <v>0</v>
      </c>
      <c r="AH56" s="174">
        <f>'2018'!AH56+'2019'!AH56+'2020'!AH56+'2021'!AH56+'2022'!AH40</f>
        <v>0</v>
      </c>
      <c r="AI56" s="174">
        <f>'2018'!AI56+'2019'!AI56+'2020'!AI56+'2021'!AI56+'2022'!AI40</f>
        <v>0</v>
      </c>
      <c r="AJ56" s="174">
        <f>'2018'!AJ56+'2019'!AJ56+'2020'!AJ56+'2021'!AJ56+'2022'!AJ40</f>
        <v>0</v>
      </c>
      <c r="AK56" s="174">
        <f>'2018'!AK56+'2019'!AK56+'2020'!AK56+'2021'!AK56+'2022'!AK40</f>
        <v>0</v>
      </c>
      <c r="AL56" s="174">
        <f>'2018'!AL56+'2019'!AL56+'2020'!AL56+'2021'!AL56+'2022'!AL40</f>
        <v>0</v>
      </c>
      <c r="AM56" s="174">
        <f>'2018'!AM56+'2019'!AM56+'2020'!AM56+'2021'!AM56+'2022'!AM40</f>
        <v>0</v>
      </c>
      <c r="AN56" s="174">
        <f>'2018'!AN56+'2019'!AN56+'2020'!AN56+'2021'!AN56+'2022'!AN40</f>
        <v>0</v>
      </c>
      <c r="AO56" s="174">
        <f>'2018'!AO56+'2019'!AO56+'2020'!AO56+'2021'!AO56+'2022'!AO40</f>
        <v>0</v>
      </c>
      <c r="AP56" s="174">
        <f>'2018'!AP56+'2019'!AP56+'2020'!AP56+'2021'!AP56+'2022'!AP40</f>
        <v>0</v>
      </c>
      <c r="AQ56" s="174">
        <f>'2018'!AQ56+'2019'!AQ56+'2020'!AQ56+'2021'!AQ56+'2022'!AQ40</f>
        <v>0</v>
      </c>
      <c r="AR56" s="174">
        <f>'2018'!AR56+'2019'!AR56+'2020'!AR56+'2021'!AR56+'2022'!AR40</f>
        <v>0</v>
      </c>
      <c r="AS56" s="174">
        <f>'2018'!AS56+'2019'!AS56+'2020'!AS56+'2021'!AS56+'2022'!AS40</f>
        <v>0</v>
      </c>
      <c r="AT56" s="174">
        <f>'2018'!AT56+'2019'!AT56+'2020'!AT56+'2021'!AT56+'2022'!AT40</f>
        <v>0</v>
      </c>
      <c r="AU56" s="174">
        <f>'2018'!AU56+'2019'!AU56+'2020'!AU56+'2021'!AU56+'2022'!AU40</f>
        <v>0</v>
      </c>
      <c r="AV56" s="174">
        <f>'2018'!AV56+'2019'!AV56+'2020'!AV56+'2021'!AV56+'2022'!AV40</f>
        <v>26</v>
      </c>
      <c r="AW56" s="174">
        <f t="shared" si="3"/>
        <v>26</v>
      </c>
      <c r="AX56" s="156">
        <f t="shared" si="5"/>
        <v>57.6</v>
      </c>
      <c r="AY56" s="14">
        <f>'2018'!AX56+'2019'!AX56+'2020'!AX56+'2021'!AX56+'2022'!AX40</f>
        <v>288</v>
      </c>
      <c r="AZ56" s="14">
        <f t="shared" si="11"/>
        <v>45.614035087719301</v>
      </c>
      <c r="BA56" s="142"/>
      <c r="BB56" s="144"/>
      <c r="BC56" s="142"/>
    </row>
    <row r="57" spans="1:55" x14ac:dyDescent="0.25">
      <c r="A57" s="175" t="s">
        <v>35</v>
      </c>
      <c r="B57" s="176">
        <f>'2018'!B57+'2019'!B57+'2020'!B57+'2021'!B57+'2022'!B41</f>
        <v>9</v>
      </c>
      <c r="C57" s="176">
        <f>'2018'!C57+'2019'!C57+'2020'!C57+'2021'!C57+'2022'!C41</f>
        <v>1</v>
      </c>
      <c r="D57" s="176">
        <f>'2018'!D57+'2019'!D57+'2020'!D57+'2021'!D57+'2022'!D41</f>
        <v>116</v>
      </c>
      <c r="E57" s="176">
        <f>'2018'!E57+'2019'!E57+'2020'!E57+'2021'!E57+'2022'!E41</f>
        <v>32</v>
      </c>
      <c r="F57" s="176">
        <f>'2018'!F57+'2019'!F57+'2020'!F57+'2021'!F57+'2022'!F41</f>
        <v>0</v>
      </c>
      <c r="G57" s="176">
        <f>'2018'!G57+'2019'!G57+'2020'!G57+'2021'!G57+'2022'!G41</f>
        <v>0</v>
      </c>
      <c r="H57" s="176">
        <f>'2018'!H57+'2019'!H57+'2020'!H57+'2021'!H57+'2022'!H41</f>
        <v>64</v>
      </c>
      <c r="I57" s="176">
        <f>'2018'!I57+'2019'!I57+'2020'!I57+'2021'!I57+'2022'!I41</f>
        <v>5</v>
      </c>
      <c r="J57" s="176">
        <f>'2018'!J57+'2019'!J57+'2020'!J57+'2021'!J57+'2022'!J41</f>
        <v>12</v>
      </c>
      <c r="K57" s="176">
        <f>'2018'!K57+'2019'!K57+'2020'!K57+'2021'!K57+'2022'!K41</f>
        <v>0</v>
      </c>
      <c r="L57" s="176">
        <f>'2018'!L57+'2019'!L57+'2020'!L57+'2021'!L57+'2022'!L41</f>
        <v>0</v>
      </c>
      <c r="M57" s="176">
        <f>'2018'!M57+'2019'!M57+'2020'!M57+'2021'!M57+'2022'!M41</f>
        <v>0</v>
      </c>
      <c r="N57" s="176">
        <f>'2018'!N57+'2019'!N57+'2020'!N57+'2021'!N57+'2022'!N41</f>
        <v>0</v>
      </c>
      <c r="O57" s="176">
        <f>'2018'!O57+'2019'!O57+'2020'!O57+'2021'!O57+'2022'!O41</f>
        <v>0</v>
      </c>
      <c r="P57" s="176">
        <f>'2018'!P57+'2019'!P57+'2020'!P57+'2021'!P57+'2022'!P41</f>
        <v>0</v>
      </c>
      <c r="Q57" s="176">
        <f>'2018'!Q57+'2019'!Q57+'2020'!Q57+'2021'!Q57+'2022'!Q41</f>
        <v>0</v>
      </c>
      <c r="R57" s="176">
        <f>'2018'!R57+'2019'!R57+'2020'!R57+'2021'!R57+'2022'!R41</f>
        <v>0</v>
      </c>
      <c r="S57" s="176">
        <f>'2018'!S57+'2019'!S57+'2020'!S57+'2021'!S57+'2022'!S41</f>
        <v>3</v>
      </c>
      <c r="T57" s="176">
        <f>'2018'!T57+'2019'!T57+'2020'!T57+'2021'!T57+'2022'!T41</f>
        <v>0</v>
      </c>
      <c r="U57" s="176">
        <f>'2018'!U57+'2019'!U57+'2020'!U57+'2021'!U57+'2022'!U41</f>
        <v>0</v>
      </c>
      <c r="V57" s="176">
        <f>'2018'!V57+'2019'!V57+'2020'!V57+'2021'!V57+'2022'!V41</f>
        <v>32</v>
      </c>
      <c r="W57" s="176">
        <f>'2018'!W57+'2019'!W57+'2020'!W57+'2021'!W57+'2022'!W41</f>
        <v>0</v>
      </c>
      <c r="X57" s="176">
        <f>'2018'!X57+'2019'!X57+'2020'!X57+'2021'!X57+'2022'!X41</f>
        <v>0</v>
      </c>
      <c r="Y57" s="174">
        <f t="shared" si="1"/>
        <v>116</v>
      </c>
      <c r="Z57" s="174">
        <f>'2018'!Z57+'2019'!Z57+'2020'!Z57+'2021'!Z57+'2022'!Z41</f>
        <v>6</v>
      </c>
      <c r="AA57" s="174">
        <f>'2018'!AA57+'2019'!AA57+'2020'!AA57+'2021'!AA57+'2022'!AA41</f>
        <v>1</v>
      </c>
      <c r="AB57" s="174">
        <f>'2018'!AB57+'2019'!AB57+'2020'!AB57+'2021'!AB57+'2022'!AB41</f>
        <v>94</v>
      </c>
      <c r="AC57" s="174">
        <f>'2018'!AC57+'2019'!AC57+'2020'!AC57+'2021'!AC57+'2022'!AC41</f>
        <v>32</v>
      </c>
      <c r="AD57" s="174">
        <f>'2018'!AD57+'2019'!AD57+'2020'!AD57+'2021'!AD57+'2022'!AD41</f>
        <v>0</v>
      </c>
      <c r="AE57" s="174">
        <f>'2018'!AE57+'2019'!AE57+'2020'!AE57+'2021'!AE57+'2022'!AE41</f>
        <v>0</v>
      </c>
      <c r="AF57" s="174">
        <f>'2018'!AF57+'2019'!AF57+'2020'!AF57+'2021'!AF57+'2022'!AF41</f>
        <v>42</v>
      </c>
      <c r="AG57" s="174">
        <f>'2018'!AG57+'2019'!AG57+'2020'!AG57+'2021'!AG57+'2022'!AG41</f>
        <v>5</v>
      </c>
      <c r="AH57" s="174">
        <f>'2018'!AH57+'2019'!AH57+'2020'!AH57+'2021'!AH57+'2022'!AH41</f>
        <v>12</v>
      </c>
      <c r="AI57" s="174">
        <f>'2018'!AI57+'2019'!AI57+'2020'!AI57+'2021'!AI57+'2022'!AI41</f>
        <v>0</v>
      </c>
      <c r="AJ57" s="174">
        <f>'2018'!AJ57+'2019'!AJ57+'2020'!AJ57+'2021'!AJ57+'2022'!AJ41</f>
        <v>0</v>
      </c>
      <c r="AK57" s="174">
        <f>'2018'!AK57+'2019'!AK57+'2020'!AK57+'2021'!AK57+'2022'!AK41</f>
        <v>0</v>
      </c>
      <c r="AL57" s="174">
        <f>'2018'!AL57+'2019'!AL57+'2020'!AL57+'2021'!AL57+'2022'!AL41</f>
        <v>0</v>
      </c>
      <c r="AM57" s="174">
        <f>'2018'!AM57+'2019'!AM57+'2020'!AM57+'2021'!AM57+'2022'!AM41</f>
        <v>0</v>
      </c>
      <c r="AN57" s="174">
        <f>'2018'!AN57+'2019'!AN57+'2020'!AN57+'2021'!AN57+'2022'!AN41</f>
        <v>0</v>
      </c>
      <c r="AO57" s="174">
        <f>'2018'!AO57+'2019'!AO57+'2020'!AO57+'2021'!AO57+'2022'!AO41</f>
        <v>0</v>
      </c>
      <c r="AP57" s="174">
        <f>'2018'!AP57+'2019'!AP57+'2020'!AP57+'2021'!AP57+'2022'!AP41</f>
        <v>0</v>
      </c>
      <c r="AQ57" s="174">
        <f>'2018'!AQ57+'2019'!AQ57+'2020'!AQ57+'2021'!AQ57+'2022'!AQ41</f>
        <v>3</v>
      </c>
      <c r="AR57" s="174">
        <f>'2018'!AR57+'2019'!AR57+'2020'!AR57+'2021'!AR57+'2022'!AR41</f>
        <v>0</v>
      </c>
      <c r="AS57" s="174">
        <f>'2018'!AS57+'2019'!AS57+'2020'!AS57+'2021'!AS57+'2022'!AS41</f>
        <v>0</v>
      </c>
      <c r="AT57" s="174">
        <f>'2018'!AT57+'2019'!AT57+'2020'!AT57+'2021'!AT57+'2022'!AT41</f>
        <v>32</v>
      </c>
      <c r="AU57" s="174">
        <f>'2018'!AU57+'2019'!AU57+'2020'!AU57+'2021'!AU57+'2022'!AU41</f>
        <v>0</v>
      </c>
      <c r="AV57" s="174">
        <f>'2018'!AV57+'2019'!AV57+'2020'!AV57+'2021'!AV57+'2022'!AV41</f>
        <v>0</v>
      </c>
      <c r="AW57" s="174">
        <f t="shared" si="3"/>
        <v>94</v>
      </c>
      <c r="AX57" s="156">
        <f t="shared" si="5"/>
        <v>470.33333333333337</v>
      </c>
      <c r="AY57" s="14">
        <f>'2018'!AX57+'2019'!AX57+'2020'!AX57+'2021'!AX57+'2022'!AX41</f>
        <v>2351.666666666667</v>
      </c>
      <c r="AZ57" s="14">
        <f t="shared" si="11"/>
        <v>81.034482758620683</v>
      </c>
      <c r="BA57" s="142"/>
      <c r="BB57" s="144"/>
      <c r="BC57" s="142"/>
    </row>
    <row r="58" spans="1:55" x14ac:dyDescent="0.25">
      <c r="A58" s="175" t="s">
        <v>36</v>
      </c>
      <c r="B58" s="176">
        <f>'2018'!B58+'2019'!B58+'2020'!B58+'2021'!B58+'2022'!B42</f>
        <v>65</v>
      </c>
      <c r="C58" s="176">
        <f>'2018'!C58+'2019'!C58+'2020'!C58+'2021'!C58+'2022'!C42</f>
        <v>0</v>
      </c>
      <c r="D58" s="176">
        <f>'2018'!D58+'2019'!D58+'2020'!D58+'2021'!D58+'2022'!D42</f>
        <v>99</v>
      </c>
      <c r="E58" s="176">
        <f>'2018'!E58+'2019'!E58+'2020'!E58+'2021'!E58+'2022'!E42</f>
        <v>0</v>
      </c>
      <c r="F58" s="176">
        <f>'2018'!F58+'2019'!F58+'2020'!F58+'2021'!F58+'2022'!F42</f>
        <v>0</v>
      </c>
      <c r="G58" s="176">
        <f>'2018'!G58+'2019'!G58+'2020'!G58+'2021'!G58+'2022'!G42</f>
        <v>0</v>
      </c>
      <c r="H58" s="176">
        <f>'2018'!H58+'2019'!H58+'2020'!H58+'2021'!H58+'2022'!H42</f>
        <v>20</v>
      </c>
      <c r="I58" s="176">
        <f>'2018'!I58+'2019'!I58+'2020'!I58+'2021'!I58+'2022'!I42</f>
        <v>0</v>
      </c>
      <c r="J58" s="176">
        <f>'2018'!J58+'2019'!J58+'2020'!J58+'2021'!J58+'2022'!J42</f>
        <v>0</v>
      </c>
      <c r="K58" s="176">
        <f>'2018'!K58+'2019'!K58+'2020'!K58+'2021'!K58+'2022'!K42</f>
        <v>0</v>
      </c>
      <c r="L58" s="176">
        <f>'2018'!L58+'2019'!L58+'2020'!L58+'2021'!L58+'2022'!L42</f>
        <v>1</v>
      </c>
      <c r="M58" s="176">
        <f>'2018'!M58+'2019'!M58+'2020'!M58+'2021'!M58+'2022'!M42</f>
        <v>0</v>
      </c>
      <c r="N58" s="176">
        <f>'2018'!N58+'2019'!N58+'2020'!N58+'2021'!N58+'2022'!N42</f>
        <v>0</v>
      </c>
      <c r="O58" s="176">
        <f>'2018'!O58+'2019'!O58+'2020'!O58+'2021'!O58+'2022'!O42</f>
        <v>0</v>
      </c>
      <c r="P58" s="176">
        <f>'2018'!P58+'2019'!P58+'2020'!P58+'2021'!P58+'2022'!P42</f>
        <v>0</v>
      </c>
      <c r="Q58" s="176">
        <f>'2018'!Q58+'2019'!Q58+'2020'!Q58+'2021'!Q58+'2022'!Q42</f>
        <v>3</v>
      </c>
      <c r="R58" s="176">
        <f>'2018'!R58+'2019'!R58+'2020'!R58+'2021'!R58+'2022'!R42</f>
        <v>0</v>
      </c>
      <c r="S58" s="176">
        <f>'2018'!S58+'2019'!S58+'2020'!S58+'2021'!S58+'2022'!S42</f>
        <v>0</v>
      </c>
      <c r="T58" s="176">
        <f>'2018'!T58+'2019'!T58+'2020'!T58+'2021'!T58+'2022'!T42</f>
        <v>0</v>
      </c>
      <c r="U58" s="176">
        <f>'2018'!U58+'2019'!U58+'2020'!U58+'2021'!U58+'2022'!U42</f>
        <v>1</v>
      </c>
      <c r="V58" s="176">
        <f>'2018'!V58+'2019'!V58+'2020'!V58+'2021'!V58+'2022'!V42</f>
        <v>17</v>
      </c>
      <c r="W58" s="176">
        <f>'2018'!W58+'2019'!W58+'2020'!W58+'2021'!W58+'2022'!W42</f>
        <v>8</v>
      </c>
      <c r="X58" s="176">
        <f>'2018'!X58+'2019'!X58+'2020'!X58+'2021'!X58+'2022'!X42</f>
        <v>49</v>
      </c>
      <c r="Y58" s="174">
        <f t="shared" si="1"/>
        <v>99</v>
      </c>
      <c r="Z58" s="174">
        <f>'2018'!Z58+'2019'!Z58+'2020'!Z58+'2021'!Z58+'2022'!Z42</f>
        <v>35</v>
      </c>
      <c r="AA58" s="174">
        <f>'2018'!AA58+'2019'!AA58+'2020'!AA58+'2021'!AA58+'2022'!AA42</f>
        <v>0</v>
      </c>
      <c r="AB58" s="174">
        <f>'2018'!AB58+'2019'!AB58+'2020'!AB58+'2021'!AB58+'2022'!AB42</f>
        <v>57</v>
      </c>
      <c r="AC58" s="174">
        <f>'2018'!AC58+'2019'!AC58+'2020'!AC58+'2021'!AC58+'2022'!AC42</f>
        <v>0</v>
      </c>
      <c r="AD58" s="174">
        <f>'2018'!AD58+'2019'!AD58+'2020'!AD58+'2021'!AD58+'2022'!AD42</f>
        <v>0</v>
      </c>
      <c r="AE58" s="174">
        <f>'2018'!AE58+'2019'!AE58+'2020'!AE58+'2021'!AE58+'2022'!AE42</f>
        <v>0</v>
      </c>
      <c r="AF58" s="174">
        <f>'2018'!AF58+'2019'!AF58+'2020'!AF58+'2021'!AF58+'2022'!AF42</f>
        <v>15</v>
      </c>
      <c r="AG58" s="174">
        <f>'2018'!AG58+'2019'!AG58+'2020'!AG58+'2021'!AG58+'2022'!AG42</f>
        <v>0</v>
      </c>
      <c r="AH58" s="174">
        <f>'2018'!AH58+'2019'!AH58+'2020'!AH58+'2021'!AH58+'2022'!AH42</f>
        <v>0</v>
      </c>
      <c r="AI58" s="174">
        <f>'2018'!AI58+'2019'!AI58+'2020'!AI58+'2021'!AI58+'2022'!AI42</f>
        <v>0</v>
      </c>
      <c r="AJ58" s="174">
        <f>'2018'!AJ58+'2019'!AJ58+'2020'!AJ58+'2021'!AJ58+'2022'!AJ42</f>
        <v>0</v>
      </c>
      <c r="AK58" s="174">
        <f>'2018'!AK58+'2019'!AK58+'2020'!AK58+'2021'!AK58+'2022'!AK42</f>
        <v>0</v>
      </c>
      <c r="AL58" s="174">
        <f>'2018'!AL58+'2019'!AL58+'2020'!AL58+'2021'!AL58+'2022'!AL42</f>
        <v>0</v>
      </c>
      <c r="AM58" s="174">
        <f>'2018'!AM58+'2019'!AM58+'2020'!AM58+'2021'!AM58+'2022'!AM42</f>
        <v>0</v>
      </c>
      <c r="AN58" s="174">
        <f>'2018'!AN58+'2019'!AN58+'2020'!AN58+'2021'!AN58+'2022'!AN42</f>
        <v>0</v>
      </c>
      <c r="AO58" s="174">
        <f>'2018'!AO58+'2019'!AO58+'2020'!AO58+'2021'!AO58+'2022'!AO42</f>
        <v>1</v>
      </c>
      <c r="AP58" s="174">
        <f>'2018'!AP58+'2019'!AP58+'2020'!AP58+'2021'!AP58+'2022'!AP42</f>
        <v>0</v>
      </c>
      <c r="AQ58" s="174">
        <f>'2018'!AQ58+'2019'!AQ58+'2020'!AQ58+'2021'!AQ58+'2022'!AQ42</f>
        <v>0</v>
      </c>
      <c r="AR58" s="174">
        <f>'2018'!AR58+'2019'!AR58+'2020'!AR58+'2021'!AR58+'2022'!AR42</f>
        <v>0</v>
      </c>
      <c r="AS58" s="174">
        <f>'2018'!AS58+'2019'!AS58+'2020'!AS58+'2021'!AS58+'2022'!AS42</f>
        <v>0</v>
      </c>
      <c r="AT58" s="174">
        <f>'2018'!AT58+'2019'!AT58+'2020'!AT58+'2021'!AT58+'2022'!AT42</f>
        <v>10</v>
      </c>
      <c r="AU58" s="174">
        <f>'2018'!AU58+'2019'!AU58+'2020'!AU58+'2021'!AU58+'2022'!AU42</f>
        <v>4</v>
      </c>
      <c r="AV58" s="174">
        <f>'2018'!AV58+'2019'!AV58+'2020'!AV58+'2021'!AV58+'2022'!AV42</f>
        <v>27</v>
      </c>
      <c r="AW58" s="174">
        <f t="shared" si="3"/>
        <v>57</v>
      </c>
      <c r="AX58" s="156">
        <f t="shared" si="5"/>
        <v>983.10247619047607</v>
      </c>
      <c r="AY58" s="14">
        <f>'2018'!AX58+'2019'!AX58+'2020'!AX58+'2021'!AX58+'2022'!AX42</f>
        <v>4915.5123809523802</v>
      </c>
      <c r="AZ58" s="14">
        <f t="shared" si="11"/>
        <v>57.575757575757578</v>
      </c>
      <c r="BA58" s="142"/>
      <c r="BB58" s="142"/>
      <c r="BC58" s="142"/>
    </row>
    <row r="59" spans="1:55" x14ac:dyDescent="0.25">
      <c r="A59" s="175" t="s">
        <v>37</v>
      </c>
      <c r="B59" s="176">
        <f>'2018'!B59+'2019'!B59+'2020'!B59+'2021'!B59+'2022'!B43</f>
        <v>6</v>
      </c>
      <c r="C59" s="176">
        <f>'2018'!C59+'2019'!C59+'2020'!C59+'2021'!C59+'2022'!C43</f>
        <v>2</v>
      </c>
      <c r="D59" s="176">
        <f>'2018'!D59+'2019'!D59+'2020'!D59+'2021'!D59+'2022'!D43</f>
        <v>32</v>
      </c>
      <c r="E59" s="176">
        <f>'2018'!E59+'2019'!E59+'2020'!E59+'2021'!E59+'2022'!E43</f>
        <v>6</v>
      </c>
      <c r="F59" s="176">
        <f>'2018'!F59+'2019'!F59+'2020'!F59+'2021'!F59+'2022'!F43</f>
        <v>0</v>
      </c>
      <c r="G59" s="176">
        <f>'2018'!G59+'2019'!G59+'2020'!G59+'2021'!G59+'2022'!G43</f>
        <v>0</v>
      </c>
      <c r="H59" s="176">
        <f>'2018'!H59+'2019'!H59+'2020'!H59+'2021'!H59+'2022'!H43</f>
        <v>24</v>
      </c>
      <c r="I59" s="176">
        <f>'2018'!I59+'2019'!I59+'2020'!I59+'2021'!I59+'2022'!I43</f>
        <v>0</v>
      </c>
      <c r="J59" s="176">
        <f>'2018'!J59+'2019'!J59+'2020'!J59+'2021'!J59+'2022'!J43</f>
        <v>0</v>
      </c>
      <c r="K59" s="176">
        <f>'2018'!K59+'2019'!K59+'2020'!K59+'2021'!K59+'2022'!K43</f>
        <v>0</v>
      </c>
      <c r="L59" s="176">
        <f>'2018'!L59+'2019'!L59+'2020'!L59+'2021'!L59+'2022'!L43</f>
        <v>0</v>
      </c>
      <c r="M59" s="176">
        <f>'2018'!M59+'2019'!M59+'2020'!M59+'2021'!M59+'2022'!M43</f>
        <v>0</v>
      </c>
      <c r="N59" s="176">
        <f>'2018'!N59+'2019'!N59+'2020'!N59+'2021'!N59+'2022'!N43</f>
        <v>0</v>
      </c>
      <c r="O59" s="176">
        <f>'2018'!O59+'2019'!O59+'2020'!O59+'2021'!O59+'2022'!O43</f>
        <v>0</v>
      </c>
      <c r="P59" s="176">
        <f>'2018'!P59+'2019'!P59+'2020'!P59+'2021'!P59+'2022'!P43</f>
        <v>0</v>
      </c>
      <c r="Q59" s="176">
        <f>'2018'!Q59+'2019'!Q59+'2020'!Q59+'2021'!Q59+'2022'!Q43</f>
        <v>0</v>
      </c>
      <c r="R59" s="176">
        <f>'2018'!R59+'2019'!R59+'2020'!R59+'2021'!R59+'2022'!R43</f>
        <v>1</v>
      </c>
      <c r="S59" s="176">
        <f>'2018'!S59+'2019'!S59+'2020'!S59+'2021'!S59+'2022'!S43</f>
        <v>0</v>
      </c>
      <c r="T59" s="176">
        <f>'2018'!T59+'2019'!T59+'2020'!T59+'2021'!T59+'2022'!T43</f>
        <v>0</v>
      </c>
      <c r="U59" s="176">
        <f>'2018'!U59+'2019'!U59+'2020'!U59+'2021'!U59+'2022'!U43</f>
        <v>0</v>
      </c>
      <c r="V59" s="176">
        <f>'2018'!V59+'2019'!V59+'2020'!V59+'2021'!V59+'2022'!V43</f>
        <v>5</v>
      </c>
      <c r="W59" s="176">
        <f>'2018'!W59+'2019'!W59+'2020'!W59+'2021'!W59+'2022'!W43</f>
        <v>0</v>
      </c>
      <c r="X59" s="176">
        <f>'2018'!X59+'2019'!X59+'2020'!X59+'2021'!X59+'2022'!X43</f>
        <v>2</v>
      </c>
      <c r="Y59" s="174">
        <f t="shared" si="1"/>
        <v>32</v>
      </c>
      <c r="Z59" s="174">
        <f>'2018'!Z59+'2019'!Z59+'2020'!Z59+'2021'!Z59+'2022'!Z43</f>
        <v>3</v>
      </c>
      <c r="AA59" s="174">
        <f>'2018'!AA59+'2019'!AA59+'2020'!AA59+'2021'!AA59+'2022'!AA43</f>
        <v>2</v>
      </c>
      <c r="AB59" s="174">
        <f>'2018'!AB59+'2019'!AB59+'2020'!AB59+'2021'!AB59+'2022'!AB43</f>
        <v>5</v>
      </c>
      <c r="AC59" s="174">
        <f>'2018'!AC59+'2019'!AC59+'2020'!AC59+'2021'!AC59+'2022'!AC43</f>
        <v>4</v>
      </c>
      <c r="AD59" s="174">
        <f>'2018'!AD59+'2019'!AD59+'2020'!AD59+'2021'!AD59+'2022'!AD43</f>
        <v>0</v>
      </c>
      <c r="AE59" s="174">
        <f>'2018'!AE59+'2019'!AE59+'2020'!AE59+'2021'!AE59+'2022'!AE43</f>
        <v>0</v>
      </c>
      <c r="AF59" s="174">
        <f>'2018'!AF59+'2019'!AF59+'2020'!AF59+'2021'!AF59+'2022'!AF43</f>
        <v>0</v>
      </c>
      <c r="AG59" s="174">
        <f>'2018'!AG59+'2019'!AG59+'2020'!AG59+'2021'!AG59+'2022'!AG43</f>
        <v>0</v>
      </c>
      <c r="AH59" s="174">
        <f>'2018'!AH59+'2019'!AH59+'2020'!AH59+'2021'!AH59+'2022'!AH43</f>
        <v>0</v>
      </c>
      <c r="AI59" s="174">
        <f>'2018'!AI59+'2019'!AI59+'2020'!AI59+'2021'!AI59+'2022'!AI43</f>
        <v>0</v>
      </c>
      <c r="AJ59" s="174">
        <f>'2018'!AJ59+'2019'!AJ59+'2020'!AJ59+'2021'!AJ59+'2022'!AJ43</f>
        <v>0</v>
      </c>
      <c r="AK59" s="174">
        <f>'2018'!AK59+'2019'!AK59+'2020'!AK59+'2021'!AK59+'2022'!AK43</f>
        <v>0</v>
      </c>
      <c r="AL59" s="174">
        <f>'2018'!AL59+'2019'!AL59+'2020'!AL59+'2021'!AL59+'2022'!AL43</f>
        <v>0</v>
      </c>
      <c r="AM59" s="174">
        <f>'2018'!AM59+'2019'!AM59+'2020'!AM59+'2021'!AM59+'2022'!AM43</f>
        <v>0</v>
      </c>
      <c r="AN59" s="174">
        <f>'2018'!AN59+'2019'!AN59+'2020'!AN59+'2021'!AN59+'2022'!AN43</f>
        <v>0</v>
      </c>
      <c r="AO59" s="174">
        <f>'2018'!AO59+'2019'!AO59+'2020'!AO59+'2021'!AO59+'2022'!AO43</f>
        <v>0</v>
      </c>
      <c r="AP59" s="174">
        <f>'2018'!AP59+'2019'!AP59+'2020'!AP59+'2021'!AP59+'2022'!AP43</f>
        <v>1</v>
      </c>
      <c r="AQ59" s="174">
        <f>'2018'!AQ59+'2019'!AQ59+'2020'!AQ59+'2021'!AQ59+'2022'!AQ43</f>
        <v>0</v>
      </c>
      <c r="AR59" s="174">
        <f>'2018'!AR59+'2019'!AR59+'2020'!AR59+'2021'!AR59+'2022'!AR43</f>
        <v>0</v>
      </c>
      <c r="AS59" s="174">
        <f>'2018'!AS59+'2019'!AS59+'2020'!AS59+'2021'!AS59+'2022'!AS43</f>
        <v>0</v>
      </c>
      <c r="AT59" s="174">
        <f>'2018'!AT59+'2019'!AT59+'2020'!AT59+'2021'!AT59+'2022'!AT43</f>
        <v>3</v>
      </c>
      <c r="AU59" s="174">
        <f>'2018'!AU59+'2019'!AU59+'2020'!AU59+'2021'!AU59+'2022'!AU43</f>
        <v>0</v>
      </c>
      <c r="AV59" s="174">
        <f>'2018'!AV59+'2019'!AV59+'2020'!AV59+'2021'!AV59+'2022'!AV43</f>
        <v>1</v>
      </c>
      <c r="AW59" s="174">
        <f t="shared" si="3"/>
        <v>5</v>
      </c>
      <c r="AX59" s="156">
        <f t="shared" si="5"/>
        <v>250.66666666666666</v>
      </c>
      <c r="AY59" s="14">
        <f>'2018'!AX59+'2019'!AX59+'2020'!AX59+'2021'!AX59+'2022'!AX43</f>
        <v>1253.3333333333333</v>
      </c>
      <c r="AZ59" s="14">
        <f t="shared" si="11"/>
        <v>15.625</v>
      </c>
      <c r="BA59" s="142"/>
      <c r="BB59" s="142"/>
      <c r="BC59" s="142"/>
    </row>
    <row r="60" spans="1:55" x14ac:dyDescent="0.25">
      <c r="A60" s="175" t="s">
        <v>38</v>
      </c>
      <c r="B60" s="176">
        <f>'2018'!B60+'2019'!B60+'2020'!B60+'2021'!B60+'2022'!B28</f>
        <v>10</v>
      </c>
      <c r="C60" s="176">
        <f>'2018'!C60+'2019'!C60+'2020'!C60+'2021'!C60+'2022'!C28</f>
        <v>3</v>
      </c>
      <c r="D60" s="176">
        <f>'2018'!D60+'2019'!D60+'2020'!D60+'2021'!D60+'2022'!D28</f>
        <v>139</v>
      </c>
      <c r="E60" s="176">
        <f>'2018'!E60+'2019'!E60+'2020'!E60+'2021'!E60+'2022'!E28</f>
        <v>115</v>
      </c>
      <c r="F60" s="176">
        <f>'2018'!F60+'2019'!F60+'2020'!F60+'2021'!F60+'2022'!F28</f>
        <v>0</v>
      </c>
      <c r="G60" s="176">
        <f>'2018'!G60+'2019'!G60+'2020'!G60+'2021'!G60+'2022'!G28</f>
        <v>0</v>
      </c>
      <c r="H60" s="176">
        <f>'2018'!H60+'2019'!H60+'2020'!H60+'2021'!H60+'2022'!H28</f>
        <v>22</v>
      </c>
      <c r="I60" s="176">
        <f>'2018'!I60+'2019'!I60+'2020'!I60+'2021'!I60+'2022'!I28</f>
        <v>0</v>
      </c>
      <c r="J60" s="176">
        <f>'2018'!J60+'2019'!J60+'2020'!J60+'2021'!J60+'2022'!J28</f>
        <v>0</v>
      </c>
      <c r="K60" s="176">
        <f>'2018'!K60+'2019'!K60+'2020'!K60+'2021'!K60+'2022'!K28</f>
        <v>0</v>
      </c>
      <c r="L60" s="176">
        <f>'2018'!L60+'2019'!L60+'2020'!L60+'2021'!L60+'2022'!L28</f>
        <v>0</v>
      </c>
      <c r="M60" s="176">
        <f>'2018'!M60+'2019'!M60+'2020'!M60+'2021'!M60+'2022'!M28</f>
        <v>0</v>
      </c>
      <c r="N60" s="176">
        <f>'2018'!N60+'2019'!N60+'2020'!N60+'2021'!N60+'2022'!N28</f>
        <v>0</v>
      </c>
      <c r="O60" s="176">
        <f>'2018'!O60+'2019'!O60+'2020'!O60+'2021'!O60+'2022'!O28</f>
        <v>0</v>
      </c>
      <c r="P60" s="176">
        <f>'2018'!P60+'2019'!P60+'2020'!P60+'2021'!P60+'2022'!P28</f>
        <v>0</v>
      </c>
      <c r="Q60" s="176">
        <f>'2018'!Q60+'2019'!Q60+'2020'!Q60+'2021'!Q60+'2022'!Q28</f>
        <v>0</v>
      </c>
      <c r="R60" s="176">
        <f>'2018'!R60+'2019'!R60+'2020'!R60+'2021'!R60+'2022'!R28</f>
        <v>0</v>
      </c>
      <c r="S60" s="176">
        <f>'2018'!S60+'2019'!S60+'2020'!S60+'2021'!S60+'2022'!S28</f>
        <v>0</v>
      </c>
      <c r="T60" s="176">
        <f>'2018'!T60+'2019'!T60+'2020'!T60+'2021'!T60+'2022'!T28</f>
        <v>0</v>
      </c>
      <c r="U60" s="176">
        <f>'2018'!U60+'2019'!U60+'2020'!U60+'2021'!U60+'2022'!U28</f>
        <v>2</v>
      </c>
      <c r="V60" s="176">
        <f>'2018'!V60+'2019'!V60+'2020'!V60+'2021'!V60+'2022'!V28</f>
        <v>115</v>
      </c>
      <c r="W60" s="176">
        <f>'2018'!W60+'2019'!W60+'2020'!W60+'2021'!W60+'2022'!W28</f>
        <v>0</v>
      </c>
      <c r="X60" s="176">
        <f>'2018'!X60+'2019'!X60+'2020'!X60+'2021'!X60+'2022'!X28</f>
        <v>0</v>
      </c>
      <c r="Y60" s="174">
        <f t="shared" si="1"/>
        <v>139</v>
      </c>
      <c r="Z60" s="174">
        <f>'2018'!Z60+'2019'!Z60+'2020'!Z60+'2021'!Z60+'2022'!Z28</f>
        <v>7</v>
      </c>
      <c r="AA60" s="174">
        <f>'2018'!AA60+'2019'!AA60+'2020'!AA60+'2021'!AA60+'2022'!AA28</f>
        <v>2</v>
      </c>
      <c r="AB60" s="174">
        <f>'2018'!AB60+'2019'!AB60+'2020'!AB60+'2021'!AB60+'2022'!AB28</f>
        <v>93</v>
      </c>
      <c r="AC60" s="174">
        <f>'2018'!AC60+'2019'!AC60+'2020'!AC60+'2021'!AC60+'2022'!AC28</f>
        <v>82</v>
      </c>
      <c r="AD60" s="174">
        <f>'2018'!AD60+'2019'!AD60+'2020'!AD60+'2021'!AD60+'2022'!AD28</f>
        <v>0</v>
      </c>
      <c r="AE60" s="174">
        <f>'2018'!AE60+'2019'!AE60+'2020'!AE60+'2021'!AE60+'2022'!AE28</f>
        <v>0</v>
      </c>
      <c r="AF60" s="174">
        <f>'2018'!AF60+'2019'!AF60+'2020'!AF60+'2021'!AF60+'2022'!AF28</f>
        <v>9</v>
      </c>
      <c r="AG60" s="174">
        <f>'2018'!AG60+'2019'!AG60+'2020'!AG60+'2021'!AG60+'2022'!AG28</f>
        <v>0</v>
      </c>
      <c r="AH60" s="174">
        <f>'2018'!AH60+'2019'!AH60+'2020'!AH60+'2021'!AH60+'2022'!AH28</f>
        <v>0</v>
      </c>
      <c r="AI60" s="174">
        <f>'2018'!AI60+'2019'!AI60+'2020'!AI60+'2021'!AI60+'2022'!AI28</f>
        <v>0</v>
      </c>
      <c r="AJ60" s="174">
        <f>'2018'!AJ60+'2019'!AJ60+'2020'!AJ60+'2021'!AJ60+'2022'!AJ28</f>
        <v>0</v>
      </c>
      <c r="AK60" s="174">
        <f>'2018'!AK60+'2019'!AK60+'2020'!AK60+'2021'!AK60+'2022'!AK28</f>
        <v>0</v>
      </c>
      <c r="AL60" s="174">
        <f>'2018'!AL60+'2019'!AL60+'2020'!AL60+'2021'!AL60+'2022'!AL28</f>
        <v>0</v>
      </c>
      <c r="AM60" s="174">
        <f>'2018'!AM60+'2019'!AM60+'2020'!AM60+'2021'!AM60+'2022'!AM28</f>
        <v>0</v>
      </c>
      <c r="AN60" s="174">
        <f>'2018'!AN60+'2019'!AN60+'2020'!AN60+'2021'!AN60+'2022'!AN28</f>
        <v>0</v>
      </c>
      <c r="AO60" s="174">
        <f>'2018'!AO60+'2019'!AO60+'2020'!AO60+'2021'!AO60+'2022'!AO28</f>
        <v>0</v>
      </c>
      <c r="AP60" s="174">
        <f>'2018'!AP60+'2019'!AP60+'2020'!AP60+'2021'!AP60+'2022'!AP28</f>
        <v>0</v>
      </c>
      <c r="AQ60" s="174">
        <f>'2018'!AQ60+'2019'!AQ60+'2020'!AQ60+'2021'!AQ60+'2022'!AQ28</f>
        <v>0</v>
      </c>
      <c r="AR60" s="174">
        <f>'2018'!AR60+'2019'!AR60+'2020'!AR60+'2021'!AR60+'2022'!AR28</f>
        <v>0</v>
      </c>
      <c r="AS60" s="174">
        <f>'2018'!AS60+'2019'!AS60+'2020'!AS60+'2021'!AS60+'2022'!AS28</f>
        <v>2</v>
      </c>
      <c r="AT60" s="174">
        <f>'2018'!AT60+'2019'!AT60+'2020'!AT60+'2021'!AT60+'2022'!AT28</f>
        <v>82</v>
      </c>
      <c r="AU60" s="174">
        <f>'2018'!AU60+'2019'!AU60+'2020'!AU60+'2021'!AU60+'2022'!AU28</f>
        <v>0</v>
      </c>
      <c r="AV60" s="174">
        <f>'2018'!AV60+'2019'!AV60+'2020'!AV60+'2021'!AV60+'2022'!AV28</f>
        <v>0</v>
      </c>
      <c r="AW60" s="174">
        <f t="shared" si="3"/>
        <v>93</v>
      </c>
      <c r="AX60" s="156">
        <f t="shared" si="5"/>
        <v>2099.6</v>
      </c>
      <c r="AY60" s="14">
        <f>'2018'!AX60+'2019'!AX60+'2020'!AX60+'2021'!AX60+'2022'!AX28</f>
        <v>10498</v>
      </c>
      <c r="AZ60" s="14">
        <f t="shared" si="11"/>
        <v>66.906474820143885</v>
      </c>
      <c r="BA60" s="142"/>
      <c r="BB60" s="144"/>
      <c r="BC60" s="142"/>
    </row>
    <row r="61" spans="1:55" x14ac:dyDescent="0.25">
      <c r="A61" s="175" t="s">
        <v>39</v>
      </c>
      <c r="B61" s="176">
        <f>'2018'!B61+'2019'!B61+'2020'!B61+'2021'!B61+'2022'!B29</f>
        <v>4</v>
      </c>
      <c r="C61" s="176">
        <f>'2018'!C61+'2019'!C61+'2020'!C61+'2021'!C61+'2022'!C29</f>
        <v>3</v>
      </c>
      <c r="D61" s="176">
        <f>'2018'!D61+'2019'!D61+'2020'!D61+'2021'!D61+'2022'!D29</f>
        <v>70</v>
      </c>
      <c r="E61" s="176">
        <f>'2018'!E61+'2019'!E61+'2020'!E61+'2021'!E61+'2022'!E29</f>
        <v>48</v>
      </c>
      <c r="F61" s="176">
        <f>'2018'!F61+'2019'!F61+'2020'!F61+'2021'!F61+'2022'!F29</f>
        <v>0</v>
      </c>
      <c r="G61" s="176">
        <f>'2018'!G61+'2019'!G61+'2020'!G61+'2021'!G61+'2022'!G29</f>
        <v>0</v>
      </c>
      <c r="H61" s="176">
        <f>'2018'!H61+'2019'!H61+'2020'!H61+'2021'!H61+'2022'!H29</f>
        <v>0</v>
      </c>
      <c r="I61" s="176">
        <f>'2018'!I61+'2019'!I61+'2020'!I61+'2021'!I61+'2022'!I29</f>
        <v>0</v>
      </c>
      <c r="J61" s="176">
        <f>'2018'!J61+'2019'!J61+'2020'!J61+'2021'!J61+'2022'!J29</f>
        <v>0</v>
      </c>
      <c r="K61" s="176">
        <f>'2018'!K61+'2019'!K61+'2020'!K61+'2021'!K61+'2022'!K29</f>
        <v>0</v>
      </c>
      <c r="L61" s="176">
        <f>'2018'!L61+'2019'!L61+'2020'!L61+'2021'!L61+'2022'!L29</f>
        <v>0</v>
      </c>
      <c r="M61" s="176">
        <f>'2018'!M61+'2019'!M61+'2020'!M61+'2021'!M61+'2022'!M29</f>
        <v>0</v>
      </c>
      <c r="N61" s="176">
        <f>'2018'!N61+'2019'!N61+'2020'!N61+'2021'!N61+'2022'!N29</f>
        <v>0</v>
      </c>
      <c r="O61" s="176">
        <f>'2018'!O61+'2019'!O61+'2020'!O61+'2021'!O61+'2022'!O29</f>
        <v>0</v>
      </c>
      <c r="P61" s="176">
        <f>'2018'!P61+'2019'!P61+'2020'!P61+'2021'!P61+'2022'!P29</f>
        <v>0</v>
      </c>
      <c r="Q61" s="176">
        <f>'2018'!Q61+'2019'!Q61+'2020'!Q61+'2021'!Q61+'2022'!Q29</f>
        <v>0</v>
      </c>
      <c r="R61" s="176">
        <f>'2018'!R61+'2019'!R61+'2020'!R61+'2021'!R61+'2022'!R29</f>
        <v>0</v>
      </c>
      <c r="S61" s="176">
        <f>'2018'!S61+'2019'!S61+'2020'!S61+'2021'!S61+'2022'!S29</f>
        <v>0</v>
      </c>
      <c r="T61" s="176">
        <f>'2018'!T61+'2019'!T61+'2020'!T61+'2021'!T61+'2022'!T29</f>
        <v>0</v>
      </c>
      <c r="U61" s="176">
        <f>'2018'!U61+'2019'!U61+'2020'!U61+'2021'!U61+'2022'!U29</f>
        <v>0</v>
      </c>
      <c r="V61" s="176">
        <f>'2018'!V61+'2019'!V61+'2020'!V61+'2021'!V61+'2022'!V29</f>
        <v>70</v>
      </c>
      <c r="W61" s="176">
        <f>'2018'!W61+'2019'!W61+'2020'!W61+'2021'!W61+'2022'!W29</f>
        <v>0</v>
      </c>
      <c r="X61" s="176">
        <f>'2018'!X61+'2019'!X61+'2020'!X61+'2021'!X61+'2022'!X29</f>
        <v>0</v>
      </c>
      <c r="Y61" s="174">
        <f t="shared" si="1"/>
        <v>70</v>
      </c>
      <c r="Z61" s="174">
        <f>'2018'!Z61+'2019'!Z61+'2020'!Z61+'2021'!Z61+'2022'!Z29</f>
        <v>4</v>
      </c>
      <c r="AA61" s="174">
        <f>'2018'!AA61+'2019'!AA61+'2020'!AA61+'2021'!AA61+'2022'!AA29</f>
        <v>3</v>
      </c>
      <c r="AB61" s="174">
        <f>'2018'!AB61+'2019'!AB61+'2020'!AB61+'2021'!AB61+'2022'!AB29</f>
        <v>66</v>
      </c>
      <c r="AC61" s="174">
        <f>'2018'!AC61+'2019'!AC61+'2020'!AC61+'2021'!AC61+'2022'!AC29</f>
        <v>44</v>
      </c>
      <c r="AD61" s="174">
        <f>'2018'!AD61+'2019'!AD61+'2020'!AD61+'2021'!AD61+'2022'!AD29</f>
        <v>0</v>
      </c>
      <c r="AE61" s="174">
        <f>'2018'!AE61+'2019'!AE61+'2020'!AE61+'2021'!AE61+'2022'!AE29</f>
        <v>0</v>
      </c>
      <c r="AF61" s="174">
        <f>'2018'!AF61+'2019'!AF61+'2020'!AF61+'2021'!AF61+'2022'!AF29</f>
        <v>0</v>
      </c>
      <c r="AG61" s="174">
        <f>'2018'!AG61+'2019'!AG61+'2020'!AG61+'2021'!AG61+'2022'!AG29</f>
        <v>0</v>
      </c>
      <c r="AH61" s="174">
        <f>'2018'!AH61+'2019'!AH61+'2020'!AH61+'2021'!AH61+'2022'!AH29</f>
        <v>0</v>
      </c>
      <c r="AI61" s="174">
        <f>'2018'!AI61+'2019'!AI61+'2020'!AI61+'2021'!AI61+'2022'!AI29</f>
        <v>0</v>
      </c>
      <c r="AJ61" s="174">
        <f>'2018'!AJ61+'2019'!AJ61+'2020'!AJ61+'2021'!AJ61+'2022'!AJ29</f>
        <v>0</v>
      </c>
      <c r="AK61" s="174">
        <f>'2018'!AK61+'2019'!AK61+'2020'!AK61+'2021'!AK61+'2022'!AK29</f>
        <v>0</v>
      </c>
      <c r="AL61" s="174">
        <f>'2018'!AL61+'2019'!AL61+'2020'!AL61+'2021'!AL61+'2022'!AL29</f>
        <v>0</v>
      </c>
      <c r="AM61" s="174">
        <f>'2018'!AM61+'2019'!AM61+'2020'!AM61+'2021'!AM61+'2022'!AM29</f>
        <v>0</v>
      </c>
      <c r="AN61" s="174">
        <f>'2018'!AN61+'2019'!AN61+'2020'!AN61+'2021'!AN61+'2022'!AN29</f>
        <v>0</v>
      </c>
      <c r="AO61" s="174">
        <f>'2018'!AO61+'2019'!AO61+'2020'!AO61+'2021'!AO61+'2022'!AO29</f>
        <v>0</v>
      </c>
      <c r="AP61" s="174">
        <f>'2018'!AP61+'2019'!AP61+'2020'!AP61+'2021'!AP61+'2022'!AP29</f>
        <v>0</v>
      </c>
      <c r="AQ61" s="174">
        <f>'2018'!AQ61+'2019'!AQ61+'2020'!AQ61+'2021'!AQ61+'2022'!AQ29</f>
        <v>0</v>
      </c>
      <c r="AR61" s="174">
        <f>'2018'!AR61+'2019'!AR61+'2020'!AR61+'2021'!AR61+'2022'!AR29</f>
        <v>0</v>
      </c>
      <c r="AS61" s="174">
        <f>'2018'!AS61+'2019'!AS61+'2020'!AS61+'2021'!AS61+'2022'!AS29</f>
        <v>0</v>
      </c>
      <c r="AT61" s="174">
        <f>'2018'!AT61+'2019'!AT61+'2020'!AT61+'2021'!AT61+'2022'!AT29</f>
        <v>66</v>
      </c>
      <c r="AU61" s="174">
        <f>'2018'!AU61+'2019'!AU61+'2020'!AU61+'2021'!AU61+'2022'!AU29</f>
        <v>0</v>
      </c>
      <c r="AV61" s="174">
        <f>'2018'!AV61+'2019'!AV61+'2020'!AV61+'2021'!AV61+'2022'!AV29</f>
        <v>0</v>
      </c>
      <c r="AW61" s="174">
        <f t="shared" si="3"/>
        <v>66</v>
      </c>
      <c r="AX61" s="156">
        <f t="shared" si="5"/>
        <v>815.2</v>
      </c>
      <c r="AY61" s="14">
        <f>'2018'!AX61+'2019'!AX61+'2020'!AX61+'2021'!AX61+'2022'!AX29</f>
        <v>4076</v>
      </c>
      <c r="AZ61" s="14">
        <f t="shared" si="11"/>
        <v>94.285714285714292</v>
      </c>
      <c r="BA61" s="142"/>
      <c r="BB61" s="144"/>
      <c r="BC61" s="142"/>
    </row>
    <row r="62" spans="1:55" x14ac:dyDescent="0.25">
      <c r="A62" s="175" t="s">
        <v>40</v>
      </c>
      <c r="B62" s="176">
        <f>'2018'!B62+'2019'!B62+'2020'!B62+'2021'!B62+'2022'!B30</f>
        <v>398</v>
      </c>
      <c r="C62" s="176">
        <f>'2018'!C62+'2019'!C62+'2020'!C62+'2021'!C62+'2022'!C30</f>
        <v>67</v>
      </c>
      <c r="D62" s="176">
        <f>'2018'!D62+'2019'!D62+'2020'!D62+'2021'!D62+'2022'!D30</f>
        <v>1026</v>
      </c>
      <c r="E62" s="176">
        <f>'2018'!E62+'2019'!E62+'2020'!E62+'2021'!E62+'2022'!E30</f>
        <v>280</v>
      </c>
      <c r="F62" s="176">
        <f>'2018'!F62+'2019'!F62+'2020'!F62+'2021'!F62+'2022'!F30</f>
        <v>0</v>
      </c>
      <c r="G62" s="176">
        <f>'2018'!G62+'2019'!G62+'2020'!G62+'2021'!G62+'2022'!G30</f>
        <v>0</v>
      </c>
      <c r="H62" s="176">
        <f>'2018'!H62+'2019'!H62+'2020'!H62+'2021'!H62+'2022'!H30</f>
        <v>11</v>
      </c>
      <c r="I62" s="176">
        <f>'2018'!I62+'2019'!I62+'2020'!I62+'2021'!I62+'2022'!I30</f>
        <v>0</v>
      </c>
      <c r="J62" s="176">
        <f>'2018'!J62+'2019'!J62+'2020'!J62+'2021'!J62+'2022'!J30</f>
        <v>0</v>
      </c>
      <c r="K62" s="176">
        <f>'2018'!K62+'2019'!K62+'2020'!K62+'2021'!K62+'2022'!K30</f>
        <v>42</v>
      </c>
      <c r="L62" s="176">
        <f>'2018'!L62+'2019'!L62+'2020'!L62+'2021'!L62+'2022'!L30</f>
        <v>10</v>
      </c>
      <c r="M62" s="176">
        <f>'2018'!M62+'2019'!M62+'2020'!M62+'2021'!M62+'2022'!M30</f>
        <v>0</v>
      </c>
      <c r="N62" s="176">
        <f>'2018'!N62+'2019'!N62+'2020'!N62+'2021'!N62+'2022'!N30</f>
        <v>0</v>
      </c>
      <c r="O62" s="176">
        <f>'2018'!O62+'2019'!O62+'2020'!O62+'2021'!O62+'2022'!O30</f>
        <v>0</v>
      </c>
      <c r="P62" s="176">
        <f>'2018'!P62+'2019'!P62+'2020'!P62+'2021'!P62+'2022'!P30</f>
        <v>0</v>
      </c>
      <c r="Q62" s="176">
        <f>'2018'!Q62+'2019'!Q62+'2020'!Q62+'2021'!Q62+'2022'!Q30</f>
        <v>0</v>
      </c>
      <c r="R62" s="176">
        <f>'2018'!R62+'2019'!R62+'2020'!R62+'2021'!R62+'2022'!R30</f>
        <v>0</v>
      </c>
      <c r="S62" s="176">
        <f>'2018'!S62+'2019'!S62+'2020'!S62+'2021'!S62+'2022'!S30</f>
        <v>0</v>
      </c>
      <c r="T62" s="176">
        <f>'2018'!T62+'2019'!T62+'2020'!T62+'2021'!T62+'2022'!T30</f>
        <v>0</v>
      </c>
      <c r="U62" s="176">
        <f>'2018'!U62+'2019'!U62+'2020'!U62+'2021'!U62+'2022'!U30</f>
        <v>19</v>
      </c>
      <c r="V62" s="176">
        <f>'2018'!V62+'2019'!V62+'2020'!V62+'2021'!V62+'2022'!V30</f>
        <v>900</v>
      </c>
      <c r="W62" s="176">
        <f>'2018'!W62+'2019'!W62+'2020'!W62+'2021'!W62+'2022'!W30</f>
        <v>14</v>
      </c>
      <c r="X62" s="176">
        <f>'2018'!X62+'2019'!X62+'2020'!X62+'2021'!X62+'2022'!X30</f>
        <v>30</v>
      </c>
      <c r="Y62" s="174">
        <f t="shared" si="1"/>
        <v>1026</v>
      </c>
      <c r="Z62" s="174">
        <f>'2018'!Z62+'2019'!Z62+'2020'!Z62+'2021'!Z62+'2022'!Z30</f>
        <v>298</v>
      </c>
      <c r="AA62" s="174">
        <f>'2018'!AA62+'2019'!AA62+'2020'!AA62+'2021'!AA62+'2022'!AA30</f>
        <v>48</v>
      </c>
      <c r="AB62" s="174">
        <f>'2018'!AB62+'2019'!AB62+'2020'!AB62+'2021'!AB62+'2022'!AB30</f>
        <v>713</v>
      </c>
      <c r="AC62" s="174">
        <f>'2018'!AC62+'2019'!AC62+'2020'!AC62+'2021'!AC62+'2022'!AC30</f>
        <v>186</v>
      </c>
      <c r="AD62" s="174">
        <f>'2018'!AD62+'2019'!AD62+'2020'!AD62+'2021'!AD62+'2022'!AD30</f>
        <v>0</v>
      </c>
      <c r="AE62" s="174">
        <f>'2018'!AE62+'2019'!AE62+'2020'!AE62+'2021'!AE62+'2022'!AE30</f>
        <v>0</v>
      </c>
      <c r="AF62" s="174">
        <f>'2018'!AF62+'2019'!AF62+'2020'!AF62+'2021'!AF62+'2022'!AF30</f>
        <v>4</v>
      </c>
      <c r="AG62" s="174">
        <f>'2018'!AG62+'2019'!AG62+'2020'!AG62+'2021'!AG62+'2022'!AG30</f>
        <v>0</v>
      </c>
      <c r="AH62" s="174">
        <f>'2018'!AH62+'2019'!AH62+'2020'!AH62+'2021'!AH62+'2022'!AH30</f>
        <v>0</v>
      </c>
      <c r="AI62" s="174">
        <f>'2018'!AI62+'2019'!AI62+'2020'!AI62+'2021'!AI62+'2022'!AI30</f>
        <v>8</v>
      </c>
      <c r="AJ62" s="174">
        <f>'2018'!AJ62+'2019'!AJ62+'2020'!AJ62+'2021'!AJ62+'2022'!AJ30</f>
        <v>10</v>
      </c>
      <c r="AK62" s="174">
        <f>'2018'!AK62+'2019'!AK62+'2020'!AK62+'2021'!AK62+'2022'!AK30</f>
        <v>0</v>
      </c>
      <c r="AL62" s="174">
        <f>'2018'!AL62+'2019'!AL62+'2020'!AL62+'2021'!AL62+'2022'!AL30</f>
        <v>0</v>
      </c>
      <c r="AM62" s="174">
        <f>'2018'!AM62+'2019'!AM62+'2020'!AM62+'2021'!AM62+'2022'!AM30</f>
        <v>0</v>
      </c>
      <c r="AN62" s="174">
        <f>'2018'!AN62+'2019'!AN62+'2020'!AN62+'2021'!AN62+'2022'!AN30</f>
        <v>0</v>
      </c>
      <c r="AO62" s="174">
        <f>'2018'!AO62+'2019'!AO62+'2020'!AO62+'2021'!AO62+'2022'!AO30</f>
        <v>0</v>
      </c>
      <c r="AP62" s="174">
        <f>'2018'!AP62+'2019'!AP62+'2020'!AP62+'2021'!AP62+'2022'!AP30</f>
        <v>0</v>
      </c>
      <c r="AQ62" s="174">
        <f>'2018'!AQ62+'2019'!AQ62+'2020'!AQ62+'2021'!AQ62+'2022'!AQ30</f>
        <v>0</v>
      </c>
      <c r="AR62" s="174">
        <f>'2018'!AR62+'2019'!AR62+'2020'!AR62+'2021'!AR62+'2022'!AR30</f>
        <v>0</v>
      </c>
      <c r="AS62" s="174">
        <f>'2018'!AS62+'2019'!AS62+'2020'!AS62+'2021'!AS62+'2022'!AS30</f>
        <v>11</v>
      </c>
      <c r="AT62" s="174">
        <f>'2018'!AT62+'2019'!AT62+'2020'!AT62+'2021'!AT62+'2022'!AT30</f>
        <v>656</v>
      </c>
      <c r="AU62" s="174">
        <f>'2018'!AU62+'2019'!AU62+'2020'!AU62+'2021'!AU62+'2022'!AU30</f>
        <v>14</v>
      </c>
      <c r="AV62" s="174">
        <f>'2018'!AV62+'2019'!AV62+'2020'!AV62+'2021'!AV62+'2022'!AV30</f>
        <v>10</v>
      </c>
      <c r="AW62" s="174">
        <f t="shared" si="3"/>
        <v>713</v>
      </c>
      <c r="AX62" s="156">
        <f t="shared" si="5"/>
        <v>570.79999999999995</v>
      </c>
      <c r="AY62" s="14">
        <f>'2018'!AX62+'2019'!AX62+'2020'!AX62+'2021'!AX62+'2022'!AX30</f>
        <v>2854</v>
      </c>
      <c r="AZ62" s="14">
        <f t="shared" si="11"/>
        <v>69.49317738791423</v>
      </c>
      <c r="BA62" s="142"/>
      <c r="BB62" s="142"/>
      <c r="BC62" s="142"/>
    </row>
    <row r="63" spans="1:55" x14ac:dyDescent="0.25">
      <c r="A63" s="173" t="s">
        <v>41</v>
      </c>
      <c r="B63" s="176">
        <f t="shared" ref="B63:X63" si="12">SUM(B64:B72)</f>
        <v>443</v>
      </c>
      <c r="C63" s="176">
        <f t="shared" si="12"/>
        <v>55</v>
      </c>
      <c r="D63" s="176">
        <f t="shared" si="12"/>
        <v>2352</v>
      </c>
      <c r="E63" s="176">
        <f t="shared" si="12"/>
        <v>251</v>
      </c>
      <c r="F63" s="176">
        <f t="shared" si="12"/>
        <v>0</v>
      </c>
      <c r="G63" s="176">
        <f t="shared" si="12"/>
        <v>0</v>
      </c>
      <c r="H63" s="176">
        <f t="shared" si="12"/>
        <v>706</v>
      </c>
      <c r="I63" s="176">
        <f t="shared" si="12"/>
        <v>20</v>
      </c>
      <c r="J63" s="176">
        <f t="shared" si="12"/>
        <v>31</v>
      </c>
      <c r="K63" s="176">
        <f t="shared" si="12"/>
        <v>178</v>
      </c>
      <c r="L63" s="176">
        <f t="shared" si="12"/>
        <v>554</v>
      </c>
      <c r="M63" s="176">
        <f t="shared" si="12"/>
        <v>26</v>
      </c>
      <c r="N63" s="176">
        <f t="shared" si="12"/>
        <v>84</v>
      </c>
      <c r="O63" s="176">
        <f t="shared" si="12"/>
        <v>48</v>
      </c>
      <c r="P63" s="176">
        <f t="shared" si="12"/>
        <v>96</v>
      </c>
      <c r="Q63" s="176">
        <f t="shared" si="12"/>
        <v>1</v>
      </c>
      <c r="R63" s="176">
        <f t="shared" si="12"/>
        <v>46</v>
      </c>
      <c r="S63" s="176">
        <f t="shared" si="12"/>
        <v>7</v>
      </c>
      <c r="T63" s="176">
        <f t="shared" si="12"/>
        <v>12</v>
      </c>
      <c r="U63" s="176">
        <f t="shared" si="12"/>
        <v>42</v>
      </c>
      <c r="V63" s="176">
        <f t="shared" si="12"/>
        <v>306</v>
      </c>
      <c r="W63" s="176">
        <f t="shared" si="12"/>
        <v>59</v>
      </c>
      <c r="X63" s="176">
        <f t="shared" si="12"/>
        <v>136</v>
      </c>
      <c r="Y63" s="174">
        <f t="shared" si="1"/>
        <v>2352</v>
      </c>
      <c r="Z63" s="174">
        <f t="shared" ref="Z63:AV63" si="13">SUM(Z64:Z72)</f>
        <v>242</v>
      </c>
      <c r="AA63" s="174">
        <f t="shared" si="13"/>
        <v>29</v>
      </c>
      <c r="AB63" s="174">
        <f t="shared" si="13"/>
        <v>1188</v>
      </c>
      <c r="AC63" s="174">
        <f t="shared" si="13"/>
        <v>97</v>
      </c>
      <c r="AD63" s="174">
        <f t="shared" si="13"/>
        <v>0</v>
      </c>
      <c r="AE63" s="174">
        <f t="shared" si="13"/>
        <v>0</v>
      </c>
      <c r="AF63" s="174">
        <f t="shared" si="13"/>
        <v>324</v>
      </c>
      <c r="AG63" s="174">
        <f t="shared" si="13"/>
        <v>9</v>
      </c>
      <c r="AH63" s="174">
        <f t="shared" si="13"/>
        <v>30</v>
      </c>
      <c r="AI63" s="174">
        <f t="shared" si="13"/>
        <v>84</v>
      </c>
      <c r="AJ63" s="174">
        <f t="shared" si="13"/>
        <v>330</v>
      </c>
      <c r="AK63" s="174">
        <f t="shared" si="13"/>
        <v>15</v>
      </c>
      <c r="AL63" s="174">
        <f t="shared" si="13"/>
        <v>67</v>
      </c>
      <c r="AM63" s="174">
        <f t="shared" si="13"/>
        <v>17</v>
      </c>
      <c r="AN63" s="174">
        <f t="shared" si="13"/>
        <v>67</v>
      </c>
      <c r="AO63" s="174">
        <f t="shared" si="13"/>
        <v>1</v>
      </c>
      <c r="AP63" s="174">
        <f t="shared" si="13"/>
        <v>21</v>
      </c>
      <c r="AQ63" s="174">
        <f t="shared" si="13"/>
        <v>8</v>
      </c>
      <c r="AR63" s="174">
        <f t="shared" si="13"/>
        <v>5</v>
      </c>
      <c r="AS63" s="174">
        <f t="shared" si="13"/>
        <v>22</v>
      </c>
      <c r="AT63" s="174">
        <f t="shared" si="13"/>
        <v>145</v>
      </c>
      <c r="AU63" s="174">
        <f t="shared" si="13"/>
        <v>17</v>
      </c>
      <c r="AV63" s="174">
        <f t="shared" si="13"/>
        <v>26</v>
      </c>
      <c r="AW63" s="174">
        <f t="shared" si="3"/>
        <v>1188</v>
      </c>
      <c r="AX63" s="156">
        <v>1816.19</v>
      </c>
      <c r="AY63" s="63"/>
      <c r="AZ63" s="63"/>
      <c r="BA63" s="184">
        <f>Z63*100/B63</f>
        <v>54.627539503386004</v>
      </c>
      <c r="BB63" s="185">
        <f>B63-Z63</f>
        <v>201</v>
      </c>
      <c r="BC63" s="184">
        <f>BB63*100/B63</f>
        <v>45.372460496613996</v>
      </c>
    </row>
    <row r="64" spans="1:55" x14ac:dyDescent="0.25">
      <c r="A64" s="175" t="s">
        <v>133</v>
      </c>
      <c r="B64" s="176">
        <f>'2018'!B64+'2019'!B64+'2020'!B64+'2021'!B64+'2022'!B32</f>
        <v>61</v>
      </c>
      <c r="C64" s="176">
        <f>'2018'!C64+'2019'!C64+'2020'!C64+'2021'!C64+'2022'!C32</f>
        <v>3</v>
      </c>
      <c r="D64" s="176">
        <f>'2018'!D64+'2019'!D64+'2020'!D64+'2021'!D64+'2022'!D32</f>
        <v>228</v>
      </c>
      <c r="E64" s="176">
        <f>'2018'!E64+'2019'!E64+'2020'!E64+'2021'!E64+'2022'!E32</f>
        <v>5</v>
      </c>
      <c r="F64" s="176">
        <f>'2018'!F64+'2019'!F64+'2020'!F64+'2021'!F64+'2022'!F32</f>
        <v>0</v>
      </c>
      <c r="G64" s="176">
        <f>'2018'!G64+'2019'!G64+'2020'!G64+'2021'!G64+'2022'!G32</f>
        <v>0</v>
      </c>
      <c r="H64" s="176">
        <f>'2018'!H64+'2019'!H64+'2020'!H64+'2021'!H64+'2022'!H32</f>
        <v>2</v>
      </c>
      <c r="I64" s="176">
        <f>'2018'!I64+'2019'!I64+'2020'!I64+'2021'!I64+'2022'!I32</f>
        <v>0</v>
      </c>
      <c r="J64" s="176">
        <f>'2018'!J64+'2019'!J64+'2020'!J64+'2021'!J64+'2022'!J32</f>
        <v>0</v>
      </c>
      <c r="K64" s="176">
        <f>'2018'!K64+'2019'!K64+'2020'!K64+'2021'!K64+'2022'!K32</f>
        <v>5</v>
      </c>
      <c r="L64" s="176">
        <f>'2018'!L64+'2019'!L64+'2020'!L64+'2021'!L64+'2022'!L32</f>
        <v>155</v>
      </c>
      <c r="M64" s="176">
        <f>'2018'!M64+'2019'!M64+'2020'!M64+'2021'!M64+'2022'!M32</f>
        <v>0</v>
      </c>
      <c r="N64" s="176">
        <f>'2018'!N64+'2019'!N64+'2020'!N64+'2021'!N64+'2022'!N32</f>
        <v>18</v>
      </c>
      <c r="O64" s="176">
        <f>'2018'!O64+'2019'!O64+'2020'!O64+'2021'!O64+'2022'!O32</f>
        <v>9</v>
      </c>
      <c r="P64" s="176">
        <f>'2018'!P64+'2019'!P64+'2020'!P64+'2021'!P64+'2022'!P32</f>
        <v>7</v>
      </c>
      <c r="Q64" s="176">
        <f>'2018'!Q64+'2019'!Q64+'2020'!Q64+'2021'!Q64+'2022'!Q32</f>
        <v>0</v>
      </c>
      <c r="R64" s="176">
        <f>'2018'!R64+'2019'!R64+'2020'!R64+'2021'!R64+'2022'!R32</f>
        <v>13</v>
      </c>
      <c r="S64" s="176">
        <f>'2018'!S64+'2019'!S64+'2020'!S64+'2021'!S64+'2022'!S32</f>
        <v>5</v>
      </c>
      <c r="T64" s="176">
        <f>'2018'!T64+'2019'!T64+'2020'!T64+'2021'!T64+'2022'!T32</f>
        <v>1</v>
      </c>
      <c r="U64" s="176">
        <f>'2018'!U64+'2019'!U64+'2020'!U64+'2021'!U64+'2022'!U32</f>
        <v>1</v>
      </c>
      <c r="V64" s="176">
        <f>'2018'!V64+'2019'!V64+'2020'!V64+'2021'!V64+'2022'!V32</f>
        <v>3</v>
      </c>
      <c r="W64" s="176">
        <f>'2018'!W64+'2019'!W64+'2020'!W64+'2021'!W64+'2022'!W32</f>
        <v>5</v>
      </c>
      <c r="X64" s="176">
        <f>'2018'!X64+'2019'!X64+'2020'!X64+'2021'!X64+'2022'!X32</f>
        <v>4</v>
      </c>
      <c r="Y64" s="174">
        <f t="shared" si="1"/>
        <v>228</v>
      </c>
      <c r="Z64" s="174">
        <f>'2018'!Z64+'2019'!Z64+'2020'!Z64+'2021'!Z64+'2022'!Z32</f>
        <v>34</v>
      </c>
      <c r="AA64" s="174">
        <f>'2018'!AA64+'2019'!AA64+'2020'!AA64+'2021'!AA64+'2022'!AA32</f>
        <v>1</v>
      </c>
      <c r="AB64" s="174">
        <f>'2018'!AB64+'2019'!AB64+'2020'!AB64+'2021'!AB64+'2022'!AB32</f>
        <v>105</v>
      </c>
      <c r="AC64" s="174">
        <f>'2018'!AC64+'2019'!AC64+'2020'!AC64+'2021'!AC64+'2022'!AC32</f>
        <v>1</v>
      </c>
      <c r="AD64" s="174">
        <f>'2018'!AD64+'2019'!AD64+'2020'!AD64+'2021'!AD64+'2022'!AD32</f>
        <v>0</v>
      </c>
      <c r="AE64" s="174">
        <f>'2018'!AE64+'2019'!AE64+'2020'!AE64+'2021'!AE64+'2022'!AE32</f>
        <v>0</v>
      </c>
      <c r="AF64" s="174">
        <f>'2018'!AF64+'2019'!AF64+'2020'!AF64+'2021'!AF64+'2022'!AF32</f>
        <v>8</v>
      </c>
      <c r="AG64" s="174">
        <f>'2018'!AG64+'2019'!AG64+'2020'!AG64+'2021'!AG64+'2022'!AG32</f>
        <v>0</v>
      </c>
      <c r="AH64" s="174">
        <f>'2018'!AH64+'2019'!AH64+'2020'!AH64+'2021'!AH64+'2022'!AH32</f>
        <v>0</v>
      </c>
      <c r="AI64" s="174">
        <f>'2018'!AI64+'2019'!AI64+'2020'!AI64+'2021'!AI64+'2022'!AI32</f>
        <v>2</v>
      </c>
      <c r="AJ64" s="174">
        <f>'2018'!AJ64+'2019'!AJ64+'2020'!AJ64+'2021'!AJ64+'2022'!AJ32</f>
        <v>60</v>
      </c>
      <c r="AK64" s="174">
        <f>'2018'!AK64+'2019'!AK64+'2020'!AK64+'2021'!AK64+'2022'!AK32</f>
        <v>0</v>
      </c>
      <c r="AL64" s="174">
        <f>'2018'!AL64+'2019'!AL64+'2020'!AL64+'2021'!AL64+'2022'!AL32</f>
        <v>11</v>
      </c>
      <c r="AM64" s="174">
        <f>'2018'!AM64+'2019'!AM64+'2020'!AM64+'2021'!AM64+'2022'!AM32</f>
        <v>4</v>
      </c>
      <c r="AN64" s="174">
        <f>'2018'!AN64+'2019'!AN64+'2020'!AN64+'2021'!AN64+'2022'!AN32</f>
        <v>6</v>
      </c>
      <c r="AO64" s="174">
        <f>'2018'!AO64+'2019'!AO64+'2020'!AO64+'2021'!AO64+'2022'!AO32</f>
        <v>0</v>
      </c>
      <c r="AP64" s="174">
        <f>'2018'!AP64+'2019'!AP64+'2020'!AP64+'2021'!AP64+'2022'!AP32</f>
        <v>4</v>
      </c>
      <c r="AQ64" s="174">
        <f>'2018'!AQ64+'2019'!AQ64+'2020'!AQ64+'2021'!AQ64+'2022'!AQ32</f>
        <v>5</v>
      </c>
      <c r="AR64" s="174">
        <f>'2018'!AR64+'2019'!AR64+'2020'!AR64+'2021'!AR64+'2022'!AR32</f>
        <v>1</v>
      </c>
      <c r="AS64" s="174">
        <f>'2018'!AS64+'2019'!AS64+'2020'!AS64+'2021'!AS64+'2022'!AS32</f>
        <v>1</v>
      </c>
      <c r="AT64" s="174">
        <f>'2018'!AT64+'2019'!AT64+'2020'!AT64+'2021'!AT64+'2022'!AT32</f>
        <v>1</v>
      </c>
      <c r="AU64" s="174">
        <f>'2018'!AU64+'2019'!AU64+'2020'!AU64+'2021'!AU64+'2022'!AU32</f>
        <v>1</v>
      </c>
      <c r="AV64" s="174">
        <f>'2018'!AV64+'2019'!AV64+'2020'!AV64+'2021'!AV64+'2022'!AV32</f>
        <v>1</v>
      </c>
      <c r="AW64" s="174">
        <f t="shared" si="3"/>
        <v>105</v>
      </c>
      <c r="AX64" s="156">
        <f t="shared" si="5"/>
        <v>2890.244285714286</v>
      </c>
      <c r="AY64" s="14">
        <f>'2018'!AX64+'2019'!AX64+'2020'!AX64+'2021'!AX64+'2022'!AX32</f>
        <v>14451.221428571429</v>
      </c>
      <c r="AZ64" s="14">
        <f t="shared" si="11"/>
        <v>46.05263157894737</v>
      </c>
      <c r="BA64" s="142"/>
      <c r="BB64" s="144"/>
      <c r="BC64" s="142"/>
    </row>
    <row r="65" spans="1:55" x14ac:dyDescent="0.25">
      <c r="A65" s="175" t="s">
        <v>96</v>
      </c>
      <c r="B65" s="176">
        <f>'2018'!B65+'2019'!B65+'2020'!B65+'2021'!B65+'2022'!B33</f>
        <v>123</v>
      </c>
      <c r="C65" s="176">
        <f>'2018'!C65+'2019'!C65+'2020'!C65+'2021'!C65+'2022'!C33</f>
        <v>8</v>
      </c>
      <c r="D65" s="176">
        <f>'2018'!D65+'2019'!D65+'2020'!D65+'2021'!D65+'2022'!D33</f>
        <v>466</v>
      </c>
      <c r="E65" s="176">
        <f>'2018'!E65+'2019'!E65+'2020'!E65+'2021'!E65+'2022'!E33</f>
        <v>9</v>
      </c>
      <c r="F65" s="176">
        <f>'2018'!F65+'2019'!F65+'2020'!F65+'2021'!F65+'2022'!F33</f>
        <v>0</v>
      </c>
      <c r="G65" s="176">
        <f>'2018'!G65+'2019'!G65+'2020'!G65+'2021'!G65+'2022'!G33</f>
        <v>0</v>
      </c>
      <c r="H65" s="176">
        <f>'2018'!H65+'2019'!H65+'2020'!H65+'2021'!H65+'2022'!H33</f>
        <v>278</v>
      </c>
      <c r="I65" s="176">
        <f>'2018'!I65+'2019'!I65+'2020'!I65+'2021'!I65+'2022'!I33</f>
        <v>0</v>
      </c>
      <c r="J65" s="176">
        <f>'2018'!J65+'2019'!J65+'2020'!J65+'2021'!J65+'2022'!J33</f>
        <v>0</v>
      </c>
      <c r="K65" s="176">
        <f>'2018'!K65+'2019'!K65+'2020'!K65+'2021'!K65+'2022'!K33</f>
        <v>10</v>
      </c>
      <c r="L65" s="176">
        <f>'2018'!L65+'2019'!L65+'2020'!L65+'2021'!L65+'2022'!L33</f>
        <v>46</v>
      </c>
      <c r="M65" s="176">
        <f>'2018'!M65+'2019'!M65+'2020'!M65+'2021'!M65+'2022'!M33</f>
        <v>15</v>
      </c>
      <c r="N65" s="176">
        <f>'2018'!N65+'2019'!N65+'2020'!N65+'2021'!N65+'2022'!N33</f>
        <v>1</v>
      </c>
      <c r="O65" s="176">
        <f>'2018'!O65+'2019'!O65+'2020'!O65+'2021'!O65+'2022'!O33</f>
        <v>3</v>
      </c>
      <c r="P65" s="176">
        <f>'2018'!P65+'2019'!P65+'2020'!P65+'2021'!P65+'2022'!P33</f>
        <v>11</v>
      </c>
      <c r="Q65" s="176">
        <f>'2018'!Q65+'2019'!Q65+'2020'!Q65+'2021'!Q65+'2022'!Q33</f>
        <v>1</v>
      </c>
      <c r="R65" s="176">
        <f>'2018'!R65+'2019'!R65+'2020'!R65+'2021'!R65+'2022'!R33</f>
        <v>8</v>
      </c>
      <c r="S65" s="176">
        <f>'2018'!S65+'2019'!S65+'2020'!S65+'2021'!S65+'2022'!S33</f>
        <v>0</v>
      </c>
      <c r="T65" s="176">
        <f>'2018'!T65+'2019'!T65+'2020'!T65+'2021'!T65+'2022'!T33</f>
        <v>7</v>
      </c>
      <c r="U65" s="176">
        <f>'2018'!U65+'2019'!U65+'2020'!U65+'2021'!U65+'2022'!U33</f>
        <v>4</v>
      </c>
      <c r="V65" s="176">
        <f>'2018'!V65+'2019'!V65+'2020'!V65+'2021'!V65+'2022'!V33</f>
        <v>7</v>
      </c>
      <c r="W65" s="176">
        <f>'2018'!W65+'2019'!W65+'2020'!W65+'2021'!W65+'2022'!W33</f>
        <v>0</v>
      </c>
      <c r="X65" s="176">
        <f>'2018'!X65+'2019'!X65+'2020'!X65+'2021'!X65+'2022'!X33</f>
        <v>75</v>
      </c>
      <c r="Y65" s="174">
        <f t="shared" si="1"/>
        <v>466</v>
      </c>
      <c r="Z65" s="174">
        <f>'2018'!Z65+'2019'!Z65+'2020'!Z65+'2021'!Z65+'2022'!Z33</f>
        <v>54</v>
      </c>
      <c r="AA65" s="174">
        <f>'2018'!AA65+'2019'!AA65+'2020'!AA65+'2021'!AA65+'2022'!AA33</f>
        <v>5</v>
      </c>
      <c r="AB65" s="174">
        <f>'2018'!AB65+'2019'!AB65+'2020'!AB65+'2021'!AB65+'2022'!AB33</f>
        <v>272</v>
      </c>
      <c r="AC65" s="174">
        <f>'2018'!AC65+'2019'!AC65+'2020'!AC65+'2021'!AC65+'2022'!AC33</f>
        <v>5</v>
      </c>
      <c r="AD65" s="174">
        <f>'2018'!AD65+'2019'!AD65+'2020'!AD65+'2021'!AD65+'2022'!AD33</f>
        <v>0</v>
      </c>
      <c r="AE65" s="174">
        <f>'2018'!AE65+'2019'!AE65+'2020'!AE65+'2021'!AE65+'2022'!AE33</f>
        <v>0</v>
      </c>
      <c r="AF65" s="174">
        <f>'2018'!AF65+'2019'!AF65+'2020'!AF65+'2021'!AF65+'2022'!AF33</f>
        <v>166</v>
      </c>
      <c r="AG65" s="174">
        <f>'2018'!AG65+'2019'!AG65+'2020'!AG65+'2021'!AG65+'2022'!AG33</f>
        <v>0</v>
      </c>
      <c r="AH65" s="174">
        <f>'2018'!AH65+'2019'!AH65+'2020'!AH65+'2021'!AH65+'2022'!AH33</f>
        <v>0</v>
      </c>
      <c r="AI65" s="174">
        <f>'2018'!AI65+'2019'!AI65+'2020'!AI65+'2021'!AI65+'2022'!AI33</f>
        <v>8</v>
      </c>
      <c r="AJ65" s="174">
        <f>'2018'!AJ65+'2019'!AJ65+'2020'!AJ65+'2021'!AJ65+'2022'!AJ33</f>
        <v>24</v>
      </c>
      <c r="AK65" s="174">
        <f>'2018'!AK65+'2019'!AK65+'2020'!AK65+'2021'!AK65+'2022'!AK33</f>
        <v>15</v>
      </c>
      <c r="AL65" s="174">
        <f>'2018'!AL65+'2019'!AL65+'2020'!AL65+'2021'!AL65+'2022'!AL33</f>
        <v>1</v>
      </c>
      <c r="AM65" s="174">
        <f>'2018'!AM65+'2019'!AM65+'2020'!AM65+'2021'!AM65+'2022'!AM33</f>
        <v>1</v>
      </c>
      <c r="AN65" s="174">
        <f>'2018'!AN65+'2019'!AN65+'2020'!AN65+'2021'!AN65+'2022'!AN33</f>
        <v>8</v>
      </c>
      <c r="AO65" s="174">
        <f>'2018'!AO65+'2019'!AO65+'2020'!AO65+'2021'!AO65+'2022'!AO33</f>
        <v>1</v>
      </c>
      <c r="AP65" s="174">
        <f>'2018'!AP65+'2019'!AP65+'2020'!AP65+'2021'!AP65+'2022'!AP33</f>
        <v>7</v>
      </c>
      <c r="AQ65" s="174">
        <f>'2018'!AQ65+'2019'!AQ65+'2020'!AQ65+'2021'!AQ65+'2022'!AQ33</f>
        <v>1</v>
      </c>
      <c r="AR65" s="174">
        <f>'2018'!AR65+'2019'!AR65+'2020'!AR65+'2021'!AR65+'2022'!AR33</f>
        <v>2</v>
      </c>
      <c r="AS65" s="174">
        <f>'2018'!AS65+'2019'!AS65+'2020'!AS65+'2021'!AS65+'2022'!AS33</f>
        <v>2</v>
      </c>
      <c r="AT65" s="174">
        <f>'2018'!AT65+'2019'!AT65+'2020'!AT65+'2021'!AT65+'2022'!AT33</f>
        <v>13</v>
      </c>
      <c r="AU65" s="174">
        <f>'2018'!AU65+'2019'!AU65+'2020'!AU65+'2021'!AU65+'2022'!AU33</f>
        <v>1</v>
      </c>
      <c r="AV65" s="174">
        <f>'2018'!AV65+'2019'!AV65+'2020'!AV65+'2021'!AV65+'2022'!AV33</f>
        <v>22</v>
      </c>
      <c r="AW65" s="174">
        <f t="shared" si="3"/>
        <v>272</v>
      </c>
      <c r="AX65" s="156">
        <f t="shared" si="5"/>
        <v>2504.07375</v>
      </c>
      <c r="AY65" s="14">
        <f>'2018'!AX65+'2019'!AX65+'2020'!AX65+'2021'!AX65+'2022'!AX33</f>
        <v>12520.36875</v>
      </c>
      <c r="AZ65" s="14">
        <f t="shared" si="11"/>
        <v>58.369098712446352</v>
      </c>
      <c r="BA65" s="142"/>
      <c r="BB65" s="144"/>
      <c r="BC65" s="142"/>
    </row>
    <row r="66" spans="1:55" x14ac:dyDescent="0.25">
      <c r="A66" s="175" t="s">
        <v>97</v>
      </c>
      <c r="B66" s="176">
        <f>'2018'!B66+'2019'!B66+'2020'!B66+'2021'!B66+'2022'!B34</f>
        <v>44</v>
      </c>
      <c r="C66" s="176">
        <f>'2018'!C66+'2019'!C66+'2020'!C66+'2021'!C66+'2022'!C34</f>
        <v>9</v>
      </c>
      <c r="D66" s="176">
        <f>'2018'!D66+'2019'!D66+'2020'!D66+'2021'!D66+'2022'!D34</f>
        <v>248</v>
      </c>
      <c r="E66" s="176">
        <f>'2018'!E66+'2019'!E66+'2020'!E66+'2021'!E66+'2022'!E34</f>
        <v>43</v>
      </c>
      <c r="F66" s="176">
        <f>'2018'!F66+'2019'!F66+'2020'!F66+'2021'!F66+'2022'!F34</f>
        <v>0</v>
      </c>
      <c r="G66" s="176">
        <f>'2018'!G66+'2019'!G66+'2020'!G66+'2021'!G66+'2022'!G34</f>
        <v>0</v>
      </c>
      <c r="H66" s="176">
        <f>'2018'!H66+'2019'!H66+'2020'!H66+'2021'!H66+'2022'!H34</f>
        <v>61</v>
      </c>
      <c r="I66" s="176">
        <f>'2018'!I66+'2019'!I66+'2020'!I66+'2021'!I66+'2022'!I34</f>
        <v>7</v>
      </c>
      <c r="J66" s="176">
        <f>'2018'!J66+'2019'!J66+'2020'!J66+'2021'!J66+'2022'!J34</f>
        <v>0</v>
      </c>
      <c r="K66" s="176">
        <f>'2018'!K66+'2019'!K66+'2020'!K66+'2021'!K66+'2022'!K34</f>
        <v>75</v>
      </c>
      <c r="L66" s="176">
        <f>'2018'!L66+'2019'!L66+'2020'!L66+'2021'!L66+'2022'!L34</f>
        <v>7</v>
      </c>
      <c r="M66" s="176">
        <f>'2018'!M66+'2019'!M66+'2020'!M66+'2021'!M66+'2022'!M34</f>
        <v>0</v>
      </c>
      <c r="N66" s="176">
        <f>'2018'!N66+'2019'!N66+'2020'!N66+'2021'!N66+'2022'!N34</f>
        <v>0</v>
      </c>
      <c r="O66" s="176">
        <f>'2018'!O66+'2019'!O66+'2020'!O66+'2021'!O66+'2022'!O34</f>
        <v>32</v>
      </c>
      <c r="P66" s="176">
        <f>'2018'!P66+'2019'!P66+'2020'!P66+'2021'!P66+'2022'!P34</f>
        <v>0</v>
      </c>
      <c r="Q66" s="176">
        <f>'2018'!Q66+'2019'!Q66+'2020'!Q66+'2021'!Q66+'2022'!Q34</f>
        <v>0</v>
      </c>
      <c r="R66" s="176">
        <f>'2018'!R66+'2019'!R66+'2020'!R66+'2021'!R66+'2022'!R34</f>
        <v>11</v>
      </c>
      <c r="S66" s="176">
        <f>'2018'!S66+'2019'!S66+'2020'!S66+'2021'!S66+'2022'!S34</f>
        <v>0</v>
      </c>
      <c r="T66" s="176">
        <f>'2018'!T66+'2019'!T66+'2020'!T66+'2021'!T66+'2022'!T34</f>
        <v>2</v>
      </c>
      <c r="U66" s="176">
        <f>'2018'!U66+'2019'!U66+'2020'!U66+'2021'!U66+'2022'!U34</f>
        <v>3</v>
      </c>
      <c r="V66" s="176">
        <f>'2018'!V66+'2019'!V66+'2020'!V66+'2021'!V66+'2022'!V34</f>
        <v>36</v>
      </c>
      <c r="W66" s="176">
        <f>'2018'!W66+'2019'!W66+'2020'!W66+'2021'!W66+'2022'!W34</f>
        <v>0</v>
      </c>
      <c r="X66" s="176">
        <f>'2018'!X66+'2019'!X66+'2020'!X66+'2021'!X66+'2022'!X34</f>
        <v>14</v>
      </c>
      <c r="Y66" s="174">
        <f t="shared" si="1"/>
        <v>248</v>
      </c>
      <c r="Z66" s="174">
        <f>'2018'!Z66+'2019'!Z66+'2020'!Z66+'2021'!Z66+'2022'!Z34</f>
        <v>23</v>
      </c>
      <c r="AA66" s="174">
        <f>'2018'!AA66+'2019'!AA66+'2020'!AA66+'2021'!AA66+'2022'!AA34</f>
        <v>5</v>
      </c>
      <c r="AB66" s="174">
        <f>'2018'!AB66+'2019'!AB66+'2020'!AB66+'2021'!AB66+'2022'!AB34</f>
        <v>115</v>
      </c>
      <c r="AC66" s="174">
        <f>'2018'!AC66+'2019'!AC66+'2020'!AC66+'2021'!AC66+'2022'!AC34</f>
        <v>14</v>
      </c>
      <c r="AD66" s="174">
        <f>'2018'!AD66+'2019'!AD66+'2020'!AD66+'2021'!AD66+'2022'!AD34</f>
        <v>0</v>
      </c>
      <c r="AE66" s="174">
        <f>'2018'!AE66+'2019'!AE66+'2020'!AE66+'2021'!AE66+'2022'!AE34</f>
        <v>0</v>
      </c>
      <c r="AF66" s="174">
        <f>'2018'!AF66+'2019'!AF66+'2020'!AF66+'2021'!AF66+'2022'!AF34</f>
        <v>26</v>
      </c>
      <c r="AG66" s="174">
        <f>'2018'!AG66+'2019'!AG66+'2020'!AG66+'2021'!AG66+'2022'!AG34</f>
        <v>0</v>
      </c>
      <c r="AH66" s="174">
        <f>'2018'!AH66+'2019'!AH66+'2020'!AH66+'2021'!AH66+'2022'!AH34</f>
        <v>0</v>
      </c>
      <c r="AI66" s="174">
        <f>'2018'!AI66+'2019'!AI66+'2020'!AI66+'2021'!AI66+'2022'!AI34</f>
        <v>38</v>
      </c>
      <c r="AJ66" s="174">
        <f>'2018'!AJ66+'2019'!AJ66+'2020'!AJ66+'2021'!AJ66+'2022'!AJ34</f>
        <v>7</v>
      </c>
      <c r="AK66" s="174">
        <f>'2018'!AK66+'2019'!AK66+'2020'!AK66+'2021'!AK66+'2022'!AK34</f>
        <v>0</v>
      </c>
      <c r="AL66" s="174">
        <f>'2018'!AL66+'2019'!AL66+'2020'!AL66+'2021'!AL66+'2022'!AL34</f>
        <v>0</v>
      </c>
      <c r="AM66" s="174">
        <f>'2018'!AM66+'2019'!AM66+'2020'!AM66+'2021'!AM66+'2022'!AM34</f>
        <v>10</v>
      </c>
      <c r="AN66" s="174">
        <f>'2018'!AN66+'2019'!AN66+'2020'!AN66+'2021'!AN66+'2022'!AN34</f>
        <v>0</v>
      </c>
      <c r="AO66" s="174">
        <f>'2018'!AO66+'2019'!AO66+'2020'!AO66+'2021'!AO66+'2022'!AO34</f>
        <v>0</v>
      </c>
      <c r="AP66" s="174">
        <f>'2018'!AP66+'2019'!AP66+'2020'!AP66+'2021'!AP66+'2022'!AP34</f>
        <v>1</v>
      </c>
      <c r="AQ66" s="174">
        <f>'2018'!AQ66+'2019'!AQ66+'2020'!AQ66+'2021'!AQ66+'2022'!AQ34</f>
        <v>0</v>
      </c>
      <c r="AR66" s="174">
        <f>'2018'!AR66+'2019'!AR66+'2020'!AR66+'2021'!AR66+'2022'!AR34</f>
        <v>1</v>
      </c>
      <c r="AS66" s="174">
        <f>'2018'!AS66+'2019'!AS66+'2020'!AS66+'2021'!AS66+'2022'!AS34</f>
        <v>3</v>
      </c>
      <c r="AT66" s="174">
        <f>'2018'!AT66+'2019'!AT66+'2020'!AT66+'2021'!AT66+'2022'!AT34</f>
        <v>28</v>
      </c>
      <c r="AU66" s="174">
        <f>'2018'!AU66+'2019'!AU66+'2020'!AU66+'2021'!AU66+'2022'!AU34</f>
        <v>0</v>
      </c>
      <c r="AV66" s="174">
        <f>'2018'!AV66+'2019'!AV66+'2020'!AV66+'2021'!AV66+'2022'!AV34</f>
        <v>1</v>
      </c>
      <c r="AW66" s="174">
        <f t="shared" si="3"/>
        <v>115</v>
      </c>
      <c r="AX66" s="156">
        <f t="shared" si="5"/>
        <v>2135.5839999999998</v>
      </c>
      <c r="AY66" s="14">
        <f>'2018'!AX66+'2019'!AX66+'2020'!AX66+'2021'!AX66+'2022'!AX34</f>
        <v>10677.92</v>
      </c>
      <c r="AZ66" s="14">
        <f t="shared" si="11"/>
        <v>46.37096774193548</v>
      </c>
      <c r="BA66" s="142"/>
      <c r="BB66" s="144"/>
      <c r="BC66" s="142"/>
    </row>
    <row r="67" spans="1:55" x14ac:dyDescent="0.25">
      <c r="A67" s="175" t="s">
        <v>98</v>
      </c>
      <c r="B67" s="176">
        <f>'2018'!B67+'2019'!B67+'2020'!B67+'2021'!B67+'2022'!B35</f>
        <v>24</v>
      </c>
      <c r="C67" s="176">
        <f>'2018'!C67+'2019'!C67+'2020'!C67+'2021'!C67+'2022'!C35</f>
        <v>11</v>
      </c>
      <c r="D67" s="176">
        <f>'2018'!D67+'2019'!D67+'2020'!D67+'2021'!D67+'2022'!D35</f>
        <v>69</v>
      </c>
      <c r="E67" s="176">
        <f>'2018'!E67+'2019'!E67+'2020'!E67+'2021'!E67+'2022'!E35</f>
        <v>31</v>
      </c>
      <c r="F67" s="176">
        <f>'2018'!F67+'2019'!F67+'2020'!F67+'2021'!F67+'2022'!F35</f>
        <v>0</v>
      </c>
      <c r="G67" s="176">
        <f>'2018'!G67+'2019'!G67+'2020'!G67+'2021'!G67+'2022'!G35</f>
        <v>0</v>
      </c>
      <c r="H67" s="176">
        <f>'2018'!H67+'2019'!H67+'2020'!H67+'2021'!H67+'2022'!H35</f>
        <v>0</v>
      </c>
      <c r="I67" s="176">
        <f>'2018'!I67+'2019'!I67+'2020'!I67+'2021'!I67+'2022'!I35</f>
        <v>0</v>
      </c>
      <c r="J67" s="176">
        <f>'2018'!J67+'2019'!J67+'2020'!J67+'2021'!J67+'2022'!J35</f>
        <v>0</v>
      </c>
      <c r="K67" s="176">
        <f>'2018'!K67+'2019'!K67+'2020'!K67+'2021'!K67+'2022'!K35</f>
        <v>0</v>
      </c>
      <c r="L67" s="176">
        <f>'2018'!L67+'2019'!L67+'2020'!L67+'2021'!L67+'2022'!L35</f>
        <v>0</v>
      </c>
      <c r="M67" s="176">
        <f>'2018'!M67+'2019'!M67+'2020'!M67+'2021'!M67+'2022'!M35</f>
        <v>0</v>
      </c>
      <c r="N67" s="176">
        <f>'2018'!N67+'2019'!N67+'2020'!N67+'2021'!N67+'2022'!N35</f>
        <v>0</v>
      </c>
      <c r="O67" s="176">
        <f>'2018'!O67+'2019'!O67+'2020'!O67+'2021'!O67+'2022'!O35</f>
        <v>0</v>
      </c>
      <c r="P67" s="176">
        <f>'2018'!P67+'2019'!P67+'2020'!P67+'2021'!P67+'2022'!P35</f>
        <v>0</v>
      </c>
      <c r="Q67" s="176">
        <f>'2018'!Q67+'2019'!Q67+'2020'!Q67+'2021'!Q67+'2022'!Q35</f>
        <v>0</v>
      </c>
      <c r="R67" s="176">
        <f>'2018'!R67+'2019'!R67+'2020'!R67+'2021'!R67+'2022'!R35</f>
        <v>0</v>
      </c>
      <c r="S67" s="176">
        <f>'2018'!S67+'2019'!S67+'2020'!S67+'2021'!S67+'2022'!S35</f>
        <v>0</v>
      </c>
      <c r="T67" s="176">
        <f>'2018'!T67+'2019'!T67+'2020'!T67+'2021'!T67+'2022'!T35</f>
        <v>0</v>
      </c>
      <c r="U67" s="176">
        <f>'2018'!U67+'2019'!U67+'2020'!U67+'2021'!U67+'2022'!U35</f>
        <v>2</v>
      </c>
      <c r="V67" s="176">
        <f>'2018'!V67+'2019'!V67+'2020'!V67+'2021'!V67+'2022'!V35</f>
        <v>59</v>
      </c>
      <c r="W67" s="176">
        <f>'2018'!W67+'2019'!W67+'2020'!W67+'2021'!W67+'2022'!W35</f>
        <v>8</v>
      </c>
      <c r="X67" s="176">
        <f>'2018'!X67+'2019'!X67+'2020'!X67+'2021'!X67+'2022'!X35</f>
        <v>0</v>
      </c>
      <c r="Y67" s="174">
        <f t="shared" si="1"/>
        <v>69</v>
      </c>
      <c r="Z67" s="174">
        <f>'2018'!Z67+'2019'!Z67+'2020'!Z67+'2021'!Z67+'2022'!Z35</f>
        <v>12</v>
      </c>
      <c r="AA67" s="174">
        <f>'2018'!AA67+'2019'!AA67+'2020'!AA67+'2021'!AA67+'2022'!AA35</f>
        <v>3</v>
      </c>
      <c r="AB67" s="174">
        <f>'2018'!AB67+'2019'!AB67+'2020'!AB67+'2021'!AB67+'2022'!AB35</f>
        <v>42</v>
      </c>
      <c r="AC67" s="174">
        <f>'2018'!AC67+'2019'!AC67+'2020'!AC67+'2021'!AC67+'2022'!AC35</f>
        <v>3</v>
      </c>
      <c r="AD67" s="174">
        <f>'2018'!AD67+'2019'!AD67+'2020'!AD67+'2021'!AD67+'2022'!AD35</f>
        <v>0</v>
      </c>
      <c r="AE67" s="174">
        <f>'2018'!AE67+'2019'!AE67+'2020'!AE67+'2021'!AE67+'2022'!AE35</f>
        <v>0</v>
      </c>
      <c r="AF67" s="174">
        <f>'2018'!AF67+'2019'!AF67+'2020'!AF67+'2021'!AF67+'2022'!AF35</f>
        <v>0</v>
      </c>
      <c r="AG67" s="174">
        <f>'2018'!AG67+'2019'!AG67+'2020'!AG67+'2021'!AG67+'2022'!AG35</f>
        <v>0</v>
      </c>
      <c r="AH67" s="174">
        <f>'2018'!AH67+'2019'!AH67+'2020'!AH67+'2021'!AH67+'2022'!AH35</f>
        <v>0</v>
      </c>
      <c r="AI67" s="174">
        <f>'2018'!AI67+'2019'!AI67+'2020'!AI67+'2021'!AI67+'2022'!AI35</f>
        <v>0</v>
      </c>
      <c r="AJ67" s="174">
        <f>'2018'!AJ67+'2019'!AJ67+'2020'!AJ67+'2021'!AJ67+'2022'!AJ35</f>
        <v>0</v>
      </c>
      <c r="AK67" s="174">
        <f>'2018'!AK67+'2019'!AK67+'2020'!AK67+'2021'!AK67+'2022'!AK35</f>
        <v>0</v>
      </c>
      <c r="AL67" s="174">
        <f>'2018'!AL67+'2019'!AL67+'2020'!AL67+'2021'!AL67+'2022'!AL35</f>
        <v>0</v>
      </c>
      <c r="AM67" s="174">
        <f>'2018'!AM67+'2019'!AM67+'2020'!AM67+'2021'!AM67+'2022'!AM35</f>
        <v>0</v>
      </c>
      <c r="AN67" s="174">
        <f>'2018'!AN67+'2019'!AN67+'2020'!AN67+'2021'!AN67+'2022'!AN35</f>
        <v>0</v>
      </c>
      <c r="AO67" s="174">
        <f>'2018'!AO67+'2019'!AO67+'2020'!AO67+'2021'!AO67+'2022'!AO35</f>
        <v>0</v>
      </c>
      <c r="AP67" s="174">
        <f>'2018'!AP67+'2019'!AP67+'2020'!AP67+'2021'!AP67+'2022'!AP35</f>
        <v>0</v>
      </c>
      <c r="AQ67" s="174">
        <f>'2018'!AQ67+'2019'!AQ67+'2020'!AQ67+'2021'!AQ67+'2022'!AQ35</f>
        <v>0</v>
      </c>
      <c r="AR67" s="174">
        <f>'2018'!AR67+'2019'!AR67+'2020'!AR67+'2021'!AR67+'2022'!AR35</f>
        <v>0</v>
      </c>
      <c r="AS67" s="174">
        <f>'2018'!AS67+'2019'!AS67+'2020'!AS67+'2021'!AS67+'2022'!AS35</f>
        <v>2</v>
      </c>
      <c r="AT67" s="174">
        <f>'2018'!AT67+'2019'!AT67+'2020'!AT67+'2021'!AT67+'2022'!AT35</f>
        <v>40</v>
      </c>
      <c r="AU67" s="174">
        <f>'2018'!AU67+'2019'!AU67+'2020'!AU67+'2021'!AU67+'2022'!AU35</f>
        <v>0</v>
      </c>
      <c r="AV67" s="174">
        <f>'2018'!AV67+'2019'!AV67+'2020'!AV67+'2021'!AV67+'2022'!AV35</f>
        <v>0</v>
      </c>
      <c r="AW67" s="174">
        <f t="shared" si="3"/>
        <v>42</v>
      </c>
      <c r="AX67" s="156">
        <f t="shared" si="5"/>
        <v>534.63272727272727</v>
      </c>
      <c r="AY67" s="14">
        <f>'2018'!AX67+'2019'!AX67+'2020'!AX67+'2021'!AX67+'2022'!AX35</f>
        <v>2673.1636363636362</v>
      </c>
      <c r="AZ67" s="14">
        <f t="shared" si="11"/>
        <v>60.869565217391305</v>
      </c>
      <c r="BA67" s="142"/>
      <c r="BB67" s="142"/>
      <c r="BC67" s="142"/>
    </row>
    <row r="68" spans="1:55" x14ac:dyDescent="0.25">
      <c r="A68" s="175" t="s">
        <v>99</v>
      </c>
      <c r="B68" s="176">
        <f>'2018'!B68+'2019'!B68+'2020'!B68+'2021'!B68+'2022'!B44</f>
        <v>101</v>
      </c>
      <c r="C68" s="176">
        <f>'2018'!C68+'2019'!C68+'2020'!C68+'2021'!C68+'2022'!C44</f>
        <v>12</v>
      </c>
      <c r="D68" s="176">
        <f>'2018'!D68+'2019'!D68+'2020'!D68+'2021'!D68+'2022'!D44</f>
        <v>728</v>
      </c>
      <c r="E68" s="176">
        <f>'2018'!E68+'2019'!E68+'2020'!E68+'2021'!E68+'2022'!E44</f>
        <v>64</v>
      </c>
      <c r="F68" s="176">
        <f>'2018'!F68+'2019'!F68+'2020'!F68+'2021'!F68+'2022'!F44</f>
        <v>0</v>
      </c>
      <c r="G68" s="176">
        <f>'2018'!G68+'2019'!G68+'2020'!G68+'2021'!G68+'2022'!G44</f>
        <v>0</v>
      </c>
      <c r="H68" s="176">
        <f>'2018'!H68+'2019'!H68+'2020'!H68+'2021'!H68+'2022'!H44</f>
        <v>87</v>
      </c>
      <c r="I68" s="176">
        <f>'2018'!I68+'2019'!I68+'2020'!I68+'2021'!I68+'2022'!I44</f>
        <v>6</v>
      </c>
      <c r="J68" s="176">
        <f>'2018'!J68+'2019'!J68+'2020'!J68+'2021'!J68+'2022'!J44</f>
        <v>0</v>
      </c>
      <c r="K68" s="176">
        <f>'2018'!K68+'2019'!K68+'2020'!K68+'2021'!K68+'2022'!K44</f>
        <v>42</v>
      </c>
      <c r="L68" s="176">
        <f>'2018'!L68+'2019'!L68+'2020'!L68+'2021'!L68+'2022'!L44</f>
        <v>297</v>
      </c>
      <c r="M68" s="176">
        <f>'2018'!M68+'2019'!M68+'2020'!M68+'2021'!M68+'2022'!M44</f>
        <v>3</v>
      </c>
      <c r="N68" s="176">
        <f>'2018'!N68+'2019'!N68+'2020'!N68+'2021'!N68+'2022'!N44</f>
        <v>32</v>
      </c>
      <c r="O68" s="176">
        <f>'2018'!O68+'2019'!O68+'2020'!O68+'2021'!O68+'2022'!O44</f>
        <v>1</v>
      </c>
      <c r="P68" s="176">
        <f>'2018'!P68+'2019'!P68+'2020'!P68+'2021'!P68+'2022'!P44</f>
        <v>78</v>
      </c>
      <c r="Q68" s="176">
        <f>'2018'!Q68+'2019'!Q68+'2020'!Q68+'2021'!Q68+'2022'!Q44</f>
        <v>0</v>
      </c>
      <c r="R68" s="176">
        <f>'2018'!R68+'2019'!R68+'2020'!R68+'2021'!R68+'2022'!R44</f>
        <v>10</v>
      </c>
      <c r="S68" s="176">
        <f>'2018'!S68+'2019'!S68+'2020'!S68+'2021'!S68+'2022'!S44</f>
        <v>1</v>
      </c>
      <c r="T68" s="176">
        <f>'2018'!T68+'2019'!T68+'2020'!T68+'2021'!T68+'2022'!T44</f>
        <v>2</v>
      </c>
      <c r="U68" s="176">
        <f>'2018'!U68+'2019'!U68+'2020'!U68+'2021'!U68+'2022'!U44</f>
        <v>18</v>
      </c>
      <c r="V68" s="176">
        <f>'2018'!V68+'2019'!V68+'2020'!V68+'2021'!V68+'2022'!V44</f>
        <v>92</v>
      </c>
      <c r="W68" s="176">
        <f>'2018'!W68+'2019'!W68+'2020'!W68+'2021'!W68+'2022'!W44</f>
        <v>37</v>
      </c>
      <c r="X68" s="176">
        <f>'2018'!X68+'2019'!X68+'2020'!X68+'2021'!X68+'2022'!X44</f>
        <v>22</v>
      </c>
      <c r="Y68" s="174">
        <f t="shared" si="1"/>
        <v>728</v>
      </c>
      <c r="Z68" s="174">
        <f>'2018'!Z68+'2019'!Z68+'2020'!Z68+'2021'!Z68+'2022'!Z44</f>
        <v>66</v>
      </c>
      <c r="AA68" s="174">
        <f>'2018'!AA68+'2019'!AA68+'2020'!AA68+'2021'!AA68+'2022'!AA44</f>
        <v>10</v>
      </c>
      <c r="AB68" s="174">
        <f>'2018'!AB68+'2019'!AB68+'2020'!AB68+'2021'!AB68+'2022'!AB44</f>
        <v>420</v>
      </c>
      <c r="AC68" s="174">
        <f>'2018'!AC68+'2019'!AC68+'2020'!AC68+'2021'!AC68+'2022'!AC44</f>
        <v>36</v>
      </c>
      <c r="AD68" s="174">
        <f>'2018'!AD68+'2019'!AD68+'2020'!AD68+'2021'!AD68+'2022'!AD44</f>
        <v>0</v>
      </c>
      <c r="AE68" s="174">
        <f>'2018'!AE68+'2019'!AE68+'2020'!AE68+'2021'!AE68+'2022'!AE44</f>
        <v>0</v>
      </c>
      <c r="AF68" s="174">
        <f>'2018'!AF68+'2019'!AF68+'2020'!AF68+'2021'!AF68+'2022'!AF44</f>
        <v>49</v>
      </c>
      <c r="AG68" s="174">
        <f>'2018'!AG68+'2019'!AG68+'2020'!AG68+'2021'!AG68+'2022'!AG44</f>
        <v>2</v>
      </c>
      <c r="AH68" s="174">
        <f>'2018'!AH68+'2019'!AH68+'2020'!AH68+'2021'!AH68+'2022'!AH44</f>
        <v>0</v>
      </c>
      <c r="AI68" s="174">
        <f>'2018'!AI68+'2019'!AI68+'2020'!AI68+'2021'!AI68+'2022'!AI44</f>
        <v>10</v>
      </c>
      <c r="AJ68" s="174">
        <f>'2018'!AJ68+'2019'!AJ68+'2020'!AJ68+'2021'!AJ68+'2022'!AJ44</f>
        <v>204</v>
      </c>
      <c r="AK68" s="174">
        <f>'2018'!AK68+'2019'!AK68+'2020'!AK68+'2021'!AK68+'2022'!AK44</f>
        <v>0</v>
      </c>
      <c r="AL68" s="174">
        <f>'2018'!AL68+'2019'!AL68+'2020'!AL68+'2021'!AL68+'2022'!AL44</f>
        <v>31</v>
      </c>
      <c r="AM68" s="174">
        <f>'2018'!AM68+'2019'!AM68+'2020'!AM68+'2021'!AM68+'2022'!AM44</f>
        <v>1</v>
      </c>
      <c r="AN68" s="174">
        <f>'2018'!AN68+'2019'!AN68+'2020'!AN68+'2021'!AN68+'2022'!AN44</f>
        <v>53</v>
      </c>
      <c r="AO68" s="174">
        <f>'2018'!AO68+'2019'!AO68+'2020'!AO68+'2021'!AO68+'2022'!AO44</f>
        <v>0</v>
      </c>
      <c r="AP68" s="174">
        <f>'2018'!AP68+'2019'!AP68+'2020'!AP68+'2021'!AP68+'2022'!AP44</f>
        <v>6</v>
      </c>
      <c r="AQ68" s="174">
        <f>'2018'!AQ68+'2019'!AQ68+'2020'!AQ68+'2021'!AQ68+'2022'!AQ44</f>
        <v>1</v>
      </c>
      <c r="AR68" s="174">
        <f>'2018'!AR68+'2019'!AR68+'2020'!AR68+'2021'!AR68+'2022'!AR44</f>
        <v>1</v>
      </c>
      <c r="AS68" s="174">
        <f>'2018'!AS68+'2019'!AS68+'2020'!AS68+'2021'!AS68+'2022'!AS44</f>
        <v>8</v>
      </c>
      <c r="AT68" s="174">
        <f>'2018'!AT68+'2019'!AT68+'2020'!AT68+'2021'!AT68+'2022'!AT44</f>
        <v>40</v>
      </c>
      <c r="AU68" s="174">
        <f>'2018'!AU68+'2019'!AU68+'2020'!AU68+'2021'!AU68+'2022'!AU44</f>
        <v>12</v>
      </c>
      <c r="AV68" s="174">
        <f>'2018'!AV68+'2019'!AV68+'2020'!AV68+'2021'!AV68+'2022'!AV44</f>
        <v>2</v>
      </c>
      <c r="AW68" s="174">
        <f t="shared" si="3"/>
        <v>420</v>
      </c>
      <c r="AX68" s="156">
        <f t="shared" si="5"/>
        <v>2679</v>
      </c>
      <c r="AY68" s="14">
        <f>'2018'!AX68+'2019'!AX68+'2020'!AX68+'2021'!AX68+'2022'!AX44</f>
        <v>13395</v>
      </c>
      <c r="AZ68" s="14">
        <f t="shared" si="11"/>
        <v>57.692307692307693</v>
      </c>
      <c r="BA68" s="142"/>
      <c r="BB68" s="144"/>
      <c r="BC68" s="142"/>
    </row>
    <row r="69" spans="1:55" x14ac:dyDescent="0.25">
      <c r="A69" s="175" t="s">
        <v>100</v>
      </c>
      <c r="B69" s="176">
        <f>'2018'!B69+'2019'!B69+'2020'!B69+'2021'!B69+'2022'!B45</f>
        <v>42</v>
      </c>
      <c r="C69" s="176">
        <f>'2018'!C69+'2019'!C69+'2020'!C69+'2021'!C69+'2022'!C45</f>
        <v>3</v>
      </c>
      <c r="D69" s="176">
        <f>'2018'!D69+'2019'!D69+'2020'!D69+'2021'!D69+'2022'!D45</f>
        <v>159</v>
      </c>
      <c r="E69" s="176">
        <f>'2018'!E69+'2019'!E69+'2020'!E69+'2021'!E69+'2022'!E45</f>
        <v>23</v>
      </c>
      <c r="F69" s="176">
        <f>'2018'!F69+'2019'!F69+'2020'!F69+'2021'!F69+'2022'!F45</f>
        <v>0</v>
      </c>
      <c r="G69" s="176">
        <f>'2018'!G69+'2019'!G69+'2020'!G69+'2021'!G69+'2022'!G45</f>
        <v>0</v>
      </c>
      <c r="H69" s="176">
        <f>'2018'!H69+'2019'!H69+'2020'!H69+'2021'!H69+'2022'!H45</f>
        <v>21</v>
      </c>
      <c r="I69" s="176">
        <f>'2018'!I69+'2019'!I69+'2020'!I69+'2021'!I69+'2022'!I45</f>
        <v>0</v>
      </c>
      <c r="J69" s="176">
        <f>'2018'!J69+'2019'!J69+'2020'!J69+'2021'!J69+'2022'!J45</f>
        <v>0</v>
      </c>
      <c r="K69" s="176">
        <f>'2018'!K69+'2019'!K69+'2020'!K69+'2021'!K69+'2022'!K45</f>
        <v>0</v>
      </c>
      <c r="L69" s="176">
        <f>'2018'!L69+'2019'!L69+'2020'!L69+'2021'!L69+'2022'!L45</f>
        <v>27</v>
      </c>
      <c r="M69" s="176">
        <f>'2018'!M69+'2019'!M69+'2020'!M69+'2021'!M69+'2022'!M45</f>
        <v>7</v>
      </c>
      <c r="N69" s="176">
        <f>'2018'!N69+'2019'!N69+'2020'!N69+'2021'!N69+'2022'!N45</f>
        <v>33</v>
      </c>
      <c r="O69" s="176">
        <f>'2018'!O69+'2019'!O69+'2020'!O69+'2021'!O69+'2022'!O45</f>
        <v>0</v>
      </c>
      <c r="P69" s="176">
        <f>'2018'!P69+'2019'!P69+'2020'!P69+'2021'!P69+'2022'!P45</f>
        <v>0</v>
      </c>
      <c r="Q69" s="176">
        <f>'2018'!Q69+'2019'!Q69+'2020'!Q69+'2021'!Q69+'2022'!Q45</f>
        <v>0</v>
      </c>
      <c r="R69" s="176">
        <f>'2018'!R69+'2019'!R69+'2020'!R69+'2021'!R69+'2022'!R45</f>
        <v>4</v>
      </c>
      <c r="S69" s="176">
        <f>'2018'!S69+'2019'!S69+'2020'!S69+'2021'!S69+'2022'!S45</f>
        <v>1</v>
      </c>
      <c r="T69" s="176">
        <f>'2018'!T69+'2019'!T69+'2020'!T69+'2021'!T69+'2022'!T45</f>
        <v>0</v>
      </c>
      <c r="U69" s="176">
        <f>'2018'!U69+'2019'!U69+'2020'!U69+'2021'!U69+'2022'!U45</f>
        <v>0</v>
      </c>
      <c r="V69" s="176">
        <f>'2018'!V69+'2019'!V69+'2020'!V69+'2021'!V69+'2022'!V45</f>
        <v>43</v>
      </c>
      <c r="W69" s="176">
        <f>'2018'!W69+'2019'!W69+'2020'!W69+'2021'!W69+'2022'!W45</f>
        <v>9</v>
      </c>
      <c r="X69" s="176">
        <f>'2018'!X69+'2019'!X69+'2020'!X69+'2021'!X69+'2022'!X45</f>
        <v>14</v>
      </c>
      <c r="Y69" s="174">
        <f t="shared" si="1"/>
        <v>159</v>
      </c>
      <c r="Z69" s="174">
        <f>'2018'!Z69+'2019'!Z69+'2020'!Z69+'2021'!Z69+'2022'!Z45</f>
        <v>25</v>
      </c>
      <c r="AA69" s="174">
        <f>'2018'!AA69+'2019'!AA69+'2020'!AA69+'2021'!AA69+'2022'!AA45</f>
        <v>0</v>
      </c>
      <c r="AB69" s="174">
        <f>'2018'!AB69+'2019'!AB69+'2020'!AB69+'2021'!AB69+'2022'!AB45</f>
        <v>46</v>
      </c>
      <c r="AC69" s="174">
        <f>'2018'!AC69+'2019'!AC69+'2020'!AC69+'2021'!AC69+'2022'!AC45</f>
        <v>0</v>
      </c>
      <c r="AD69" s="174">
        <f>'2018'!AD69+'2019'!AD69+'2020'!AD69+'2021'!AD69+'2022'!AD45</f>
        <v>0</v>
      </c>
      <c r="AE69" s="174">
        <f>'2018'!AE69+'2019'!AE69+'2020'!AE69+'2021'!AE69+'2022'!AE45</f>
        <v>0</v>
      </c>
      <c r="AF69" s="174">
        <f>'2018'!AF69+'2019'!AF69+'2020'!AF69+'2021'!AF69+'2022'!AF45</f>
        <v>0</v>
      </c>
      <c r="AG69" s="174">
        <f>'2018'!AG69+'2019'!AG69+'2020'!AG69+'2021'!AG69+'2022'!AG45</f>
        <v>0</v>
      </c>
      <c r="AH69" s="174">
        <f>'2018'!AH69+'2019'!AH69+'2020'!AH69+'2021'!AH69+'2022'!AH45</f>
        <v>0</v>
      </c>
      <c r="AI69" s="174">
        <f>'2018'!AI69+'2019'!AI69+'2020'!AI69+'2021'!AI69+'2022'!AI45</f>
        <v>0</v>
      </c>
      <c r="AJ69" s="174">
        <f>'2018'!AJ69+'2019'!AJ69+'2020'!AJ69+'2021'!AJ69+'2022'!AJ45</f>
        <v>14</v>
      </c>
      <c r="AK69" s="174">
        <f>'2018'!AK69+'2019'!AK69+'2020'!AK69+'2021'!AK69+'2022'!AK45</f>
        <v>0</v>
      </c>
      <c r="AL69" s="174">
        <f>'2018'!AL69+'2019'!AL69+'2020'!AL69+'2021'!AL69+'2022'!AL45</f>
        <v>24</v>
      </c>
      <c r="AM69" s="174">
        <f>'2018'!AM69+'2019'!AM69+'2020'!AM69+'2021'!AM69+'2022'!AM45</f>
        <v>0</v>
      </c>
      <c r="AN69" s="174">
        <f>'2018'!AN69+'2019'!AN69+'2020'!AN69+'2021'!AN69+'2022'!AN45</f>
        <v>0</v>
      </c>
      <c r="AO69" s="174">
        <f>'2018'!AO69+'2019'!AO69+'2020'!AO69+'2021'!AO69+'2022'!AO45</f>
        <v>0</v>
      </c>
      <c r="AP69" s="174">
        <f>'2018'!AP69+'2019'!AP69+'2020'!AP69+'2021'!AP69+'2022'!AP45</f>
        <v>3</v>
      </c>
      <c r="AQ69" s="174">
        <f>'2018'!AQ69+'2019'!AQ69+'2020'!AQ69+'2021'!AQ69+'2022'!AQ45</f>
        <v>1</v>
      </c>
      <c r="AR69" s="174">
        <f>'2018'!AR69+'2019'!AR69+'2020'!AR69+'2021'!AR69+'2022'!AR45</f>
        <v>0</v>
      </c>
      <c r="AS69" s="174">
        <f>'2018'!AS69+'2019'!AS69+'2020'!AS69+'2021'!AS69+'2022'!AS45</f>
        <v>0</v>
      </c>
      <c r="AT69" s="174">
        <f>'2018'!AT69+'2019'!AT69+'2020'!AT69+'2021'!AT69+'2022'!AT45</f>
        <v>1</v>
      </c>
      <c r="AU69" s="174">
        <f>'2018'!AU69+'2019'!AU69+'2020'!AU69+'2021'!AU69+'2022'!AU45</f>
        <v>3</v>
      </c>
      <c r="AV69" s="174">
        <f>'2018'!AV69+'2019'!AV69+'2020'!AV69+'2021'!AV69+'2022'!AV45</f>
        <v>0</v>
      </c>
      <c r="AW69" s="174">
        <f t="shared" si="3"/>
        <v>46</v>
      </c>
      <c r="AX69" s="156">
        <f t="shared" si="5"/>
        <v>2534.444</v>
      </c>
      <c r="AY69" s="14">
        <f>'2018'!AX69+'2019'!AX69+'2020'!AX69+'2021'!AX69+'2022'!AX45</f>
        <v>12672.22</v>
      </c>
      <c r="AZ69" s="14">
        <f t="shared" si="11"/>
        <v>28.930817610062892</v>
      </c>
      <c r="BA69" s="142"/>
      <c r="BB69" s="144"/>
      <c r="BC69" s="142"/>
    </row>
    <row r="70" spans="1:55" x14ac:dyDescent="0.25">
      <c r="A70" s="175" t="s">
        <v>132</v>
      </c>
      <c r="B70" s="176">
        <f>'2018'!B70+'2019'!B70+'2020'!B70+'2021'!B70+'2022'!B54</f>
        <v>21</v>
      </c>
      <c r="C70" s="176">
        <f>'2018'!C70+'2019'!C70+'2020'!C70+'2021'!C70+'2022'!C54</f>
        <v>6</v>
      </c>
      <c r="D70" s="176">
        <f>'2018'!D70+'2019'!D70+'2020'!D70+'2021'!D70+'2022'!D54</f>
        <v>264</v>
      </c>
      <c r="E70" s="176">
        <f>'2018'!E70+'2019'!E70+'2020'!E70+'2021'!E70+'2022'!E54</f>
        <v>52</v>
      </c>
      <c r="F70" s="176">
        <f>'2018'!F70+'2019'!F70+'2020'!F70+'2021'!F70+'2022'!F54</f>
        <v>0</v>
      </c>
      <c r="G70" s="176">
        <f>'2018'!G70+'2019'!G70+'2020'!G70+'2021'!G70+'2022'!G54</f>
        <v>0</v>
      </c>
      <c r="H70" s="176">
        <f>'2018'!H70+'2019'!H70+'2020'!H70+'2021'!H70+'2022'!H54</f>
        <v>181</v>
      </c>
      <c r="I70" s="176">
        <f>'2018'!I70+'2019'!I70+'2020'!I70+'2021'!I70+'2022'!I54</f>
        <v>0</v>
      </c>
      <c r="J70" s="176">
        <f>'2018'!J70+'2019'!J70+'2020'!J70+'2021'!J70+'2022'!J54</f>
        <v>31</v>
      </c>
      <c r="K70" s="176">
        <f>'2018'!K70+'2019'!K70+'2020'!K70+'2021'!K70+'2022'!K54</f>
        <v>19</v>
      </c>
      <c r="L70" s="176">
        <f>'2018'!L70+'2019'!L70+'2020'!L70+'2021'!L70+'2022'!L54</f>
        <v>1</v>
      </c>
      <c r="M70" s="176">
        <f>'2018'!M70+'2019'!M70+'2020'!M70+'2021'!M70+'2022'!M54</f>
        <v>0</v>
      </c>
      <c r="N70" s="176">
        <f>'2018'!N70+'2019'!N70+'2020'!N70+'2021'!N70+'2022'!N54</f>
        <v>0</v>
      </c>
      <c r="O70" s="176">
        <f>'2018'!O70+'2019'!O70+'2020'!O70+'2021'!O70+'2022'!O54</f>
        <v>2</v>
      </c>
      <c r="P70" s="176">
        <f>'2018'!P70+'2019'!P70+'2020'!P70+'2021'!P70+'2022'!P54</f>
        <v>0</v>
      </c>
      <c r="Q70" s="176">
        <f>'2018'!Q70+'2019'!Q70+'2020'!Q70+'2021'!Q70+'2022'!Q54</f>
        <v>0</v>
      </c>
      <c r="R70" s="176">
        <f>'2018'!R70+'2019'!R70+'2020'!R70+'2021'!R70+'2022'!R54</f>
        <v>0</v>
      </c>
      <c r="S70" s="176">
        <f>'2018'!S70+'2019'!S70+'2020'!S70+'2021'!S70+'2022'!S54</f>
        <v>0</v>
      </c>
      <c r="T70" s="176">
        <f>'2018'!T70+'2019'!T70+'2020'!T70+'2021'!T70+'2022'!T54</f>
        <v>0</v>
      </c>
      <c r="U70" s="176">
        <f>'2018'!U70+'2019'!U70+'2020'!U70+'2021'!U70+'2022'!U54</f>
        <v>0</v>
      </c>
      <c r="V70" s="176">
        <f>'2018'!V70+'2019'!V70+'2020'!V70+'2021'!V70+'2022'!V54</f>
        <v>30</v>
      </c>
      <c r="W70" s="176">
        <f>'2018'!W70+'2019'!W70+'2020'!W70+'2021'!W70+'2022'!W54</f>
        <v>0</v>
      </c>
      <c r="X70" s="176">
        <f>'2018'!X70+'2019'!X70+'2020'!X70+'2021'!X70+'2022'!X54</f>
        <v>0</v>
      </c>
      <c r="Y70" s="174">
        <f t="shared" ref="Y70:Y133" si="14">SUM(F70:X70)</f>
        <v>264</v>
      </c>
      <c r="Z70" s="174">
        <f>'2018'!Z70+'2019'!Z70+'2020'!Z70+'2021'!Z70+'2022'!Z54</f>
        <v>13</v>
      </c>
      <c r="AA70" s="174">
        <f>'2018'!AA70+'2019'!AA70+'2020'!AA70+'2021'!AA70+'2022'!AA54</f>
        <v>3</v>
      </c>
      <c r="AB70" s="174">
        <f>'2018'!AB70+'2019'!AB70+'2020'!AB70+'2021'!AB70+'2022'!AB54</f>
        <v>92</v>
      </c>
      <c r="AC70" s="174">
        <f>'2018'!AC70+'2019'!AC70+'2020'!AC70+'2021'!AC70+'2022'!AC54</f>
        <v>15</v>
      </c>
      <c r="AD70" s="174">
        <f>'2018'!AD70+'2019'!AD70+'2020'!AD70+'2021'!AD70+'2022'!AD54</f>
        <v>0</v>
      </c>
      <c r="AE70" s="174">
        <f>'2018'!AE70+'2019'!AE70+'2020'!AE70+'2021'!AE70+'2022'!AE54</f>
        <v>0</v>
      </c>
      <c r="AF70" s="174">
        <f>'2018'!AF70+'2019'!AF70+'2020'!AF70+'2021'!AF70+'2022'!AF54</f>
        <v>57</v>
      </c>
      <c r="AG70" s="174">
        <f>'2018'!AG70+'2019'!AG70+'2020'!AG70+'2021'!AG70+'2022'!AG54</f>
        <v>0</v>
      </c>
      <c r="AH70" s="174">
        <f>'2018'!AH70+'2019'!AH70+'2020'!AH70+'2021'!AH70+'2022'!AH54</f>
        <v>30</v>
      </c>
      <c r="AI70" s="174">
        <f>'2018'!AI70+'2019'!AI70+'2020'!AI70+'2021'!AI70+'2022'!AI54</f>
        <v>4</v>
      </c>
      <c r="AJ70" s="174">
        <f>'2018'!AJ70+'2019'!AJ70+'2020'!AJ70+'2021'!AJ70+'2022'!AJ54</f>
        <v>0</v>
      </c>
      <c r="AK70" s="174">
        <f>'2018'!AK70+'2019'!AK70+'2020'!AK70+'2021'!AK70+'2022'!AK54</f>
        <v>0</v>
      </c>
      <c r="AL70" s="174">
        <f>'2018'!AL70+'2019'!AL70+'2020'!AL70+'2021'!AL70+'2022'!AL54</f>
        <v>0</v>
      </c>
      <c r="AM70" s="174">
        <f>'2018'!AM70+'2019'!AM70+'2020'!AM70+'2021'!AM70+'2022'!AM54</f>
        <v>1</v>
      </c>
      <c r="AN70" s="174">
        <f>'2018'!AN70+'2019'!AN70+'2020'!AN70+'2021'!AN70+'2022'!AN54</f>
        <v>0</v>
      </c>
      <c r="AO70" s="174">
        <f>'2018'!AO70+'2019'!AO70+'2020'!AO70+'2021'!AO70+'2022'!AO54</f>
        <v>0</v>
      </c>
      <c r="AP70" s="174">
        <f>'2018'!AP70+'2019'!AP70+'2020'!AP70+'2021'!AP70+'2022'!AP54</f>
        <v>0</v>
      </c>
      <c r="AQ70" s="174">
        <f>'2018'!AQ70+'2019'!AQ70+'2020'!AQ70+'2021'!AQ70+'2022'!AQ54</f>
        <v>0</v>
      </c>
      <c r="AR70" s="174">
        <f>'2018'!AR70+'2019'!AR70+'2020'!AR70+'2021'!AR70+'2022'!AR54</f>
        <v>0</v>
      </c>
      <c r="AS70" s="174">
        <f>'2018'!AS70+'2019'!AS70+'2020'!AS70+'2021'!AS70+'2022'!AS54</f>
        <v>0</v>
      </c>
      <c r="AT70" s="174">
        <f>'2018'!AT70+'2019'!AT70+'2020'!AT70+'2021'!AT70+'2022'!AT54</f>
        <v>0</v>
      </c>
      <c r="AU70" s="174">
        <f>'2018'!AU70+'2019'!AU70+'2020'!AU70+'2021'!AU70+'2022'!AU54</f>
        <v>0</v>
      </c>
      <c r="AV70" s="174">
        <f>'2018'!AV70+'2019'!AV70+'2020'!AV70+'2021'!AV70+'2022'!AV54</f>
        <v>0</v>
      </c>
      <c r="AW70" s="174">
        <f t="shared" ref="AW70:AW132" si="15">SUM(AD70:AV70)</f>
        <v>92</v>
      </c>
      <c r="AX70" s="156">
        <f t="shared" si="5"/>
        <v>477.93999999999994</v>
      </c>
      <c r="AY70" s="14">
        <f>'2018'!AX70+'2019'!AX70+'2020'!AX70+'2021'!AX70+'2022'!AX54</f>
        <v>2389.6999999999998</v>
      </c>
      <c r="AZ70" s="14">
        <f t="shared" si="11"/>
        <v>34.848484848484851</v>
      </c>
      <c r="BA70" s="142"/>
      <c r="BB70" s="144"/>
      <c r="BC70" s="142"/>
    </row>
    <row r="71" spans="1:55" x14ac:dyDescent="0.25">
      <c r="A71" s="175" t="s">
        <v>131</v>
      </c>
      <c r="B71" s="176">
        <f>'2018'!B71+'2019'!B71+'2020'!B71+'2021'!B71+'2022'!B55</f>
        <v>19</v>
      </c>
      <c r="C71" s="176">
        <f>'2018'!C71+'2019'!C71+'2020'!C71+'2021'!C71+'2022'!C55</f>
        <v>2</v>
      </c>
      <c r="D71" s="176">
        <f>'2018'!D71+'2019'!D71+'2020'!D71+'2021'!D71+'2022'!D55</f>
        <v>148</v>
      </c>
      <c r="E71" s="176">
        <f>'2018'!E71+'2019'!E71+'2020'!E71+'2021'!E71+'2022'!E55</f>
        <v>23</v>
      </c>
      <c r="F71" s="176">
        <f>'2018'!F71+'2019'!F71+'2020'!F71+'2021'!F71+'2022'!F55</f>
        <v>0</v>
      </c>
      <c r="G71" s="176">
        <f>'2018'!G71+'2019'!G71+'2020'!G71+'2021'!G71+'2022'!G55</f>
        <v>0</v>
      </c>
      <c r="H71" s="176">
        <f>'2018'!H71+'2019'!H71+'2020'!H71+'2021'!H71+'2022'!H55</f>
        <v>75</v>
      </c>
      <c r="I71" s="176">
        <f>'2018'!I71+'2019'!I71+'2020'!I71+'2021'!I71+'2022'!I55</f>
        <v>0</v>
      </c>
      <c r="J71" s="176">
        <f>'2018'!J71+'2019'!J71+'2020'!J71+'2021'!J71+'2022'!J55</f>
        <v>0</v>
      </c>
      <c r="K71" s="176">
        <f>'2018'!K71+'2019'!K71+'2020'!K71+'2021'!K71+'2022'!K55</f>
        <v>7</v>
      </c>
      <c r="L71" s="176">
        <f>'2018'!L71+'2019'!L71+'2020'!L71+'2021'!L71+'2022'!L55</f>
        <v>21</v>
      </c>
      <c r="M71" s="176">
        <f>'2018'!M71+'2019'!M71+'2020'!M71+'2021'!M71+'2022'!M55</f>
        <v>0</v>
      </c>
      <c r="N71" s="176">
        <f>'2018'!N71+'2019'!N71+'2020'!N71+'2021'!N71+'2022'!N55</f>
        <v>0</v>
      </c>
      <c r="O71" s="176">
        <f>'2018'!O71+'2019'!O71+'2020'!O71+'2021'!O71+'2022'!O55</f>
        <v>0</v>
      </c>
      <c r="P71" s="176">
        <f>'2018'!P71+'2019'!P71+'2020'!P71+'2021'!P71+'2022'!P55</f>
        <v>0</v>
      </c>
      <c r="Q71" s="176">
        <f>'2018'!Q71+'2019'!Q71+'2020'!Q71+'2021'!Q71+'2022'!Q55</f>
        <v>0</v>
      </c>
      <c r="R71" s="176">
        <f>'2018'!R71+'2019'!R71+'2020'!R71+'2021'!R71+'2022'!R55</f>
        <v>0</v>
      </c>
      <c r="S71" s="176">
        <f>'2018'!S71+'2019'!S71+'2020'!S71+'2021'!S71+'2022'!S55</f>
        <v>0</v>
      </c>
      <c r="T71" s="176">
        <f>'2018'!T71+'2019'!T71+'2020'!T71+'2021'!T71+'2022'!T55</f>
        <v>0</v>
      </c>
      <c r="U71" s="176">
        <f>'2018'!U71+'2019'!U71+'2020'!U71+'2021'!U71+'2022'!U55</f>
        <v>2</v>
      </c>
      <c r="V71" s="176">
        <f>'2018'!V71+'2019'!V71+'2020'!V71+'2021'!V71+'2022'!V55</f>
        <v>36</v>
      </c>
      <c r="W71" s="176">
        <f>'2018'!W71+'2019'!W71+'2020'!W71+'2021'!W71+'2022'!W55</f>
        <v>0</v>
      </c>
      <c r="X71" s="176">
        <f>'2018'!X71+'2019'!X71+'2020'!X71+'2021'!X71+'2022'!X55</f>
        <v>7</v>
      </c>
      <c r="Y71" s="174">
        <f t="shared" si="14"/>
        <v>148</v>
      </c>
      <c r="Z71" s="174">
        <f>'2018'!Z71+'2019'!Z71+'2020'!Z71+'2021'!Z71+'2022'!Z55</f>
        <v>10</v>
      </c>
      <c r="AA71" s="174">
        <f>'2018'!AA71+'2019'!AA71+'2020'!AA71+'2021'!AA71+'2022'!AA55</f>
        <v>2</v>
      </c>
      <c r="AB71" s="174">
        <f>'2018'!AB71+'2019'!AB71+'2020'!AB71+'2021'!AB71+'2022'!AB55</f>
        <v>65</v>
      </c>
      <c r="AC71" s="174">
        <f>'2018'!AC71+'2019'!AC71+'2020'!AC71+'2021'!AC71+'2022'!AC55</f>
        <v>23</v>
      </c>
      <c r="AD71" s="174">
        <f>'2018'!AD71+'2019'!AD71+'2020'!AD71+'2021'!AD71+'2022'!AD55</f>
        <v>0</v>
      </c>
      <c r="AE71" s="174">
        <f>'2018'!AE71+'2019'!AE71+'2020'!AE71+'2021'!AE71+'2022'!AE55</f>
        <v>0</v>
      </c>
      <c r="AF71" s="174">
        <f>'2018'!AF71+'2019'!AF71+'2020'!AF71+'2021'!AF71+'2022'!AF55</f>
        <v>18</v>
      </c>
      <c r="AG71" s="174">
        <f>'2018'!AG71+'2019'!AG71+'2020'!AG71+'2021'!AG71+'2022'!AG55</f>
        <v>0</v>
      </c>
      <c r="AH71" s="174">
        <f>'2018'!AH71+'2019'!AH71+'2020'!AH71+'2021'!AH71+'2022'!AH55</f>
        <v>0</v>
      </c>
      <c r="AI71" s="174">
        <f>'2018'!AI71+'2019'!AI71+'2020'!AI71+'2021'!AI71+'2022'!AI55</f>
        <v>2</v>
      </c>
      <c r="AJ71" s="174">
        <f>'2018'!AJ71+'2019'!AJ71+'2020'!AJ71+'2021'!AJ71+'2022'!AJ55</f>
        <v>21</v>
      </c>
      <c r="AK71" s="174">
        <f>'2018'!AK71+'2019'!AK71+'2020'!AK71+'2021'!AK71+'2022'!AK55</f>
        <v>0</v>
      </c>
      <c r="AL71" s="174">
        <f>'2018'!AL71+'2019'!AL71+'2020'!AL71+'2021'!AL71+'2022'!AL55</f>
        <v>0</v>
      </c>
      <c r="AM71" s="174">
        <f>'2018'!AM71+'2019'!AM71+'2020'!AM71+'2021'!AM71+'2022'!AM55</f>
        <v>0</v>
      </c>
      <c r="AN71" s="174">
        <f>'2018'!AN71+'2019'!AN71+'2020'!AN71+'2021'!AN71+'2022'!AN55</f>
        <v>0</v>
      </c>
      <c r="AO71" s="174">
        <f>'2018'!AO71+'2019'!AO71+'2020'!AO71+'2021'!AO71+'2022'!AO55</f>
        <v>0</v>
      </c>
      <c r="AP71" s="174">
        <f>'2018'!AP71+'2019'!AP71+'2020'!AP71+'2021'!AP71+'2022'!AP55</f>
        <v>0</v>
      </c>
      <c r="AQ71" s="174">
        <f>'2018'!AQ71+'2019'!AQ71+'2020'!AQ71+'2021'!AQ71+'2022'!AQ55</f>
        <v>0</v>
      </c>
      <c r="AR71" s="174">
        <f>'2018'!AR71+'2019'!AR71+'2020'!AR71+'2021'!AR71+'2022'!AR55</f>
        <v>0</v>
      </c>
      <c r="AS71" s="174">
        <f>'2018'!AS71+'2019'!AS71+'2020'!AS71+'2021'!AS71+'2022'!AS55</f>
        <v>2</v>
      </c>
      <c r="AT71" s="174">
        <f>'2018'!AT71+'2019'!AT71+'2020'!AT71+'2021'!AT71+'2022'!AT55</f>
        <v>22</v>
      </c>
      <c r="AU71" s="174">
        <f>'2018'!AU71+'2019'!AU71+'2020'!AU71+'2021'!AU71+'2022'!AU55</f>
        <v>0</v>
      </c>
      <c r="AV71" s="174">
        <f>'2018'!AV71+'2019'!AV71+'2020'!AV71+'2021'!AV71+'2022'!AV55</f>
        <v>0</v>
      </c>
      <c r="AW71" s="174">
        <f t="shared" si="15"/>
        <v>65</v>
      </c>
      <c r="AX71" s="156">
        <f t="shared" si="5"/>
        <v>1298.08</v>
      </c>
      <c r="AY71" s="14">
        <f>'2018'!AX71+'2019'!AX71+'2020'!AX71+'2021'!AX71+'2022'!AX55</f>
        <v>6490.4</v>
      </c>
      <c r="AZ71" s="14">
        <f t="shared" si="11"/>
        <v>43.918918918918919</v>
      </c>
      <c r="BA71" s="142"/>
      <c r="BB71" s="144"/>
      <c r="BC71" s="142"/>
    </row>
    <row r="72" spans="1:55" x14ac:dyDescent="0.25">
      <c r="A72" s="175" t="s">
        <v>130</v>
      </c>
      <c r="B72" s="176">
        <f>'2018'!B72+'2019'!B72+'2020'!B72+'2021'!B72+'2022'!B56</f>
        <v>8</v>
      </c>
      <c r="C72" s="176">
        <f>'2018'!C72+'2019'!C72+'2020'!C72+'2021'!C72+'2022'!C56</f>
        <v>1</v>
      </c>
      <c r="D72" s="176">
        <f>'2018'!D72+'2019'!D72+'2020'!D72+'2021'!D72+'2022'!D56</f>
        <v>42</v>
      </c>
      <c r="E72" s="176">
        <f>'2018'!E72+'2019'!E72+'2020'!E72+'2021'!E72+'2022'!E56</f>
        <v>1</v>
      </c>
      <c r="F72" s="176">
        <f>'2018'!F72+'2019'!F72+'2020'!F72+'2021'!F72+'2022'!F56</f>
        <v>0</v>
      </c>
      <c r="G72" s="176">
        <f>'2018'!G72+'2019'!G72+'2020'!G72+'2021'!G72+'2022'!G56</f>
        <v>0</v>
      </c>
      <c r="H72" s="176">
        <f>'2018'!H72+'2019'!H72+'2020'!H72+'2021'!H72+'2022'!H56</f>
        <v>1</v>
      </c>
      <c r="I72" s="176">
        <f>'2018'!I72+'2019'!I72+'2020'!I72+'2021'!I72+'2022'!I56</f>
        <v>7</v>
      </c>
      <c r="J72" s="176">
        <f>'2018'!J72+'2019'!J72+'2020'!J72+'2021'!J72+'2022'!J56</f>
        <v>0</v>
      </c>
      <c r="K72" s="176">
        <f>'2018'!K72+'2019'!K72+'2020'!K72+'2021'!K72+'2022'!K56</f>
        <v>20</v>
      </c>
      <c r="L72" s="176">
        <f>'2018'!L72+'2019'!L72+'2020'!L72+'2021'!L72+'2022'!L56</f>
        <v>0</v>
      </c>
      <c r="M72" s="176">
        <f>'2018'!M72+'2019'!M72+'2020'!M72+'2021'!M72+'2022'!M56</f>
        <v>1</v>
      </c>
      <c r="N72" s="176">
        <f>'2018'!N72+'2019'!N72+'2020'!N72+'2021'!N72+'2022'!N56</f>
        <v>0</v>
      </c>
      <c r="O72" s="176">
        <f>'2018'!O72+'2019'!O72+'2020'!O72+'2021'!O72+'2022'!O56</f>
        <v>1</v>
      </c>
      <c r="P72" s="176">
        <f>'2018'!P72+'2019'!P72+'2020'!P72+'2021'!P72+'2022'!P56</f>
        <v>0</v>
      </c>
      <c r="Q72" s="176">
        <f>'2018'!Q72+'2019'!Q72+'2020'!Q72+'2021'!Q72+'2022'!Q56</f>
        <v>0</v>
      </c>
      <c r="R72" s="176">
        <f>'2018'!R72+'2019'!R72+'2020'!R72+'2021'!R72+'2022'!R56</f>
        <v>0</v>
      </c>
      <c r="S72" s="176">
        <f>'2018'!S72+'2019'!S72+'2020'!S72+'2021'!S72+'2022'!S56</f>
        <v>0</v>
      </c>
      <c r="T72" s="176">
        <f>'2018'!T72+'2019'!T72+'2020'!T72+'2021'!T72+'2022'!T56</f>
        <v>0</v>
      </c>
      <c r="U72" s="176">
        <f>'2018'!U72+'2019'!U72+'2020'!U72+'2021'!U72+'2022'!U56</f>
        <v>12</v>
      </c>
      <c r="V72" s="176">
        <f>'2018'!V72+'2019'!V72+'2020'!V72+'2021'!V72+'2022'!V56</f>
        <v>0</v>
      </c>
      <c r="W72" s="176">
        <f>'2018'!W72+'2019'!W72+'2020'!W72+'2021'!W72+'2022'!W56</f>
        <v>0</v>
      </c>
      <c r="X72" s="176">
        <f>'2018'!X72+'2019'!X72+'2020'!X72+'2021'!X72+'2022'!X56</f>
        <v>0</v>
      </c>
      <c r="Y72" s="174">
        <f t="shared" si="14"/>
        <v>42</v>
      </c>
      <c r="Z72" s="174">
        <f>'2018'!Z72+'2019'!Z72+'2020'!Z72+'2021'!Z72+'2022'!Z56</f>
        <v>5</v>
      </c>
      <c r="AA72" s="174">
        <f>'2018'!AA72+'2019'!AA72+'2020'!AA72+'2021'!AA72+'2022'!AA56</f>
        <v>0</v>
      </c>
      <c r="AB72" s="174">
        <f>'2018'!AB72+'2019'!AB72+'2020'!AB72+'2021'!AB72+'2022'!AB56</f>
        <v>31</v>
      </c>
      <c r="AC72" s="174">
        <f>'2018'!AC72+'2019'!AC72+'2020'!AC72+'2021'!AC72+'2022'!AC56</f>
        <v>0</v>
      </c>
      <c r="AD72" s="174">
        <f>'2018'!AD72+'2019'!AD72+'2020'!AD72+'2021'!AD72+'2022'!AD56</f>
        <v>0</v>
      </c>
      <c r="AE72" s="174">
        <f>'2018'!AE72+'2019'!AE72+'2020'!AE72+'2021'!AE72+'2022'!AE56</f>
        <v>0</v>
      </c>
      <c r="AF72" s="174">
        <f>'2018'!AF72+'2019'!AF72+'2020'!AF72+'2021'!AF72+'2022'!AF56</f>
        <v>0</v>
      </c>
      <c r="AG72" s="174">
        <f>'2018'!AG72+'2019'!AG72+'2020'!AG72+'2021'!AG72+'2022'!AG56</f>
        <v>7</v>
      </c>
      <c r="AH72" s="174">
        <f>'2018'!AH72+'2019'!AH72+'2020'!AH72+'2021'!AH72+'2022'!AH56</f>
        <v>0</v>
      </c>
      <c r="AI72" s="174">
        <f>'2018'!AI72+'2019'!AI72+'2020'!AI72+'2021'!AI72+'2022'!AI56</f>
        <v>20</v>
      </c>
      <c r="AJ72" s="174">
        <f>'2018'!AJ72+'2019'!AJ72+'2020'!AJ72+'2021'!AJ72+'2022'!AJ56</f>
        <v>0</v>
      </c>
      <c r="AK72" s="174">
        <f>'2018'!AK72+'2019'!AK72+'2020'!AK72+'2021'!AK72+'2022'!AK56</f>
        <v>0</v>
      </c>
      <c r="AL72" s="174">
        <f>'2018'!AL72+'2019'!AL72+'2020'!AL72+'2021'!AL72+'2022'!AL56</f>
        <v>0</v>
      </c>
      <c r="AM72" s="174">
        <f>'2018'!AM72+'2019'!AM72+'2020'!AM72+'2021'!AM72+'2022'!AM56</f>
        <v>0</v>
      </c>
      <c r="AN72" s="174">
        <f>'2018'!AN72+'2019'!AN72+'2020'!AN72+'2021'!AN72+'2022'!AN56</f>
        <v>0</v>
      </c>
      <c r="AO72" s="174">
        <f>'2018'!AO72+'2019'!AO72+'2020'!AO72+'2021'!AO72+'2022'!AO56</f>
        <v>0</v>
      </c>
      <c r="AP72" s="174">
        <f>'2018'!AP72+'2019'!AP72+'2020'!AP72+'2021'!AP72+'2022'!AP56</f>
        <v>0</v>
      </c>
      <c r="AQ72" s="174">
        <f>'2018'!AQ72+'2019'!AQ72+'2020'!AQ72+'2021'!AQ72+'2022'!AQ56</f>
        <v>0</v>
      </c>
      <c r="AR72" s="174">
        <f>'2018'!AR72+'2019'!AR72+'2020'!AR72+'2021'!AR72+'2022'!AR56</f>
        <v>0</v>
      </c>
      <c r="AS72" s="174">
        <f>'2018'!AS72+'2019'!AS72+'2020'!AS72+'2021'!AS72+'2022'!AS56</f>
        <v>4</v>
      </c>
      <c r="AT72" s="174">
        <f>'2018'!AT72+'2019'!AT72+'2020'!AT72+'2021'!AT72+'2022'!AT56</f>
        <v>0</v>
      </c>
      <c r="AU72" s="174">
        <f>'2018'!AU72+'2019'!AU72+'2020'!AU72+'2021'!AU72+'2022'!AU56</f>
        <v>0</v>
      </c>
      <c r="AV72" s="174">
        <f>'2018'!AV72+'2019'!AV72+'2020'!AV72+'2021'!AV72+'2022'!AV56</f>
        <v>0</v>
      </c>
      <c r="AW72" s="174">
        <f t="shared" si="15"/>
        <v>31</v>
      </c>
      <c r="AX72" s="156">
        <f t="shared" ref="AX72:AX135" si="16">AY72/5</f>
        <v>1070</v>
      </c>
      <c r="AY72" s="14">
        <f>'2018'!AX72+'2019'!AX72+'2020'!AX72+'2021'!AX72+'2022'!AX56</f>
        <v>5350</v>
      </c>
      <c r="AZ72" s="14">
        <f t="shared" si="11"/>
        <v>73.80952380952381</v>
      </c>
      <c r="BA72" s="142"/>
      <c r="BB72" s="144"/>
      <c r="BC72" s="142"/>
    </row>
    <row r="73" spans="1:55" x14ac:dyDescent="0.25">
      <c r="A73" s="173" t="s">
        <v>42</v>
      </c>
      <c r="B73" s="176">
        <f t="shared" ref="B73:X73" si="17">SUM(B74:B93)</f>
        <v>1026</v>
      </c>
      <c r="C73" s="176">
        <f t="shared" si="17"/>
        <v>174</v>
      </c>
      <c r="D73" s="176">
        <f t="shared" si="17"/>
        <v>3803</v>
      </c>
      <c r="E73" s="176">
        <f t="shared" si="17"/>
        <v>804</v>
      </c>
      <c r="F73" s="176">
        <f t="shared" si="17"/>
        <v>0</v>
      </c>
      <c r="G73" s="176">
        <f t="shared" si="17"/>
        <v>0</v>
      </c>
      <c r="H73" s="176">
        <f t="shared" si="17"/>
        <v>1017</v>
      </c>
      <c r="I73" s="176">
        <f t="shared" si="17"/>
        <v>11</v>
      </c>
      <c r="J73" s="176">
        <f t="shared" si="17"/>
        <v>46</v>
      </c>
      <c r="K73" s="176">
        <f t="shared" si="17"/>
        <v>86</v>
      </c>
      <c r="L73" s="176">
        <f t="shared" si="17"/>
        <v>671</v>
      </c>
      <c r="M73" s="176">
        <f t="shared" si="17"/>
        <v>61</v>
      </c>
      <c r="N73" s="176">
        <f t="shared" si="17"/>
        <v>167</v>
      </c>
      <c r="O73" s="176">
        <f t="shared" si="17"/>
        <v>185</v>
      </c>
      <c r="P73" s="176">
        <f t="shared" si="17"/>
        <v>139</v>
      </c>
      <c r="Q73" s="176">
        <f t="shared" si="17"/>
        <v>12</v>
      </c>
      <c r="R73" s="176">
        <f t="shared" si="17"/>
        <v>163</v>
      </c>
      <c r="S73" s="176">
        <f t="shared" si="17"/>
        <v>27</v>
      </c>
      <c r="T73" s="176">
        <f t="shared" si="17"/>
        <v>356</v>
      </c>
      <c r="U73" s="176">
        <f t="shared" si="17"/>
        <v>190</v>
      </c>
      <c r="V73" s="176">
        <f t="shared" si="17"/>
        <v>485</v>
      </c>
      <c r="W73" s="176">
        <f t="shared" si="17"/>
        <v>53</v>
      </c>
      <c r="X73" s="176">
        <f t="shared" si="17"/>
        <v>134</v>
      </c>
      <c r="Y73" s="174">
        <f t="shared" si="14"/>
        <v>3803</v>
      </c>
      <c r="Z73" s="174">
        <f t="shared" ref="Z73:AW73" si="18">SUM(Z74:Z93)</f>
        <v>777</v>
      </c>
      <c r="AA73" s="174">
        <f t="shared" si="18"/>
        <v>157</v>
      </c>
      <c r="AB73" s="174">
        <f t="shared" si="18"/>
        <v>2437</v>
      </c>
      <c r="AC73" s="174">
        <f t="shared" si="18"/>
        <v>667</v>
      </c>
      <c r="AD73" s="174">
        <f t="shared" si="18"/>
        <v>0</v>
      </c>
      <c r="AE73" s="174">
        <f t="shared" si="18"/>
        <v>0</v>
      </c>
      <c r="AF73" s="174">
        <f t="shared" si="18"/>
        <v>617</v>
      </c>
      <c r="AG73" s="174">
        <f t="shared" si="18"/>
        <v>8</v>
      </c>
      <c r="AH73" s="174">
        <f t="shared" si="18"/>
        <v>25</v>
      </c>
      <c r="AI73" s="174">
        <f t="shared" si="18"/>
        <v>39</v>
      </c>
      <c r="AJ73" s="174">
        <f t="shared" si="18"/>
        <v>460</v>
      </c>
      <c r="AK73" s="174">
        <f t="shared" si="18"/>
        <v>22</v>
      </c>
      <c r="AL73" s="174">
        <f t="shared" si="18"/>
        <v>97</v>
      </c>
      <c r="AM73" s="174">
        <f t="shared" si="18"/>
        <v>130</v>
      </c>
      <c r="AN73" s="174">
        <f t="shared" si="18"/>
        <v>76</v>
      </c>
      <c r="AO73" s="174">
        <f t="shared" si="18"/>
        <v>7</v>
      </c>
      <c r="AP73" s="174">
        <f t="shared" si="18"/>
        <v>101</v>
      </c>
      <c r="AQ73" s="174">
        <f t="shared" si="18"/>
        <v>18</v>
      </c>
      <c r="AR73" s="174">
        <f t="shared" si="18"/>
        <v>257</v>
      </c>
      <c r="AS73" s="174">
        <f t="shared" si="18"/>
        <v>115</v>
      </c>
      <c r="AT73" s="174">
        <f t="shared" si="18"/>
        <v>399</v>
      </c>
      <c r="AU73" s="174">
        <f t="shared" si="18"/>
        <v>17</v>
      </c>
      <c r="AV73" s="174">
        <f t="shared" si="18"/>
        <v>49</v>
      </c>
      <c r="AW73" s="174">
        <f t="shared" si="18"/>
        <v>2437</v>
      </c>
      <c r="AX73" s="156">
        <v>2844.21</v>
      </c>
      <c r="AY73" s="63"/>
      <c r="AZ73" s="63"/>
      <c r="BA73" s="184">
        <f>Z73*100/B73</f>
        <v>75.73099415204679</v>
      </c>
      <c r="BB73" s="185">
        <f>B73-Z73</f>
        <v>249</v>
      </c>
      <c r="BC73" s="184">
        <f>BB73*100/B73</f>
        <v>24.269005847953217</v>
      </c>
    </row>
    <row r="74" spans="1:55" x14ac:dyDescent="0.25">
      <c r="A74" s="175" t="s">
        <v>171</v>
      </c>
      <c r="B74" s="176">
        <f>'2018'!B74+'2019'!B74+'2020'!B74+'2021'!B74+'2022'!B58</f>
        <v>184</v>
      </c>
      <c r="C74" s="176">
        <f>'2018'!C74+'2019'!C74+'2020'!C74+'2021'!C74+'2022'!C58</f>
        <v>34</v>
      </c>
      <c r="D74" s="176">
        <f>'2018'!D74+'2019'!D74+'2020'!D74+'2021'!D74+'2022'!D58</f>
        <v>480</v>
      </c>
      <c r="E74" s="176">
        <f>'2018'!E74+'2019'!E74+'2020'!E74+'2021'!E74+'2022'!E58</f>
        <v>81</v>
      </c>
      <c r="F74" s="176">
        <f>'2018'!F74+'2019'!F74+'2020'!F74+'2021'!F74+'2022'!F58</f>
        <v>0</v>
      </c>
      <c r="G74" s="176">
        <f>'2018'!G74+'2019'!G74+'2020'!G74+'2021'!G74+'2022'!G58</f>
        <v>0</v>
      </c>
      <c r="H74" s="176">
        <f>'2018'!H74+'2019'!H74+'2020'!H74+'2021'!H74+'2022'!H58</f>
        <v>193</v>
      </c>
      <c r="I74" s="176">
        <f>'2018'!I74+'2019'!I74+'2020'!I74+'2021'!I74+'2022'!I58</f>
        <v>3</v>
      </c>
      <c r="J74" s="176">
        <f>'2018'!J74+'2019'!J74+'2020'!J74+'2021'!J74+'2022'!J58</f>
        <v>3</v>
      </c>
      <c r="K74" s="176">
        <f>'2018'!K74+'2019'!K74+'2020'!K74+'2021'!K74+'2022'!K58</f>
        <v>17</v>
      </c>
      <c r="L74" s="176">
        <f>'2018'!L74+'2019'!L74+'2020'!L74+'2021'!L74+'2022'!L58</f>
        <v>54</v>
      </c>
      <c r="M74" s="176">
        <f>'2018'!M74+'2019'!M74+'2020'!M74+'2021'!M74+'2022'!M58</f>
        <v>4</v>
      </c>
      <c r="N74" s="176">
        <f>'2018'!N74+'2019'!N74+'2020'!N74+'2021'!N74+'2022'!N58</f>
        <v>53</v>
      </c>
      <c r="O74" s="176">
        <f>'2018'!O74+'2019'!O74+'2020'!O74+'2021'!O74+'2022'!O58</f>
        <v>15</v>
      </c>
      <c r="P74" s="176">
        <f>'2018'!P74+'2019'!P74+'2020'!P74+'2021'!P74+'2022'!P58</f>
        <v>11</v>
      </c>
      <c r="Q74" s="176">
        <f>'2018'!Q74+'2019'!Q74+'2020'!Q74+'2021'!Q74+'2022'!Q58</f>
        <v>3</v>
      </c>
      <c r="R74" s="176">
        <f>'2018'!R74+'2019'!R74+'2020'!R74+'2021'!R74+'2022'!R58</f>
        <v>33</v>
      </c>
      <c r="S74" s="176">
        <f>'2018'!S74+'2019'!S74+'2020'!S74+'2021'!S74+'2022'!S58</f>
        <v>5</v>
      </c>
      <c r="T74" s="176">
        <f>'2018'!T74+'2019'!T74+'2020'!T74+'2021'!T74+'2022'!T58</f>
        <v>51</v>
      </c>
      <c r="U74" s="176">
        <f>'2018'!U74+'2019'!U74+'2020'!U74+'2021'!U74+'2022'!U58</f>
        <v>3</v>
      </c>
      <c r="V74" s="176">
        <f>'2018'!V74+'2019'!V74+'2020'!V74+'2021'!V74+'2022'!V58</f>
        <v>19</v>
      </c>
      <c r="W74" s="176">
        <f>'2018'!W74+'2019'!W74+'2020'!W74+'2021'!W74+'2022'!W58</f>
        <v>0</v>
      </c>
      <c r="X74" s="176">
        <f>'2018'!X74+'2019'!X74+'2020'!X74+'2021'!X74+'2022'!X58</f>
        <v>13</v>
      </c>
      <c r="Y74" s="174">
        <f t="shared" si="14"/>
        <v>480</v>
      </c>
      <c r="Z74" s="174">
        <f>'2018'!Z74+'2019'!Z74+'2020'!Z74+'2021'!Z74+'2022'!Z58</f>
        <v>142</v>
      </c>
      <c r="AA74" s="174">
        <f>'2018'!AA74+'2019'!AA74+'2020'!AA74+'2021'!AA74+'2022'!AA58</f>
        <v>28</v>
      </c>
      <c r="AB74" s="174">
        <f>'2018'!AB74+'2019'!AB74+'2020'!AB74+'2021'!AB74+'2022'!AB58</f>
        <v>345</v>
      </c>
      <c r="AC74" s="174">
        <f>'2018'!AC74+'2019'!AC74+'2020'!AC74+'2021'!AC74+'2022'!AC58</f>
        <v>65</v>
      </c>
      <c r="AD74" s="174">
        <f>'2018'!AD74+'2019'!AD74+'2020'!AD74+'2021'!AD74+'2022'!AD58</f>
        <v>0</v>
      </c>
      <c r="AE74" s="174">
        <f>'2018'!AE74+'2019'!AE74+'2020'!AE74+'2021'!AE74+'2022'!AE58</f>
        <v>0</v>
      </c>
      <c r="AF74" s="174">
        <f>'2018'!AF74+'2019'!AF74+'2020'!AF74+'2021'!AF74+'2022'!AF58</f>
        <v>121</v>
      </c>
      <c r="AG74" s="174">
        <f>'2018'!AG74+'2019'!AG74+'2020'!AG74+'2021'!AG74+'2022'!AG58</f>
        <v>0</v>
      </c>
      <c r="AH74" s="174">
        <f>'2018'!AH74+'2019'!AH74+'2020'!AH74+'2021'!AH74+'2022'!AH58</f>
        <v>3</v>
      </c>
      <c r="AI74" s="174">
        <f>'2018'!AI74+'2019'!AI74+'2020'!AI74+'2021'!AI74+'2022'!AI58</f>
        <v>13</v>
      </c>
      <c r="AJ74" s="174">
        <f>'2018'!AJ74+'2019'!AJ74+'2020'!AJ74+'2021'!AJ74+'2022'!AJ58</f>
        <v>33</v>
      </c>
      <c r="AK74" s="174">
        <f>'2018'!AK74+'2019'!AK74+'2020'!AK74+'2021'!AK74+'2022'!AK58</f>
        <v>1</v>
      </c>
      <c r="AL74" s="174">
        <f>'2018'!AL74+'2019'!AL74+'2020'!AL74+'2021'!AL74+'2022'!AL58</f>
        <v>47</v>
      </c>
      <c r="AM74" s="174">
        <f>'2018'!AM74+'2019'!AM74+'2020'!AM74+'2021'!AM74+'2022'!AM58</f>
        <v>13</v>
      </c>
      <c r="AN74" s="174">
        <f>'2018'!AN74+'2019'!AN74+'2020'!AN74+'2021'!AN74+'2022'!AN58</f>
        <v>10</v>
      </c>
      <c r="AO74" s="174">
        <f>'2018'!AO74+'2019'!AO74+'2020'!AO74+'2021'!AO74+'2022'!AO58</f>
        <v>3</v>
      </c>
      <c r="AP74" s="174">
        <f>'2018'!AP74+'2019'!AP74+'2020'!AP74+'2021'!AP74+'2022'!AP58</f>
        <v>21</v>
      </c>
      <c r="AQ74" s="174">
        <f>'2018'!AQ74+'2019'!AQ74+'2020'!AQ74+'2021'!AQ74+'2022'!AQ58</f>
        <v>5</v>
      </c>
      <c r="AR74" s="174">
        <f>'2018'!AR74+'2019'!AR74+'2020'!AR74+'2021'!AR74+'2022'!AR58</f>
        <v>50</v>
      </c>
      <c r="AS74" s="174">
        <f>'2018'!AS74+'2019'!AS74+'2020'!AS74+'2021'!AS74+'2022'!AS58</f>
        <v>0</v>
      </c>
      <c r="AT74" s="174">
        <f>'2018'!AT74+'2019'!AT74+'2020'!AT74+'2021'!AT74+'2022'!AT58</f>
        <v>14</v>
      </c>
      <c r="AU74" s="174">
        <f>'2018'!AU74+'2019'!AU74+'2020'!AU74+'2021'!AU74+'2022'!AU58</f>
        <v>0</v>
      </c>
      <c r="AV74" s="174">
        <f>'2018'!AV74+'2019'!AV74+'2020'!AV74+'2021'!AV74+'2022'!AV58</f>
        <v>11</v>
      </c>
      <c r="AW74" s="174">
        <f t="shared" si="15"/>
        <v>345</v>
      </c>
      <c r="AX74" s="156">
        <f t="shared" si="16"/>
        <v>2544.5316862745099</v>
      </c>
      <c r="AY74" s="14">
        <f>'2018'!AX74+'2019'!AX74+'2020'!AX74+'2021'!AX74+'2022'!AX58</f>
        <v>12722.658431372549</v>
      </c>
      <c r="AZ74" s="14">
        <f t="shared" si="11"/>
        <v>71.875</v>
      </c>
      <c r="BA74" s="142"/>
      <c r="BB74" s="144"/>
      <c r="BC74" s="142"/>
    </row>
    <row r="75" spans="1:55" x14ac:dyDescent="0.25">
      <c r="A75" s="175" t="s">
        <v>172</v>
      </c>
      <c r="B75" s="176">
        <f>'2018'!B75+'2019'!B75+'2020'!B75+'2021'!B75+'2022'!B59</f>
        <v>28</v>
      </c>
      <c r="C75" s="176">
        <f>'2018'!C75+'2019'!C75+'2020'!C75+'2021'!C75+'2022'!C59</f>
        <v>0</v>
      </c>
      <c r="D75" s="176">
        <f>'2018'!D75+'2019'!D75+'2020'!D75+'2021'!D75+'2022'!D59</f>
        <v>70</v>
      </c>
      <c r="E75" s="176">
        <f>'2018'!E75+'2019'!E75+'2020'!E75+'2021'!E75+'2022'!E59</f>
        <v>0</v>
      </c>
      <c r="F75" s="176">
        <f>'2018'!F75+'2019'!F75+'2020'!F75+'2021'!F75+'2022'!F59</f>
        <v>0</v>
      </c>
      <c r="G75" s="176">
        <f>'2018'!G75+'2019'!G75+'2020'!G75+'2021'!G75+'2022'!G59</f>
        <v>0</v>
      </c>
      <c r="H75" s="176">
        <f>'2018'!H75+'2019'!H75+'2020'!H75+'2021'!H75+'2022'!H59</f>
        <v>7</v>
      </c>
      <c r="I75" s="176">
        <f>'2018'!I75+'2019'!I75+'2020'!I75+'2021'!I75+'2022'!I59</f>
        <v>0</v>
      </c>
      <c r="J75" s="176">
        <f>'2018'!J75+'2019'!J75+'2020'!J75+'2021'!J75+'2022'!J59</f>
        <v>0</v>
      </c>
      <c r="K75" s="176">
        <f>'2018'!K75+'2019'!K75+'2020'!K75+'2021'!K75+'2022'!K59</f>
        <v>0</v>
      </c>
      <c r="L75" s="176">
        <f>'2018'!L75+'2019'!L75+'2020'!L75+'2021'!L75+'2022'!L59</f>
        <v>9</v>
      </c>
      <c r="M75" s="176">
        <f>'2018'!M75+'2019'!M75+'2020'!M75+'2021'!M75+'2022'!M59</f>
        <v>5</v>
      </c>
      <c r="N75" s="176">
        <f>'2018'!N75+'2019'!N75+'2020'!N75+'2021'!N75+'2022'!N59</f>
        <v>3</v>
      </c>
      <c r="O75" s="176">
        <f>'2018'!O75+'2019'!O75+'2020'!O75+'2021'!O75+'2022'!O59</f>
        <v>13</v>
      </c>
      <c r="P75" s="176">
        <f>'2018'!P75+'2019'!P75+'2020'!P75+'2021'!P75+'2022'!P59</f>
        <v>3</v>
      </c>
      <c r="Q75" s="176">
        <f>'2018'!Q75+'2019'!Q75+'2020'!Q75+'2021'!Q75+'2022'!Q59</f>
        <v>0</v>
      </c>
      <c r="R75" s="176">
        <f>'2018'!R75+'2019'!R75+'2020'!R75+'2021'!R75+'2022'!R59</f>
        <v>13</v>
      </c>
      <c r="S75" s="176">
        <f>'2018'!S75+'2019'!S75+'2020'!S75+'2021'!S75+'2022'!S59</f>
        <v>2</v>
      </c>
      <c r="T75" s="176">
        <f>'2018'!T75+'2019'!T75+'2020'!T75+'2021'!T75+'2022'!T59</f>
        <v>0</v>
      </c>
      <c r="U75" s="176">
        <f>'2018'!U75+'2019'!U75+'2020'!U75+'2021'!U75+'2022'!U59</f>
        <v>11</v>
      </c>
      <c r="V75" s="176">
        <f>'2018'!V75+'2019'!V75+'2020'!V75+'2021'!V75+'2022'!V59</f>
        <v>0</v>
      </c>
      <c r="W75" s="176">
        <f>'2018'!W75+'2019'!W75+'2020'!W75+'2021'!W75+'2022'!W59</f>
        <v>0</v>
      </c>
      <c r="X75" s="176">
        <f>'2018'!X75+'2019'!X75+'2020'!X75+'2021'!X75+'2022'!X59</f>
        <v>4</v>
      </c>
      <c r="Y75" s="174">
        <f t="shared" si="14"/>
        <v>70</v>
      </c>
      <c r="Z75" s="174">
        <f>'2018'!Z75+'2019'!Z75+'2020'!Z75+'2021'!Z75+'2022'!Z59</f>
        <v>20</v>
      </c>
      <c r="AA75" s="174">
        <f>'2018'!AA75+'2019'!AA75+'2020'!AA75+'2021'!AA75+'2022'!AA59</f>
        <v>0</v>
      </c>
      <c r="AB75" s="174">
        <f>'2018'!AB75+'2019'!AB75+'2020'!AB75+'2021'!AB75+'2022'!AB59</f>
        <v>51</v>
      </c>
      <c r="AC75" s="174">
        <f>'2018'!AC75+'2019'!AC75+'2020'!AC75+'2021'!AC75+'2022'!AC59</f>
        <v>0</v>
      </c>
      <c r="AD75" s="174">
        <f>'2018'!AD75+'2019'!AD75+'2020'!AD75+'2021'!AD75+'2022'!AD59</f>
        <v>0</v>
      </c>
      <c r="AE75" s="174">
        <f>'2018'!AE75+'2019'!AE75+'2020'!AE75+'2021'!AE75+'2022'!AE59</f>
        <v>0</v>
      </c>
      <c r="AF75" s="174">
        <f>'2018'!AF75+'2019'!AF75+'2020'!AF75+'2021'!AF75+'2022'!AF59</f>
        <v>2</v>
      </c>
      <c r="AG75" s="174">
        <f>'2018'!AG75+'2019'!AG75+'2020'!AG75+'2021'!AG75+'2022'!AG59</f>
        <v>0</v>
      </c>
      <c r="AH75" s="174">
        <f>'2018'!AH75+'2019'!AH75+'2020'!AH75+'2021'!AH75+'2022'!AH59</f>
        <v>0</v>
      </c>
      <c r="AI75" s="174">
        <f>'2018'!AI75+'2019'!AI75+'2020'!AI75+'2021'!AI75+'2022'!AI59</f>
        <v>0</v>
      </c>
      <c r="AJ75" s="174">
        <f>'2018'!AJ75+'2019'!AJ75+'2020'!AJ75+'2021'!AJ75+'2022'!AJ59</f>
        <v>9</v>
      </c>
      <c r="AK75" s="174">
        <f>'2018'!AK75+'2019'!AK75+'2020'!AK75+'2021'!AK75+'2022'!AK59</f>
        <v>0</v>
      </c>
      <c r="AL75" s="174">
        <f>'2018'!AL75+'2019'!AL75+'2020'!AL75+'2021'!AL75+'2022'!AL59</f>
        <v>3</v>
      </c>
      <c r="AM75" s="174">
        <f>'2018'!AM75+'2019'!AM75+'2020'!AM75+'2021'!AM75+'2022'!AM59</f>
        <v>13</v>
      </c>
      <c r="AN75" s="174">
        <f>'2018'!AN75+'2019'!AN75+'2020'!AN75+'2021'!AN75+'2022'!AN59</f>
        <v>1</v>
      </c>
      <c r="AO75" s="174">
        <f>'2018'!AO75+'2019'!AO75+'2020'!AO75+'2021'!AO75+'2022'!AO59</f>
        <v>0</v>
      </c>
      <c r="AP75" s="174">
        <f>'2018'!AP75+'2019'!AP75+'2020'!AP75+'2021'!AP75+'2022'!AP59</f>
        <v>9</v>
      </c>
      <c r="AQ75" s="174">
        <f>'2018'!AQ75+'2019'!AQ75+'2020'!AQ75+'2021'!AQ75+'2022'!AQ59</f>
        <v>1</v>
      </c>
      <c r="AR75" s="174">
        <f>'2018'!AR75+'2019'!AR75+'2020'!AR75+'2021'!AR75+'2022'!AR59</f>
        <v>0</v>
      </c>
      <c r="AS75" s="174">
        <f>'2018'!AS75+'2019'!AS75+'2020'!AS75+'2021'!AS75+'2022'!AS59</f>
        <v>11</v>
      </c>
      <c r="AT75" s="174">
        <f>'2018'!AT75+'2019'!AT75+'2020'!AT75+'2021'!AT75+'2022'!AT59</f>
        <v>0</v>
      </c>
      <c r="AU75" s="174">
        <f>'2018'!AU75+'2019'!AU75+'2020'!AU75+'2021'!AU75+'2022'!AU59</f>
        <v>0</v>
      </c>
      <c r="AV75" s="174">
        <f>'2018'!AV75+'2019'!AV75+'2020'!AV75+'2021'!AV75+'2022'!AV59</f>
        <v>2</v>
      </c>
      <c r="AW75" s="174">
        <f t="shared" si="15"/>
        <v>51</v>
      </c>
      <c r="AX75" s="156">
        <f t="shared" si="16"/>
        <v>2038.0250000000001</v>
      </c>
      <c r="AY75" s="14">
        <f>'2018'!AX75+'2019'!AX75+'2020'!AX75+'2021'!AX75+'2022'!AX59</f>
        <v>10190.125</v>
      </c>
      <c r="AZ75" s="14">
        <f t="shared" si="11"/>
        <v>72.857142857142861</v>
      </c>
      <c r="BA75" s="142"/>
      <c r="BB75" s="144"/>
      <c r="BC75" s="142"/>
    </row>
    <row r="76" spans="1:55" x14ac:dyDescent="0.25">
      <c r="A76" s="175" t="s">
        <v>173</v>
      </c>
      <c r="B76" s="176">
        <f>'2018'!B76+'2019'!B76+'2020'!B76+'2021'!B76+'2022'!B60</f>
        <v>87</v>
      </c>
      <c r="C76" s="176">
        <f>'2018'!C76+'2019'!C76+'2020'!C76+'2021'!C76+'2022'!C60</f>
        <v>26</v>
      </c>
      <c r="D76" s="176">
        <f>'2018'!D76+'2019'!D76+'2020'!D76+'2021'!D76+'2022'!D60</f>
        <v>230</v>
      </c>
      <c r="E76" s="176">
        <f>'2018'!E76+'2019'!E76+'2020'!E76+'2021'!E76+'2022'!E60</f>
        <v>104</v>
      </c>
      <c r="F76" s="176">
        <f>'2018'!F76+'2019'!F76+'2020'!F76+'2021'!F76+'2022'!F60</f>
        <v>0</v>
      </c>
      <c r="G76" s="176">
        <f>'2018'!G76+'2019'!G76+'2020'!G76+'2021'!G76+'2022'!G60</f>
        <v>0</v>
      </c>
      <c r="H76" s="176">
        <f>'2018'!H76+'2019'!H76+'2020'!H76+'2021'!H76+'2022'!H60</f>
        <v>27</v>
      </c>
      <c r="I76" s="176">
        <f>'2018'!I76+'2019'!I76+'2020'!I76+'2021'!I76+'2022'!I60</f>
        <v>2</v>
      </c>
      <c r="J76" s="176">
        <f>'2018'!J76+'2019'!J76+'2020'!J76+'2021'!J76+'2022'!J60</f>
        <v>1</v>
      </c>
      <c r="K76" s="176">
        <f>'2018'!K76+'2019'!K76+'2020'!K76+'2021'!K76+'2022'!K60</f>
        <v>2</v>
      </c>
      <c r="L76" s="176">
        <f>'2018'!L76+'2019'!L76+'2020'!L76+'2021'!L76+'2022'!L60</f>
        <v>13</v>
      </c>
      <c r="M76" s="176">
        <f>'2018'!M76+'2019'!M76+'2020'!M76+'2021'!M76+'2022'!M60</f>
        <v>0</v>
      </c>
      <c r="N76" s="176">
        <f>'2018'!N76+'2019'!N76+'2020'!N76+'2021'!N76+'2022'!N60</f>
        <v>11</v>
      </c>
      <c r="O76" s="176">
        <f>'2018'!O76+'2019'!O76+'2020'!O76+'2021'!O76+'2022'!O60</f>
        <v>26</v>
      </c>
      <c r="P76" s="176">
        <f>'2018'!P76+'2019'!P76+'2020'!P76+'2021'!P76+'2022'!P60</f>
        <v>12</v>
      </c>
      <c r="Q76" s="176">
        <f>'2018'!Q76+'2019'!Q76+'2020'!Q76+'2021'!Q76+'2022'!Q60</f>
        <v>0</v>
      </c>
      <c r="R76" s="176">
        <f>'2018'!R76+'2019'!R76+'2020'!R76+'2021'!R76+'2022'!R60</f>
        <v>12</v>
      </c>
      <c r="S76" s="176">
        <f>'2018'!S76+'2019'!S76+'2020'!S76+'2021'!S76+'2022'!S60</f>
        <v>0</v>
      </c>
      <c r="T76" s="176">
        <f>'2018'!T76+'2019'!T76+'2020'!T76+'2021'!T76+'2022'!T60</f>
        <v>31</v>
      </c>
      <c r="U76" s="176">
        <f>'2018'!U76+'2019'!U76+'2020'!U76+'2021'!U76+'2022'!U60</f>
        <v>3</v>
      </c>
      <c r="V76" s="176">
        <f>'2018'!V76+'2019'!V76+'2020'!V76+'2021'!V76+'2022'!V60</f>
        <v>80</v>
      </c>
      <c r="W76" s="176">
        <f>'2018'!W76+'2019'!W76+'2020'!W76+'2021'!W76+'2022'!W60</f>
        <v>0</v>
      </c>
      <c r="X76" s="176">
        <f>'2018'!X76+'2019'!X76+'2020'!X76+'2021'!X76+'2022'!X60</f>
        <v>10</v>
      </c>
      <c r="Y76" s="174">
        <f t="shared" si="14"/>
        <v>230</v>
      </c>
      <c r="Z76" s="174">
        <f>'2018'!Z76+'2019'!Z76+'2020'!Z76+'2021'!Z76+'2022'!Z60</f>
        <v>57</v>
      </c>
      <c r="AA76" s="174">
        <f>'2018'!AA76+'2019'!AA76+'2020'!AA76+'2021'!AA76+'2022'!AA60</f>
        <v>22</v>
      </c>
      <c r="AB76" s="174">
        <f>'2018'!AB76+'2019'!AB76+'2020'!AB76+'2021'!AB76+'2022'!AB60</f>
        <v>179</v>
      </c>
      <c r="AC76" s="174">
        <f>'2018'!AC76+'2019'!AC76+'2020'!AC76+'2021'!AC76+'2022'!AC60</f>
        <v>100</v>
      </c>
      <c r="AD76" s="174">
        <f>'2018'!AD76+'2019'!AD76+'2020'!AD76+'2021'!AD76+'2022'!AD60</f>
        <v>0</v>
      </c>
      <c r="AE76" s="174">
        <f>'2018'!AE76+'2019'!AE76+'2020'!AE76+'2021'!AE76+'2022'!AE60</f>
        <v>0</v>
      </c>
      <c r="AF76" s="174">
        <f>'2018'!AF76+'2019'!AF76+'2020'!AF76+'2021'!AF76+'2022'!AF60</f>
        <v>12</v>
      </c>
      <c r="AG76" s="174">
        <f>'2018'!AG76+'2019'!AG76+'2020'!AG76+'2021'!AG76+'2022'!AG60</f>
        <v>2</v>
      </c>
      <c r="AH76" s="174">
        <f>'2018'!AH76+'2019'!AH76+'2020'!AH76+'2021'!AH76+'2022'!AH60</f>
        <v>1</v>
      </c>
      <c r="AI76" s="174">
        <f>'2018'!AI76+'2019'!AI76+'2020'!AI76+'2021'!AI76+'2022'!AI60</f>
        <v>2</v>
      </c>
      <c r="AJ76" s="174">
        <f>'2018'!AJ76+'2019'!AJ76+'2020'!AJ76+'2021'!AJ76+'2022'!AJ60</f>
        <v>11</v>
      </c>
      <c r="AK76" s="174">
        <f>'2018'!AK76+'2019'!AK76+'2020'!AK76+'2021'!AK76+'2022'!AK60</f>
        <v>0</v>
      </c>
      <c r="AL76" s="174">
        <f>'2018'!AL76+'2019'!AL76+'2020'!AL76+'2021'!AL76+'2022'!AL60</f>
        <v>11</v>
      </c>
      <c r="AM76" s="174">
        <f>'2018'!AM76+'2019'!AM76+'2020'!AM76+'2021'!AM76+'2022'!AM60</f>
        <v>13</v>
      </c>
      <c r="AN76" s="174">
        <f>'2018'!AN76+'2019'!AN76+'2020'!AN76+'2021'!AN76+'2022'!AN60</f>
        <v>12</v>
      </c>
      <c r="AO76" s="174">
        <f>'2018'!AO76+'2019'!AO76+'2020'!AO76+'2021'!AO76+'2022'!AO60</f>
        <v>0</v>
      </c>
      <c r="AP76" s="174">
        <f>'2018'!AP76+'2019'!AP76+'2020'!AP76+'2021'!AP76+'2022'!AP60</f>
        <v>12</v>
      </c>
      <c r="AQ76" s="174">
        <f>'2018'!AQ76+'2019'!AQ76+'2020'!AQ76+'2021'!AQ76+'2022'!AQ60</f>
        <v>0</v>
      </c>
      <c r="AR76" s="174">
        <f>'2018'!AR76+'2019'!AR76+'2020'!AR76+'2021'!AR76+'2022'!AR60</f>
        <v>19</v>
      </c>
      <c r="AS76" s="174">
        <f>'2018'!AS76+'2019'!AS76+'2020'!AS76+'2021'!AS76+'2022'!AS60</f>
        <v>3</v>
      </c>
      <c r="AT76" s="174">
        <f>'2018'!AT76+'2019'!AT76+'2020'!AT76+'2021'!AT76+'2022'!AT60</f>
        <v>77</v>
      </c>
      <c r="AU76" s="174">
        <f>'2018'!AU76+'2019'!AU76+'2020'!AU76+'2021'!AU76+'2022'!AU60</f>
        <v>0</v>
      </c>
      <c r="AV76" s="174">
        <f>'2018'!AV76+'2019'!AV76+'2020'!AV76+'2021'!AV76+'2022'!AV60</f>
        <v>4</v>
      </c>
      <c r="AW76" s="174">
        <f t="shared" si="15"/>
        <v>179</v>
      </c>
      <c r="AX76" s="156">
        <f t="shared" si="16"/>
        <v>2248.687138888889</v>
      </c>
      <c r="AY76" s="14">
        <f>'2018'!AX76+'2019'!AX76+'2020'!AX76+'2021'!AX76+'2022'!AX60</f>
        <v>11243.435694444444</v>
      </c>
      <c r="AZ76" s="14">
        <f t="shared" si="11"/>
        <v>77.826086956521735</v>
      </c>
      <c r="BA76" s="142"/>
      <c r="BB76" s="144"/>
      <c r="BC76" s="142"/>
    </row>
    <row r="77" spans="1:55" x14ac:dyDescent="0.25">
      <c r="A77" s="175" t="s">
        <v>174</v>
      </c>
      <c r="B77" s="176">
        <f>'2018'!B77+'2019'!B77+'2020'!B77+'2021'!B77+'2022'!B61</f>
        <v>13</v>
      </c>
      <c r="C77" s="176">
        <f>'2018'!C77+'2019'!C77+'2020'!C77+'2021'!C77+'2022'!C61</f>
        <v>7</v>
      </c>
      <c r="D77" s="176">
        <f>'2018'!D77+'2019'!D77+'2020'!D77+'2021'!D77+'2022'!D61</f>
        <v>219</v>
      </c>
      <c r="E77" s="176">
        <f>'2018'!E77+'2019'!E77+'2020'!E77+'2021'!E77+'2022'!E61</f>
        <v>120</v>
      </c>
      <c r="F77" s="176">
        <f>'2018'!F77+'2019'!F77+'2020'!F77+'2021'!F77+'2022'!F61</f>
        <v>0</v>
      </c>
      <c r="G77" s="176">
        <f>'2018'!G77+'2019'!G77+'2020'!G77+'2021'!G77+'2022'!G61</f>
        <v>0</v>
      </c>
      <c r="H77" s="176">
        <f>'2018'!H77+'2019'!H77+'2020'!H77+'2021'!H77+'2022'!H61</f>
        <v>1</v>
      </c>
      <c r="I77" s="176">
        <f>'2018'!I77+'2019'!I77+'2020'!I77+'2021'!I77+'2022'!I61</f>
        <v>0</v>
      </c>
      <c r="J77" s="176">
        <f>'2018'!J77+'2019'!J77+'2020'!J77+'2021'!J77+'2022'!J61</f>
        <v>0</v>
      </c>
      <c r="K77" s="176">
        <f>'2018'!K77+'2019'!K77+'2020'!K77+'2021'!K77+'2022'!K61</f>
        <v>0</v>
      </c>
      <c r="L77" s="176">
        <f>'2018'!L77+'2019'!L77+'2020'!L77+'2021'!L77+'2022'!L61</f>
        <v>3</v>
      </c>
      <c r="M77" s="176">
        <f>'2018'!M77+'2019'!M77+'2020'!M77+'2021'!M77+'2022'!M61</f>
        <v>0</v>
      </c>
      <c r="N77" s="176">
        <f>'2018'!N77+'2019'!N77+'2020'!N77+'2021'!N77+'2022'!N61</f>
        <v>0</v>
      </c>
      <c r="O77" s="176">
        <f>'2018'!O77+'2019'!O77+'2020'!O77+'2021'!O77+'2022'!O61</f>
        <v>0</v>
      </c>
      <c r="P77" s="176">
        <f>'2018'!P77+'2019'!P77+'2020'!P77+'2021'!P77+'2022'!P61</f>
        <v>0</v>
      </c>
      <c r="Q77" s="176">
        <f>'2018'!Q77+'2019'!Q77+'2020'!Q77+'2021'!Q77+'2022'!Q61</f>
        <v>0</v>
      </c>
      <c r="R77" s="176">
        <f>'2018'!R77+'2019'!R77+'2020'!R77+'2021'!R77+'2022'!R61</f>
        <v>0</v>
      </c>
      <c r="S77" s="176">
        <f>'2018'!S77+'2019'!S77+'2020'!S77+'2021'!S77+'2022'!S61</f>
        <v>0</v>
      </c>
      <c r="T77" s="176">
        <f>'2018'!T77+'2019'!T77+'2020'!T77+'2021'!T77+'2022'!T61</f>
        <v>0</v>
      </c>
      <c r="U77" s="176">
        <f>'2018'!U77+'2019'!U77+'2020'!U77+'2021'!U77+'2022'!U61</f>
        <v>0</v>
      </c>
      <c r="V77" s="176">
        <f>'2018'!V77+'2019'!V77+'2020'!V77+'2021'!V77+'2022'!V61</f>
        <v>215</v>
      </c>
      <c r="W77" s="176">
        <f>'2018'!W77+'2019'!W77+'2020'!W77+'2021'!W77+'2022'!W61</f>
        <v>0</v>
      </c>
      <c r="X77" s="176">
        <f>'2018'!X77+'2019'!X77+'2020'!X77+'2021'!X77+'2022'!X61</f>
        <v>0</v>
      </c>
      <c r="Y77" s="174">
        <f t="shared" si="14"/>
        <v>219</v>
      </c>
      <c r="Z77" s="174">
        <f>'2018'!Z77+'2019'!Z77+'2020'!Z77+'2021'!Z77+'2022'!Z61</f>
        <v>11</v>
      </c>
      <c r="AA77" s="174">
        <f>'2018'!AA77+'2019'!AA77+'2020'!AA77+'2021'!AA77+'2022'!AA61</f>
        <v>5</v>
      </c>
      <c r="AB77" s="174">
        <f>'2018'!AB77+'2019'!AB77+'2020'!AB77+'2021'!AB77+'2022'!AB61</f>
        <v>172</v>
      </c>
      <c r="AC77" s="174">
        <f>'2018'!AC77+'2019'!AC77+'2020'!AC77+'2021'!AC77+'2022'!AC61</f>
        <v>115</v>
      </c>
      <c r="AD77" s="174">
        <f>'2018'!AD77+'2019'!AD77+'2020'!AD77+'2021'!AD77+'2022'!AD61</f>
        <v>0</v>
      </c>
      <c r="AE77" s="174">
        <f>'2018'!AE77+'2019'!AE77+'2020'!AE77+'2021'!AE77+'2022'!AE61</f>
        <v>0</v>
      </c>
      <c r="AF77" s="174">
        <f>'2018'!AF77+'2019'!AF77+'2020'!AF77+'2021'!AF77+'2022'!AF61</f>
        <v>1</v>
      </c>
      <c r="AG77" s="174">
        <f>'2018'!AG77+'2019'!AG77+'2020'!AG77+'2021'!AG77+'2022'!AG61</f>
        <v>0</v>
      </c>
      <c r="AH77" s="174">
        <f>'2018'!AH77+'2019'!AH77+'2020'!AH77+'2021'!AH77+'2022'!AH61</f>
        <v>0</v>
      </c>
      <c r="AI77" s="174">
        <f>'2018'!AI77+'2019'!AI77+'2020'!AI77+'2021'!AI77+'2022'!AI61</f>
        <v>0</v>
      </c>
      <c r="AJ77" s="174">
        <f>'2018'!AJ77+'2019'!AJ77+'2020'!AJ77+'2021'!AJ77+'2022'!AJ61</f>
        <v>0</v>
      </c>
      <c r="AK77" s="174">
        <f>'2018'!AK77+'2019'!AK77+'2020'!AK77+'2021'!AK77+'2022'!AK61</f>
        <v>0</v>
      </c>
      <c r="AL77" s="174">
        <f>'2018'!AL77+'2019'!AL77+'2020'!AL77+'2021'!AL77+'2022'!AL61</f>
        <v>0</v>
      </c>
      <c r="AM77" s="174">
        <f>'2018'!AM77+'2019'!AM77+'2020'!AM77+'2021'!AM77+'2022'!AM61</f>
        <v>0</v>
      </c>
      <c r="AN77" s="174">
        <f>'2018'!AN77+'2019'!AN77+'2020'!AN77+'2021'!AN77+'2022'!AN61</f>
        <v>0</v>
      </c>
      <c r="AO77" s="174">
        <f>'2018'!AO77+'2019'!AO77+'2020'!AO77+'2021'!AO77+'2022'!AO61</f>
        <v>0</v>
      </c>
      <c r="AP77" s="174">
        <f>'2018'!AP77+'2019'!AP77+'2020'!AP77+'2021'!AP77+'2022'!AP61</f>
        <v>0</v>
      </c>
      <c r="AQ77" s="174">
        <f>'2018'!AQ77+'2019'!AQ77+'2020'!AQ77+'2021'!AQ77+'2022'!AQ61</f>
        <v>0</v>
      </c>
      <c r="AR77" s="174">
        <f>'2018'!AR77+'2019'!AR77+'2020'!AR77+'2021'!AR77+'2022'!AR61</f>
        <v>0</v>
      </c>
      <c r="AS77" s="174">
        <f>'2018'!AS77+'2019'!AS77+'2020'!AS77+'2021'!AS77+'2022'!AS61</f>
        <v>0</v>
      </c>
      <c r="AT77" s="174">
        <f>'2018'!AT77+'2019'!AT77+'2020'!AT77+'2021'!AT77+'2022'!AT61</f>
        <v>171</v>
      </c>
      <c r="AU77" s="174">
        <f>'2018'!AU77+'2019'!AU77+'2020'!AU77+'2021'!AU77+'2022'!AU61</f>
        <v>0</v>
      </c>
      <c r="AV77" s="174">
        <f>'2018'!AV77+'2019'!AV77+'2020'!AV77+'2021'!AV77+'2022'!AV61</f>
        <v>0</v>
      </c>
      <c r="AW77" s="174">
        <f t="shared" si="15"/>
        <v>172</v>
      </c>
      <c r="AX77" s="156">
        <f t="shared" si="16"/>
        <v>960.15599999999995</v>
      </c>
      <c r="AY77" s="14">
        <f>'2018'!AX77+'2019'!AX77+'2020'!AX77+'2021'!AX77+'2022'!AX61</f>
        <v>4800.78</v>
      </c>
      <c r="AZ77" s="14">
        <f t="shared" si="11"/>
        <v>78.538812785388131</v>
      </c>
      <c r="BA77" s="142"/>
      <c r="BB77" s="144"/>
      <c r="BC77" s="142"/>
    </row>
    <row r="78" spans="1:55" x14ac:dyDescent="0.25">
      <c r="A78" s="175" t="s">
        <v>175</v>
      </c>
      <c r="B78" s="176">
        <f>'2018'!B78+'2019'!B78+'2020'!B78+'2021'!B78+'2022'!B62</f>
        <v>66</v>
      </c>
      <c r="C78" s="176">
        <f>'2018'!C78+'2019'!C78+'2020'!C78+'2021'!C78+'2022'!C62</f>
        <v>0</v>
      </c>
      <c r="D78" s="176">
        <f>'2018'!D78+'2019'!D78+'2020'!D78+'2021'!D78+'2022'!D62</f>
        <v>196</v>
      </c>
      <c r="E78" s="176">
        <f>'2018'!E78+'2019'!E78+'2020'!E78+'2021'!E78+'2022'!E62</f>
        <v>0</v>
      </c>
      <c r="F78" s="176">
        <f>'2018'!F78+'2019'!F78+'2020'!F78+'2021'!F78+'2022'!F62</f>
        <v>0</v>
      </c>
      <c r="G78" s="176">
        <f>'2018'!G78+'2019'!G78+'2020'!G78+'2021'!G78+'2022'!G62</f>
        <v>0</v>
      </c>
      <c r="H78" s="176">
        <f>'2018'!H78+'2019'!H78+'2020'!H78+'2021'!H78+'2022'!H62</f>
        <v>149</v>
      </c>
      <c r="I78" s="176">
        <f>'2018'!I78+'2019'!I78+'2020'!I78+'2021'!I78+'2022'!I62</f>
        <v>6</v>
      </c>
      <c r="J78" s="176">
        <f>'2018'!J78+'2019'!J78+'2020'!J78+'2021'!J78+'2022'!J62</f>
        <v>0</v>
      </c>
      <c r="K78" s="176">
        <f>'2018'!K78+'2019'!K78+'2020'!K78+'2021'!K78+'2022'!K62</f>
        <v>7</v>
      </c>
      <c r="L78" s="176">
        <f>'2018'!L78+'2019'!L78+'2020'!L78+'2021'!L78+'2022'!L62</f>
        <v>9</v>
      </c>
      <c r="M78" s="176">
        <f>'2018'!M78+'2019'!M78+'2020'!M78+'2021'!M78+'2022'!M62</f>
        <v>0</v>
      </c>
      <c r="N78" s="176">
        <f>'2018'!N78+'2019'!N78+'2020'!N78+'2021'!N78+'2022'!N62</f>
        <v>1</v>
      </c>
      <c r="O78" s="176">
        <f>'2018'!O78+'2019'!O78+'2020'!O78+'2021'!O78+'2022'!O62</f>
        <v>0</v>
      </c>
      <c r="P78" s="176">
        <f>'2018'!P78+'2019'!P78+'2020'!P78+'2021'!P78+'2022'!P62</f>
        <v>0</v>
      </c>
      <c r="Q78" s="176">
        <f>'2018'!Q78+'2019'!Q78+'2020'!Q78+'2021'!Q78+'2022'!Q62</f>
        <v>0</v>
      </c>
      <c r="R78" s="176">
        <f>'2018'!R78+'2019'!R78+'2020'!R78+'2021'!R78+'2022'!R62</f>
        <v>18</v>
      </c>
      <c r="S78" s="176">
        <f>'2018'!S78+'2019'!S78+'2020'!S78+'2021'!S78+'2022'!S62</f>
        <v>0</v>
      </c>
      <c r="T78" s="176">
        <f>'2018'!T78+'2019'!T78+'2020'!T78+'2021'!T78+'2022'!T62</f>
        <v>0</v>
      </c>
      <c r="U78" s="176">
        <f>'2018'!U78+'2019'!U78+'2020'!U78+'2021'!U78+'2022'!U62</f>
        <v>0</v>
      </c>
      <c r="V78" s="176">
        <f>'2018'!V78+'2019'!V78+'2020'!V78+'2021'!V78+'2022'!V62</f>
        <v>0</v>
      </c>
      <c r="W78" s="176">
        <f>'2018'!W78+'2019'!W78+'2020'!W78+'2021'!W78+'2022'!W62</f>
        <v>0</v>
      </c>
      <c r="X78" s="176">
        <f>'2018'!X78+'2019'!X78+'2020'!X78+'2021'!X78+'2022'!X62</f>
        <v>6</v>
      </c>
      <c r="Y78" s="174">
        <f t="shared" si="14"/>
        <v>196</v>
      </c>
      <c r="Z78" s="174">
        <f>'2018'!Z78+'2019'!Z78+'2020'!Z78+'2021'!Z78+'2022'!Z62</f>
        <v>45</v>
      </c>
      <c r="AA78" s="174">
        <f>'2018'!AA78+'2019'!AA78+'2020'!AA78+'2021'!AA78+'2022'!AA62</f>
        <v>0</v>
      </c>
      <c r="AB78" s="174">
        <f>'2018'!AB78+'2019'!AB78+'2020'!AB78+'2021'!AB78+'2022'!AB62</f>
        <v>112</v>
      </c>
      <c r="AC78" s="174">
        <f>'2018'!AC78+'2019'!AC78+'2020'!AC78+'2021'!AC78+'2022'!AC62</f>
        <v>0</v>
      </c>
      <c r="AD78" s="174">
        <f>'2018'!AD78+'2019'!AD78+'2020'!AD78+'2021'!AD78+'2022'!AD62</f>
        <v>0</v>
      </c>
      <c r="AE78" s="174">
        <f>'2018'!AE78+'2019'!AE78+'2020'!AE78+'2021'!AE78+'2022'!AE62</f>
        <v>0</v>
      </c>
      <c r="AF78" s="174">
        <f>'2018'!AF78+'2019'!AF78+'2020'!AF78+'2021'!AF78+'2022'!AF62</f>
        <v>87</v>
      </c>
      <c r="AG78" s="174">
        <f>'2018'!AG78+'2019'!AG78+'2020'!AG78+'2021'!AG78+'2022'!AG62</f>
        <v>6</v>
      </c>
      <c r="AH78" s="174">
        <f>'2018'!AH78+'2019'!AH78+'2020'!AH78+'2021'!AH78+'2022'!AH62</f>
        <v>0</v>
      </c>
      <c r="AI78" s="174">
        <f>'2018'!AI78+'2019'!AI78+'2020'!AI78+'2021'!AI78+'2022'!AI62</f>
        <v>5</v>
      </c>
      <c r="AJ78" s="174">
        <f>'2018'!AJ78+'2019'!AJ78+'2020'!AJ78+'2021'!AJ78+'2022'!AJ62</f>
        <v>3</v>
      </c>
      <c r="AK78" s="174">
        <f>'2018'!AK78+'2019'!AK78+'2020'!AK78+'2021'!AK78+'2022'!AK62</f>
        <v>0</v>
      </c>
      <c r="AL78" s="174">
        <f>'2018'!AL78+'2019'!AL78+'2020'!AL78+'2021'!AL78+'2022'!AL62</f>
        <v>1</v>
      </c>
      <c r="AM78" s="174">
        <f>'2018'!AM78+'2019'!AM78+'2020'!AM78+'2021'!AM78+'2022'!AM62</f>
        <v>0</v>
      </c>
      <c r="AN78" s="174">
        <f>'2018'!AN78+'2019'!AN78+'2020'!AN78+'2021'!AN78+'2022'!AN62</f>
        <v>0</v>
      </c>
      <c r="AO78" s="174">
        <f>'2018'!AO78+'2019'!AO78+'2020'!AO78+'2021'!AO78+'2022'!AO62</f>
        <v>0</v>
      </c>
      <c r="AP78" s="174">
        <f>'2018'!AP78+'2019'!AP78+'2020'!AP78+'2021'!AP78+'2022'!AP62</f>
        <v>8</v>
      </c>
      <c r="AQ78" s="174">
        <f>'2018'!AQ78+'2019'!AQ78+'2020'!AQ78+'2021'!AQ78+'2022'!AQ62</f>
        <v>0</v>
      </c>
      <c r="AR78" s="174">
        <f>'2018'!AR78+'2019'!AR78+'2020'!AR78+'2021'!AR78+'2022'!AR62</f>
        <v>0</v>
      </c>
      <c r="AS78" s="174">
        <f>'2018'!AS78+'2019'!AS78+'2020'!AS78+'2021'!AS78+'2022'!AS62</f>
        <v>0</v>
      </c>
      <c r="AT78" s="174">
        <f>'2018'!AT78+'2019'!AT78+'2020'!AT78+'2021'!AT78+'2022'!AT62</f>
        <v>0</v>
      </c>
      <c r="AU78" s="174">
        <f>'2018'!AU78+'2019'!AU78+'2020'!AU78+'2021'!AU78+'2022'!AU62</f>
        <v>0</v>
      </c>
      <c r="AV78" s="174">
        <f>'2018'!AV78+'2019'!AV78+'2020'!AV78+'2021'!AV78+'2022'!AV62</f>
        <v>2</v>
      </c>
      <c r="AW78" s="174">
        <f t="shared" si="15"/>
        <v>112</v>
      </c>
      <c r="AX78" s="156">
        <f t="shared" si="16"/>
        <v>2984.5986666666668</v>
      </c>
      <c r="AY78" s="14">
        <f>'2018'!AX78+'2019'!AX78+'2020'!AX78+'2021'!AX78+'2022'!AX62</f>
        <v>14922.993333333334</v>
      </c>
      <c r="AZ78" s="14">
        <f t="shared" si="11"/>
        <v>57.142857142857146</v>
      </c>
      <c r="BA78" s="142"/>
      <c r="BB78" s="144"/>
      <c r="BC78" s="142"/>
    </row>
    <row r="79" spans="1:55" x14ac:dyDescent="0.25">
      <c r="A79" s="175" t="s">
        <v>176</v>
      </c>
      <c r="B79" s="176">
        <f>'2018'!B79+'2019'!B79+'2020'!B79+'2021'!B79+'2022'!B46</f>
        <v>34</v>
      </c>
      <c r="C79" s="176">
        <f>'2018'!C79+'2019'!C79+'2020'!C79+'2021'!C79+'2022'!C46</f>
        <v>7</v>
      </c>
      <c r="D79" s="176">
        <f>'2018'!D79+'2019'!D79+'2020'!D79+'2021'!D79+'2022'!D46</f>
        <v>107</v>
      </c>
      <c r="E79" s="176">
        <f>'2018'!E79+'2019'!E79+'2020'!E79+'2021'!E79+'2022'!E46</f>
        <v>29</v>
      </c>
      <c r="F79" s="176">
        <f>'2018'!F79+'2019'!F79+'2020'!F79+'2021'!F79+'2022'!F46</f>
        <v>0</v>
      </c>
      <c r="G79" s="176">
        <f>'2018'!G79+'2019'!G79+'2020'!G79+'2021'!G79+'2022'!G46</f>
        <v>0</v>
      </c>
      <c r="H79" s="176">
        <f>'2018'!H79+'2019'!H79+'2020'!H79+'2021'!H79+'2022'!H46</f>
        <v>41</v>
      </c>
      <c r="I79" s="176">
        <f>'2018'!I79+'2019'!I79+'2020'!I79+'2021'!I79+'2022'!I46</f>
        <v>0</v>
      </c>
      <c r="J79" s="176">
        <f>'2018'!J79+'2019'!J79+'2020'!J79+'2021'!J79+'2022'!J46</f>
        <v>0</v>
      </c>
      <c r="K79" s="176">
        <f>'2018'!K79+'2019'!K79+'2020'!K79+'2021'!K79+'2022'!K46</f>
        <v>0</v>
      </c>
      <c r="L79" s="176">
        <f>'2018'!L79+'2019'!L79+'2020'!L79+'2021'!L79+'2022'!L46</f>
        <v>25</v>
      </c>
      <c r="M79" s="176">
        <f>'2018'!M79+'2019'!M79+'2020'!M79+'2021'!M79+'2022'!M46</f>
        <v>2</v>
      </c>
      <c r="N79" s="176">
        <f>'2018'!N79+'2019'!N79+'2020'!N79+'2021'!N79+'2022'!N46</f>
        <v>0</v>
      </c>
      <c r="O79" s="176">
        <f>'2018'!O79+'2019'!O79+'2020'!O79+'2021'!O79+'2022'!O46</f>
        <v>12</v>
      </c>
      <c r="P79" s="176">
        <f>'2018'!P79+'2019'!P79+'2020'!P79+'2021'!P79+'2022'!P46</f>
        <v>0</v>
      </c>
      <c r="Q79" s="176">
        <f>'2018'!Q79+'2019'!Q79+'2020'!Q79+'2021'!Q79+'2022'!Q46</f>
        <v>2</v>
      </c>
      <c r="R79" s="176">
        <f>'2018'!R79+'2019'!R79+'2020'!R79+'2021'!R79+'2022'!R46</f>
        <v>1</v>
      </c>
      <c r="S79" s="176">
        <f>'2018'!S79+'2019'!S79+'2020'!S79+'2021'!S79+'2022'!S46</f>
        <v>0</v>
      </c>
      <c r="T79" s="176">
        <f>'2018'!T79+'2019'!T79+'2020'!T79+'2021'!T79+'2022'!T46</f>
        <v>2</v>
      </c>
      <c r="U79" s="176">
        <f>'2018'!U79+'2019'!U79+'2020'!U79+'2021'!U79+'2022'!U46</f>
        <v>22</v>
      </c>
      <c r="V79" s="176">
        <f>'2018'!V79+'2019'!V79+'2020'!V79+'2021'!V79+'2022'!V46</f>
        <v>0</v>
      </c>
      <c r="W79" s="176">
        <f>'2018'!W79+'2019'!W79+'2020'!W79+'2021'!W79+'2022'!W46</f>
        <v>0</v>
      </c>
      <c r="X79" s="176">
        <f>'2018'!X79+'2019'!X79+'2020'!X79+'2021'!X79+'2022'!X46</f>
        <v>0</v>
      </c>
      <c r="Y79" s="174">
        <f t="shared" si="14"/>
        <v>107</v>
      </c>
      <c r="Z79" s="174">
        <f>'2018'!Z79+'2019'!Z79+'2020'!Z79+'2021'!Z79+'2022'!Z46</f>
        <v>23</v>
      </c>
      <c r="AA79" s="174">
        <f>'2018'!AA79+'2019'!AA79+'2020'!AA79+'2021'!AA79+'2022'!AA46</f>
        <v>6</v>
      </c>
      <c r="AB79" s="174">
        <f>'2018'!AB79+'2019'!AB79+'2020'!AB79+'2021'!AB79+'2022'!AB46</f>
        <v>78</v>
      </c>
      <c r="AC79" s="174">
        <f>'2018'!AC79+'2019'!AC79+'2020'!AC79+'2021'!AC79+'2022'!AC46</f>
        <v>18</v>
      </c>
      <c r="AD79" s="174">
        <f>'2018'!AD79+'2019'!AD79+'2020'!AD79+'2021'!AD79+'2022'!AD46</f>
        <v>0</v>
      </c>
      <c r="AE79" s="174">
        <f>'2018'!AE79+'2019'!AE79+'2020'!AE79+'2021'!AE79+'2022'!AE46</f>
        <v>0</v>
      </c>
      <c r="AF79" s="174">
        <f>'2018'!AF79+'2019'!AF79+'2020'!AF79+'2021'!AF79+'2022'!AF46</f>
        <v>36</v>
      </c>
      <c r="AG79" s="174">
        <f>'2018'!AG79+'2019'!AG79+'2020'!AG79+'2021'!AG79+'2022'!AG46</f>
        <v>0</v>
      </c>
      <c r="AH79" s="174">
        <f>'2018'!AH79+'2019'!AH79+'2020'!AH79+'2021'!AH79+'2022'!AH46</f>
        <v>0</v>
      </c>
      <c r="AI79" s="174">
        <f>'2018'!AI79+'2019'!AI79+'2020'!AI79+'2021'!AI79+'2022'!AI46</f>
        <v>0</v>
      </c>
      <c r="AJ79" s="174">
        <f>'2018'!AJ79+'2019'!AJ79+'2020'!AJ79+'2021'!AJ79+'2022'!AJ46</f>
        <v>21</v>
      </c>
      <c r="AK79" s="174">
        <f>'2018'!AK79+'2019'!AK79+'2020'!AK79+'2021'!AK79+'2022'!AK46</f>
        <v>1</v>
      </c>
      <c r="AL79" s="174">
        <f>'2018'!AL79+'2019'!AL79+'2020'!AL79+'2021'!AL79+'2022'!AL46</f>
        <v>0</v>
      </c>
      <c r="AM79" s="174">
        <f>'2018'!AM79+'2019'!AM79+'2020'!AM79+'2021'!AM79+'2022'!AM46</f>
        <v>6</v>
      </c>
      <c r="AN79" s="174">
        <f>'2018'!AN79+'2019'!AN79+'2020'!AN79+'2021'!AN79+'2022'!AN46</f>
        <v>0</v>
      </c>
      <c r="AO79" s="174">
        <f>'2018'!AO79+'2019'!AO79+'2020'!AO79+'2021'!AO79+'2022'!AO46</f>
        <v>0</v>
      </c>
      <c r="AP79" s="174">
        <f>'2018'!AP79+'2019'!AP79+'2020'!AP79+'2021'!AP79+'2022'!AP46</f>
        <v>1</v>
      </c>
      <c r="AQ79" s="174">
        <f>'2018'!AQ79+'2019'!AQ79+'2020'!AQ79+'2021'!AQ79+'2022'!AQ46</f>
        <v>0</v>
      </c>
      <c r="AR79" s="174">
        <f>'2018'!AR79+'2019'!AR79+'2020'!AR79+'2021'!AR79+'2022'!AR46</f>
        <v>2</v>
      </c>
      <c r="AS79" s="174">
        <f>'2018'!AS79+'2019'!AS79+'2020'!AS79+'2021'!AS79+'2022'!AS46</f>
        <v>11</v>
      </c>
      <c r="AT79" s="174">
        <f>'2018'!AT79+'2019'!AT79+'2020'!AT79+'2021'!AT79+'2022'!AT46</f>
        <v>0</v>
      </c>
      <c r="AU79" s="174">
        <f>'2018'!AU79+'2019'!AU79+'2020'!AU79+'2021'!AU79+'2022'!AU46</f>
        <v>0</v>
      </c>
      <c r="AV79" s="174">
        <f>'2018'!AV79+'2019'!AV79+'2020'!AV79+'2021'!AV79+'2022'!AV46</f>
        <v>0</v>
      </c>
      <c r="AW79" s="174">
        <f t="shared" si="15"/>
        <v>78</v>
      </c>
      <c r="AX79" s="156">
        <f t="shared" si="16"/>
        <v>4318.2830000000004</v>
      </c>
      <c r="AY79" s="14">
        <f>'2018'!AX79+'2019'!AX79+'2020'!AX79+'2021'!AX79+'2022'!AX46</f>
        <v>21591.415000000001</v>
      </c>
      <c r="AZ79" s="14">
        <f t="shared" si="11"/>
        <v>72.89719626168224</v>
      </c>
      <c r="BA79" s="142"/>
      <c r="BB79" s="144"/>
      <c r="BC79" s="142"/>
    </row>
    <row r="80" spans="1:55" x14ac:dyDescent="0.25">
      <c r="A80" s="175" t="s">
        <v>178</v>
      </c>
      <c r="B80" s="176">
        <f>'2018'!B80+'2019'!B80+'2020'!B80+'2021'!B80+'2022'!B47</f>
        <v>121</v>
      </c>
      <c r="C80" s="176">
        <f>'2018'!C80+'2019'!C80+'2020'!C80+'2021'!C80+'2022'!C47</f>
        <v>39</v>
      </c>
      <c r="D80" s="176">
        <f>'2018'!D80+'2019'!D80+'2020'!D80+'2021'!D80+'2022'!D47</f>
        <v>685</v>
      </c>
      <c r="E80" s="176">
        <f>'2018'!E80+'2019'!E80+'2020'!E80+'2021'!E80+'2022'!E47</f>
        <v>263</v>
      </c>
      <c r="F80" s="176">
        <f>'2018'!F80+'2019'!F80+'2020'!F80+'2021'!F80+'2022'!F47</f>
        <v>0</v>
      </c>
      <c r="G80" s="176">
        <f>'2018'!G80+'2019'!G80+'2020'!G80+'2021'!G80+'2022'!G47</f>
        <v>0</v>
      </c>
      <c r="H80" s="176">
        <f>'2018'!H80+'2019'!H80+'2020'!H80+'2021'!H80+'2022'!H47</f>
        <v>185</v>
      </c>
      <c r="I80" s="176">
        <f>'2018'!I80+'2019'!I80+'2020'!I80+'2021'!I80+'2022'!I47</f>
        <v>0</v>
      </c>
      <c r="J80" s="176">
        <f>'2018'!J80+'2019'!J80+'2020'!J80+'2021'!J80+'2022'!J47</f>
        <v>19</v>
      </c>
      <c r="K80" s="176">
        <f>'2018'!K80+'2019'!K80+'2020'!K80+'2021'!K80+'2022'!K47</f>
        <v>8</v>
      </c>
      <c r="L80" s="176">
        <f>'2018'!L80+'2019'!L80+'2020'!L80+'2021'!L80+'2022'!L47</f>
        <v>52</v>
      </c>
      <c r="M80" s="176">
        <f>'2018'!M80+'2019'!M80+'2020'!M80+'2021'!M80+'2022'!M47</f>
        <v>4</v>
      </c>
      <c r="N80" s="176">
        <f>'2018'!N80+'2019'!N80+'2020'!N80+'2021'!N80+'2022'!N47</f>
        <v>1</v>
      </c>
      <c r="O80" s="176">
        <f>'2018'!O80+'2019'!O80+'2020'!O80+'2021'!O80+'2022'!O47</f>
        <v>4</v>
      </c>
      <c r="P80" s="176">
        <f>'2018'!P80+'2019'!P80+'2020'!P80+'2021'!P80+'2022'!P47</f>
        <v>30</v>
      </c>
      <c r="Q80" s="176">
        <f>'2018'!Q80+'2019'!Q80+'2020'!Q80+'2021'!Q80+'2022'!Q47</f>
        <v>0</v>
      </c>
      <c r="R80" s="176">
        <f>'2018'!R80+'2019'!R80+'2020'!R80+'2021'!R80+'2022'!R47</f>
        <v>52</v>
      </c>
      <c r="S80" s="176">
        <f>'2018'!S80+'2019'!S80+'2020'!S80+'2021'!S80+'2022'!S47</f>
        <v>3</v>
      </c>
      <c r="T80" s="176">
        <f>'2018'!T80+'2019'!T80+'2020'!T80+'2021'!T80+'2022'!T47</f>
        <v>151</v>
      </c>
      <c r="U80" s="176">
        <f>'2018'!U80+'2019'!U80+'2020'!U80+'2021'!U80+'2022'!U47</f>
        <v>1</v>
      </c>
      <c r="V80" s="176">
        <f>'2018'!V80+'2019'!V80+'2020'!V80+'2021'!V80+'2022'!V47</f>
        <v>131</v>
      </c>
      <c r="W80" s="176">
        <f>'2018'!W80+'2019'!W80+'2020'!W80+'2021'!W80+'2022'!W47</f>
        <v>19</v>
      </c>
      <c r="X80" s="176">
        <f>'2018'!X80+'2019'!X80+'2020'!X80+'2021'!X80+'2022'!X47</f>
        <v>25</v>
      </c>
      <c r="Y80" s="174">
        <f t="shared" si="14"/>
        <v>685</v>
      </c>
      <c r="Z80" s="174">
        <f>'2018'!Z80+'2019'!Z80+'2020'!Z80+'2021'!Z80+'2022'!Z47</f>
        <v>95</v>
      </c>
      <c r="AA80" s="174">
        <f>'2018'!AA80+'2019'!AA80+'2020'!AA80+'2021'!AA80+'2022'!AA47</f>
        <v>46</v>
      </c>
      <c r="AB80" s="174">
        <f>'2018'!AB80+'2019'!AB80+'2020'!AB80+'2021'!AB80+'2022'!AB47</f>
        <v>385</v>
      </c>
      <c r="AC80" s="174">
        <f>'2018'!AC80+'2019'!AC80+'2020'!AC80+'2021'!AC80+'2022'!AC47</f>
        <v>194</v>
      </c>
      <c r="AD80" s="174">
        <f>'2018'!AD80+'2019'!AD80+'2020'!AD80+'2021'!AD80+'2022'!AD47</f>
        <v>0</v>
      </c>
      <c r="AE80" s="174">
        <f>'2018'!AE80+'2019'!AE80+'2020'!AE80+'2021'!AE80+'2022'!AE47</f>
        <v>0</v>
      </c>
      <c r="AF80" s="174">
        <f>'2018'!AF80+'2019'!AF80+'2020'!AF80+'2021'!AF80+'2022'!AF47</f>
        <v>85</v>
      </c>
      <c r="AG80" s="174">
        <f>'2018'!AG80+'2019'!AG80+'2020'!AG80+'2021'!AG80+'2022'!AG47</f>
        <v>0</v>
      </c>
      <c r="AH80" s="174">
        <f>'2018'!AH80+'2019'!AH80+'2020'!AH80+'2021'!AH80+'2022'!AH47</f>
        <v>7</v>
      </c>
      <c r="AI80" s="174">
        <f>'2018'!AI80+'2019'!AI80+'2020'!AI80+'2021'!AI80+'2022'!AI47</f>
        <v>0</v>
      </c>
      <c r="AJ80" s="174">
        <f>'2018'!AJ80+'2019'!AJ80+'2020'!AJ80+'2021'!AJ80+'2022'!AJ47</f>
        <v>37</v>
      </c>
      <c r="AK80" s="174">
        <f>'2018'!AK80+'2019'!AK80+'2020'!AK80+'2021'!AK80+'2022'!AK47</f>
        <v>4</v>
      </c>
      <c r="AL80" s="174">
        <f>'2018'!AL80+'2019'!AL80+'2020'!AL80+'2021'!AL80+'2022'!AL47</f>
        <v>1</v>
      </c>
      <c r="AM80" s="174">
        <f>'2018'!AM80+'2019'!AM80+'2020'!AM80+'2021'!AM80+'2022'!AM47</f>
        <v>4</v>
      </c>
      <c r="AN80" s="174">
        <f>'2018'!AN80+'2019'!AN80+'2020'!AN80+'2021'!AN80+'2022'!AN47</f>
        <v>0</v>
      </c>
      <c r="AO80" s="174">
        <f>'2018'!AO80+'2019'!AO80+'2020'!AO80+'2021'!AO80+'2022'!AO47</f>
        <v>0</v>
      </c>
      <c r="AP80" s="174">
        <f>'2018'!AP80+'2019'!AP80+'2020'!AP80+'2021'!AP80+'2022'!AP47</f>
        <v>24</v>
      </c>
      <c r="AQ80" s="174">
        <f>'2018'!AQ80+'2019'!AQ80+'2020'!AQ80+'2021'!AQ80+'2022'!AQ47</f>
        <v>3</v>
      </c>
      <c r="AR80" s="174">
        <f>'2018'!AR80+'2019'!AR80+'2020'!AR80+'2021'!AR80+'2022'!AR47</f>
        <v>98</v>
      </c>
      <c r="AS80" s="174">
        <f>'2018'!AS80+'2019'!AS80+'2020'!AS80+'2021'!AS80+'2022'!AS47</f>
        <v>1</v>
      </c>
      <c r="AT80" s="174">
        <f>'2018'!AT80+'2019'!AT80+'2020'!AT80+'2021'!AT80+'2022'!AT47</f>
        <v>106</v>
      </c>
      <c r="AU80" s="174">
        <f>'2018'!AU80+'2019'!AU80+'2020'!AU80+'2021'!AU80+'2022'!AU47</f>
        <v>5</v>
      </c>
      <c r="AV80" s="174">
        <f>'2018'!AV80+'2019'!AV80+'2020'!AV80+'2021'!AV80+'2022'!AV47</f>
        <v>10</v>
      </c>
      <c r="AW80" s="174">
        <f t="shared" si="15"/>
        <v>385</v>
      </c>
      <c r="AX80" s="156">
        <f t="shared" si="16"/>
        <v>3248.389584541063</v>
      </c>
      <c r="AY80" s="14">
        <f>'2018'!AX80+'2019'!AX80+'2020'!AX80+'2021'!AX80+'2022'!AX47</f>
        <v>16241.947922705314</v>
      </c>
      <c r="AZ80" s="14">
        <f t="shared" si="11"/>
        <v>56.204379562043798</v>
      </c>
      <c r="BA80" s="142"/>
      <c r="BB80" s="144"/>
      <c r="BC80" s="142"/>
    </row>
    <row r="81" spans="1:55" x14ac:dyDescent="0.25">
      <c r="A81" s="175" t="s">
        <v>177</v>
      </c>
      <c r="B81" s="176">
        <f>'2018'!B81+'2019'!B81+'2020'!B81+'2021'!B81+'2022'!B48</f>
        <v>75</v>
      </c>
      <c r="C81" s="176">
        <f>'2018'!C81+'2019'!C81+'2020'!C81+'2021'!C81+'2022'!C48</f>
        <v>3</v>
      </c>
      <c r="D81" s="176">
        <f>'2018'!D81+'2019'!D81+'2020'!D81+'2021'!D81+'2022'!D48</f>
        <v>526</v>
      </c>
      <c r="E81" s="176">
        <f>'2018'!E81+'2019'!E81+'2020'!E81+'2021'!E81+'2022'!E48</f>
        <v>4</v>
      </c>
      <c r="F81" s="176">
        <f>'2018'!F81+'2019'!F81+'2020'!F81+'2021'!F81+'2022'!F48</f>
        <v>0</v>
      </c>
      <c r="G81" s="176">
        <f>'2018'!G81+'2019'!G81+'2020'!G81+'2021'!G81+'2022'!G48</f>
        <v>0</v>
      </c>
      <c r="H81" s="176">
        <f>'2018'!H81+'2019'!H81+'2020'!H81+'2021'!H81+'2022'!H48</f>
        <v>46</v>
      </c>
      <c r="I81" s="176">
        <f>'2018'!I81+'2019'!I81+'2020'!I81+'2021'!I81+'2022'!I48</f>
        <v>0</v>
      </c>
      <c r="J81" s="176">
        <f>'2018'!J81+'2019'!J81+'2020'!J81+'2021'!J81+'2022'!J48</f>
        <v>0</v>
      </c>
      <c r="K81" s="176">
        <f>'2018'!K81+'2019'!K81+'2020'!K81+'2021'!K81+'2022'!K48</f>
        <v>7</v>
      </c>
      <c r="L81" s="176">
        <f>'2018'!L81+'2019'!L81+'2020'!L81+'2021'!L81+'2022'!L48</f>
        <v>267</v>
      </c>
      <c r="M81" s="176">
        <f>'2018'!M81+'2019'!M81+'2020'!M81+'2021'!M81+'2022'!M48</f>
        <v>0</v>
      </c>
      <c r="N81" s="176">
        <f>'2018'!N81+'2019'!N81+'2020'!N81+'2021'!N81+'2022'!N48</f>
        <v>11</v>
      </c>
      <c r="O81" s="176">
        <f>'2018'!O81+'2019'!O81+'2020'!O81+'2021'!O81+'2022'!O48</f>
        <v>21</v>
      </c>
      <c r="P81" s="176">
        <f>'2018'!P81+'2019'!P81+'2020'!P81+'2021'!P81+'2022'!P48</f>
        <v>78</v>
      </c>
      <c r="Q81" s="176">
        <f>'2018'!Q81+'2019'!Q81+'2020'!Q81+'2021'!Q81+'2022'!Q48</f>
        <v>0</v>
      </c>
      <c r="R81" s="176">
        <f>'2018'!R81+'2019'!R81+'2020'!R81+'2021'!R81+'2022'!R48</f>
        <v>4</v>
      </c>
      <c r="S81" s="176">
        <f>'2018'!S81+'2019'!S81+'2020'!S81+'2021'!S81+'2022'!S48</f>
        <v>2</v>
      </c>
      <c r="T81" s="176">
        <f>'2018'!T81+'2019'!T81+'2020'!T81+'2021'!T81+'2022'!T48</f>
        <v>0</v>
      </c>
      <c r="U81" s="176">
        <f>'2018'!U81+'2019'!U81+'2020'!U81+'2021'!U81+'2022'!U48</f>
        <v>63</v>
      </c>
      <c r="V81" s="176">
        <f>'2018'!V81+'2019'!V81+'2020'!V81+'2021'!V81+'2022'!V48</f>
        <v>20</v>
      </c>
      <c r="W81" s="176">
        <f>'2018'!W81+'2019'!W81+'2020'!W81+'2021'!W81+'2022'!W48</f>
        <v>0</v>
      </c>
      <c r="X81" s="176">
        <f>'2018'!X81+'2019'!X81+'2020'!X81+'2021'!X81+'2022'!X48</f>
        <v>7</v>
      </c>
      <c r="Y81" s="174">
        <f t="shared" si="14"/>
        <v>526</v>
      </c>
      <c r="Z81" s="174">
        <f>'2018'!Z81+'2019'!Z81+'2020'!Z81+'2021'!Z81+'2022'!Z48</f>
        <v>62</v>
      </c>
      <c r="AA81" s="174">
        <f>'2018'!AA81+'2019'!AA81+'2020'!AA81+'2021'!AA81+'2022'!AA48</f>
        <v>3</v>
      </c>
      <c r="AB81" s="174">
        <f>'2018'!AB81+'2019'!AB81+'2020'!AB81+'2021'!AB81+'2022'!AB48</f>
        <v>373</v>
      </c>
      <c r="AC81" s="174">
        <f>'2018'!AC81+'2019'!AC81+'2020'!AC81+'2021'!AC81+'2022'!AC48</f>
        <v>31</v>
      </c>
      <c r="AD81" s="174">
        <f>'2018'!AD81+'2019'!AD81+'2020'!AD81+'2021'!AD81+'2022'!AD48</f>
        <v>0</v>
      </c>
      <c r="AE81" s="174">
        <f>'2018'!AE81+'2019'!AE81+'2020'!AE81+'2021'!AE81+'2022'!AE48</f>
        <v>0</v>
      </c>
      <c r="AF81" s="174">
        <f>'2018'!AF81+'2019'!AF81+'2020'!AF81+'2021'!AF81+'2022'!AF48</f>
        <v>30</v>
      </c>
      <c r="AG81" s="174">
        <f>'2018'!AG81+'2019'!AG81+'2020'!AG81+'2021'!AG81+'2022'!AG48</f>
        <v>0</v>
      </c>
      <c r="AH81" s="174">
        <f>'2018'!AH81+'2019'!AH81+'2020'!AH81+'2021'!AH81+'2022'!AH48</f>
        <v>0</v>
      </c>
      <c r="AI81" s="174">
        <f>'2018'!AI81+'2019'!AI81+'2020'!AI81+'2021'!AI81+'2022'!AI48</f>
        <v>5</v>
      </c>
      <c r="AJ81" s="174">
        <f>'2018'!AJ81+'2019'!AJ81+'2020'!AJ81+'2021'!AJ81+'2022'!AJ48</f>
        <v>188</v>
      </c>
      <c r="AK81" s="174">
        <f>'2018'!AK81+'2019'!AK81+'2020'!AK81+'2021'!AK81+'2022'!AK48</f>
        <v>0</v>
      </c>
      <c r="AL81" s="174">
        <f>'2018'!AL81+'2019'!AL81+'2020'!AL81+'2021'!AL81+'2022'!AL48</f>
        <v>7</v>
      </c>
      <c r="AM81" s="174">
        <f>'2018'!AM81+'2019'!AM81+'2020'!AM81+'2021'!AM81+'2022'!AM48</f>
        <v>19</v>
      </c>
      <c r="AN81" s="174">
        <f>'2018'!AN81+'2019'!AN81+'2020'!AN81+'2021'!AN81+'2022'!AN48</f>
        <v>53</v>
      </c>
      <c r="AO81" s="174">
        <f>'2018'!AO81+'2019'!AO81+'2020'!AO81+'2021'!AO81+'2022'!AO48</f>
        <v>0</v>
      </c>
      <c r="AP81" s="174">
        <f>'2018'!AP81+'2019'!AP81+'2020'!AP81+'2021'!AP81+'2022'!AP48</f>
        <v>4</v>
      </c>
      <c r="AQ81" s="174">
        <f>'2018'!AQ81+'2019'!AQ81+'2020'!AQ81+'2021'!AQ81+'2022'!AQ48</f>
        <v>1</v>
      </c>
      <c r="AR81" s="174">
        <f>'2018'!AR81+'2019'!AR81+'2020'!AR81+'2021'!AR81+'2022'!AR48</f>
        <v>0</v>
      </c>
      <c r="AS81" s="174">
        <f>'2018'!AS81+'2019'!AS81+'2020'!AS81+'2021'!AS81+'2022'!AS48</f>
        <v>49</v>
      </c>
      <c r="AT81" s="174">
        <f>'2018'!AT81+'2019'!AT81+'2020'!AT81+'2021'!AT81+'2022'!AT48</f>
        <v>15</v>
      </c>
      <c r="AU81" s="174">
        <f>'2018'!AU81+'2019'!AU81+'2020'!AU81+'2021'!AU81+'2022'!AU48</f>
        <v>0</v>
      </c>
      <c r="AV81" s="174">
        <f>'2018'!AV81+'2019'!AV81+'2020'!AV81+'2021'!AV81+'2022'!AV48</f>
        <v>2</v>
      </c>
      <c r="AW81" s="174">
        <f t="shared" si="15"/>
        <v>373</v>
      </c>
      <c r="AX81" s="156">
        <f t="shared" si="16"/>
        <v>3213.1778181818181</v>
      </c>
      <c r="AY81" s="14">
        <f>'2018'!AX81+'2019'!AX81+'2020'!AX81+'2021'!AX81+'2022'!AX48</f>
        <v>16065.88909090909</v>
      </c>
      <c r="AZ81" s="14">
        <f t="shared" si="11"/>
        <v>70.912547528517109</v>
      </c>
      <c r="BA81" s="142"/>
      <c r="BB81" s="144"/>
      <c r="BC81" s="142"/>
    </row>
    <row r="82" spans="1:55" x14ac:dyDescent="0.25">
      <c r="A82" s="175" t="s">
        <v>159</v>
      </c>
      <c r="B82" s="176">
        <f>'2018'!B82+'2019'!B82+'2020'!B82+'2021'!B82+'2022'!B49</f>
        <v>35</v>
      </c>
      <c r="C82" s="176">
        <f>'2018'!C82+'2019'!C82+'2020'!C82+'2021'!C82+'2022'!C49</f>
        <v>5</v>
      </c>
      <c r="D82" s="176">
        <f>'2018'!D82+'2019'!D82+'2020'!D82+'2021'!D82+'2022'!D49</f>
        <v>70</v>
      </c>
      <c r="E82" s="176">
        <f>'2018'!E82+'2019'!E82+'2020'!E82+'2021'!E82+'2022'!E49</f>
        <v>9</v>
      </c>
      <c r="F82" s="176">
        <f>'2018'!F82+'2019'!F82+'2020'!F82+'2021'!F82+'2022'!F49</f>
        <v>0</v>
      </c>
      <c r="G82" s="176">
        <f>'2018'!G82+'2019'!G82+'2020'!G82+'2021'!G82+'2022'!G49</f>
        <v>0</v>
      </c>
      <c r="H82" s="176">
        <f>'2018'!H82+'2019'!H82+'2020'!H82+'2021'!H82+'2022'!H49</f>
        <v>2</v>
      </c>
      <c r="I82" s="176">
        <f>'2018'!I82+'2019'!I82+'2020'!I82+'2021'!I82+'2022'!I49</f>
        <v>0</v>
      </c>
      <c r="J82" s="176">
        <f>'2018'!J82+'2019'!J82+'2020'!J82+'2021'!J82+'2022'!J49</f>
        <v>1</v>
      </c>
      <c r="K82" s="176">
        <f>'2018'!K82+'2019'!K82+'2020'!K82+'2021'!K82+'2022'!K49</f>
        <v>0</v>
      </c>
      <c r="L82" s="176">
        <f>'2018'!L82+'2019'!L82+'2020'!L82+'2021'!L82+'2022'!L49</f>
        <v>38</v>
      </c>
      <c r="M82" s="176">
        <f>'2018'!M82+'2019'!M82+'2020'!M82+'2021'!M82+'2022'!M49</f>
        <v>0</v>
      </c>
      <c r="N82" s="176">
        <f>'2018'!N82+'2019'!N82+'2020'!N82+'2021'!N82+'2022'!N49</f>
        <v>10</v>
      </c>
      <c r="O82" s="176">
        <f>'2018'!O82+'2019'!O82+'2020'!O82+'2021'!O82+'2022'!O49</f>
        <v>4</v>
      </c>
      <c r="P82" s="176">
        <f>'2018'!P82+'2019'!P82+'2020'!P82+'2021'!P82+'2022'!P49</f>
        <v>0</v>
      </c>
      <c r="Q82" s="176">
        <f>'2018'!Q82+'2019'!Q82+'2020'!Q82+'2021'!Q82+'2022'!Q49</f>
        <v>0</v>
      </c>
      <c r="R82" s="176">
        <f>'2018'!R82+'2019'!R82+'2020'!R82+'2021'!R82+'2022'!R49</f>
        <v>2</v>
      </c>
      <c r="S82" s="176">
        <f>'2018'!S82+'2019'!S82+'2020'!S82+'2021'!S82+'2022'!S49</f>
        <v>0</v>
      </c>
      <c r="T82" s="176">
        <f>'2018'!T82+'2019'!T82+'2020'!T82+'2021'!T82+'2022'!T49</f>
        <v>2</v>
      </c>
      <c r="U82" s="176">
        <f>'2018'!U82+'2019'!U82+'2020'!U82+'2021'!U82+'2022'!U49</f>
        <v>3</v>
      </c>
      <c r="V82" s="176">
        <f>'2018'!V82+'2019'!V82+'2020'!V82+'2021'!V82+'2022'!V49</f>
        <v>5</v>
      </c>
      <c r="W82" s="176">
        <f>'2018'!W82+'2019'!W82+'2020'!W82+'2021'!W82+'2022'!W49</f>
        <v>2</v>
      </c>
      <c r="X82" s="176">
        <f>'2018'!X82+'2019'!X82+'2020'!X82+'2021'!X82+'2022'!X49</f>
        <v>1</v>
      </c>
      <c r="Y82" s="174">
        <f t="shared" si="14"/>
        <v>70</v>
      </c>
      <c r="Z82" s="174">
        <f>'2018'!Z82+'2019'!Z82+'2020'!Z82+'2021'!Z82+'2022'!Z49</f>
        <v>22</v>
      </c>
      <c r="AA82" s="174">
        <f>'2018'!AA82+'2019'!AA82+'2020'!AA82+'2021'!AA82+'2022'!AA49</f>
        <v>4</v>
      </c>
      <c r="AB82" s="174">
        <f>'2018'!AB82+'2019'!AB82+'2020'!AB82+'2021'!AB82+'2022'!AB49</f>
        <v>42</v>
      </c>
      <c r="AC82" s="174">
        <f>'2018'!AC82+'2019'!AC82+'2020'!AC82+'2021'!AC82+'2022'!AC49</f>
        <v>6</v>
      </c>
      <c r="AD82" s="174">
        <f>'2018'!AD82+'2019'!AD82+'2020'!AD82+'2021'!AD82+'2022'!AD49</f>
        <v>0</v>
      </c>
      <c r="AE82" s="174">
        <f>'2018'!AE82+'2019'!AE82+'2020'!AE82+'2021'!AE82+'2022'!AE49</f>
        <v>0</v>
      </c>
      <c r="AF82" s="174">
        <f>'2018'!AF82+'2019'!AF82+'2020'!AF82+'2021'!AF82+'2022'!AF49</f>
        <v>2</v>
      </c>
      <c r="AG82" s="174">
        <f>'2018'!AG82+'2019'!AG82+'2020'!AG82+'2021'!AG82+'2022'!AG49</f>
        <v>0</v>
      </c>
      <c r="AH82" s="174">
        <f>'2018'!AH82+'2019'!AH82+'2020'!AH82+'2021'!AH82+'2022'!AH49</f>
        <v>0</v>
      </c>
      <c r="AI82" s="174">
        <f>'2018'!AI82+'2019'!AI82+'2020'!AI82+'2021'!AI82+'2022'!AI49</f>
        <v>0</v>
      </c>
      <c r="AJ82" s="174">
        <f>'2018'!AJ82+'2019'!AJ82+'2020'!AJ82+'2021'!AJ82+'2022'!AJ49</f>
        <v>25</v>
      </c>
      <c r="AK82" s="174">
        <f>'2018'!AK82+'2019'!AK82+'2020'!AK82+'2021'!AK82+'2022'!AK49</f>
        <v>0</v>
      </c>
      <c r="AL82" s="174">
        <f>'2018'!AL82+'2019'!AL82+'2020'!AL82+'2021'!AL82+'2022'!AL49</f>
        <v>1</v>
      </c>
      <c r="AM82" s="174">
        <f>'2018'!AM82+'2019'!AM82+'2020'!AM82+'2021'!AM82+'2022'!AM49</f>
        <v>4</v>
      </c>
      <c r="AN82" s="174">
        <f>'2018'!AN82+'2019'!AN82+'2020'!AN82+'2021'!AN82+'2022'!AN49</f>
        <v>0</v>
      </c>
      <c r="AO82" s="174">
        <f>'2018'!AO82+'2019'!AO82+'2020'!AO82+'2021'!AO82+'2022'!AO49</f>
        <v>0</v>
      </c>
      <c r="AP82" s="174">
        <f>'2018'!AP82+'2019'!AP82+'2020'!AP82+'2021'!AP82+'2022'!AP49</f>
        <v>1</v>
      </c>
      <c r="AQ82" s="174">
        <f>'2018'!AQ82+'2019'!AQ82+'2020'!AQ82+'2021'!AQ82+'2022'!AQ49</f>
        <v>0</v>
      </c>
      <c r="AR82" s="174">
        <f>'2018'!AR82+'2019'!AR82+'2020'!AR82+'2021'!AR82+'2022'!AR49</f>
        <v>2</v>
      </c>
      <c r="AS82" s="174">
        <f>'2018'!AS82+'2019'!AS82+'2020'!AS82+'2021'!AS82+'2022'!AS49</f>
        <v>3</v>
      </c>
      <c r="AT82" s="174">
        <f>'2018'!AT82+'2019'!AT82+'2020'!AT82+'2021'!AT82+'2022'!AT49</f>
        <v>4</v>
      </c>
      <c r="AU82" s="174">
        <f>'2018'!AU82+'2019'!AU82+'2020'!AU82+'2021'!AU82+'2022'!AU49</f>
        <v>0</v>
      </c>
      <c r="AV82" s="174">
        <f>'2018'!AV82+'2019'!AV82+'2020'!AV82+'2021'!AV82+'2022'!AV49</f>
        <v>0</v>
      </c>
      <c r="AW82" s="174">
        <f t="shared" si="15"/>
        <v>42</v>
      </c>
      <c r="AX82" s="156">
        <f t="shared" si="16"/>
        <v>2943.2419999999997</v>
      </c>
      <c r="AY82" s="14">
        <f>'2018'!AX82+'2019'!AX82+'2020'!AX82+'2021'!AX82+'2022'!AX49</f>
        <v>14716.21</v>
      </c>
      <c r="AZ82" s="14">
        <f t="shared" si="11"/>
        <v>60</v>
      </c>
      <c r="BA82" s="142"/>
      <c r="BB82" s="144"/>
      <c r="BC82" s="142"/>
    </row>
    <row r="83" spans="1:55" x14ac:dyDescent="0.25">
      <c r="A83" s="175" t="s">
        <v>160</v>
      </c>
      <c r="B83" s="176">
        <f>'2018'!B83+'2019'!B83+'2020'!B83+'2021'!B83+'2022'!B50</f>
        <v>28</v>
      </c>
      <c r="C83" s="176">
        <f>'2018'!C83+'2019'!C83+'2020'!C83+'2021'!C83+'2022'!C50</f>
        <v>7</v>
      </c>
      <c r="D83" s="176">
        <f>'2018'!D83+'2019'!D83+'2020'!D83+'2021'!D83+'2022'!D50</f>
        <v>104</v>
      </c>
      <c r="E83" s="176">
        <f>'2018'!E83+'2019'!E83+'2020'!E83+'2021'!E83+'2022'!E50</f>
        <v>25</v>
      </c>
      <c r="F83" s="176">
        <f>'2018'!F83+'2019'!F83+'2020'!F83+'2021'!F83+'2022'!F50</f>
        <v>0</v>
      </c>
      <c r="G83" s="176">
        <f>'2018'!G83+'2019'!G83+'2020'!G83+'2021'!G83+'2022'!G50</f>
        <v>0</v>
      </c>
      <c r="H83" s="176">
        <f>'2018'!H83+'2019'!H83+'2020'!H83+'2021'!H83+'2022'!H50</f>
        <v>4</v>
      </c>
      <c r="I83" s="176">
        <f>'2018'!I83+'2019'!I83+'2020'!I83+'2021'!I83+'2022'!I50</f>
        <v>0</v>
      </c>
      <c r="J83" s="176">
        <f>'2018'!J83+'2019'!J83+'2020'!J83+'2021'!J83+'2022'!J50</f>
        <v>0</v>
      </c>
      <c r="K83" s="176">
        <f>'2018'!K83+'2019'!K83+'2020'!K83+'2021'!K83+'2022'!K50</f>
        <v>40</v>
      </c>
      <c r="L83" s="176">
        <f>'2018'!L83+'2019'!L83+'2020'!L83+'2021'!L83+'2022'!L50</f>
        <v>3</v>
      </c>
      <c r="M83" s="176">
        <f>'2018'!M83+'2019'!M83+'2020'!M83+'2021'!M83+'2022'!M50</f>
        <v>0</v>
      </c>
      <c r="N83" s="176">
        <f>'2018'!N83+'2019'!N83+'2020'!N83+'2021'!N83+'2022'!N50</f>
        <v>3</v>
      </c>
      <c r="O83" s="176">
        <f>'2018'!O83+'2019'!O83+'2020'!O83+'2021'!O83+'2022'!O50</f>
        <v>0</v>
      </c>
      <c r="P83" s="176">
        <f>'2018'!P83+'2019'!P83+'2020'!P83+'2021'!P83+'2022'!P50</f>
        <v>0</v>
      </c>
      <c r="Q83" s="176">
        <f>'2018'!Q83+'2019'!Q83+'2020'!Q83+'2021'!Q83+'2022'!Q50</f>
        <v>0</v>
      </c>
      <c r="R83" s="176">
        <f>'2018'!R83+'2019'!R83+'2020'!R83+'2021'!R83+'2022'!R50</f>
        <v>15</v>
      </c>
      <c r="S83" s="176">
        <f>'2018'!S83+'2019'!S83+'2020'!S83+'2021'!S83+'2022'!S50</f>
        <v>5</v>
      </c>
      <c r="T83" s="176">
        <f>'2018'!T83+'2019'!T83+'2020'!T83+'2021'!T83+'2022'!T50</f>
        <v>1</v>
      </c>
      <c r="U83" s="176">
        <f>'2018'!U83+'2019'!U83+'2020'!U83+'2021'!U83+'2022'!U50</f>
        <v>5</v>
      </c>
      <c r="V83" s="176">
        <f>'2018'!V83+'2019'!V83+'2020'!V83+'2021'!V83+'2022'!V50</f>
        <v>2</v>
      </c>
      <c r="W83" s="176">
        <f>'2018'!W83+'2019'!W83+'2020'!W83+'2021'!W83+'2022'!W50</f>
        <v>26</v>
      </c>
      <c r="X83" s="176">
        <f>'2018'!X83+'2019'!X83+'2020'!X83+'2021'!X83+'2022'!X50</f>
        <v>0</v>
      </c>
      <c r="Y83" s="174">
        <f t="shared" si="14"/>
        <v>104</v>
      </c>
      <c r="Z83" s="174">
        <f>'2018'!Z83+'2019'!Z83+'2020'!Z83+'2021'!Z83+'2022'!Z50</f>
        <v>23</v>
      </c>
      <c r="AA83" s="174">
        <f>'2018'!AA83+'2019'!AA83+'2020'!AA83+'2021'!AA83+'2022'!AA50</f>
        <v>7</v>
      </c>
      <c r="AB83" s="174">
        <f>'2018'!AB83+'2019'!AB83+'2020'!AB83+'2021'!AB83+'2022'!AB50</f>
        <v>53</v>
      </c>
      <c r="AC83" s="174">
        <f>'2018'!AC83+'2019'!AC83+'2020'!AC83+'2021'!AC83+'2022'!AC50</f>
        <v>14</v>
      </c>
      <c r="AD83" s="174">
        <f>'2018'!AD83+'2019'!AD83+'2020'!AD83+'2021'!AD83+'2022'!AD50</f>
        <v>0</v>
      </c>
      <c r="AE83" s="174">
        <f>'2018'!AE83+'2019'!AE83+'2020'!AE83+'2021'!AE83+'2022'!AE50</f>
        <v>0</v>
      </c>
      <c r="AF83" s="174">
        <f>'2018'!AF83+'2019'!AF83+'2020'!AF83+'2021'!AF83+'2022'!AF50</f>
        <v>4</v>
      </c>
      <c r="AG83" s="174">
        <f>'2018'!AG83+'2019'!AG83+'2020'!AG83+'2021'!AG83+'2022'!AG50</f>
        <v>0</v>
      </c>
      <c r="AH83" s="174">
        <f>'2018'!AH83+'2019'!AH83+'2020'!AH83+'2021'!AH83+'2022'!AH50</f>
        <v>0</v>
      </c>
      <c r="AI83" s="174">
        <f>'2018'!AI83+'2019'!AI83+'2020'!AI83+'2021'!AI83+'2022'!AI50</f>
        <v>9</v>
      </c>
      <c r="AJ83" s="174">
        <f>'2018'!AJ83+'2019'!AJ83+'2020'!AJ83+'2021'!AJ83+'2022'!AJ50</f>
        <v>3</v>
      </c>
      <c r="AK83" s="174">
        <f>'2018'!AK83+'2019'!AK83+'2020'!AK83+'2021'!AK83+'2022'!AK50</f>
        <v>0</v>
      </c>
      <c r="AL83" s="174">
        <f>'2018'!AL83+'2019'!AL83+'2020'!AL83+'2021'!AL83+'2022'!AL50</f>
        <v>3</v>
      </c>
      <c r="AM83" s="174">
        <f>'2018'!AM83+'2019'!AM83+'2020'!AM83+'2021'!AM83+'2022'!AM50</f>
        <v>0</v>
      </c>
      <c r="AN83" s="174">
        <f>'2018'!AN83+'2019'!AN83+'2020'!AN83+'2021'!AN83+'2022'!AN50</f>
        <v>0</v>
      </c>
      <c r="AO83" s="174">
        <f>'2018'!AO83+'2019'!AO83+'2020'!AO83+'2021'!AO83+'2022'!AO50</f>
        <v>0</v>
      </c>
      <c r="AP83" s="174">
        <f>'2018'!AP83+'2019'!AP83+'2020'!AP83+'2021'!AP83+'2022'!AP50</f>
        <v>11</v>
      </c>
      <c r="AQ83" s="174">
        <f>'2018'!AQ83+'2019'!AQ83+'2020'!AQ83+'2021'!AQ83+'2022'!AQ50</f>
        <v>5</v>
      </c>
      <c r="AR83" s="174">
        <f>'2018'!AR83+'2019'!AR83+'2020'!AR83+'2021'!AR83+'2022'!AR50</f>
        <v>1</v>
      </c>
      <c r="AS83" s="174">
        <f>'2018'!AS83+'2019'!AS83+'2020'!AS83+'2021'!AS83+'2022'!AS50</f>
        <v>3</v>
      </c>
      <c r="AT83" s="174">
        <f>'2018'!AT83+'2019'!AT83+'2020'!AT83+'2021'!AT83+'2022'!AT50</f>
        <v>2</v>
      </c>
      <c r="AU83" s="174">
        <f>'2018'!AU83+'2019'!AU83+'2020'!AU83+'2021'!AU83+'2022'!AU50</f>
        <v>12</v>
      </c>
      <c r="AV83" s="174">
        <f>'2018'!AV83+'2019'!AV83+'2020'!AV83+'2021'!AV83+'2022'!AV50</f>
        <v>0</v>
      </c>
      <c r="AW83" s="174">
        <f t="shared" si="15"/>
        <v>53</v>
      </c>
      <c r="AX83" s="156">
        <f t="shared" si="16"/>
        <v>2167.5391428571429</v>
      </c>
      <c r="AY83" s="14">
        <f>'2018'!AX83+'2019'!AX83+'2020'!AX83+'2021'!AX83+'2022'!AX50</f>
        <v>10837.695714285714</v>
      </c>
      <c r="AZ83" s="14">
        <f t="shared" si="11"/>
        <v>50.96153846153846</v>
      </c>
      <c r="BA83" s="142"/>
      <c r="BB83" s="144"/>
      <c r="BC83" s="142"/>
    </row>
    <row r="84" spans="1:55" x14ac:dyDescent="0.25">
      <c r="A84" s="175" t="s">
        <v>161</v>
      </c>
      <c r="B84" s="176">
        <f>'2018'!B84+'2019'!B84+'2020'!B84+'2021'!B84+'2022'!B51</f>
        <v>12</v>
      </c>
      <c r="C84" s="176">
        <f>'2018'!C84+'2019'!C84+'2020'!C84+'2021'!C84+'2022'!C51</f>
        <v>0</v>
      </c>
      <c r="D84" s="176">
        <f>'2018'!D84+'2019'!D84+'2020'!D84+'2021'!D84+'2022'!D51</f>
        <v>113</v>
      </c>
      <c r="E84" s="176">
        <f>'2018'!E84+'2019'!E84+'2020'!E84+'2021'!E84+'2022'!E51</f>
        <v>0</v>
      </c>
      <c r="F84" s="176">
        <f>'2018'!F84+'2019'!F84+'2020'!F84+'2021'!F84+'2022'!F51</f>
        <v>0</v>
      </c>
      <c r="G84" s="176">
        <f>'2018'!G84+'2019'!G84+'2020'!G84+'2021'!G84+'2022'!G51</f>
        <v>0</v>
      </c>
      <c r="H84" s="176">
        <f>'2018'!H84+'2019'!H84+'2020'!H84+'2021'!H84+'2022'!H51</f>
        <v>57</v>
      </c>
      <c r="I84" s="176">
        <f>'2018'!I84+'2019'!I84+'2020'!I84+'2021'!I84+'2022'!I51</f>
        <v>0</v>
      </c>
      <c r="J84" s="176">
        <f>'2018'!J84+'2019'!J84+'2020'!J84+'2021'!J84+'2022'!J51</f>
        <v>0</v>
      </c>
      <c r="K84" s="176">
        <f>'2018'!K84+'2019'!K84+'2020'!K84+'2021'!K84+'2022'!K51</f>
        <v>0</v>
      </c>
      <c r="L84" s="176">
        <f>'2018'!L84+'2019'!L84+'2020'!L84+'2021'!L84+'2022'!L51</f>
        <v>40</v>
      </c>
      <c r="M84" s="176">
        <f>'2018'!M84+'2019'!M84+'2020'!M84+'2021'!M84+'2022'!M51</f>
        <v>5</v>
      </c>
      <c r="N84" s="176">
        <f>'2018'!N84+'2019'!N84+'2020'!N84+'2021'!N84+'2022'!N51</f>
        <v>10</v>
      </c>
      <c r="O84" s="176">
        <f>'2018'!O84+'2019'!O84+'2020'!O84+'2021'!O84+'2022'!O51</f>
        <v>0</v>
      </c>
      <c r="P84" s="176">
        <f>'2018'!P84+'2019'!P84+'2020'!P84+'2021'!P84+'2022'!P51</f>
        <v>0</v>
      </c>
      <c r="Q84" s="176">
        <f>'2018'!Q84+'2019'!Q84+'2020'!Q84+'2021'!Q84+'2022'!Q51</f>
        <v>0</v>
      </c>
      <c r="R84" s="176">
        <f>'2018'!R84+'2019'!R84+'2020'!R84+'2021'!R84+'2022'!R51</f>
        <v>1</v>
      </c>
      <c r="S84" s="176">
        <f>'2018'!S84+'2019'!S84+'2020'!S84+'2021'!S84+'2022'!S51</f>
        <v>0</v>
      </c>
      <c r="T84" s="176">
        <f>'2018'!T84+'2019'!T84+'2020'!T84+'2021'!T84+'2022'!T51</f>
        <v>0</v>
      </c>
      <c r="U84" s="176">
        <f>'2018'!U84+'2019'!U84+'2020'!U84+'2021'!U84+'2022'!U51</f>
        <v>0</v>
      </c>
      <c r="V84" s="176">
        <f>'2018'!V84+'2019'!V84+'2020'!V84+'2021'!V84+'2022'!V51</f>
        <v>0</v>
      </c>
      <c r="W84" s="176">
        <f>'2018'!W84+'2019'!W84+'2020'!W84+'2021'!W84+'2022'!W51</f>
        <v>0</v>
      </c>
      <c r="X84" s="176">
        <f>'2018'!X84+'2019'!X84+'2020'!X84+'2021'!X84+'2022'!X51</f>
        <v>0</v>
      </c>
      <c r="Y84" s="174">
        <f t="shared" si="14"/>
        <v>113</v>
      </c>
      <c r="Z84" s="174">
        <f>'2018'!Z84+'2019'!Z84+'2020'!Z84+'2021'!Z84+'2022'!Z51</f>
        <v>11</v>
      </c>
      <c r="AA84" s="174">
        <f>'2018'!AA84+'2019'!AA84+'2020'!AA84+'2021'!AA84+'2022'!AA51</f>
        <v>0</v>
      </c>
      <c r="AB84" s="174">
        <f>'2018'!AB84+'2019'!AB84+'2020'!AB84+'2021'!AB84+'2022'!AB51</f>
        <v>58</v>
      </c>
      <c r="AC84" s="174">
        <f>'2018'!AC84+'2019'!AC84+'2020'!AC84+'2021'!AC84+'2022'!AC51</f>
        <v>0</v>
      </c>
      <c r="AD84" s="174">
        <f>'2018'!AD84+'2019'!AD84+'2020'!AD84+'2021'!AD84+'2022'!AD51</f>
        <v>0</v>
      </c>
      <c r="AE84" s="174">
        <f>'2018'!AE84+'2019'!AE84+'2020'!AE84+'2021'!AE84+'2022'!AE51</f>
        <v>0</v>
      </c>
      <c r="AF84" s="174">
        <f>'2018'!AF84+'2019'!AF84+'2020'!AF84+'2021'!AF84+'2022'!AF51</f>
        <v>19</v>
      </c>
      <c r="AG84" s="174">
        <f>'2018'!AG84+'2019'!AG84+'2020'!AG84+'2021'!AG84+'2022'!AG51</f>
        <v>0</v>
      </c>
      <c r="AH84" s="174">
        <f>'2018'!AH84+'2019'!AH84+'2020'!AH84+'2021'!AH84+'2022'!AH51</f>
        <v>0</v>
      </c>
      <c r="AI84" s="174">
        <f>'2018'!AI84+'2019'!AI84+'2020'!AI84+'2021'!AI84+'2022'!AI51</f>
        <v>0</v>
      </c>
      <c r="AJ84" s="174">
        <f>'2018'!AJ84+'2019'!AJ84+'2020'!AJ84+'2021'!AJ84+'2022'!AJ51</f>
        <v>29</v>
      </c>
      <c r="AK84" s="174">
        <f>'2018'!AK84+'2019'!AK84+'2020'!AK84+'2021'!AK84+'2022'!AK51</f>
        <v>0</v>
      </c>
      <c r="AL84" s="174">
        <f>'2018'!AL84+'2019'!AL84+'2020'!AL84+'2021'!AL84+'2022'!AL51</f>
        <v>10</v>
      </c>
      <c r="AM84" s="174">
        <f>'2018'!AM84+'2019'!AM84+'2020'!AM84+'2021'!AM84+'2022'!AM51</f>
        <v>0</v>
      </c>
      <c r="AN84" s="174">
        <f>'2018'!AN84+'2019'!AN84+'2020'!AN84+'2021'!AN84+'2022'!AN51</f>
        <v>0</v>
      </c>
      <c r="AO84" s="174">
        <f>'2018'!AO84+'2019'!AO84+'2020'!AO84+'2021'!AO84+'2022'!AO51</f>
        <v>0</v>
      </c>
      <c r="AP84" s="174">
        <f>'2018'!AP84+'2019'!AP84+'2020'!AP84+'2021'!AP84+'2022'!AP51</f>
        <v>0</v>
      </c>
      <c r="AQ84" s="174">
        <f>'2018'!AQ84+'2019'!AQ84+'2020'!AQ84+'2021'!AQ84+'2022'!AQ51</f>
        <v>0</v>
      </c>
      <c r="AR84" s="174">
        <f>'2018'!AR84+'2019'!AR84+'2020'!AR84+'2021'!AR84+'2022'!AR51</f>
        <v>0</v>
      </c>
      <c r="AS84" s="174">
        <f>'2018'!AS84+'2019'!AS84+'2020'!AS84+'2021'!AS84+'2022'!AS51</f>
        <v>0</v>
      </c>
      <c r="AT84" s="174">
        <f>'2018'!AT84+'2019'!AT84+'2020'!AT84+'2021'!AT84+'2022'!AT51</f>
        <v>0</v>
      </c>
      <c r="AU84" s="174">
        <f>'2018'!AU84+'2019'!AU84+'2020'!AU84+'2021'!AU84+'2022'!AU51</f>
        <v>0</v>
      </c>
      <c r="AV84" s="174">
        <f>'2018'!AV84+'2019'!AV84+'2020'!AV84+'2021'!AV84+'2022'!AV51</f>
        <v>0</v>
      </c>
      <c r="AW84" s="174">
        <f t="shared" si="15"/>
        <v>58</v>
      </c>
      <c r="AX84" s="156">
        <f t="shared" si="16"/>
        <v>4721.7106666666668</v>
      </c>
      <c r="AY84" s="14">
        <f>'2018'!AX84+'2019'!AX84+'2020'!AX84+'2021'!AX84+'2022'!AX51</f>
        <v>23608.553333333333</v>
      </c>
      <c r="AZ84" s="14">
        <f t="shared" si="11"/>
        <v>51.327433628318587</v>
      </c>
      <c r="BA84" s="142"/>
      <c r="BB84" s="144"/>
      <c r="BC84" s="142"/>
    </row>
    <row r="85" spans="1:55" x14ac:dyDescent="0.25">
      <c r="A85" s="175" t="s">
        <v>162</v>
      </c>
      <c r="B85" s="176">
        <f>'2018'!B85+'2019'!B85+'2020'!B85+'2021'!B85+'2022'!B52</f>
        <v>49</v>
      </c>
      <c r="C85" s="176">
        <f>'2018'!C85+'2019'!C85+'2020'!C85+'2021'!C85+'2022'!C52</f>
        <v>11</v>
      </c>
      <c r="D85" s="176">
        <f>'2018'!D85+'2019'!D85+'2020'!D85+'2021'!D85+'2022'!D52</f>
        <v>107</v>
      </c>
      <c r="E85" s="176">
        <f>'2018'!E85+'2019'!E85+'2020'!E85+'2021'!E85+'2022'!E52</f>
        <v>28</v>
      </c>
      <c r="F85" s="176">
        <f>'2018'!F85+'2019'!F85+'2020'!F85+'2021'!F85+'2022'!F52</f>
        <v>0</v>
      </c>
      <c r="G85" s="176">
        <f>'2018'!G85+'2019'!G85+'2020'!G85+'2021'!G85+'2022'!G52</f>
        <v>0</v>
      </c>
      <c r="H85" s="176">
        <f>'2018'!H85+'2019'!H85+'2020'!H85+'2021'!H85+'2022'!H52</f>
        <v>6</v>
      </c>
      <c r="I85" s="176">
        <f>'2018'!I85+'2019'!I85+'2020'!I85+'2021'!I85+'2022'!I52</f>
        <v>0</v>
      </c>
      <c r="J85" s="176">
        <f>'2018'!J85+'2019'!J85+'2020'!J85+'2021'!J85+'2022'!J52</f>
        <v>0</v>
      </c>
      <c r="K85" s="176">
        <f>'2018'!K85+'2019'!K85+'2020'!K85+'2021'!K85+'2022'!K52</f>
        <v>0</v>
      </c>
      <c r="L85" s="176">
        <f>'2018'!L85+'2019'!L85+'2020'!L85+'2021'!L85+'2022'!L52</f>
        <v>16</v>
      </c>
      <c r="M85" s="176">
        <f>'2018'!M85+'2019'!M85+'2020'!M85+'2021'!M85+'2022'!M52</f>
        <v>0</v>
      </c>
      <c r="N85" s="176">
        <f>'2018'!N85+'2019'!N85+'2020'!N85+'2021'!N85+'2022'!N52</f>
        <v>0</v>
      </c>
      <c r="O85" s="176">
        <f>'2018'!O85+'2019'!O85+'2020'!O85+'2021'!O85+'2022'!O52</f>
        <v>26</v>
      </c>
      <c r="P85" s="176">
        <f>'2018'!P85+'2019'!P85+'2020'!P85+'2021'!P85+'2022'!P52</f>
        <v>0</v>
      </c>
      <c r="Q85" s="176">
        <f>'2018'!Q85+'2019'!Q85+'2020'!Q85+'2021'!Q85+'2022'!Q52</f>
        <v>2</v>
      </c>
      <c r="R85" s="176">
        <f>'2018'!R85+'2019'!R85+'2020'!R85+'2021'!R85+'2022'!R52</f>
        <v>6</v>
      </c>
      <c r="S85" s="176">
        <f>'2018'!S85+'2019'!S85+'2020'!S85+'2021'!S85+'2022'!S52</f>
        <v>4</v>
      </c>
      <c r="T85" s="176">
        <f>'2018'!T85+'2019'!T85+'2020'!T85+'2021'!T85+'2022'!T52</f>
        <v>22</v>
      </c>
      <c r="U85" s="176">
        <f>'2018'!U85+'2019'!U85+'2020'!U85+'2021'!U85+'2022'!U52</f>
        <v>10</v>
      </c>
      <c r="V85" s="176">
        <f>'2018'!V85+'2019'!V85+'2020'!V85+'2021'!V85+'2022'!V52</f>
        <v>6</v>
      </c>
      <c r="W85" s="176">
        <f>'2018'!W85+'2019'!W85+'2020'!W85+'2021'!W85+'2022'!W52</f>
        <v>0</v>
      </c>
      <c r="X85" s="176">
        <f>'2018'!X85+'2019'!X85+'2020'!X85+'2021'!X85+'2022'!X52</f>
        <v>9</v>
      </c>
      <c r="Y85" s="174">
        <f t="shared" si="14"/>
        <v>107</v>
      </c>
      <c r="Z85" s="174">
        <f>'2018'!Z85+'2019'!Z85+'2020'!Z85+'2021'!Z85+'2022'!Z52</f>
        <v>75</v>
      </c>
      <c r="AA85" s="174">
        <f>'2018'!AA85+'2019'!AA85+'2020'!AA85+'2021'!AA85+'2022'!AA52</f>
        <v>10</v>
      </c>
      <c r="AB85" s="174">
        <f>'2018'!AB85+'2019'!AB85+'2020'!AB85+'2021'!AB85+'2022'!AB52</f>
        <v>70</v>
      </c>
      <c r="AC85" s="174">
        <f>'2018'!AC85+'2019'!AC85+'2020'!AC85+'2021'!AC85+'2022'!AC52</f>
        <v>21</v>
      </c>
      <c r="AD85" s="174">
        <f>'2018'!AD85+'2019'!AD85+'2020'!AD85+'2021'!AD85+'2022'!AD52</f>
        <v>0</v>
      </c>
      <c r="AE85" s="174">
        <f>'2018'!AE85+'2019'!AE85+'2020'!AE85+'2021'!AE85+'2022'!AE52</f>
        <v>0</v>
      </c>
      <c r="AF85" s="174">
        <f>'2018'!AF85+'2019'!AF85+'2020'!AF85+'2021'!AF85+'2022'!AF52</f>
        <v>4</v>
      </c>
      <c r="AG85" s="174">
        <f>'2018'!AG85+'2019'!AG85+'2020'!AG85+'2021'!AG85+'2022'!AG52</f>
        <v>0</v>
      </c>
      <c r="AH85" s="174">
        <f>'2018'!AH85+'2019'!AH85+'2020'!AH85+'2021'!AH85+'2022'!AH52</f>
        <v>0</v>
      </c>
      <c r="AI85" s="174">
        <f>'2018'!AI85+'2019'!AI85+'2020'!AI85+'2021'!AI85+'2022'!AI52</f>
        <v>0</v>
      </c>
      <c r="AJ85" s="174">
        <f>'2018'!AJ85+'2019'!AJ85+'2020'!AJ85+'2021'!AJ85+'2022'!AJ52</f>
        <v>9</v>
      </c>
      <c r="AK85" s="174">
        <f>'2018'!AK85+'2019'!AK85+'2020'!AK85+'2021'!AK85+'2022'!AK52</f>
        <v>0</v>
      </c>
      <c r="AL85" s="174">
        <f>'2018'!AL85+'2019'!AL85+'2020'!AL85+'2021'!AL85+'2022'!AL52</f>
        <v>0</v>
      </c>
      <c r="AM85" s="174">
        <f>'2018'!AM85+'2019'!AM85+'2020'!AM85+'2021'!AM85+'2022'!AM52</f>
        <v>18</v>
      </c>
      <c r="AN85" s="174">
        <f>'2018'!AN85+'2019'!AN85+'2020'!AN85+'2021'!AN85+'2022'!AN52</f>
        <v>0</v>
      </c>
      <c r="AO85" s="174">
        <f>'2018'!AO85+'2019'!AO85+'2020'!AO85+'2021'!AO85+'2022'!AO52</f>
        <v>2</v>
      </c>
      <c r="AP85" s="174">
        <f>'2018'!AP85+'2019'!AP85+'2020'!AP85+'2021'!AP85+'2022'!AP52</f>
        <v>5</v>
      </c>
      <c r="AQ85" s="174">
        <f>'2018'!AQ85+'2019'!AQ85+'2020'!AQ85+'2021'!AQ85+'2022'!AQ52</f>
        <v>3</v>
      </c>
      <c r="AR85" s="174">
        <f>'2018'!AR85+'2019'!AR85+'2020'!AR85+'2021'!AR85+'2022'!AR52</f>
        <v>15</v>
      </c>
      <c r="AS85" s="174">
        <f>'2018'!AS85+'2019'!AS85+'2020'!AS85+'2021'!AS85+'2022'!AS52</f>
        <v>2</v>
      </c>
      <c r="AT85" s="174">
        <f>'2018'!AT85+'2019'!AT85+'2020'!AT85+'2021'!AT85+'2022'!AT52</f>
        <v>6</v>
      </c>
      <c r="AU85" s="174">
        <f>'2018'!AU85+'2019'!AU85+'2020'!AU85+'2021'!AU85+'2022'!AU52</f>
        <v>0</v>
      </c>
      <c r="AV85" s="174">
        <f>'2018'!AV85+'2019'!AV85+'2020'!AV85+'2021'!AV85+'2022'!AV52</f>
        <v>6</v>
      </c>
      <c r="AW85" s="174">
        <f t="shared" si="15"/>
        <v>70</v>
      </c>
      <c r="AX85" s="156">
        <f t="shared" si="16"/>
        <v>3047.4221818181818</v>
      </c>
      <c r="AY85" s="14">
        <f>'2018'!AX85+'2019'!AX85+'2020'!AX85+'2021'!AX85+'2022'!AX52</f>
        <v>15237.110909090909</v>
      </c>
      <c r="AZ85" s="14">
        <f t="shared" si="11"/>
        <v>65.420560747663558</v>
      </c>
      <c r="BA85" s="142"/>
      <c r="BB85" s="144"/>
      <c r="BC85" s="142"/>
    </row>
    <row r="86" spans="1:55" x14ac:dyDescent="0.25">
      <c r="A86" s="175" t="s">
        <v>163</v>
      </c>
      <c r="B86" s="176">
        <f>'2018'!B86+'2019'!B86+'2020'!B86+'2021'!B86+'2022'!B53</f>
        <v>4</v>
      </c>
      <c r="C86" s="176">
        <f>'2018'!C86+'2019'!C86+'2020'!C86+'2021'!C86+'2022'!C53</f>
        <v>1</v>
      </c>
      <c r="D86" s="176">
        <f>'2018'!D86+'2019'!D86+'2020'!D86+'2021'!D86+'2022'!D53</f>
        <v>12</v>
      </c>
      <c r="E86" s="176">
        <f>'2018'!E86+'2019'!E86+'2020'!E86+'2021'!E86+'2022'!E53</f>
        <v>1</v>
      </c>
      <c r="F86" s="176">
        <f>'2018'!F86+'2019'!F86+'2020'!F86+'2021'!F86+'2022'!F53</f>
        <v>0</v>
      </c>
      <c r="G86" s="176">
        <f>'2018'!G86+'2019'!G86+'2020'!G86+'2021'!G86+'2022'!G53</f>
        <v>0</v>
      </c>
      <c r="H86" s="176">
        <f>'2018'!H86+'2019'!H86+'2020'!H86+'2021'!H86+'2022'!H53</f>
        <v>11</v>
      </c>
      <c r="I86" s="176">
        <f>'2018'!I86+'2019'!I86+'2020'!I86+'2021'!I86+'2022'!I53</f>
        <v>0</v>
      </c>
      <c r="J86" s="176">
        <f>'2018'!J86+'2019'!J86+'2020'!J86+'2021'!J86+'2022'!J53</f>
        <v>0</v>
      </c>
      <c r="K86" s="176">
        <f>'2018'!K86+'2019'!K86+'2020'!K86+'2021'!K86+'2022'!K53</f>
        <v>0</v>
      </c>
      <c r="L86" s="176">
        <f>'2018'!L86+'2019'!L86+'2020'!L86+'2021'!L86+'2022'!L53</f>
        <v>0</v>
      </c>
      <c r="M86" s="176">
        <f>'2018'!M86+'2019'!M86+'2020'!M86+'2021'!M86+'2022'!M53</f>
        <v>0</v>
      </c>
      <c r="N86" s="176">
        <f>'2018'!N86+'2019'!N86+'2020'!N86+'2021'!N86+'2022'!N53</f>
        <v>0</v>
      </c>
      <c r="O86" s="176">
        <f>'2018'!O86+'2019'!O86+'2020'!O86+'2021'!O86+'2022'!O53</f>
        <v>0</v>
      </c>
      <c r="P86" s="176">
        <f>'2018'!P86+'2019'!P86+'2020'!P86+'2021'!P86+'2022'!P53</f>
        <v>0</v>
      </c>
      <c r="Q86" s="176">
        <f>'2018'!Q86+'2019'!Q86+'2020'!Q86+'2021'!Q86+'2022'!Q53</f>
        <v>0</v>
      </c>
      <c r="R86" s="176">
        <f>'2018'!R86+'2019'!R86+'2020'!R86+'2021'!R86+'2022'!R53</f>
        <v>0</v>
      </c>
      <c r="S86" s="176">
        <f>'2018'!S86+'2019'!S86+'2020'!S86+'2021'!S86+'2022'!S53</f>
        <v>0</v>
      </c>
      <c r="T86" s="176">
        <f>'2018'!T86+'2019'!T86+'2020'!T86+'2021'!T86+'2022'!T53</f>
        <v>0</v>
      </c>
      <c r="U86" s="176">
        <f>'2018'!U86+'2019'!U86+'2020'!U86+'2021'!U86+'2022'!U53</f>
        <v>1</v>
      </c>
      <c r="V86" s="176">
        <f>'2018'!V86+'2019'!V86+'2020'!V86+'2021'!V86+'2022'!V53</f>
        <v>0</v>
      </c>
      <c r="W86" s="176">
        <f>'2018'!W86+'2019'!W86+'2020'!W86+'2021'!W86+'2022'!W53</f>
        <v>0</v>
      </c>
      <c r="X86" s="176">
        <f>'2018'!X86+'2019'!X86+'2020'!X86+'2021'!X86+'2022'!X53</f>
        <v>0</v>
      </c>
      <c r="Y86" s="174">
        <f t="shared" si="14"/>
        <v>12</v>
      </c>
      <c r="Z86" s="174">
        <f>'2018'!Z86+'2019'!Z86+'2020'!Z86+'2021'!Z86+'2022'!Z53</f>
        <v>4</v>
      </c>
      <c r="AA86" s="174">
        <f>'2018'!AA86+'2019'!AA86+'2020'!AA86+'2021'!AA86+'2022'!AA53</f>
        <v>1</v>
      </c>
      <c r="AB86" s="174">
        <f>'2018'!AB86+'2019'!AB86+'2020'!AB86+'2021'!AB86+'2022'!AB53</f>
        <v>12</v>
      </c>
      <c r="AC86" s="174">
        <f>'2018'!AC86+'2019'!AC86+'2020'!AC86+'2021'!AC86+'2022'!AC53</f>
        <v>1</v>
      </c>
      <c r="AD86" s="174">
        <f>'2018'!AD86+'2019'!AD86+'2020'!AD86+'2021'!AD86+'2022'!AD53</f>
        <v>0</v>
      </c>
      <c r="AE86" s="174">
        <f>'2018'!AE86+'2019'!AE86+'2020'!AE86+'2021'!AE86+'2022'!AE53</f>
        <v>0</v>
      </c>
      <c r="AF86" s="174">
        <f>'2018'!AF86+'2019'!AF86+'2020'!AF86+'2021'!AF86+'2022'!AF53</f>
        <v>11</v>
      </c>
      <c r="AG86" s="174">
        <f>'2018'!AG86+'2019'!AG86+'2020'!AG86+'2021'!AG86+'2022'!AG53</f>
        <v>0</v>
      </c>
      <c r="AH86" s="174">
        <f>'2018'!AH86+'2019'!AH86+'2020'!AH86+'2021'!AH86+'2022'!AH53</f>
        <v>0</v>
      </c>
      <c r="AI86" s="174">
        <f>'2018'!AI86+'2019'!AI86+'2020'!AI86+'2021'!AI86+'2022'!AI53</f>
        <v>0</v>
      </c>
      <c r="AJ86" s="174">
        <f>'2018'!AJ86+'2019'!AJ86+'2020'!AJ86+'2021'!AJ86+'2022'!AJ53</f>
        <v>0</v>
      </c>
      <c r="AK86" s="174">
        <f>'2018'!AK86+'2019'!AK86+'2020'!AK86+'2021'!AK86+'2022'!AK53</f>
        <v>0</v>
      </c>
      <c r="AL86" s="174">
        <f>'2018'!AL86+'2019'!AL86+'2020'!AL86+'2021'!AL86+'2022'!AL53</f>
        <v>0</v>
      </c>
      <c r="AM86" s="174">
        <f>'2018'!AM86+'2019'!AM86+'2020'!AM86+'2021'!AM86+'2022'!AM53</f>
        <v>0</v>
      </c>
      <c r="AN86" s="174">
        <f>'2018'!AN86+'2019'!AN86+'2020'!AN86+'2021'!AN86+'2022'!AN53</f>
        <v>0</v>
      </c>
      <c r="AO86" s="174">
        <f>'2018'!AO86+'2019'!AO86+'2020'!AO86+'2021'!AO86+'2022'!AO53</f>
        <v>0</v>
      </c>
      <c r="AP86" s="174">
        <f>'2018'!AP86+'2019'!AP86+'2020'!AP86+'2021'!AP86+'2022'!AP53</f>
        <v>0</v>
      </c>
      <c r="AQ86" s="174">
        <f>'2018'!AQ86+'2019'!AQ86+'2020'!AQ86+'2021'!AQ86+'2022'!AQ53</f>
        <v>0</v>
      </c>
      <c r="AR86" s="174">
        <f>'2018'!AR86+'2019'!AR86+'2020'!AR86+'2021'!AR86+'2022'!AR53</f>
        <v>0</v>
      </c>
      <c r="AS86" s="174">
        <f>'2018'!AS86+'2019'!AS86+'2020'!AS86+'2021'!AS86+'2022'!AS53</f>
        <v>1</v>
      </c>
      <c r="AT86" s="174">
        <f>'2018'!AT86+'2019'!AT86+'2020'!AT86+'2021'!AT86+'2022'!AT53</f>
        <v>0</v>
      </c>
      <c r="AU86" s="174">
        <f>'2018'!AU86+'2019'!AU86+'2020'!AU86+'2021'!AU86+'2022'!AU53</f>
        <v>0</v>
      </c>
      <c r="AV86" s="174">
        <f>'2018'!AV86+'2019'!AV86+'2020'!AV86+'2021'!AV86+'2022'!AV53</f>
        <v>0</v>
      </c>
      <c r="AW86" s="174">
        <f t="shared" si="15"/>
        <v>12</v>
      </c>
      <c r="AX86" s="156">
        <f t="shared" si="16"/>
        <v>1551.84</v>
      </c>
      <c r="AY86" s="14">
        <f>'2018'!AX86+'2019'!AX86+'2020'!AX86+'2021'!AX86+'2022'!AX53</f>
        <v>7759.2</v>
      </c>
      <c r="AZ86" s="14">
        <f t="shared" si="11"/>
        <v>100</v>
      </c>
      <c r="BA86" s="142"/>
      <c r="BB86" s="144"/>
      <c r="BC86" s="142"/>
    </row>
    <row r="87" spans="1:55" x14ac:dyDescent="0.25">
      <c r="A87" s="175" t="s">
        <v>164</v>
      </c>
      <c r="B87" s="176">
        <f>'2018'!B87+'2019'!B87+'2020'!B87+'2021'!B87+'2022'!B63</f>
        <v>75</v>
      </c>
      <c r="C87" s="176">
        <f>'2018'!C87+'2019'!C87+'2020'!C87+'2021'!C87+'2022'!C63</f>
        <v>1</v>
      </c>
      <c r="D87" s="176">
        <f>'2018'!D87+'2019'!D87+'2020'!D87+'2021'!D87+'2022'!D63</f>
        <v>255</v>
      </c>
      <c r="E87" s="176">
        <f>'2018'!E87+'2019'!E87+'2020'!E87+'2021'!E87+'2022'!E63</f>
        <v>1</v>
      </c>
      <c r="F87" s="176">
        <f>'2018'!F87+'2019'!F87+'2020'!F87+'2021'!F87+'2022'!F63</f>
        <v>0</v>
      </c>
      <c r="G87" s="176">
        <f>'2018'!G87+'2019'!G87+'2020'!G87+'2021'!G87+'2022'!G63</f>
        <v>0</v>
      </c>
      <c r="H87" s="176">
        <f>'2018'!H87+'2019'!H87+'2020'!H87+'2021'!H87+'2022'!H63</f>
        <v>115</v>
      </c>
      <c r="I87" s="176">
        <f>'2018'!I87+'2019'!I87+'2020'!I87+'2021'!I87+'2022'!I63</f>
        <v>0</v>
      </c>
      <c r="J87" s="176">
        <f>'2018'!J87+'2019'!J87+'2020'!J87+'2021'!J87+'2022'!J63</f>
        <v>2</v>
      </c>
      <c r="K87" s="176">
        <f>'2018'!K87+'2019'!K87+'2020'!K87+'2021'!K87+'2022'!K63</f>
        <v>3</v>
      </c>
      <c r="L87" s="176">
        <f>'2018'!L87+'2019'!L87+'2020'!L87+'2021'!L87+'2022'!L63</f>
        <v>37</v>
      </c>
      <c r="M87" s="176">
        <f>'2018'!M87+'2019'!M87+'2020'!M87+'2021'!M87+'2022'!M63</f>
        <v>11</v>
      </c>
      <c r="N87" s="176">
        <f>'2018'!N87+'2019'!N87+'2020'!N87+'2021'!N87+'2022'!N63</f>
        <v>30</v>
      </c>
      <c r="O87" s="176">
        <f>'2018'!O87+'2019'!O87+'2020'!O87+'2021'!O87+'2022'!O63</f>
        <v>10</v>
      </c>
      <c r="P87" s="176">
        <f>'2018'!P87+'2019'!P87+'2020'!P87+'2021'!P87+'2022'!P63</f>
        <v>0</v>
      </c>
      <c r="Q87" s="176">
        <f>'2018'!Q87+'2019'!Q87+'2020'!Q87+'2021'!Q87+'2022'!Q63</f>
        <v>0</v>
      </c>
      <c r="R87" s="176">
        <f>'2018'!R87+'2019'!R87+'2020'!R87+'2021'!R87+'2022'!R63</f>
        <v>1</v>
      </c>
      <c r="S87" s="176">
        <f>'2018'!S87+'2019'!S87+'2020'!S87+'2021'!S87+'2022'!S63</f>
        <v>0</v>
      </c>
      <c r="T87" s="176">
        <f>'2018'!T87+'2019'!T87+'2020'!T87+'2021'!T87+'2022'!T63</f>
        <v>1</v>
      </c>
      <c r="U87" s="176">
        <f>'2018'!U87+'2019'!U87+'2020'!U87+'2021'!U87+'2022'!U63</f>
        <v>23</v>
      </c>
      <c r="V87" s="176">
        <f>'2018'!V87+'2019'!V87+'2020'!V87+'2021'!V87+'2022'!V63</f>
        <v>1</v>
      </c>
      <c r="W87" s="176">
        <f>'2018'!W87+'2019'!W87+'2020'!W87+'2021'!W87+'2022'!W63</f>
        <v>1</v>
      </c>
      <c r="X87" s="176">
        <f>'2018'!X87+'2019'!X87+'2020'!X87+'2021'!X87+'2022'!X63</f>
        <v>20</v>
      </c>
      <c r="Y87" s="174">
        <f t="shared" si="14"/>
        <v>255</v>
      </c>
      <c r="Z87" s="174">
        <f>'2018'!Z87+'2019'!Z87+'2020'!Z87+'2021'!Z87+'2022'!Z63</f>
        <v>35</v>
      </c>
      <c r="AA87" s="174">
        <f>'2018'!AA87+'2019'!AA87+'2020'!AA87+'2021'!AA87+'2022'!AA63</f>
        <v>1</v>
      </c>
      <c r="AB87" s="174">
        <f>'2018'!AB87+'2019'!AB87+'2020'!AB87+'2021'!AB87+'2022'!AB63</f>
        <v>120</v>
      </c>
      <c r="AC87" s="174">
        <f>'2018'!AC87+'2019'!AC87+'2020'!AC87+'2021'!AC87+'2022'!AC63</f>
        <v>1</v>
      </c>
      <c r="AD87" s="174">
        <f>'2018'!AD87+'2019'!AD87+'2020'!AD87+'2021'!AD87+'2022'!AD63</f>
        <v>0</v>
      </c>
      <c r="AE87" s="174">
        <f>'2018'!AE87+'2019'!AE87+'2020'!AE87+'2021'!AE87+'2022'!AE63</f>
        <v>0</v>
      </c>
      <c r="AF87" s="174">
        <f>'2018'!AF87+'2019'!AF87+'2020'!AF87+'2021'!AF87+'2022'!AF63</f>
        <v>74</v>
      </c>
      <c r="AG87" s="174">
        <f>'2018'!AG87+'2019'!AG87+'2020'!AG87+'2021'!AG87+'2022'!AG63</f>
        <v>0</v>
      </c>
      <c r="AH87" s="174">
        <f>'2018'!AH87+'2019'!AH87+'2020'!AH87+'2021'!AH87+'2022'!AH63</f>
        <v>1</v>
      </c>
      <c r="AI87" s="174">
        <f>'2018'!AI87+'2019'!AI87+'2020'!AI87+'2021'!AI87+'2022'!AI63</f>
        <v>3</v>
      </c>
      <c r="AJ87" s="174">
        <f>'2018'!AJ87+'2019'!AJ87+'2020'!AJ87+'2021'!AJ87+'2022'!AJ63</f>
        <v>23</v>
      </c>
      <c r="AK87" s="174">
        <f>'2018'!AK87+'2019'!AK87+'2020'!AK87+'2021'!AK87+'2022'!AK63</f>
        <v>2</v>
      </c>
      <c r="AL87" s="174">
        <f>'2018'!AL87+'2019'!AL87+'2020'!AL87+'2021'!AL87+'2022'!AL63</f>
        <v>5</v>
      </c>
      <c r="AM87" s="174">
        <f>'2018'!AM87+'2019'!AM87+'2020'!AM87+'2021'!AM87+'2022'!AM63</f>
        <v>5</v>
      </c>
      <c r="AN87" s="174">
        <f>'2018'!AN87+'2019'!AN87+'2020'!AN87+'2021'!AN87+'2022'!AN63</f>
        <v>0</v>
      </c>
      <c r="AO87" s="174">
        <f>'2018'!AO87+'2019'!AO87+'2020'!AO87+'2021'!AO87+'2022'!AO63</f>
        <v>0</v>
      </c>
      <c r="AP87" s="174">
        <f>'2018'!AP87+'2019'!AP87+'2020'!AP87+'2021'!AP87+'2022'!AP63</f>
        <v>0</v>
      </c>
      <c r="AQ87" s="174">
        <f>'2018'!AQ87+'2019'!AQ87+'2020'!AQ87+'2021'!AQ87+'2022'!AQ63</f>
        <v>0</v>
      </c>
      <c r="AR87" s="174">
        <f>'2018'!AR87+'2019'!AR87+'2020'!AR87+'2021'!AR87+'2022'!AR63</f>
        <v>0</v>
      </c>
      <c r="AS87" s="174">
        <f>'2018'!AS87+'2019'!AS87+'2020'!AS87+'2021'!AS87+'2022'!AS63</f>
        <v>6</v>
      </c>
      <c r="AT87" s="174">
        <f>'2018'!AT87+'2019'!AT87+'2020'!AT87+'2021'!AT87+'2022'!AT63</f>
        <v>1</v>
      </c>
      <c r="AU87" s="174">
        <f>'2018'!AU87+'2019'!AU87+'2020'!AU87+'2021'!AU87+'2022'!AU63</f>
        <v>0</v>
      </c>
      <c r="AV87" s="174">
        <f>'2018'!AV87+'2019'!AV87+'2020'!AV87+'2021'!AV87+'2022'!AV63</f>
        <v>0</v>
      </c>
      <c r="AW87" s="174">
        <f t="shared" si="15"/>
        <v>120</v>
      </c>
      <c r="AX87" s="156">
        <f t="shared" si="16"/>
        <v>1051.9959999999999</v>
      </c>
      <c r="AY87" s="14">
        <f>'2018'!AX87+'2019'!AX87+'2020'!AX87+'2021'!AX87+'2022'!AX63</f>
        <v>5259.98</v>
      </c>
      <c r="AZ87" s="14">
        <f t="shared" si="11"/>
        <v>47.058823529411768</v>
      </c>
      <c r="BA87" s="142"/>
      <c r="BB87" s="144"/>
      <c r="BC87" s="142"/>
    </row>
    <row r="88" spans="1:55" x14ac:dyDescent="0.25">
      <c r="A88" s="175" t="s">
        <v>165</v>
      </c>
      <c r="B88" s="176">
        <f>'2018'!B88+'2019'!B88+'2020'!B88+'2021'!B88+'2022'!B64</f>
        <v>87</v>
      </c>
      <c r="C88" s="176">
        <f>'2018'!C88+'2019'!C88+'2020'!C88+'2021'!C88+'2022'!C64</f>
        <v>23</v>
      </c>
      <c r="D88" s="176">
        <f>'2018'!D88+'2019'!D88+'2020'!D88+'2021'!D88+'2022'!D64</f>
        <v>220</v>
      </c>
      <c r="E88" s="176">
        <f>'2018'!E88+'2019'!E88+'2020'!E88+'2021'!E88+'2022'!E64</f>
        <v>52</v>
      </c>
      <c r="F88" s="176">
        <f>'2018'!F88+'2019'!F88+'2020'!F88+'2021'!F88+'2022'!F64</f>
        <v>0</v>
      </c>
      <c r="G88" s="176">
        <f>'2018'!G88+'2019'!G88+'2020'!G88+'2021'!G88+'2022'!G64</f>
        <v>0</v>
      </c>
      <c r="H88" s="176">
        <f>'2018'!H88+'2019'!H88+'2020'!H88+'2021'!H88+'2022'!H64</f>
        <v>28</v>
      </c>
      <c r="I88" s="176">
        <f>'2018'!I88+'2019'!I88+'2020'!I88+'2021'!I88+'2022'!I64</f>
        <v>0</v>
      </c>
      <c r="J88" s="176">
        <f>'2018'!J88+'2019'!J88+'2020'!J88+'2021'!J88+'2022'!J64</f>
        <v>14</v>
      </c>
      <c r="K88" s="176">
        <f>'2018'!K88+'2019'!K88+'2020'!K88+'2021'!K88+'2022'!K64</f>
        <v>0</v>
      </c>
      <c r="L88" s="176">
        <f>'2018'!L88+'2019'!L88+'2020'!L88+'2021'!L88+'2022'!L64</f>
        <v>36</v>
      </c>
      <c r="M88" s="176">
        <f>'2018'!M88+'2019'!M88+'2020'!M88+'2021'!M88+'2022'!M64</f>
        <v>16</v>
      </c>
      <c r="N88" s="176">
        <f>'2018'!N88+'2019'!N88+'2020'!N88+'2021'!N88+'2022'!N64</f>
        <v>9</v>
      </c>
      <c r="O88" s="176">
        <f>'2018'!O88+'2019'!O88+'2020'!O88+'2021'!O88+'2022'!O64</f>
        <v>41</v>
      </c>
      <c r="P88" s="176">
        <f>'2018'!P88+'2019'!P88+'2020'!P88+'2021'!P88+'2022'!P64</f>
        <v>5</v>
      </c>
      <c r="Q88" s="176">
        <f>'2018'!Q88+'2019'!Q88+'2020'!Q88+'2021'!Q88+'2022'!Q64</f>
        <v>3</v>
      </c>
      <c r="R88" s="176">
        <f>'2018'!R88+'2019'!R88+'2020'!R88+'2021'!R88+'2022'!R64</f>
        <v>0</v>
      </c>
      <c r="S88" s="176">
        <f>'2018'!S88+'2019'!S88+'2020'!S88+'2021'!S88+'2022'!S64</f>
        <v>0</v>
      </c>
      <c r="T88" s="176">
        <f>'2018'!T88+'2019'!T88+'2020'!T88+'2021'!T88+'2022'!T64</f>
        <v>17</v>
      </c>
      <c r="U88" s="176">
        <f>'2018'!U88+'2019'!U88+'2020'!U88+'2021'!U88+'2022'!U64</f>
        <v>31</v>
      </c>
      <c r="V88" s="176">
        <f>'2018'!V88+'2019'!V88+'2020'!V88+'2021'!V88+'2022'!V64</f>
        <v>2</v>
      </c>
      <c r="W88" s="176">
        <f>'2018'!W88+'2019'!W88+'2020'!W88+'2021'!W88+'2022'!W64</f>
        <v>1</v>
      </c>
      <c r="X88" s="176">
        <f>'2018'!X88+'2019'!X88+'2020'!X88+'2021'!X88+'2022'!X64</f>
        <v>17</v>
      </c>
      <c r="Y88" s="174">
        <f t="shared" si="14"/>
        <v>220</v>
      </c>
      <c r="Z88" s="174">
        <f>'2018'!Z88+'2019'!Z88+'2020'!Z88+'2021'!Z88+'2022'!Z64</f>
        <v>64</v>
      </c>
      <c r="AA88" s="174">
        <f>'2018'!AA88+'2019'!AA88+'2020'!AA88+'2021'!AA88+'2022'!AA64</f>
        <v>16</v>
      </c>
      <c r="AB88" s="174">
        <f>'2018'!AB88+'2019'!AB88+'2020'!AB88+'2021'!AB88+'2022'!AB64</f>
        <v>123</v>
      </c>
      <c r="AC88" s="174">
        <f>'2018'!AC88+'2019'!AC88+'2020'!AC88+'2021'!AC88+'2022'!AC64</f>
        <v>34</v>
      </c>
      <c r="AD88" s="174">
        <f>'2018'!AD88+'2019'!AD88+'2020'!AD88+'2021'!AD88+'2022'!AD64</f>
        <v>0</v>
      </c>
      <c r="AE88" s="174">
        <f>'2018'!AE88+'2019'!AE88+'2020'!AE88+'2021'!AE88+'2022'!AE64</f>
        <v>0</v>
      </c>
      <c r="AF88" s="174">
        <f>'2018'!AF88+'2019'!AF88+'2020'!AF88+'2021'!AF88+'2022'!AF64</f>
        <v>13</v>
      </c>
      <c r="AG88" s="174">
        <f>'2018'!AG88+'2019'!AG88+'2020'!AG88+'2021'!AG88+'2022'!AG64</f>
        <v>0</v>
      </c>
      <c r="AH88" s="174">
        <f>'2018'!AH88+'2019'!AH88+'2020'!AH88+'2021'!AH88+'2022'!AH64</f>
        <v>7</v>
      </c>
      <c r="AI88" s="174">
        <f>'2018'!AI88+'2019'!AI88+'2020'!AI88+'2021'!AI88+'2022'!AI64</f>
        <v>0</v>
      </c>
      <c r="AJ88" s="174">
        <f>'2018'!AJ88+'2019'!AJ88+'2020'!AJ88+'2021'!AJ88+'2022'!AJ64</f>
        <v>28</v>
      </c>
      <c r="AK88" s="174">
        <f>'2018'!AK88+'2019'!AK88+'2020'!AK88+'2021'!AK88+'2022'!AK64</f>
        <v>8</v>
      </c>
      <c r="AL88" s="174">
        <f>'2018'!AL88+'2019'!AL88+'2020'!AL88+'2021'!AL88+'2022'!AL64</f>
        <v>5</v>
      </c>
      <c r="AM88" s="174">
        <f>'2018'!AM88+'2019'!AM88+'2020'!AM88+'2021'!AM88+'2022'!AM64</f>
        <v>24</v>
      </c>
      <c r="AN88" s="174">
        <f>'2018'!AN88+'2019'!AN88+'2020'!AN88+'2021'!AN88+'2022'!AN64</f>
        <v>0</v>
      </c>
      <c r="AO88" s="174">
        <f>'2018'!AO88+'2019'!AO88+'2020'!AO88+'2021'!AO88+'2022'!AO64</f>
        <v>2</v>
      </c>
      <c r="AP88" s="174">
        <f>'2018'!AP88+'2019'!AP88+'2020'!AP88+'2021'!AP88+'2022'!AP64</f>
        <v>0</v>
      </c>
      <c r="AQ88" s="174">
        <f>'2018'!AQ88+'2019'!AQ88+'2020'!AQ88+'2021'!AQ88+'2022'!AQ64</f>
        <v>0</v>
      </c>
      <c r="AR88" s="174">
        <f>'2018'!AR88+'2019'!AR88+'2020'!AR88+'2021'!AR88+'2022'!AR64</f>
        <v>12</v>
      </c>
      <c r="AS88" s="174">
        <f>'2018'!AS88+'2019'!AS88+'2020'!AS88+'2021'!AS88+'2022'!AS64</f>
        <v>19</v>
      </c>
      <c r="AT88" s="174">
        <f>'2018'!AT88+'2019'!AT88+'2020'!AT88+'2021'!AT88+'2022'!AT64</f>
        <v>0</v>
      </c>
      <c r="AU88" s="174">
        <f>'2018'!AU88+'2019'!AU88+'2020'!AU88+'2021'!AU88+'2022'!AU64</f>
        <v>0</v>
      </c>
      <c r="AV88" s="174">
        <f>'2018'!AV88+'2019'!AV88+'2020'!AV88+'2021'!AV88+'2022'!AV64</f>
        <v>5</v>
      </c>
      <c r="AW88" s="174">
        <f t="shared" si="15"/>
        <v>123</v>
      </c>
      <c r="AX88" s="156">
        <f t="shared" si="16"/>
        <v>3716.3493333333331</v>
      </c>
      <c r="AY88" s="14">
        <f>'2018'!AX88+'2019'!AX88+'2020'!AX88+'2021'!AX88+'2022'!AX64</f>
        <v>18581.746666666666</v>
      </c>
      <c r="AZ88" s="14">
        <f t="shared" si="11"/>
        <v>55.909090909090907</v>
      </c>
      <c r="BA88" s="142"/>
      <c r="BB88" s="144"/>
      <c r="BC88" s="142"/>
    </row>
    <row r="89" spans="1:55" x14ac:dyDescent="0.25">
      <c r="A89" s="175" t="s">
        <v>166</v>
      </c>
      <c r="B89" s="176">
        <f>'2018'!B89+'2019'!B89+'2020'!B89+'2021'!B89+'2022'!B65</f>
        <v>71</v>
      </c>
      <c r="C89" s="176">
        <f>'2018'!C89+'2019'!C89+'2020'!C89+'2021'!C89+'2022'!C65</f>
        <v>2</v>
      </c>
      <c r="D89" s="176">
        <f>'2018'!D89+'2019'!D89+'2020'!D89+'2021'!D89+'2022'!D65</f>
        <v>156</v>
      </c>
      <c r="E89" s="176">
        <f>'2018'!E89+'2019'!E89+'2020'!E89+'2021'!E89+'2022'!E65</f>
        <v>2</v>
      </c>
      <c r="F89" s="176">
        <f>'2018'!F89+'2019'!F89+'2020'!F89+'2021'!F89+'2022'!F65</f>
        <v>0</v>
      </c>
      <c r="G89" s="176">
        <f>'2018'!G89+'2019'!G89+'2020'!G89+'2021'!G89+'2022'!G65</f>
        <v>0</v>
      </c>
      <c r="H89" s="176">
        <f>'2018'!H89+'2019'!H89+'2020'!H89+'2021'!H89+'2022'!H65</f>
        <v>75</v>
      </c>
      <c r="I89" s="176">
        <f>'2018'!I89+'2019'!I89+'2020'!I89+'2021'!I89+'2022'!I65</f>
        <v>0</v>
      </c>
      <c r="J89" s="176">
        <f>'2018'!J89+'2019'!J89+'2020'!J89+'2021'!J89+'2022'!J65</f>
        <v>1</v>
      </c>
      <c r="K89" s="176">
        <f>'2018'!K89+'2019'!K89+'2020'!K89+'2021'!K89+'2022'!K65</f>
        <v>2</v>
      </c>
      <c r="L89" s="176">
        <f>'2018'!L89+'2019'!L89+'2020'!L89+'2021'!L89+'2022'!L65</f>
        <v>39</v>
      </c>
      <c r="M89" s="176">
        <f>'2018'!M89+'2019'!M89+'2020'!M89+'2021'!M89+'2022'!M65</f>
        <v>0</v>
      </c>
      <c r="N89" s="176">
        <f>'2018'!N89+'2019'!N89+'2020'!N89+'2021'!N89+'2022'!N65</f>
        <v>11</v>
      </c>
      <c r="O89" s="176">
        <f>'2018'!O89+'2019'!O89+'2020'!O89+'2021'!O89+'2022'!O65</f>
        <v>4</v>
      </c>
      <c r="P89" s="176">
        <f>'2018'!P89+'2019'!P89+'2020'!P89+'2021'!P89+'2022'!P65</f>
        <v>0</v>
      </c>
      <c r="Q89" s="176">
        <f>'2018'!Q89+'2019'!Q89+'2020'!Q89+'2021'!Q89+'2022'!Q65</f>
        <v>2</v>
      </c>
      <c r="R89" s="176">
        <f>'2018'!R89+'2019'!R89+'2020'!R89+'2021'!R89+'2022'!R65</f>
        <v>3</v>
      </c>
      <c r="S89" s="176">
        <f>'2018'!S89+'2019'!S89+'2020'!S89+'2021'!S89+'2022'!S65</f>
        <v>0</v>
      </c>
      <c r="T89" s="176">
        <f>'2018'!T89+'2019'!T89+'2020'!T89+'2021'!T89+'2022'!T65</f>
        <v>1</v>
      </c>
      <c r="U89" s="176">
        <f>'2018'!U89+'2019'!U89+'2020'!U89+'2021'!U89+'2022'!U65</f>
        <v>7</v>
      </c>
      <c r="V89" s="176">
        <f>'2018'!V89+'2019'!V89+'2020'!V89+'2021'!V89+'2022'!V65</f>
        <v>2</v>
      </c>
      <c r="W89" s="176">
        <f>'2018'!W89+'2019'!W89+'2020'!W89+'2021'!W89+'2022'!W65</f>
        <v>0</v>
      </c>
      <c r="X89" s="176">
        <f>'2018'!X89+'2019'!X89+'2020'!X89+'2021'!X89+'2022'!X65</f>
        <v>9</v>
      </c>
      <c r="Y89" s="174">
        <f t="shared" si="14"/>
        <v>156</v>
      </c>
      <c r="Z89" s="174">
        <f>'2018'!Z89+'2019'!Z89+'2020'!Z89+'2021'!Z89+'2022'!Z65</f>
        <v>50</v>
      </c>
      <c r="AA89" s="174">
        <f>'2018'!AA89+'2019'!AA89+'2020'!AA89+'2021'!AA89+'2022'!AA65</f>
        <v>2</v>
      </c>
      <c r="AB89" s="174">
        <f>'2018'!AB89+'2019'!AB89+'2020'!AB89+'2021'!AB89+'2022'!AB65</f>
        <v>90</v>
      </c>
      <c r="AC89" s="174">
        <f>'2018'!AC89+'2019'!AC89+'2020'!AC89+'2021'!AC89+'2022'!AC65</f>
        <v>2</v>
      </c>
      <c r="AD89" s="174">
        <f>'2018'!AD89+'2019'!AD89+'2020'!AD89+'2021'!AD89+'2022'!AD65</f>
        <v>0</v>
      </c>
      <c r="AE89" s="174">
        <f>'2018'!AE89+'2019'!AE89+'2020'!AE89+'2021'!AE89+'2022'!AE65</f>
        <v>0</v>
      </c>
      <c r="AF89" s="174">
        <f>'2018'!AF89+'2019'!AF89+'2020'!AF89+'2021'!AF89+'2022'!AF65</f>
        <v>57</v>
      </c>
      <c r="AG89" s="174">
        <f>'2018'!AG89+'2019'!AG89+'2020'!AG89+'2021'!AG89+'2022'!AG65</f>
        <v>0</v>
      </c>
      <c r="AH89" s="174">
        <f>'2018'!AH89+'2019'!AH89+'2020'!AH89+'2021'!AH89+'2022'!AH65</f>
        <v>1</v>
      </c>
      <c r="AI89" s="174">
        <f>'2018'!AI89+'2019'!AI89+'2020'!AI89+'2021'!AI89+'2022'!AI65</f>
        <v>2</v>
      </c>
      <c r="AJ89" s="174">
        <f>'2018'!AJ89+'2019'!AJ89+'2020'!AJ89+'2021'!AJ89+'2022'!AJ65</f>
        <v>20</v>
      </c>
      <c r="AK89" s="174">
        <f>'2018'!AK89+'2019'!AK89+'2020'!AK89+'2021'!AK89+'2022'!AK65</f>
        <v>0</v>
      </c>
      <c r="AL89" s="174">
        <f>'2018'!AL89+'2019'!AL89+'2020'!AL89+'2021'!AL89+'2022'!AL65</f>
        <v>0</v>
      </c>
      <c r="AM89" s="174">
        <f>'2018'!AM89+'2019'!AM89+'2020'!AM89+'2021'!AM89+'2022'!AM65</f>
        <v>3</v>
      </c>
      <c r="AN89" s="174">
        <f>'2018'!AN89+'2019'!AN89+'2020'!AN89+'2021'!AN89+'2022'!AN65</f>
        <v>0</v>
      </c>
      <c r="AO89" s="174">
        <f>'2018'!AO89+'2019'!AO89+'2020'!AO89+'2021'!AO89+'2022'!AO65</f>
        <v>0</v>
      </c>
      <c r="AP89" s="174">
        <f>'2018'!AP89+'2019'!AP89+'2020'!AP89+'2021'!AP89+'2022'!AP65</f>
        <v>1</v>
      </c>
      <c r="AQ89" s="174">
        <f>'2018'!AQ89+'2019'!AQ89+'2020'!AQ89+'2021'!AQ89+'2022'!AQ65</f>
        <v>0</v>
      </c>
      <c r="AR89" s="174">
        <f>'2018'!AR89+'2019'!AR89+'2020'!AR89+'2021'!AR89+'2022'!AR65</f>
        <v>0</v>
      </c>
      <c r="AS89" s="174">
        <f>'2018'!AS89+'2019'!AS89+'2020'!AS89+'2021'!AS89+'2022'!AS65</f>
        <v>0</v>
      </c>
      <c r="AT89" s="174">
        <f>'2018'!AT89+'2019'!AT89+'2020'!AT89+'2021'!AT89+'2022'!AT65</f>
        <v>1</v>
      </c>
      <c r="AU89" s="174">
        <f>'2018'!AU89+'2019'!AU89+'2020'!AU89+'2021'!AU89+'2022'!AU65</f>
        <v>0</v>
      </c>
      <c r="AV89" s="174">
        <f>'2018'!AV89+'2019'!AV89+'2020'!AV89+'2021'!AV89+'2022'!AV65</f>
        <v>5</v>
      </c>
      <c r="AW89" s="174">
        <f t="shared" si="15"/>
        <v>90</v>
      </c>
      <c r="AX89" s="156">
        <f t="shared" si="16"/>
        <v>5247.6539191919192</v>
      </c>
      <c r="AY89" s="14">
        <f>'2018'!AX89+'2019'!AX89+'2020'!AX89+'2021'!AX89+'2022'!AX65</f>
        <v>26238.269595959595</v>
      </c>
      <c r="AZ89" s="14">
        <f t="shared" si="11"/>
        <v>57.692307692307693</v>
      </c>
      <c r="BA89" s="142"/>
      <c r="BB89" s="144"/>
      <c r="BC89" s="142"/>
    </row>
    <row r="90" spans="1:55" x14ac:dyDescent="0.25">
      <c r="A90" s="175" t="s">
        <v>167</v>
      </c>
      <c r="B90" s="176">
        <f>'2018'!B90+'2019'!B90+'2020'!B90+'2021'!B90+'2022'!B66</f>
        <v>32</v>
      </c>
      <c r="C90" s="176">
        <f>'2018'!C90+'2019'!C90+'2020'!C90+'2021'!C90+'2022'!C66</f>
        <v>1</v>
      </c>
      <c r="D90" s="176">
        <f>'2018'!D90+'2019'!D90+'2020'!D90+'2021'!D90+'2022'!D66</f>
        <v>63</v>
      </c>
      <c r="E90" s="176">
        <f>'2018'!E90+'2019'!E90+'2020'!E90+'2021'!E90+'2022'!E66</f>
        <v>1</v>
      </c>
      <c r="F90" s="176">
        <f>'2018'!F90+'2019'!F90+'2020'!F90+'2021'!F90+'2022'!F66</f>
        <v>0</v>
      </c>
      <c r="G90" s="176">
        <f>'2018'!G90+'2019'!G90+'2020'!G90+'2021'!G90+'2022'!G66</f>
        <v>0</v>
      </c>
      <c r="H90" s="176">
        <f>'2018'!H90+'2019'!H90+'2020'!H90+'2021'!H90+'2022'!H66</f>
        <v>5</v>
      </c>
      <c r="I90" s="176">
        <f>'2018'!I90+'2019'!I90+'2020'!I90+'2021'!I90+'2022'!I66</f>
        <v>0</v>
      </c>
      <c r="J90" s="176">
        <f>'2018'!J90+'2019'!J90+'2020'!J90+'2021'!J90+'2022'!J66</f>
        <v>0</v>
      </c>
      <c r="K90" s="176">
        <f>'2018'!K90+'2019'!K90+'2020'!K90+'2021'!K90+'2022'!K66</f>
        <v>0</v>
      </c>
      <c r="L90" s="176">
        <f>'2018'!L90+'2019'!L90+'2020'!L90+'2021'!L90+'2022'!L66</f>
        <v>14</v>
      </c>
      <c r="M90" s="176">
        <f>'2018'!M90+'2019'!M90+'2020'!M90+'2021'!M90+'2022'!M66</f>
        <v>10</v>
      </c>
      <c r="N90" s="176">
        <f>'2018'!N90+'2019'!N90+'2020'!N90+'2021'!N90+'2022'!N66</f>
        <v>8</v>
      </c>
      <c r="O90" s="176">
        <f>'2018'!O90+'2019'!O90+'2020'!O90+'2021'!O90+'2022'!O66</f>
        <v>0</v>
      </c>
      <c r="P90" s="176">
        <f>'2018'!P90+'2019'!P90+'2020'!P90+'2021'!P90+'2022'!P66</f>
        <v>0</v>
      </c>
      <c r="Q90" s="176">
        <f>'2018'!Q90+'2019'!Q90+'2020'!Q90+'2021'!Q90+'2022'!Q66</f>
        <v>0</v>
      </c>
      <c r="R90" s="176">
        <f>'2018'!R90+'2019'!R90+'2020'!R90+'2021'!R90+'2022'!R66</f>
        <v>2</v>
      </c>
      <c r="S90" s="176">
        <f>'2018'!S90+'2019'!S90+'2020'!S90+'2021'!S90+'2022'!S66</f>
        <v>6</v>
      </c>
      <c r="T90" s="176">
        <f>'2018'!T90+'2019'!T90+'2020'!T90+'2021'!T90+'2022'!T66</f>
        <v>0</v>
      </c>
      <c r="U90" s="176">
        <f>'2018'!U90+'2019'!U90+'2020'!U90+'2021'!U90+'2022'!U66</f>
        <v>2</v>
      </c>
      <c r="V90" s="176">
        <f>'2018'!V90+'2019'!V90+'2020'!V90+'2021'!V90+'2022'!V66</f>
        <v>2</v>
      </c>
      <c r="W90" s="176">
        <f>'2018'!W90+'2019'!W90+'2020'!W90+'2021'!W90+'2022'!W66</f>
        <v>4</v>
      </c>
      <c r="X90" s="176">
        <f>'2018'!X90+'2019'!X90+'2020'!X90+'2021'!X90+'2022'!X66</f>
        <v>10</v>
      </c>
      <c r="Y90" s="174">
        <f t="shared" si="14"/>
        <v>63</v>
      </c>
      <c r="Z90" s="174">
        <f>'2018'!Z90+'2019'!Z90+'2020'!Z90+'2021'!Z90+'2022'!Z66</f>
        <v>16</v>
      </c>
      <c r="AA90" s="174">
        <f>'2018'!AA90+'2019'!AA90+'2020'!AA90+'2021'!AA90+'2022'!AA66</f>
        <v>0</v>
      </c>
      <c r="AB90" s="174">
        <f>'2018'!AB90+'2019'!AB90+'2020'!AB90+'2021'!AB90+'2022'!AB66</f>
        <v>25</v>
      </c>
      <c r="AC90" s="174">
        <f>'2018'!AC90+'2019'!AC90+'2020'!AC90+'2021'!AC90+'2022'!AC66</f>
        <v>0</v>
      </c>
      <c r="AD90" s="174">
        <f>'2018'!AD90+'2019'!AD90+'2020'!AD90+'2021'!AD90+'2022'!AD66</f>
        <v>0</v>
      </c>
      <c r="AE90" s="174">
        <f>'2018'!AE90+'2019'!AE90+'2020'!AE90+'2021'!AE90+'2022'!AE66</f>
        <v>0</v>
      </c>
      <c r="AF90" s="174">
        <f>'2018'!AF90+'2019'!AF90+'2020'!AF90+'2021'!AF90+'2022'!AF66</f>
        <v>3</v>
      </c>
      <c r="AG90" s="174">
        <f>'2018'!AG90+'2019'!AG90+'2020'!AG90+'2021'!AG90+'2022'!AG66</f>
        <v>0</v>
      </c>
      <c r="AH90" s="174">
        <f>'2018'!AH90+'2019'!AH90+'2020'!AH90+'2021'!AH90+'2022'!AH66</f>
        <v>0</v>
      </c>
      <c r="AI90" s="174">
        <f>'2018'!AI90+'2019'!AI90+'2020'!AI90+'2021'!AI90+'2022'!AI66</f>
        <v>0</v>
      </c>
      <c r="AJ90" s="174">
        <f>'2018'!AJ90+'2019'!AJ90+'2020'!AJ90+'2021'!AJ90+'2022'!AJ66</f>
        <v>8</v>
      </c>
      <c r="AK90" s="174">
        <f>'2018'!AK90+'2019'!AK90+'2020'!AK90+'2021'!AK90+'2022'!AK66</f>
        <v>2</v>
      </c>
      <c r="AL90" s="174">
        <f>'2018'!AL90+'2019'!AL90+'2020'!AL90+'2021'!AL90+'2022'!AL66</f>
        <v>3</v>
      </c>
      <c r="AM90" s="174">
        <f>'2018'!AM90+'2019'!AM90+'2020'!AM90+'2021'!AM90+'2022'!AM66</f>
        <v>0</v>
      </c>
      <c r="AN90" s="174">
        <f>'2018'!AN90+'2019'!AN90+'2020'!AN90+'2021'!AN90+'2022'!AN66</f>
        <v>0</v>
      </c>
      <c r="AO90" s="174">
        <f>'2018'!AO90+'2019'!AO90+'2020'!AO90+'2021'!AO90+'2022'!AO66</f>
        <v>0</v>
      </c>
      <c r="AP90" s="174">
        <f>'2018'!AP90+'2019'!AP90+'2020'!AP90+'2021'!AP90+'2022'!AP66</f>
        <v>4</v>
      </c>
      <c r="AQ90" s="174">
        <f>'2018'!AQ90+'2019'!AQ90+'2020'!AQ90+'2021'!AQ90+'2022'!AQ66</f>
        <v>0</v>
      </c>
      <c r="AR90" s="174">
        <f>'2018'!AR90+'2019'!AR90+'2020'!AR90+'2021'!AR90+'2022'!AR66</f>
        <v>0</v>
      </c>
      <c r="AS90" s="174">
        <f>'2018'!AS90+'2019'!AS90+'2020'!AS90+'2021'!AS90+'2022'!AS66</f>
        <v>1</v>
      </c>
      <c r="AT90" s="174">
        <f>'2018'!AT90+'2019'!AT90+'2020'!AT90+'2021'!AT90+'2022'!AT66</f>
        <v>2</v>
      </c>
      <c r="AU90" s="174">
        <f>'2018'!AU90+'2019'!AU90+'2020'!AU90+'2021'!AU90+'2022'!AU66</f>
        <v>0</v>
      </c>
      <c r="AV90" s="174">
        <f>'2018'!AV90+'2019'!AV90+'2020'!AV90+'2021'!AV90+'2022'!AV66</f>
        <v>2</v>
      </c>
      <c r="AW90" s="174">
        <f t="shared" si="15"/>
        <v>25</v>
      </c>
      <c r="AX90" s="156">
        <f t="shared" si="16"/>
        <v>3585.9777777777781</v>
      </c>
      <c r="AY90" s="14">
        <f>'2018'!AX90+'2019'!AX90+'2020'!AX90+'2021'!AX90+'2022'!AX66</f>
        <v>17929.888888888891</v>
      </c>
      <c r="AZ90" s="14">
        <f t="shared" si="11"/>
        <v>39.682539682539684</v>
      </c>
      <c r="BA90" s="142"/>
      <c r="BB90" s="144"/>
      <c r="BC90" s="142"/>
    </row>
    <row r="91" spans="1:55" x14ac:dyDescent="0.25">
      <c r="A91" s="175" t="s">
        <v>168</v>
      </c>
      <c r="B91" s="176">
        <f>'2018'!B91+'2019'!B91+'2020'!B91+'2021'!B91+'2022'!B67</f>
        <v>11</v>
      </c>
      <c r="C91" s="176">
        <f>'2018'!C91+'2019'!C91+'2020'!C91+'2021'!C91+'2022'!C67</f>
        <v>2</v>
      </c>
      <c r="D91" s="176">
        <f>'2018'!D91+'2019'!D91+'2020'!D91+'2021'!D91+'2022'!D67</f>
        <v>35</v>
      </c>
      <c r="E91" s="176">
        <f>'2018'!E91+'2019'!E91+'2020'!E91+'2021'!E91+'2022'!E67</f>
        <v>5</v>
      </c>
      <c r="F91" s="176">
        <f>'2018'!F91+'2019'!F91+'2020'!F91+'2021'!F91+'2022'!F67</f>
        <v>0</v>
      </c>
      <c r="G91" s="176">
        <f>'2018'!G91+'2019'!G91+'2020'!G91+'2021'!G91+'2022'!G67</f>
        <v>0</v>
      </c>
      <c r="H91" s="176">
        <f>'2018'!H91+'2019'!H91+'2020'!H91+'2021'!H91+'2022'!H67</f>
        <v>23</v>
      </c>
      <c r="I91" s="176">
        <f>'2018'!I91+'2019'!I91+'2020'!I91+'2021'!I91+'2022'!I67</f>
        <v>0</v>
      </c>
      <c r="J91" s="176">
        <f>'2018'!J91+'2019'!J91+'2020'!J91+'2021'!J91+'2022'!J67</f>
        <v>5</v>
      </c>
      <c r="K91" s="176">
        <f>'2018'!K91+'2019'!K91+'2020'!K91+'2021'!K91+'2022'!K67</f>
        <v>0</v>
      </c>
      <c r="L91" s="176">
        <f>'2018'!L91+'2019'!L91+'2020'!L91+'2021'!L91+'2022'!L67</f>
        <v>3</v>
      </c>
      <c r="M91" s="176">
        <f>'2018'!M91+'2019'!M91+'2020'!M91+'2021'!M91+'2022'!M67</f>
        <v>4</v>
      </c>
      <c r="N91" s="176">
        <f>'2018'!N91+'2019'!N91+'2020'!N91+'2021'!N91+'2022'!N67</f>
        <v>0</v>
      </c>
      <c r="O91" s="176">
        <f>'2018'!O91+'2019'!O91+'2020'!O91+'2021'!O91+'2022'!O67</f>
        <v>0</v>
      </c>
      <c r="P91" s="176">
        <f>'2018'!P91+'2019'!P91+'2020'!P91+'2021'!P91+'2022'!P67</f>
        <v>0</v>
      </c>
      <c r="Q91" s="176">
        <f>'2018'!Q91+'2019'!Q91+'2020'!Q91+'2021'!Q91+'2022'!Q67</f>
        <v>0</v>
      </c>
      <c r="R91" s="176">
        <f>'2018'!R91+'2019'!R91+'2020'!R91+'2021'!R91+'2022'!R67</f>
        <v>0</v>
      </c>
      <c r="S91" s="176">
        <f>'2018'!S91+'2019'!S91+'2020'!S91+'2021'!S91+'2022'!S67</f>
        <v>0</v>
      </c>
      <c r="T91" s="176">
        <f>'2018'!T91+'2019'!T91+'2020'!T91+'2021'!T91+'2022'!T67</f>
        <v>0</v>
      </c>
      <c r="U91" s="176">
        <f>'2018'!U91+'2019'!U91+'2020'!U91+'2021'!U91+'2022'!U67</f>
        <v>0</v>
      </c>
      <c r="V91" s="176">
        <f>'2018'!V91+'2019'!V91+'2020'!V91+'2021'!V91+'2022'!V67</f>
        <v>0</v>
      </c>
      <c r="W91" s="176">
        <f>'2018'!W91+'2019'!W91+'2020'!W91+'2021'!W91+'2022'!W67</f>
        <v>0</v>
      </c>
      <c r="X91" s="176">
        <f>'2018'!X91+'2019'!X91+'2020'!X91+'2021'!X91+'2022'!X67</f>
        <v>0</v>
      </c>
      <c r="Y91" s="174">
        <f t="shared" si="14"/>
        <v>35</v>
      </c>
      <c r="Z91" s="174">
        <f>'2018'!Z91+'2019'!Z91+'2020'!Z91+'2021'!Z91+'2022'!Z67</f>
        <v>11</v>
      </c>
      <c r="AA91" s="174">
        <f>'2018'!AA91+'2019'!AA91+'2020'!AA91+'2021'!AA91+'2022'!AA67</f>
        <v>2</v>
      </c>
      <c r="AB91" s="174">
        <f>'2018'!AB91+'2019'!AB91+'2020'!AB91+'2021'!AB91+'2022'!AB67</f>
        <v>35</v>
      </c>
      <c r="AC91" s="174">
        <f>'2018'!AC91+'2019'!AC91+'2020'!AC91+'2021'!AC91+'2022'!AC67</f>
        <v>5</v>
      </c>
      <c r="AD91" s="174">
        <f>'2018'!AD91+'2019'!AD91+'2020'!AD91+'2021'!AD91+'2022'!AD67</f>
        <v>0</v>
      </c>
      <c r="AE91" s="174">
        <f>'2018'!AE91+'2019'!AE91+'2020'!AE91+'2021'!AE91+'2022'!AE67</f>
        <v>0</v>
      </c>
      <c r="AF91" s="174">
        <f>'2018'!AF91+'2019'!AF91+'2020'!AF91+'2021'!AF91+'2022'!AF67</f>
        <v>23</v>
      </c>
      <c r="AG91" s="174">
        <f>'2018'!AG91+'2019'!AG91+'2020'!AG91+'2021'!AG91+'2022'!AG67</f>
        <v>0</v>
      </c>
      <c r="AH91" s="174">
        <f>'2018'!AH91+'2019'!AH91+'2020'!AH91+'2021'!AH91+'2022'!AH67</f>
        <v>5</v>
      </c>
      <c r="AI91" s="174">
        <f>'2018'!AI91+'2019'!AI91+'2020'!AI91+'2021'!AI91+'2022'!AI67</f>
        <v>0</v>
      </c>
      <c r="AJ91" s="174">
        <f>'2018'!AJ91+'2019'!AJ91+'2020'!AJ91+'2021'!AJ91+'2022'!AJ67</f>
        <v>3</v>
      </c>
      <c r="AK91" s="174">
        <f>'2018'!AK91+'2019'!AK91+'2020'!AK91+'2021'!AK91+'2022'!AK67</f>
        <v>4</v>
      </c>
      <c r="AL91" s="174">
        <f>'2018'!AL91+'2019'!AL91+'2020'!AL91+'2021'!AL91+'2022'!AL67</f>
        <v>0</v>
      </c>
      <c r="AM91" s="174">
        <f>'2018'!AM91+'2019'!AM91+'2020'!AM91+'2021'!AM91+'2022'!AM67</f>
        <v>0</v>
      </c>
      <c r="AN91" s="174">
        <f>'2018'!AN91+'2019'!AN91+'2020'!AN91+'2021'!AN91+'2022'!AN67</f>
        <v>0</v>
      </c>
      <c r="AO91" s="174">
        <f>'2018'!AO91+'2019'!AO91+'2020'!AO91+'2021'!AO91+'2022'!AO67</f>
        <v>0</v>
      </c>
      <c r="AP91" s="174">
        <f>'2018'!AP91+'2019'!AP91+'2020'!AP91+'2021'!AP91+'2022'!AP67</f>
        <v>0</v>
      </c>
      <c r="AQ91" s="174">
        <f>'2018'!AQ91+'2019'!AQ91+'2020'!AQ91+'2021'!AQ91+'2022'!AQ67</f>
        <v>0</v>
      </c>
      <c r="AR91" s="174">
        <f>'2018'!AR91+'2019'!AR91+'2020'!AR91+'2021'!AR91+'2022'!AR67</f>
        <v>0</v>
      </c>
      <c r="AS91" s="174">
        <f>'2018'!AS91+'2019'!AS91+'2020'!AS91+'2021'!AS91+'2022'!AS67</f>
        <v>0</v>
      </c>
      <c r="AT91" s="174">
        <f>'2018'!AT91+'2019'!AT91+'2020'!AT91+'2021'!AT91+'2022'!AT67</f>
        <v>0</v>
      </c>
      <c r="AU91" s="174">
        <f>'2018'!AU91+'2019'!AU91+'2020'!AU91+'2021'!AU91+'2022'!AU67</f>
        <v>0</v>
      </c>
      <c r="AV91" s="174">
        <f>'2018'!AV91+'2019'!AV91+'2020'!AV91+'2021'!AV91+'2022'!AV67</f>
        <v>0</v>
      </c>
      <c r="AW91" s="174">
        <f t="shared" si="15"/>
        <v>35</v>
      </c>
      <c r="AX91" s="156">
        <f t="shared" si="16"/>
        <v>2345.5299999999997</v>
      </c>
      <c r="AY91" s="14">
        <f>'2018'!AX91+'2019'!AX91+'2020'!AX91+'2021'!AX91+'2022'!AX67</f>
        <v>11727.65</v>
      </c>
      <c r="AZ91" s="14">
        <f t="shared" si="11"/>
        <v>100</v>
      </c>
      <c r="BA91" s="142"/>
      <c r="BB91" s="144"/>
      <c r="BC91" s="142"/>
    </row>
    <row r="92" spans="1:55" x14ac:dyDescent="0.25">
      <c r="A92" s="175" t="s">
        <v>169</v>
      </c>
      <c r="B92" s="176">
        <f>'2018'!B92+'2019'!B92+'2020'!B92+'2021'!B92+'2022'!B68</f>
        <v>9</v>
      </c>
      <c r="C92" s="176">
        <f>'2018'!C92+'2019'!C92+'2020'!C92+'2021'!C92+'2022'!C68</f>
        <v>3</v>
      </c>
      <c r="D92" s="176">
        <f>'2018'!D92+'2019'!D92+'2020'!D92+'2021'!D92+'2022'!D68</f>
        <v>141</v>
      </c>
      <c r="E92" s="176">
        <f>'2018'!E92+'2019'!E92+'2020'!E92+'2021'!E92+'2022'!E68</f>
        <v>77</v>
      </c>
      <c r="F92" s="176">
        <f>'2018'!F92+'2019'!F92+'2020'!F92+'2021'!F92+'2022'!F68</f>
        <v>0</v>
      </c>
      <c r="G92" s="176">
        <f>'2018'!G92+'2019'!G92+'2020'!G92+'2021'!G92+'2022'!G68</f>
        <v>0</v>
      </c>
      <c r="H92" s="176">
        <f>'2018'!H92+'2019'!H92+'2020'!H92+'2021'!H92+'2022'!H68</f>
        <v>42</v>
      </c>
      <c r="I92" s="176">
        <f>'2018'!I92+'2019'!I92+'2020'!I92+'2021'!I92+'2022'!I68</f>
        <v>0</v>
      </c>
      <c r="J92" s="176">
        <f>'2018'!J92+'2019'!J92+'2020'!J92+'2021'!J92+'2022'!J68</f>
        <v>0</v>
      </c>
      <c r="K92" s="176">
        <f>'2018'!K92+'2019'!K92+'2020'!K92+'2021'!K92+'2022'!K68</f>
        <v>0</v>
      </c>
      <c r="L92" s="176">
        <f>'2018'!L92+'2019'!L92+'2020'!L92+'2021'!L92+'2022'!L68</f>
        <v>13</v>
      </c>
      <c r="M92" s="176">
        <f>'2018'!M92+'2019'!M92+'2020'!M92+'2021'!M92+'2022'!M68</f>
        <v>0</v>
      </c>
      <c r="N92" s="176">
        <f>'2018'!N92+'2019'!N92+'2020'!N92+'2021'!N92+'2022'!N68</f>
        <v>0</v>
      </c>
      <c r="O92" s="176">
        <f>'2018'!O92+'2019'!O92+'2020'!O92+'2021'!O92+'2022'!O68</f>
        <v>9</v>
      </c>
      <c r="P92" s="176">
        <f>'2018'!P92+'2019'!P92+'2020'!P92+'2021'!P92+'2022'!P68</f>
        <v>0</v>
      </c>
      <c r="Q92" s="176">
        <f>'2018'!Q92+'2019'!Q92+'2020'!Q92+'2021'!Q92+'2022'!Q68</f>
        <v>0</v>
      </c>
      <c r="R92" s="176">
        <f>'2018'!R92+'2019'!R92+'2020'!R92+'2021'!R92+'2022'!R68</f>
        <v>0</v>
      </c>
      <c r="S92" s="176">
        <f>'2018'!S92+'2019'!S92+'2020'!S92+'2021'!S92+'2022'!S68</f>
        <v>0</v>
      </c>
      <c r="T92" s="176">
        <f>'2018'!T92+'2019'!T92+'2020'!T92+'2021'!T92+'2022'!T68</f>
        <v>77</v>
      </c>
      <c r="U92" s="176">
        <f>'2018'!U92+'2019'!U92+'2020'!U92+'2021'!U92+'2022'!U68</f>
        <v>0</v>
      </c>
      <c r="V92" s="176">
        <f>'2018'!V92+'2019'!V92+'2020'!V92+'2021'!V92+'2022'!V68</f>
        <v>0</v>
      </c>
      <c r="W92" s="176">
        <f>'2018'!W92+'2019'!W92+'2020'!W92+'2021'!W92+'2022'!W68</f>
        <v>0</v>
      </c>
      <c r="X92" s="176">
        <f>'2018'!X92+'2019'!X92+'2020'!X92+'2021'!X92+'2022'!X68</f>
        <v>0</v>
      </c>
      <c r="Y92" s="174">
        <f t="shared" si="14"/>
        <v>141</v>
      </c>
      <c r="Z92" s="174">
        <f>'2018'!Z92+'2019'!Z92+'2020'!Z92+'2021'!Z92+'2022'!Z68</f>
        <v>8</v>
      </c>
      <c r="AA92" s="174">
        <f>'2018'!AA92+'2019'!AA92+'2020'!AA92+'2021'!AA92+'2022'!AA68</f>
        <v>2</v>
      </c>
      <c r="AB92" s="174">
        <f>'2018'!AB92+'2019'!AB92+'2020'!AB92+'2021'!AB92+'2022'!AB68</f>
        <v>109</v>
      </c>
      <c r="AC92" s="174">
        <f>'2018'!AC92+'2019'!AC92+'2020'!AC92+'2021'!AC92+'2022'!AC68</f>
        <v>58</v>
      </c>
      <c r="AD92" s="174">
        <f>'2018'!AD92+'2019'!AD92+'2020'!AD92+'2021'!AD92+'2022'!AD68</f>
        <v>0</v>
      </c>
      <c r="AE92" s="174">
        <f>'2018'!AE92+'2019'!AE92+'2020'!AE92+'2021'!AE92+'2022'!AE68</f>
        <v>0</v>
      </c>
      <c r="AF92" s="174">
        <f>'2018'!AF92+'2019'!AF92+'2020'!AF92+'2021'!AF92+'2022'!AF68</f>
        <v>33</v>
      </c>
      <c r="AG92" s="174">
        <f>'2018'!AG92+'2019'!AG92+'2020'!AG92+'2021'!AG92+'2022'!AG68</f>
        <v>0</v>
      </c>
      <c r="AH92" s="174">
        <f>'2018'!AH92+'2019'!AH92+'2020'!AH92+'2021'!AH92+'2022'!AH68</f>
        <v>0</v>
      </c>
      <c r="AI92" s="174">
        <f>'2018'!AI92+'2019'!AI92+'2020'!AI92+'2021'!AI92+'2022'!AI68</f>
        <v>0</v>
      </c>
      <c r="AJ92" s="174">
        <f>'2018'!AJ92+'2019'!AJ92+'2020'!AJ92+'2021'!AJ92+'2022'!AJ68</f>
        <v>10</v>
      </c>
      <c r="AK92" s="174">
        <f>'2018'!AK92+'2019'!AK92+'2020'!AK92+'2021'!AK92+'2022'!AK68</f>
        <v>0</v>
      </c>
      <c r="AL92" s="174">
        <f>'2018'!AL92+'2019'!AL92+'2020'!AL92+'2021'!AL92+'2022'!AL68</f>
        <v>0</v>
      </c>
      <c r="AM92" s="174">
        <f>'2018'!AM92+'2019'!AM92+'2020'!AM92+'2021'!AM92+'2022'!AM68</f>
        <v>8</v>
      </c>
      <c r="AN92" s="174">
        <f>'2018'!AN92+'2019'!AN92+'2020'!AN92+'2021'!AN92+'2022'!AN68</f>
        <v>0</v>
      </c>
      <c r="AO92" s="174">
        <f>'2018'!AO92+'2019'!AO92+'2020'!AO92+'2021'!AO92+'2022'!AO68</f>
        <v>0</v>
      </c>
      <c r="AP92" s="174">
        <f>'2018'!AP92+'2019'!AP92+'2020'!AP92+'2021'!AP92+'2022'!AP68</f>
        <v>0</v>
      </c>
      <c r="AQ92" s="174">
        <f>'2018'!AQ92+'2019'!AQ92+'2020'!AQ92+'2021'!AQ92+'2022'!AQ68</f>
        <v>0</v>
      </c>
      <c r="AR92" s="174">
        <f>'2018'!AR92+'2019'!AR92+'2020'!AR92+'2021'!AR92+'2022'!AR68</f>
        <v>58</v>
      </c>
      <c r="AS92" s="174">
        <f>'2018'!AS92+'2019'!AS92+'2020'!AS92+'2021'!AS92+'2022'!AS68</f>
        <v>0</v>
      </c>
      <c r="AT92" s="174">
        <f>'2018'!AT92+'2019'!AT92+'2020'!AT92+'2021'!AT92+'2022'!AT68</f>
        <v>0</v>
      </c>
      <c r="AU92" s="174">
        <f>'2018'!AU92+'2019'!AU92+'2020'!AU92+'2021'!AU92+'2022'!AU68</f>
        <v>0</v>
      </c>
      <c r="AV92" s="174">
        <f>'2018'!AV92+'2019'!AV92+'2020'!AV92+'2021'!AV92+'2022'!AV68</f>
        <v>0</v>
      </c>
      <c r="AW92" s="174">
        <f t="shared" si="15"/>
        <v>109</v>
      </c>
      <c r="AX92" s="156">
        <f t="shared" si="16"/>
        <v>2017.0459999999998</v>
      </c>
      <c r="AY92" s="14">
        <f>'2018'!AX92+'2019'!AX92+'2020'!AX92+'2021'!AX92+'2022'!AX68</f>
        <v>10085.23</v>
      </c>
      <c r="AZ92" s="14">
        <f t="shared" si="11"/>
        <v>77.304964539007088</v>
      </c>
      <c r="BA92" s="142"/>
      <c r="BB92" s="144"/>
      <c r="BC92" s="142"/>
    </row>
    <row r="93" spans="1:55" x14ac:dyDescent="0.25">
      <c r="A93" s="175" t="s">
        <v>170</v>
      </c>
      <c r="B93" s="176">
        <f>'2018'!B93+'2019'!B93+'2020'!B93+'2021'!B93+'2022'!B69</f>
        <v>5</v>
      </c>
      <c r="C93" s="176">
        <f>'2018'!C93+'2019'!C93+'2020'!C93+'2021'!C93+'2022'!C69</f>
        <v>2</v>
      </c>
      <c r="D93" s="176">
        <f>'2018'!D93+'2019'!D93+'2020'!D93+'2021'!D93+'2022'!D69</f>
        <v>14</v>
      </c>
      <c r="E93" s="176">
        <f>'2018'!E93+'2019'!E93+'2020'!E93+'2021'!E93+'2022'!E69</f>
        <v>2</v>
      </c>
      <c r="F93" s="176">
        <f>'2018'!F93+'2019'!F93+'2020'!F93+'2021'!F93+'2022'!F69</f>
        <v>0</v>
      </c>
      <c r="G93" s="176">
        <f>'2018'!G93+'2019'!G93+'2020'!G93+'2021'!G93+'2022'!G69</f>
        <v>0</v>
      </c>
      <c r="H93" s="176">
        <f>'2018'!H93+'2019'!H93+'2020'!H93+'2021'!H93+'2022'!H69</f>
        <v>0</v>
      </c>
      <c r="I93" s="176">
        <f>'2018'!I93+'2019'!I93+'2020'!I93+'2021'!I93+'2022'!I69</f>
        <v>0</v>
      </c>
      <c r="J93" s="176">
        <f>'2018'!J93+'2019'!J93+'2020'!J93+'2021'!J93+'2022'!J69</f>
        <v>0</v>
      </c>
      <c r="K93" s="176">
        <f>'2018'!K93+'2019'!K93+'2020'!K93+'2021'!K93+'2022'!K69</f>
        <v>0</v>
      </c>
      <c r="L93" s="176">
        <f>'2018'!L93+'2019'!L93+'2020'!L93+'2021'!L93+'2022'!L69</f>
        <v>0</v>
      </c>
      <c r="M93" s="176">
        <f>'2018'!M93+'2019'!M93+'2020'!M93+'2021'!M93+'2022'!M69</f>
        <v>0</v>
      </c>
      <c r="N93" s="176">
        <f>'2018'!N93+'2019'!N93+'2020'!N93+'2021'!N93+'2022'!N69</f>
        <v>6</v>
      </c>
      <c r="O93" s="176">
        <f>'2018'!O93+'2019'!O93+'2020'!O93+'2021'!O93+'2022'!O69</f>
        <v>0</v>
      </c>
      <c r="P93" s="176">
        <f>'2018'!P93+'2019'!P93+'2020'!P93+'2021'!P93+'2022'!P69</f>
        <v>0</v>
      </c>
      <c r="Q93" s="176">
        <f>'2018'!Q93+'2019'!Q93+'2020'!Q93+'2021'!Q93+'2022'!Q69</f>
        <v>0</v>
      </c>
      <c r="R93" s="176">
        <f>'2018'!R93+'2019'!R93+'2020'!R93+'2021'!R93+'2022'!R69</f>
        <v>0</v>
      </c>
      <c r="S93" s="176">
        <f>'2018'!S93+'2019'!S93+'2020'!S93+'2021'!S93+'2022'!S69</f>
        <v>0</v>
      </c>
      <c r="T93" s="176">
        <f>'2018'!T93+'2019'!T93+'2020'!T93+'2021'!T93+'2022'!T69</f>
        <v>0</v>
      </c>
      <c r="U93" s="176">
        <f>'2018'!U93+'2019'!U93+'2020'!U93+'2021'!U93+'2022'!U69</f>
        <v>5</v>
      </c>
      <c r="V93" s="176">
        <f>'2018'!V93+'2019'!V93+'2020'!V93+'2021'!V93+'2022'!V69</f>
        <v>0</v>
      </c>
      <c r="W93" s="176">
        <f>'2018'!W93+'2019'!W93+'2020'!W93+'2021'!W93+'2022'!W69</f>
        <v>0</v>
      </c>
      <c r="X93" s="176">
        <f>'2018'!X93+'2019'!X93+'2020'!X93+'2021'!X93+'2022'!X69</f>
        <v>3</v>
      </c>
      <c r="Y93" s="174">
        <f t="shared" si="14"/>
        <v>14</v>
      </c>
      <c r="Z93" s="174">
        <f>'2018'!Z93+'2019'!Z93+'2020'!Z93+'2021'!Z93+'2022'!Z69</f>
        <v>3</v>
      </c>
      <c r="AA93" s="174">
        <f>'2018'!AA93+'2019'!AA93+'2020'!AA93+'2021'!AA93+'2022'!AA69</f>
        <v>2</v>
      </c>
      <c r="AB93" s="174">
        <f>'2018'!AB93+'2019'!AB93+'2020'!AB93+'2021'!AB93+'2022'!AB69</f>
        <v>5</v>
      </c>
      <c r="AC93" s="174">
        <f>'2018'!AC93+'2019'!AC93+'2020'!AC93+'2021'!AC93+'2022'!AC69</f>
        <v>2</v>
      </c>
      <c r="AD93" s="174">
        <f>'2018'!AD93+'2019'!AD93+'2020'!AD93+'2021'!AD93+'2022'!AD69</f>
        <v>0</v>
      </c>
      <c r="AE93" s="174">
        <f>'2018'!AE93+'2019'!AE93+'2020'!AE93+'2021'!AE93+'2022'!AE69</f>
        <v>0</v>
      </c>
      <c r="AF93" s="174">
        <f>'2018'!AF93+'2019'!AF93+'2020'!AF93+'2021'!AF93+'2022'!AF69</f>
        <v>0</v>
      </c>
      <c r="AG93" s="174">
        <f>'2018'!AG93+'2019'!AG93+'2020'!AG93+'2021'!AG93+'2022'!AG69</f>
        <v>0</v>
      </c>
      <c r="AH93" s="174">
        <f>'2018'!AH93+'2019'!AH93+'2020'!AH93+'2021'!AH93+'2022'!AH69</f>
        <v>0</v>
      </c>
      <c r="AI93" s="174">
        <f>'2018'!AI93+'2019'!AI93+'2020'!AI93+'2021'!AI93+'2022'!AI69</f>
        <v>0</v>
      </c>
      <c r="AJ93" s="174">
        <f>'2018'!AJ93+'2019'!AJ93+'2020'!AJ93+'2021'!AJ93+'2022'!AJ69</f>
        <v>0</v>
      </c>
      <c r="AK93" s="174">
        <f>'2018'!AK93+'2019'!AK93+'2020'!AK93+'2021'!AK93+'2022'!AK69</f>
        <v>0</v>
      </c>
      <c r="AL93" s="174">
        <f>'2018'!AL93+'2019'!AL93+'2020'!AL93+'2021'!AL93+'2022'!AL69</f>
        <v>0</v>
      </c>
      <c r="AM93" s="174">
        <f>'2018'!AM93+'2019'!AM93+'2020'!AM93+'2021'!AM93+'2022'!AM69</f>
        <v>0</v>
      </c>
      <c r="AN93" s="174">
        <f>'2018'!AN93+'2019'!AN93+'2020'!AN93+'2021'!AN93+'2022'!AN69</f>
        <v>0</v>
      </c>
      <c r="AO93" s="174">
        <f>'2018'!AO93+'2019'!AO93+'2020'!AO93+'2021'!AO93+'2022'!AO69</f>
        <v>0</v>
      </c>
      <c r="AP93" s="174">
        <f>'2018'!AP93+'2019'!AP93+'2020'!AP93+'2021'!AP93+'2022'!AP69</f>
        <v>0</v>
      </c>
      <c r="AQ93" s="174">
        <f>'2018'!AQ93+'2019'!AQ93+'2020'!AQ93+'2021'!AQ93+'2022'!AQ69</f>
        <v>0</v>
      </c>
      <c r="AR93" s="174">
        <f>'2018'!AR93+'2019'!AR93+'2020'!AR93+'2021'!AR93+'2022'!AR69</f>
        <v>0</v>
      </c>
      <c r="AS93" s="174">
        <f>'2018'!AS93+'2019'!AS93+'2020'!AS93+'2021'!AS93+'2022'!AS69</f>
        <v>5</v>
      </c>
      <c r="AT93" s="174">
        <f>'2018'!AT93+'2019'!AT93+'2020'!AT93+'2021'!AT93+'2022'!AT69</f>
        <v>0</v>
      </c>
      <c r="AU93" s="174">
        <f>'2018'!AU93+'2019'!AU93+'2020'!AU93+'2021'!AU93+'2022'!AU69</f>
        <v>0</v>
      </c>
      <c r="AV93" s="174">
        <f>'2018'!AV93+'2019'!AV93+'2020'!AV93+'2021'!AV93+'2022'!AV69</f>
        <v>0</v>
      </c>
      <c r="AW93" s="174">
        <f t="shared" si="15"/>
        <v>5</v>
      </c>
      <c r="AX93" s="156">
        <f t="shared" si="16"/>
        <v>475.88</v>
      </c>
      <c r="AY93" s="14">
        <f>'2018'!AX93+'2019'!AX93+'2020'!AX93+'2021'!AX93+'2022'!AX69</f>
        <v>2379.4</v>
      </c>
      <c r="AZ93" s="14">
        <f t="shared" si="11"/>
        <v>35.714285714285715</v>
      </c>
      <c r="BA93" s="142"/>
      <c r="BB93" s="144"/>
      <c r="BC93" s="142"/>
    </row>
    <row r="94" spans="1:55" x14ac:dyDescent="0.25">
      <c r="A94" s="173" t="s">
        <v>43</v>
      </c>
      <c r="B94" s="176">
        <f t="shared" ref="B94:X94" si="19">SUM(B95:B177)</f>
        <v>7136</v>
      </c>
      <c r="C94" s="176">
        <f t="shared" si="19"/>
        <v>343</v>
      </c>
      <c r="D94" s="176">
        <f t="shared" si="19"/>
        <v>29194</v>
      </c>
      <c r="E94" s="176">
        <f t="shared" si="19"/>
        <v>1556</v>
      </c>
      <c r="F94" s="176">
        <f t="shared" si="19"/>
        <v>41</v>
      </c>
      <c r="G94" s="176">
        <f t="shared" si="19"/>
        <v>66</v>
      </c>
      <c r="H94" s="176">
        <f t="shared" si="19"/>
        <v>15828</v>
      </c>
      <c r="I94" s="176">
        <f t="shared" si="19"/>
        <v>46</v>
      </c>
      <c r="J94" s="176">
        <f t="shared" si="19"/>
        <v>372</v>
      </c>
      <c r="K94" s="176">
        <f t="shared" si="19"/>
        <v>2195</v>
      </c>
      <c r="L94" s="176">
        <f t="shared" si="19"/>
        <v>1595</v>
      </c>
      <c r="M94" s="176">
        <f t="shared" si="19"/>
        <v>293</v>
      </c>
      <c r="N94" s="176">
        <f t="shared" si="19"/>
        <v>2014</v>
      </c>
      <c r="O94" s="176">
        <f t="shared" si="19"/>
        <v>244</v>
      </c>
      <c r="P94" s="176">
        <f t="shared" si="19"/>
        <v>228</v>
      </c>
      <c r="Q94" s="176">
        <f t="shared" si="19"/>
        <v>160</v>
      </c>
      <c r="R94" s="176">
        <f t="shared" si="19"/>
        <v>535</v>
      </c>
      <c r="S94" s="176">
        <f t="shared" si="19"/>
        <v>348</v>
      </c>
      <c r="T94" s="176">
        <f t="shared" si="19"/>
        <v>571</v>
      </c>
      <c r="U94" s="176">
        <f t="shared" si="19"/>
        <v>362</v>
      </c>
      <c r="V94" s="176">
        <f t="shared" si="19"/>
        <v>969</v>
      </c>
      <c r="W94" s="176">
        <f t="shared" si="19"/>
        <v>70</v>
      </c>
      <c r="X94" s="176">
        <f t="shared" si="19"/>
        <v>3257</v>
      </c>
      <c r="Y94" s="174">
        <f t="shared" si="14"/>
        <v>29194</v>
      </c>
      <c r="Z94" s="174">
        <f t="shared" ref="Z94:AV94" si="20">SUM(Z95:Z177)</f>
        <v>4966</v>
      </c>
      <c r="AA94" s="174">
        <f t="shared" si="20"/>
        <v>248</v>
      </c>
      <c r="AB94" s="174">
        <f t="shared" si="20"/>
        <v>19449</v>
      </c>
      <c r="AC94" s="174">
        <f t="shared" si="20"/>
        <v>928</v>
      </c>
      <c r="AD94" s="174">
        <f t="shared" si="20"/>
        <v>59</v>
      </c>
      <c r="AE94" s="174">
        <f t="shared" si="20"/>
        <v>53</v>
      </c>
      <c r="AF94" s="174">
        <f t="shared" si="20"/>
        <v>11626</v>
      </c>
      <c r="AG94" s="174">
        <f t="shared" si="20"/>
        <v>44</v>
      </c>
      <c r="AH94" s="174">
        <f t="shared" si="20"/>
        <v>311</v>
      </c>
      <c r="AI94" s="174">
        <f t="shared" si="20"/>
        <v>1400</v>
      </c>
      <c r="AJ94" s="174">
        <f t="shared" si="20"/>
        <v>877</v>
      </c>
      <c r="AK94" s="174">
        <f t="shared" si="20"/>
        <v>202</v>
      </c>
      <c r="AL94" s="174">
        <f t="shared" si="20"/>
        <v>1184</v>
      </c>
      <c r="AM94" s="174">
        <f t="shared" si="20"/>
        <v>157</v>
      </c>
      <c r="AN94" s="174">
        <f t="shared" si="20"/>
        <v>282</v>
      </c>
      <c r="AO94" s="174">
        <f t="shared" si="20"/>
        <v>107</v>
      </c>
      <c r="AP94" s="174">
        <f t="shared" si="20"/>
        <v>300</v>
      </c>
      <c r="AQ94" s="174">
        <f t="shared" si="20"/>
        <v>194</v>
      </c>
      <c r="AR94" s="174">
        <f t="shared" si="20"/>
        <v>294</v>
      </c>
      <c r="AS94" s="174">
        <f t="shared" si="20"/>
        <v>249</v>
      </c>
      <c r="AT94" s="174">
        <f t="shared" si="20"/>
        <v>524</v>
      </c>
      <c r="AU94" s="174">
        <f t="shared" si="20"/>
        <v>30</v>
      </c>
      <c r="AV94" s="174">
        <f t="shared" si="20"/>
        <v>1556</v>
      </c>
      <c r="AW94" s="174">
        <f t="shared" si="15"/>
        <v>19449</v>
      </c>
      <c r="AX94" s="156">
        <v>1641.12</v>
      </c>
      <c r="AY94" s="63"/>
      <c r="AZ94" s="63"/>
      <c r="BA94" s="184">
        <f>Z94*100/B94</f>
        <v>69.590807174887885</v>
      </c>
      <c r="BB94" s="185">
        <f>B94-Z94</f>
        <v>2170</v>
      </c>
      <c r="BC94" s="184">
        <f>BB94*100/B94</f>
        <v>30.409192825112108</v>
      </c>
    </row>
    <row r="95" spans="1:55" x14ac:dyDescent="0.25">
      <c r="A95" s="175" t="s">
        <v>114</v>
      </c>
      <c r="B95" s="176">
        <f>'2018'!B95+'2019'!B95+'2020'!B95+'2021'!B95+'2022'!B71</f>
        <v>360</v>
      </c>
      <c r="C95" s="176">
        <f>'2018'!C95+'2019'!C95+'2020'!C95+'2021'!C95+'2022'!C71</f>
        <v>19</v>
      </c>
      <c r="D95" s="176">
        <f>'2018'!D95+'2019'!D95+'2020'!D95+'2021'!D95+'2022'!D71</f>
        <v>1525</v>
      </c>
      <c r="E95" s="176">
        <f>'2018'!E95+'2019'!E95+'2020'!E95+'2021'!E95+'2022'!E71</f>
        <v>101</v>
      </c>
      <c r="F95" s="176">
        <f>'2018'!F95+'2019'!F95+'2020'!F95+'2021'!F95+'2022'!F71</f>
        <v>0</v>
      </c>
      <c r="G95" s="176">
        <f>'2018'!G95+'2019'!G95+'2020'!G95+'2021'!G95+'2022'!G71</f>
        <v>0</v>
      </c>
      <c r="H95" s="176">
        <f>'2018'!H95+'2019'!H95+'2020'!H95+'2021'!H95+'2022'!H71</f>
        <v>116</v>
      </c>
      <c r="I95" s="176">
        <f>'2018'!I95+'2019'!I95+'2020'!I95+'2021'!I95+'2022'!I71</f>
        <v>0</v>
      </c>
      <c r="J95" s="176">
        <f>'2018'!J95+'2019'!J95+'2020'!J95+'2021'!J95+'2022'!J71</f>
        <v>0</v>
      </c>
      <c r="K95" s="176">
        <f>'2018'!K95+'2019'!K95+'2020'!K95+'2021'!K95+'2022'!K71</f>
        <v>40</v>
      </c>
      <c r="L95" s="176">
        <f>'2018'!L95+'2019'!L95+'2020'!L95+'2021'!L95+'2022'!L71</f>
        <v>75</v>
      </c>
      <c r="M95" s="176">
        <f>'2018'!M95+'2019'!M95+'2020'!M95+'2021'!M95+'2022'!M71</f>
        <v>78</v>
      </c>
      <c r="N95" s="176">
        <f>'2018'!N95+'2019'!N95+'2020'!N95+'2021'!N95+'2022'!N71</f>
        <v>963</v>
      </c>
      <c r="O95" s="176">
        <f>'2018'!O95+'2019'!O95+'2020'!O95+'2021'!O95+'2022'!O71</f>
        <v>2</v>
      </c>
      <c r="P95" s="176">
        <f>'2018'!P95+'2019'!P95+'2020'!P95+'2021'!P95+'2022'!P71</f>
        <v>0</v>
      </c>
      <c r="Q95" s="176">
        <f>'2018'!Q95+'2019'!Q95+'2020'!Q95+'2021'!Q95+'2022'!Q71</f>
        <v>0</v>
      </c>
      <c r="R95" s="176">
        <f>'2018'!R95+'2019'!R95+'2020'!R95+'2021'!R95+'2022'!R71</f>
        <v>35</v>
      </c>
      <c r="S95" s="176">
        <f>'2018'!S95+'2019'!S95+'2020'!S95+'2021'!S95+'2022'!S71</f>
        <v>38</v>
      </c>
      <c r="T95" s="176">
        <f>'2018'!T95+'2019'!T95+'2020'!T95+'2021'!T95+'2022'!T71</f>
        <v>0</v>
      </c>
      <c r="U95" s="176">
        <f>'2018'!U95+'2019'!U95+'2020'!U95+'2021'!U95+'2022'!U71</f>
        <v>98</v>
      </c>
      <c r="V95" s="176">
        <f>'2018'!V95+'2019'!V95+'2020'!V95+'2021'!V95+'2022'!V71</f>
        <v>54</v>
      </c>
      <c r="W95" s="176">
        <f>'2018'!W95+'2019'!W95+'2020'!W95+'2021'!W95+'2022'!W71</f>
        <v>0</v>
      </c>
      <c r="X95" s="176">
        <f>'2018'!X95+'2019'!X95+'2020'!X95+'2021'!X95+'2022'!X71</f>
        <v>26</v>
      </c>
      <c r="Y95" s="174">
        <f t="shared" si="14"/>
        <v>1525</v>
      </c>
      <c r="Z95" s="174">
        <f>'2018'!Z95+'2019'!Z95+'2020'!Z95+'2021'!Z95+'2022'!Z71</f>
        <v>213</v>
      </c>
      <c r="AA95" s="174">
        <f>'2018'!AA95+'2019'!AA95+'2020'!AA95+'2021'!AA95+'2022'!AA71</f>
        <v>14</v>
      </c>
      <c r="AB95" s="174">
        <f>'2018'!AB95+'2019'!AB95+'2020'!AB95+'2021'!AB95+'2022'!AB71</f>
        <v>835</v>
      </c>
      <c r="AC95" s="174">
        <f>'2018'!AC95+'2019'!AC95+'2020'!AC95+'2021'!AC95+'2022'!AC71</f>
        <v>55</v>
      </c>
      <c r="AD95" s="174">
        <f>'2018'!AD95+'2019'!AD95+'2020'!AD95+'2021'!AD95+'2022'!AD71</f>
        <v>0</v>
      </c>
      <c r="AE95" s="174">
        <f>'2018'!AE95+'2019'!AE95+'2020'!AE95+'2021'!AE95+'2022'!AE71</f>
        <v>0</v>
      </c>
      <c r="AF95" s="174">
        <f>'2018'!AF95+'2019'!AF95+'2020'!AF95+'2021'!AF95+'2022'!AF71</f>
        <v>83</v>
      </c>
      <c r="AG95" s="174">
        <f>'2018'!AG95+'2019'!AG95+'2020'!AG95+'2021'!AG95+'2022'!AG71</f>
        <v>0</v>
      </c>
      <c r="AH95" s="174">
        <f>'2018'!AH95+'2019'!AH95+'2020'!AH95+'2021'!AH95+'2022'!AH71</f>
        <v>0</v>
      </c>
      <c r="AI95" s="174">
        <f>'2018'!AI95+'2019'!AI95+'2020'!AI95+'2021'!AI95+'2022'!AI71</f>
        <v>29</v>
      </c>
      <c r="AJ95" s="174">
        <f>'2018'!AJ95+'2019'!AJ95+'2020'!AJ95+'2021'!AJ95+'2022'!AJ71</f>
        <v>12</v>
      </c>
      <c r="AK95" s="174">
        <f>'2018'!AK95+'2019'!AK95+'2020'!AK95+'2021'!AK95+'2022'!AK71</f>
        <v>47</v>
      </c>
      <c r="AL95" s="174">
        <f>'2018'!AL95+'2019'!AL95+'2020'!AL95+'2021'!AL95+'2022'!AL71</f>
        <v>538</v>
      </c>
      <c r="AM95" s="174">
        <f>'2018'!AM95+'2019'!AM95+'2020'!AM95+'2021'!AM95+'2022'!AM71</f>
        <v>1</v>
      </c>
      <c r="AN95" s="174">
        <f>'2018'!AN95+'2019'!AN95+'2020'!AN95+'2021'!AN95+'2022'!AN71</f>
        <v>0</v>
      </c>
      <c r="AO95" s="174">
        <f>'2018'!AO95+'2019'!AO95+'2020'!AO95+'2021'!AO95+'2022'!AO71</f>
        <v>0</v>
      </c>
      <c r="AP95" s="174">
        <f>'2018'!AP95+'2019'!AP95+'2020'!AP95+'2021'!AP95+'2022'!AP71</f>
        <v>0</v>
      </c>
      <c r="AQ95" s="174">
        <f>'2018'!AQ95+'2019'!AQ95+'2020'!AQ95+'2021'!AQ95+'2022'!AQ71</f>
        <v>32</v>
      </c>
      <c r="AR95" s="174">
        <f>'2018'!AR95+'2019'!AR95+'2020'!AR95+'2021'!AR95+'2022'!AR71</f>
        <v>0</v>
      </c>
      <c r="AS95" s="174">
        <f>'2018'!AS95+'2019'!AS95+'2020'!AS95+'2021'!AS95+'2022'!AS71</f>
        <v>56</v>
      </c>
      <c r="AT95" s="174">
        <f>'2018'!AT95+'2019'!AT95+'2020'!AT95+'2021'!AT95+'2022'!AT71</f>
        <v>27</v>
      </c>
      <c r="AU95" s="174">
        <f>'2018'!AU95+'2019'!AU95+'2020'!AU95+'2021'!AU95+'2022'!AU71</f>
        <v>0</v>
      </c>
      <c r="AV95" s="174">
        <f>'2018'!AV95+'2019'!AV95+'2020'!AV95+'2021'!AV95+'2022'!AV71</f>
        <v>10</v>
      </c>
      <c r="AW95" s="174">
        <f t="shared" si="15"/>
        <v>835</v>
      </c>
      <c r="AX95" s="156">
        <f t="shared" si="16"/>
        <v>2970.960575757576</v>
      </c>
      <c r="AY95" s="14">
        <f>'2018'!AX95+'2019'!AX95+'2020'!AX95+'2021'!AX95+'2022'!AX71</f>
        <v>14854.802878787879</v>
      </c>
      <c r="AZ95" s="14">
        <f t="shared" si="11"/>
        <v>54.754098360655739</v>
      </c>
      <c r="BA95" s="142"/>
      <c r="BB95" s="144"/>
      <c r="BC95" s="142"/>
    </row>
    <row r="96" spans="1:55" x14ac:dyDescent="0.25">
      <c r="A96" s="175" t="s">
        <v>101</v>
      </c>
      <c r="B96" s="176">
        <f>'2018'!B96+'2019'!B96+'2020'!B96+'2021'!B96+'2022'!B72</f>
        <v>113</v>
      </c>
      <c r="C96" s="176">
        <f>'2018'!C96+'2019'!C96+'2020'!C96+'2021'!C96+'2022'!C72</f>
        <v>14</v>
      </c>
      <c r="D96" s="176">
        <f>'2018'!D96+'2019'!D96+'2020'!D96+'2021'!D96+'2022'!D72</f>
        <v>460</v>
      </c>
      <c r="E96" s="176">
        <f>'2018'!E96+'2019'!E96+'2020'!E96+'2021'!E96+'2022'!E72</f>
        <v>55</v>
      </c>
      <c r="F96" s="176">
        <f>'2018'!F96+'2019'!F96+'2020'!F96+'2021'!F96+'2022'!F72</f>
        <v>7</v>
      </c>
      <c r="G96" s="176">
        <f>'2018'!G96+'2019'!G96+'2020'!G96+'2021'!G96+'2022'!G72</f>
        <v>0</v>
      </c>
      <c r="H96" s="176">
        <f>'2018'!H96+'2019'!H96+'2020'!H96+'2021'!H96+'2022'!H72</f>
        <v>49</v>
      </c>
      <c r="I96" s="176">
        <f>'2018'!I96+'2019'!I96+'2020'!I96+'2021'!I96+'2022'!I72</f>
        <v>0</v>
      </c>
      <c r="J96" s="176">
        <f>'2018'!J96+'2019'!J96+'2020'!J96+'2021'!J96+'2022'!J72</f>
        <v>0</v>
      </c>
      <c r="K96" s="176">
        <f>'2018'!K96+'2019'!K96+'2020'!K96+'2021'!K96+'2022'!K72</f>
        <v>4</v>
      </c>
      <c r="L96" s="176">
        <f>'2018'!L96+'2019'!L96+'2020'!L96+'2021'!L96+'2022'!L72</f>
        <v>30</v>
      </c>
      <c r="M96" s="176">
        <f>'2018'!M96+'2019'!M96+'2020'!M96+'2021'!M96+'2022'!M72</f>
        <v>0</v>
      </c>
      <c r="N96" s="176">
        <f>'2018'!N96+'2019'!N96+'2020'!N96+'2021'!N96+'2022'!N72</f>
        <v>242</v>
      </c>
      <c r="O96" s="176">
        <f>'2018'!O96+'2019'!O96+'2020'!O96+'2021'!O96+'2022'!O72</f>
        <v>0</v>
      </c>
      <c r="P96" s="176">
        <f>'2018'!P96+'2019'!P96+'2020'!P96+'2021'!P96+'2022'!P72</f>
        <v>0</v>
      </c>
      <c r="Q96" s="176">
        <f>'2018'!Q96+'2019'!Q96+'2020'!Q96+'2021'!Q96+'2022'!Q72</f>
        <v>0</v>
      </c>
      <c r="R96" s="176">
        <f>'2018'!R96+'2019'!R96+'2020'!R96+'2021'!R96+'2022'!R72</f>
        <v>0</v>
      </c>
      <c r="S96" s="176">
        <f>'2018'!S96+'2019'!S96+'2020'!S96+'2021'!S96+'2022'!S72</f>
        <v>6</v>
      </c>
      <c r="T96" s="176">
        <f>'2018'!T96+'2019'!T96+'2020'!T96+'2021'!T96+'2022'!T72</f>
        <v>0</v>
      </c>
      <c r="U96" s="176">
        <f>'2018'!U96+'2019'!U96+'2020'!U96+'2021'!U96+'2022'!U72</f>
        <v>19</v>
      </c>
      <c r="V96" s="176">
        <f>'2018'!V96+'2019'!V96+'2020'!V96+'2021'!V96+'2022'!V72</f>
        <v>86</v>
      </c>
      <c r="W96" s="176">
        <f>'2018'!W96+'2019'!W96+'2020'!W96+'2021'!W96+'2022'!W72</f>
        <v>0</v>
      </c>
      <c r="X96" s="176">
        <f>'2018'!X96+'2019'!X96+'2020'!X96+'2021'!X96+'2022'!X72</f>
        <v>17</v>
      </c>
      <c r="Y96" s="174">
        <f t="shared" si="14"/>
        <v>460</v>
      </c>
      <c r="Z96" s="174">
        <f>'2018'!Z96+'2019'!Z96+'2020'!Z96+'2021'!Z96+'2022'!Z72</f>
        <v>124</v>
      </c>
      <c r="AA96" s="174">
        <f>'2018'!AA96+'2019'!AA96+'2020'!AA96+'2021'!AA96+'2022'!AA72</f>
        <v>11</v>
      </c>
      <c r="AB96" s="174">
        <f>'2018'!AB96+'2019'!AB96+'2020'!AB96+'2021'!AB96+'2022'!AB72</f>
        <v>313</v>
      </c>
      <c r="AC96" s="174">
        <f>'2018'!AC96+'2019'!AC96+'2020'!AC96+'2021'!AC96+'2022'!AC72</f>
        <v>43</v>
      </c>
      <c r="AD96" s="174">
        <f>'2018'!AD96+'2019'!AD96+'2020'!AD96+'2021'!AD96+'2022'!AD72</f>
        <v>7</v>
      </c>
      <c r="AE96" s="174">
        <f>'2018'!AE96+'2019'!AE96+'2020'!AE96+'2021'!AE96+'2022'!AE72</f>
        <v>0</v>
      </c>
      <c r="AF96" s="174">
        <f>'2018'!AF96+'2019'!AF96+'2020'!AF96+'2021'!AF96+'2022'!AF72</f>
        <v>32</v>
      </c>
      <c r="AG96" s="174">
        <f>'2018'!AG96+'2019'!AG96+'2020'!AG96+'2021'!AG96+'2022'!AG72</f>
        <v>0</v>
      </c>
      <c r="AH96" s="174">
        <f>'2018'!AH96+'2019'!AH96+'2020'!AH96+'2021'!AH96+'2022'!AH72</f>
        <v>0</v>
      </c>
      <c r="AI96" s="174">
        <f>'2018'!AI96+'2019'!AI96+'2020'!AI96+'2021'!AI96+'2022'!AI72</f>
        <v>3</v>
      </c>
      <c r="AJ96" s="174">
        <f>'2018'!AJ96+'2019'!AJ96+'2020'!AJ96+'2021'!AJ96+'2022'!AJ72</f>
        <v>20</v>
      </c>
      <c r="AK96" s="174">
        <f>'2018'!AK96+'2019'!AK96+'2020'!AK96+'2021'!AK96+'2022'!AK72</f>
        <v>0</v>
      </c>
      <c r="AL96" s="174">
        <f>'2018'!AL96+'2019'!AL96+'2020'!AL96+'2021'!AL96+'2022'!AL72</f>
        <v>172</v>
      </c>
      <c r="AM96" s="174">
        <f>'2018'!AM96+'2019'!AM96+'2020'!AM96+'2021'!AM96+'2022'!AM72</f>
        <v>0</v>
      </c>
      <c r="AN96" s="174">
        <f>'2018'!AN96+'2019'!AN96+'2020'!AN96+'2021'!AN96+'2022'!AN72</f>
        <v>0</v>
      </c>
      <c r="AO96" s="174">
        <f>'2018'!AO96+'2019'!AO96+'2020'!AO96+'2021'!AO96+'2022'!AO72</f>
        <v>0</v>
      </c>
      <c r="AP96" s="174">
        <f>'2018'!AP96+'2019'!AP96+'2020'!AP96+'2021'!AP96+'2022'!AP72</f>
        <v>0</v>
      </c>
      <c r="AQ96" s="174">
        <f>'2018'!AQ96+'2019'!AQ96+'2020'!AQ96+'2021'!AQ96+'2022'!AQ72</f>
        <v>3</v>
      </c>
      <c r="AR96" s="174">
        <f>'2018'!AR96+'2019'!AR96+'2020'!AR96+'2021'!AR96+'2022'!AR72</f>
        <v>0</v>
      </c>
      <c r="AS96" s="174">
        <f>'2018'!AS96+'2019'!AS96+'2020'!AS96+'2021'!AS96+'2022'!AS72</f>
        <v>16</v>
      </c>
      <c r="AT96" s="174">
        <f>'2018'!AT96+'2019'!AT96+'2020'!AT96+'2021'!AT96+'2022'!AT72</f>
        <v>59</v>
      </c>
      <c r="AU96" s="174">
        <f>'2018'!AU96+'2019'!AU96+'2020'!AU96+'2021'!AU96+'2022'!AU72</f>
        <v>0</v>
      </c>
      <c r="AV96" s="174">
        <f>'2018'!AV96+'2019'!AV96+'2020'!AV96+'2021'!AV96+'2022'!AV72</f>
        <v>1</v>
      </c>
      <c r="AW96" s="174">
        <f t="shared" si="15"/>
        <v>313</v>
      </c>
      <c r="AX96" s="156">
        <f t="shared" si="16"/>
        <v>1713.0223865546218</v>
      </c>
      <c r="AY96" s="14">
        <f>'2018'!AX96+'2019'!AX96+'2020'!AX96+'2021'!AX96+'2022'!AX72</f>
        <v>8565.1119327731085</v>
      </c>
      <c r="AZ96" s="14">
        <f t="shared" si="11"/>
        <v>68.043478260869563</v>
      </c>
      <c r="BA96" s="142"/>
      <c r="BB96" s="144"/>
      <c r="BC96" s="142"/>
    </row>
    <row r="97" spans="1:55" x14ac:dyDescent="0.25">
      <c r="A97" s="175" t="s">
        <v>102</v>
      </c>
      <c r="B97" s="176">
        <f>'2018'!B97+'2019'!B97+'2020'!B97+'2021'!B97+'2022'!B73</f>
        <v>359</v>
      </c>
      <c r="C97" s="176">
        <f>'2018'!C97+'2019'!C97+'2020'!C97+'2021'!C97+'2022'!C73</f>
        <v>69</v>
      </c>
      <c r="D97" s="176">
        <f>'2018'!D97+'2019'!D97+'2020'!D97+'2021'!D97+'2022'!D73</f>
        <v>1544</v>
      </c>
      <c r="E97" s="176">
        <f>'2018'!E97+'2019'!E97+'2020'!E97+'2021'!E97+'2022'!E73</f>
        <v>421</v>
      </c>
      <c r="F97" s="176">
        <f>'2018'!F97+'2019'!F97+'2020'!F97+'2021'!F97+'2022'!F73</f>
        <v>0</v>
      </c>
      <c r="G97" s="176">
        <f>'2018'!G97+'2019'!G97+'2020'!G97+'2021'!G97+'2022'!G73</f>
        <v>0</v>
      </c>
      <c r="H97" s="176">
        <f>'2018'!H97+'2019'!H97+'2020'!H97+'2021'!H97+'2022'!H73</f>
        <v>400</v>
      </c>
      <c r="I97" s="176">
        <f>'2018'!I97+'2019'!I97+'2020'!I97+'2021'!I97+'2022'!I73</f>
        <v>5</v>
      </c>
      <c r="J97" s="176">
        <f>'2018'!J97+'2019'!J97+'2020'!J97+'2021'!J97+'2022'!J73</f>
        <v>11</v>
      </c>
      <c r="K97" s="176">
        <f>'2018'!K97+'2019'!K97+'2020'!K97+'2021'!K97+'2022'!K73</f>
        <v>26</v>
      </c>
      <c r="L97" s="176">
        <f>'2018'!L97+'2019'!L97+'2020'!L97+'2021'!L97+'2022'!L73</f>
        <v>157</v>
      </c>
      <c r="M97" s="176">
        <f>'2018'!M97+'2019'!M97+'2020'!M97+'2021'!M97+'2022'!M73</f>
        <v>16</v>
      </c>
      <c r="N97" s="176">
        <f>'2018'!N97+'2019'!N97+'2020'!N97+'2021'!N97+'2022'!N73</f>
        <v>96</v>
      </c>
      <c r="O97" s="176">
        <f>'2018'!O97+'2019'!O97+'2020'!O97+'2021'!O97+'2022'!O73</f>
        <v>48</v>
      </c>
      <c r="P97" s="176">
        <f>'2018'!P97+'2019'!P97+'2020'!P97+'2021'!P97+'2022'!P73</f>
        <v>67</v>
      </c>
      <c r="Q97" s="176">
        <f>'2018'!Q97+'2019'!Q97+'2020'!Q97+'2021'!Q97+'2022'!Q73</f>
        <v>1</v>
      </c>
      <c r="R97" s="176">
        <f>'2018'!R97+'2019'!R97+'2020'!R97+'2021'!R97+'2022'!R73</f>
        <v>64</v>
      </c>
      <c r="S97" s="176">
        <f>'2018'!S97+'2019'!S97+'2020'!S97+'2021'!S97+'2022'!S73</f>
        <v>31</v>
      </c>
      <c r="T97" s="176">
        <f>'2018'!T97+'2019'!T97+'2020'!T97+'2021'!T97+'2022'!T73</f>
        <v>272</v>
      </c>
      <c r="U97" s="176">
        <f>'2018'!U97+'2019'!U97+'2020'!U97+'2021'!U97+'2022'!U73</f>
        <v>22</v>
      </c>
      <c r="V97" s="176">
        <f>'2018'!V97+'2019'!V97+'2020'!V97+'2021'!V97+'2022'!V73</f>
        <v>270</v>
      </c>
      <c r="W97" s="176">
        <f>'2018'!W97+'2019'!W97+'2020'!W97+'2021'!W97+'2022'!W73</f>
        <v>19</v>
      </c>
      <c r="X97" s="176">
        <f>'2018'!X97+'2019'!X97+'2020'!X97+'2021'!X97+'2022'!X73</f>
        <v>39</v>
      </c>
      <c r="Y97" s="174">
        <f t="shared" si="14"/>
        <v>1544</v>
      </c>
      <c r="Z97" s="174">
        <f>'2018'!Z97+'2019'!Z97+'2020'!Z97+'2021'!Z97+'2022'!Z73</f>
        <v>208</v>
      </c>
      <c r="AA97" s="174">
        <f>'2018'!AA97+'2019'!AA97+'2020'!AA97+'2021'!AA97+'2022'!AA73</f>
        <v>37</v>
      </c>
      <c r="AB97" s="174">
        <f>'2018'!AB97+'2019'!AB97+'2020'!AB97+'2021'!AB97+'2022'!AB73</f>
        <v>895</v>
      </c>
      <c r="AC97" s="174">
        <f>'2018'!AC97+'2019'!AC97+'2020'!AC97+'2021'!AC97+'2022'!AC73</f>
        <v>194</v>
      </c>
      <c r="AD97" s="174">
        <f>'2018'!AD97+'2019'!AD97+'2020'!AD97+'2021'!AD97+'2022'!AD73</f>
        <v>0</v>
      </c>
      <c r="AE97" s="174">
        <f>'2018'!AE97+'2019'!AE97+'2020'!AE97+'2021'!AE97+'2022'!AE73</f>
        <v>0</v>
      </c>
      <c r="AF97" s="174">
        <f>'2018'!AF97+'2019'!AF97+'2020'!AF97+'2021'!AF97+'2022'!AF73</f>
        <v>304</v>
      </c>
      <c r="AG97" s="174">
        <f>'2018'!AG97+'2019'!AG97+'2020'!AG97+'2021'!AG97+'2022'!AG73</f>
        <v>5</v>
      </c>
      <c r="AH97" s="174">
        <f>'2018'!AH97+'2019'!AH97+'2020'!AH97+'2021'!AH97+'2022'!AH73</f>
        <v>3</v>
      </c>
      <c r="AI97" s="174">
        <f>'2018'!AI97+'2019'!AI97+'2020'!AI97+'2021'!AI97+'2022'!AI73</f>
        <v>12</v>
      </c>
      <c r="AJ97" s="174">
        <f>'2018'!AJ97+'2019'!AJ97+'2020'!AJ97+'2021'!AJ97+'2022'!AJ73</f>
        <v>49</v>
      </c>
      <c r="AK97" s="174">
        <f>'2018'!AK97+'2019'!AK97+'2020'!AK97+'2021'!AK97+'2022'!AK73</f>
        <v>2</v>
      </c>
      <c r="AL97" s="174">
        <f>'2018'!AL97+'2019'!AL97+'2020'!AL97+'2021'!AL97+'2022'!AL73</f>
        <v>61</v>
      </c>
      <c r="AM97" s="174">
        <f>'2018'!AM97+'2019'!AM97+'2020'!AM97+'2021'!AM97+'2022'!AM73</f>
        <v>32</v>
      </c>
      <c r="AN97" s="174">
        <f>'2018'!AN97+'2019'!AN97+'2020'!AN97+'2021'!AN97+'2022'!AN73</f>
        <v>67</v>
      </c>
      <c r="AO97" s="174">
        <f>'2018'!AO97+'2019'!AO97+'2020'!AO97+'2021'!AO97+'2022'!AO73</f>
        <v>1</v>
      </c>
      <c r="AP97" s="174">
        <f>'2018'!AP97+'2019'!AP97+'2020'!AP97+'2021'!AP97+'2022'!AP73</f>
        <v>47</v>
      </c>
      <c r="AQ97" s="174">
        <f>'2018'!AQ97+'2019'!AQ97+'2020'!AQ97+'2021'!AQ97+'2022'!AQ73</f>
        <v>28</v>
      </c>
      <c r="AR97" s="174">
        <f>'2018'!AR97+'2019'!AR97+'2020'!AR97+'2021'!AR97+'2022'!AR73</f>
        <v>138</v>
      </c>
      <c r="AS97" s="174">
        <f>'2018'!AS97+'2019'!AS97+'2020'!AS97+'2021'!AS97+'2022'!AS73</f>
        <v>12</v>
      </c>
      <c r="AT97" s="174">
        <f>'2018'!AT97+'2019'!AT97+'2020'!AT97+'2021'!AT97+'2022'!AT73</f>
        <v>110</v>
      </c>
      <c r="AU97" s="174">
        <f>'2018'!AU97+'2019'!AU97+'2020'!AU97+'2021'!AU97+'2022'!AU73</f>
        <v>12</v>
      </c>
      <c r="AV97" s="174">
        <f>'2018'!AV97+'2019'!AV97+'2020'!AV97+'2021'!AV97+'2022'!AV73</f>
        <v>12</v>
      </c>
      <c r="AW97" s="174">
        <f t="shared" si="15"/>
        <v>895</v>
      </c>
      <c r="AX97" s="156">
        <f t="shared" si="16"/>
        <v>2165.9586666666664</v>
      </c>
      <c r="AY97" s="14">
        <f>'2018'!AX97+'2019'!AX97+'2020'!AX97+'2021'!AX97+'2022'!AX73</f>
        <v>10829.793333333333</v>
      </c>
      <c r="AZ97" s="14">
        <f t="shared" si="11"/>
        <v>57.966321243523318</v>
      </c>
      <c r="BA97" s="142"/>
      <c r="BB97" s="144"/>
      <c r="BC97" s="142"/>
    </row>
    <row r="98" spans="1:55" x14ac:dyDescent="0.25">
      <c r="A98" s="175" t="s">
        <v>179</v>
      </c>
      <c r="B98" s="176">
        <f>'2018'!B98+'2019'!B98+'2020'!B98+'2021'!B98+'2022'!B74</f>
        <v>32</v>
      </c>
      <c r="C98" s="176">
        <f>'2018'!C98+'2019'!C98+'2020'!C98+'2021'!C98+'2022'!C74</f>
        <v>2</v>
      </c>
      <c r="D98" s="176">
        <f>'2018'!D98+'2019'!D98+'2020'!D98+'2021'!D98+'2022'!D74</f>
        <v>244</v>
      </c>
      <c r="E98" s="176">
        <f>'2018'!E98+'2019'!E98+'2020'!E98+'2021'!E98+'2022'!E74</f>
        <v>2</v>
      </c>
      <c r="F98" s="176">
        <f>'2018'!F98+'2019'!F98+'2020'!F98+'2021'!F98+'2022'!F74</f>
        <v>0</v>
      </c>
      <c r="G98" s="176">
        <f>'2018'!G98+'2019'!G98+'2020'!G98+'2021'!G98+'2022'!G74</f>
        <v>0</v>
      </c>
      <c r="H98" s="176">
        <f>'2018'!H98+'2019'!H98+'2020'!H98+'2021'!H98+'2022'!H74</f>
        <v>86</v>
      </c>
      <c r="I98" s="176">
        <f>'2018'!I98+'2019'!I98+'2020'!I98+'2021'!I98+'2022'!I74</f>
        <v>0</v>
      </c>
      <c r="J98" s="176">
        <f>'2018'!J98+'2019'!J98+'2020'!J98+'2021'!J98+'2022'!J74</f>
        <v>0</v>
      </c>
      <c r="K98" s="176">
        <f>'2018'!K98+'2019'!K98+'2020'!K98+'2021'!K98+'2022'!K74</f>
        <v>1</v>
      </c>
      <c r="L98" s="176">
        <f>'2018'!L98+'2019'!L98+'2020'!L98+'2021'!L98+'2022'!L74</f>
        <v>85</v>
      </c>
      <c r="M98" s="176">
        <f>'2018'!M98+'2019'!M98+'2020'!M98+'2021'!M98+'2022'!M74</f>
        <v>0</v>
      </c>
      <c r="N98" s="176">
        <f>'2018'!N98+'2019'!N98+'2020'!N98+'2021'!N98+'2022'!N74</f>
        <v>25</v>
      </c>
      <c r="O98" s="176">
        <f>'2018'!O98+'2019'!O98+'2020'!O98+'2021'!O98+'2022'!O74</f>
        <v>1</v>
      </c>
      <c r="P98" s="176">
        <f>'2018'!P98+'2019'!P98+'2020'!P98+'2021'!P98+'2022'!P74</f>
        <v>0</v>
      </c>
      <c r="Q98" s="176">
        <f>'2018'!Q98+'2019'!Q98+'2020'!Q98+'2021'!Q98+'2022'!Q74</f>
        <v>0</v>
      </c>
      <c r="R98" s="176">
        <f>'2018'!R98+'2019'!R98+'2020'!R98+'2021'!R98+'2022'!R74</f>
        <v>5</v>
      </c>
      <c r="S98" s="176">
        <f>'2018'!S98+'2019'!S98+'2020'!S98+'2021'!S98+'2022'!S74</f>
        <v>20</v>
      </c>
      <c r="T98" s="176">
        <f>'2018'!T98+'2019'!T98+'2020'!T98+'2021'!T98+'2022'!T74</f>
        <v>0</v>
      </c>
      <c r="U98" s="176">
        <f>'2018'!U98+'2019'!U98+'2020'!U98+'2021'!U98+'2022'!U74</f>
        <v>1</v>
      </c>
      <c r="V98" s="176">
        <f>'2018'!V98+'2019'!V98+'2020'!V98+'2021'!V98+'2022'!V74</f>
        <v>6</v>
      </c>
      <c r="W98" s="176">
        <f>'2018'!W98+'2019'!W98+'2020'!W98+'2021'!W98+'2022'!W74</f>
        <v>14</v>
      </c>
      <c r="X98" s="176">
        <f>'2018'!X98+'2019'!X98+'2020'!X98+'2021'!X98+'2022'!X74</f>
        <v>0</v>
      </c>
      <c r="Y98" s="174">
        <f t="shared" si="14"/>
        <v>244</v>
      </c>
      <c r="Z98" s="174">
        <f>'2018'!Z98+'2019'!Z98+'2020'!Z98+'2021'!Z98+'2022'!Z74</f>
        <v>21</v>
      </c>
      <c r="AA98" s="174">
        <f>'2018'!AA98+'2019'!AA98+'2020'!AA98+'2021'!AA98+'2022'!AA74</f>
        <v>2</v>
      </c>
      <c r="AB98" s="174">
        <f>'2018'!AB98+'2019'!AB98+'2020'!AB98+'2021'!AB98+'2022'!AB74</f>
        <v>127</v>
      </c>
      <c r="AC98" s="174">
        <f>'2018'!AC98+'2019'!AC98+'2020'!AC98+'2021'!AC98+'2022'!AC74</f>
        <v>2</v>
      </c>
      <c r="AD98" s="174">
        <f>'2018'!AD98+'2019'!AD98+'2020'!AD98+'2021'!AD98+'2022'!AD74</f>
        <v>0</v>
      </c>
      <c r="AE98" s="174">
        <f>'2018'!AE98+'2019'!AE98+'2020'!AE98+'2021'!AE98+'2022'!AE74</f>
        <v>0</v>
      </c>
      <c r="AF98" s="174">
        <f>'2018'!AF98+'2019'!AF98+'2020'!AF98+'2021'!AF98+'2022'!AF74</f>
        <v>63</v>
      </c>
      <c r="AG98" s="174">
        <f>'2018'!AG98+'2019'!AG98+'2020'!AG98+'2021'!AG98+'2022'!AG74</f>
        <v>0</v>
      </c>
      <c r="AH98" s="174">
        <f>'2018'!AH98+'2019'!AH98+'2020'!AH98+'2021'!AH98+'2022'!AH74</f>
        <v>0</v>
      </c>
      <c r="AI98" s="174">
        <f>'2018'!AI98+'2019'!AI98+'2020'!AI98+'2021'!AI98+'2022'!AI74</f>
        <v>1</v>
      </c>
      <c r="AJ98" s="174">
        <f>'2018'!AJ98+'2019'!AJ98+'2020'!AJ98+'2021'!AJ98+'2022'!AJ74</f>
        <v>10</v>
      </c>
      <c r="AK98" s="174">
        <f>'2018'!AK98+'2019'!AK98+'2020'!AK98+'2021'!AK98+'2022'!AK74</f>
        <v>0</v>
      </c>
      <c r="AL98" s="174">
        <f>'2018'!AL98+'2019'!AL98+'2020'!AL98+'2021'!AL98+'2022'!AL74</f>
        <v>24</v>
      </c>
      <c r="AM98" s="174">
        <f>'2018'!AM98+'2019'!AM98+'2020'!AM98+'2021'!AM98+'2022'!AM74</f>
        <v>1</v>
      </c>
      <c r="AN98" s="174">
        <f>'2018'!AN98+'2019'!AN98+'2020'!AN98+'2021'!AN98+'2022'!AN74</f>
        <v>0</v>
      </c>
      <c r="AO98" s="174">
        <f>'2018'!AO98+'2019'!AO98+'2020'!AO98+'2021'!AO98+'2022'!AO74</f>
        <v>0</v>
      </c>
      <c r="AP98" s="174">
        <f>'2018'!AP98+'2019'!AP98+'2020'!AP98+'2021'!AP98+'2022'!AP74</f>
        <v>5</v>
      </c>
      <c r="AQ98" s="174">
        <f>'2018'!AQ98+'2019'!AQ98+'2020'!AQ98+'2021'!AQ98+'2022'!AQ74</f>
        <v>18</v>
      </c>
      <c r="AR98" s="174">
        <f>'2018'!AR98+'2019'!AR98+'2020'!AR98+'2021'!AR98+'2022'!AR74</f>
        <v>0</v>
      </c>
      <c r="AS98" s="174">
        <f>'2018'!AS98+'2019'!AS98+'2020'!AS98+'2021'!AS98+'2022'!AS74</f>
        <v>1</v>
      </c>
      <c r="AT98" s="174">
        <f>'2018'!AT98+'2019'!AT98+'2020'!AT98+'2021'!AT98+'2022'!AT74</f>
        <v>0</v>
      </c>
      <c r="AU98" s="174">
        <f>'2018'!AU98+'2019'!AU98+'2020'!AU98+'2021'!AU98+'2022'!AU74</f>
        <v>4</v>
      </c>
      <c r="AV98" s="174">
        <f>'2018'!AV98+'2019'!AV98+'2020'!AV98+'2021'!AV98+'2022'!AV74</f>
        <v>0</v>
      </c>
      <c r="AW98" s="174"/>
      <c r="AX98" s="156"/>
      <c r="AY98" s="110"/>
      <c r="AZ98" s="110"/>
      <c r="BA98" s="142"/>
      <c r="BB98" s="142"/>
      <c r="BC98" s="142"/>
    </row>
    <row r="99" spans="1:55" x14ac:dyDescent="0.25">
      <c r="A99" s="175" t="s">
        <v>180</v>
      </c>
      <c r="B99" s="176">
        <f>'2018'!B99+'2019'!B99+'2020'!B99+'2021'!B99+'2022'!B83</f>
        <v>68</v>
      </c>
      <c r="C99" s="176">
        <f>'2018'!C99+'2019'!C99+'2020'!C99+'2021'!C99+'2022'!C83</f>
        <v>5</v>
      </c>
      <c r="D99" s="176">
        <f>'2018'!D99+'2019'!D99+'2020'!D99+'2021'!D99+'2022'!D83</f>
        <v>158</v>
      </c>
      <c r="E99" s="176">
        <f>'2018'!E99+'2019'!E99+'2020'!E99+'2021'!E99+'2022'!E83</f>
        <v>5</v>
      </c>
      <c r="F99" s="176">
        <f>'2018'!F99+'2019'!F99+'2020'!F99+'2021'!F99+'2022'!F83</f>
        <v>0</v>
      </c>
      <c r="G99" s="176">
        <f>'2018'!G99+'2019'!G99+'2020'!G99+'2021'!G99+'2022'!G83</f>
        <v>0</v>
      </c>
      <c r="H99" s="176">
        <f>'2018'!H99+'2019'!H99+'2020'!H99+'2021'!H99+'2022'!H83</f>
        <v>35</v>
      </c>
      <c r="I99" s="176">
        <f>'2018'!I99+'2019'!I99+'2020'!I99+'2021'!I99+'2022'!I83</f>
        <v>0</v>
      </c>
      <c r="J99" s="176">
        <f>'2018'!J99+'2019'!J99+'2020'!J99+'2021'!J99+'2022'!J83</f>
        <v>0</v>
      </c>
      <c r="K99" s="176">
        <f>'2018'!K99+'2019'!K99+'2020'!K99+'2021'!K99+'2022'!K83</f>
        <v>84</v>
      </c>
      <c r="L99" s="176">
        <f>'2018'!L99+'2019'!L99+'2020'!L99+'2021'!L99+'2022'!L83</f>
        <v>14</v>
      </c>
      <c r="M99" s="176">
        <f>'2018'!M99+'2019'!M99+'2020'!M99+'2021'!M99+'2022'!M83</f>
        <v>1</v>
      </c>
      <c r="N99" s="176">
        <f>'2018'!N99+'2019'!N99+'2020'!N99+'2021'!N99+'2022'!N83</f>
        <v>3</v>
      </c>
      <c r="O99" s="176">
        <f>'2018'!O99+'2019'!O99+'2020'!O99+'2021'!O99+'2022'!O83</f>
        <v>3</v>
      </c>
      <c r="P99" s="176">
        <f>'2018'!P99+'2019'!P99+'2020'!P99+'2021'!P99+'2022'!P83</f>
        <v>0</v>
      </c>
      <c r="Q99" s="176">
        <f>'2018'!Q99+'2019'!Q99+'2020'!Q99+'2021'!Q99+'2022'!Q83</f>
        <v>1</v>
      </c>
      <c r="R99" s="176">
        <f>'2018'!R99+'2019'!R99+'2020'!R99+'2021'!R99+'2022'!R83</f>
        <v>11</v>
      </c>
      <c r="S99" s="176">
        <f>'2018'!S99+'2019'!S99+'2020'!S99+'2021'!S99+'2022'!S83</f>
        <v>1</v>
      </c>
      <c r="T99" s="176">
        <f>'2018'!T99+'2019'!T99+'2020'!T99+'2021'!T99+'2022'!T83</f>
        <v>0</v>
      </c>
      <c r="U99" s="176">
        <f>'2018'!U99+'2019'!U99+'2020'!U99+'2021'!U99+'2022'!U83</f>
        <v>2</v>
      </c>
      <c r="V99" s="176">
        <f>'2018'!V99+'2019'!V99+'2020'!V99+'2021'!V99+'2022'!V83</f>
        <v>2</v>
      </c>
      <c r="W99" s="176">
        <f>'2018'!W99+'2019'!W99+'2020'!W99+'2021'!W99+'2022'!W83</f>
        <v>0</v>
      </c>
      <c r="X99" s="176">
        <f>'2018'!X99+'2019'!X99+'2020'!X99+'2021'!X99+'2022'!X83</f>
        <v>1</v>
      </c>
      <c r="Y99" s="174">
        <f t="shared" si="14"/>
        <v>158</v>
      </c>
      <c r="Z99" s="174">
        <f>'2018'!Z99+'2019'!Z99+'2020'!Z99+'2021'!Z99+'2022'!Z83</f>
        <v>70</v>
      </c>
      <c r="AA99" s="174">
        <f>'2018'!AA99+'2019'!AA99+'2020'!AA99+'2021'!AA99+'2022'!AA83</f>
        <v>3</v>
      </c>
      <c r="AB99" s="174">
        <f>'2018'!AB99+'2019'!AB99+'2020'!AB99+'2021'!AB99+'2022'!AB83</f>
        <v>99</v>
      </c>
      <c r="AC99" s="174">
        <f>'2018'!AC99+'2019'!AC99+'2020'!AC99+'2021'!AC99+'2022'!AC83</f>
        <v>3</v>
      </c>
      <c r="AD99" s="174">
        <f>'2018'!AD99+'2019'!AD99+'2020'!AD99+'2021'!AD99+'2022'!AD83</f>
        <v>0</v>
      </c>
      <c r="AE99" s="174">
        <f>'2018'!AE99+'2019'!AE99+'2020'!AE99+'2021'!AE99+'2022'!AE83</f>
        <v>0</v>
      </c>
      <c r="AF99" s="174">
        <f>'2018'!AF99+'2019'!AF99+'2020'!AF99+'2021'!AF99+'2022'!AF83</f>
        <v>25</v>
      </c>
      <c r="AG99" s="174">
        <f>'2018'!AG99+'2019'!AG99+'2020'!AG99+'2021'!AG99+'2022'!AG83</f>
        <v>0</v>
      </c>
      <c r="AH99" s="174">
        <f>'2018'!AH99+'2019'!AH99+'2020'!AH99+'2021'!AH99+'2022'!AH83</f>
        <v>2</v>
      </c>
      <c r="AI99" s="174">
        <f>'2018'!AI99+'2019'!AI99+'2020'!AI99+'2021'!AI99+'2022'!AI83</f>
        <v>57</v>
      </c>
      <c r="AJ99" s="174">
        <f>'2018'!AJ99+'2019'!AJ99+'2020'!AJ99+'2021'!AJ99+'2022'!AJ83</f>
        <v>2</v>
      </c>
      <c r="AK99" s="174">
        <f>'2018'!AK99+'2019'!AK99+'2020'!AK99+'2021'!AK99+'2022'!AK83</f>
        <v>0</v>
      </c>
      <c r="AL99" s="174">
        <f>'2018'!AL99+'2019'!AL99+'2020'!AL99+'2021'!AL99+'2022'!AL83</f>
        <v>2</v>
      </c>
      <c r="AM99" s="174">
        <f>'2018'!AM99+'2019'!AM99+'2020'!AM99+'2021'!AM99+'2022'!AM83</f>
        <v>2</v>
      </c>
      <c r="AN99" s="174">
        <f>'2018'!AN99+'2019'!AN99+'2020'!AN99+'2021'!AN99+'2022'!AN83</f>
        <v>0</v>
      </c>
      <c r="AO99" s="174">
        <f>'2018'!AO99+'2019'!AO99+'2020'!AO99+'2021'!AO99+'2022'!AO83</f>
        <v>1</v>
      </c>
      <c r="AP99" s="174">
        <f>'2018'!AP99+'2019'!AP99+'2020'!AP99+'2021'!AP99+'2022'!AP83</f>
        <v>5</v>
      </c>
      <c r="AQ99" s="174">
        <f>'2018'!AQ99+'2019'!AQ99+'2020'!AQ99+'2021'!AQ99+'2022'!AQ83</f>
        <v>0</v>
      </c>
      <c r="AR99" s="174">
        <f>'2018'!AR99+'2019'!AR99+'2020'!AR99+'2021'!AR99+'2022'!AR83</f>
        <v>0</v>
      </c>
      <c r="AS99" s="174">
        <f>'2018'!AS99+'2019'!AS99+'2020'!AS99+'2021'!AS99+'2022'!AS83</f>
        <v>2</v>
      </c>
      <c r="AT99" s="174">
        <f>'2018'!AT99+'2019'!AT99+'2020'!AT99+'2021'!AT99+'2022'!AT83</f>
        <v>1</v>
      </c>
      <c r="AU99" s="174">
        <f>'2018'!AU99+'2019'!AU99+'2020'!AU99+'2021'!AU99+'2022'!AU83</f>
        <v>0</v>
      </c>
      <c r="AV99" s="174">
        <f>'2018'!AV99+'2019'!AV99+'2020'!AV99+'2021'!AV99+'2022'!AV83</f>
        <v>0</v>
      </c>
      <c r="AW99" s="174">
        <f t="shared" si="15"/>
        <v>99</v>
      </c>
      <c r="AX99" s="156">
        <f t="shared" si="16"/>
        <v>2146.4397202797204</v>
      </c>
      <c r="AY99" s="14">
        <f>'2018'!AX99+'2019'!AX99+'2020'!AX99+'2021'!AX99+'2022'!AX83</f>
        <v>10732.198601398602</v>
      </c>
      <c r="AZ99" s="14">
        <f t="shared" si="11"/>
        <v>62.658227848101269</v>
      </c>
      <c r="BA99" s="142"/>
      <c r="BB99" s="144"/>
      <c r="BC99" s="142"/>
    </row>
    <row r="100" spans="1:55" x14ac:dyDescent="0.25">
      <c r="A100" s="175" t="s">
        <v>181</v>
      </c>
      <c r="B100" s="176">
        <f>'2018'!B100+'2019'!B100+'2020'!B100+'2021'!B100+'2022'!B84</f>
        <v>11</v>
      </c>
      <c r="C100" s="176">
        <f>'2018'!C100+'2019'!C100+'2020'!C100+'2021'!C100+'2022'!C84</f>
        <v>2</v>
      </c>
      <c r="D100" s="176">
        <f>'2018'!D100+'2019'!D100+'2020'!D100+'2021'!D100+'2022'!D84</f>
        <v>37</v>
      </c>
      <c r="E100" s="176">
        <f>'2018'!E100+'2019'!E100+'2020'!E100+'2021'!E100+'2022'!E84</f>
        <v>2</v>
      </c>
      <c r="F100" s="176">
        <f>'2018'!F100+'2019'!F100+'2020'!F100+'2021'!F100+'2022'!F84</f>
        <v>0</v>
      </c>
      <c r="G100" s="176">
        <f>'2018'!G100+'2019'!G100+'2020'!G100+'2021'!G100+'2022'!G84</f>
        <v>0</v>
      </c>
      <c r="H100" s="176">
        <f>'2018'!H100+'2019'!H100+'2020'!H100+'2021'!H100+'2022'!H84</f>
        <v>29</v>
      </c>
      <c r="I100" s="176">
        <f>'2018'!I100+'2019'!I100+'2020'!I100+'2021'!I100+'2022'!I84</f>
        <v>0</v>
      </c>
      <c r="J100" s="176">
        <f>'2018'!J100+'2019'!J100+'2020'!J100+'2021'!J100+'2022'!J84</f>
        <v>0</v>
      </c>
      <c r="K100" s="176">
        <f>'2018'!K100+'2019'!K100+'2020'!K100+'2021'!K100+'2022'!K84</f>
        <v>2</v>
      </c>
      <c r="L100" s="176">
        <f>'2018'!L100+'2019'!L100+'2020'!L100+'2021'!L100+'2022'!L84</f>
        <v>1</v>
      </c>
      <c r="M100" s="176">
        <f>'2018'!M100+'2019'!M100+'2020'!M100+'2021'!M100+'2022'!M84</f>
        <v>0</v>
      </c>
      <c r="N100" s="176">
        <f>'2018'!N100+'2019'!N100+'2020'!N100+'2021'!N100+'2022'!N84</f>
        <v>0</v>
      </c>
      <c r="O100" s="176">
        <f>'2018'!O100+'2019'!O100+'2020'!O100+'2021'!O100+'2022'!O84</f>
        <v>0</v>
      </c>
      <c r="P100" s="176">
        <f>'2018'!P100+'2019'!P100+'2020'!P100+'2021'!P100+'2022'!P84</f>
        <v>0</v>
      </c>
      <c r="Q100" s="176">
        <f>'2018'!Q100+'2019'!Q100+'2020'!Q100+'2021'!Q100+'2022'!Q84</f>
        <v>0</v>
      </c>
      <c r="R100" s="176">
        <f>'2018'!R100+'2019'!R100+'2020'!R100+'2021'!R100+'2022'!R84</f>
        <v>2</v>
      </c>
      <c r="S100" s="176">
        <f>'2018'!S100+'2019'!S100+'2020'!S100+'2021'!S100+'2022'!S84</f>
        <v>0</v>
      </c>
      <c r="T100" s="176">
        <f>'2018'!T100+'2019'!T100+'2020'!T100+'2021'!T100+'2022'!T84</f>
        <v>2</v>
      </c>
      <c r="U100" s="176">
        <f>'2018'!U100+'2019'!U100+'2020'!U100+'2021'!U100+'2022'!U84</f>
        <v>0</v>
      </c>
      <c r="V100" s="176">
        <f>'2018'!V100+'2019'!V100+'2020'!V100+'2021'!V100+'2022'!V84</f>
        <v>0</v>
      </c>
      <c r="W100" s="176">
        <f>'2018'!W100+'2019'!W100+'2020'!W100+'2021'!W100+'2022'!W84</f>
        <v>0</v>
      </c>
      <c r="X100" s="176">
        <f>'2018'!X100+'2019'!X100+'2020'!X100+'2021'!X100+'2022'!X84</f>
        <v>1</v>
      </c>
      <c r="Y100" s="174">
        <f t="shared" si="14"/>
        <v>37</v>
      </c>
      <c r="Z100" s="174">
        <f>'2018'!Z100+'2019'!Z100+'2020'!Z100+'2021'!Z100+'2022'!Z84</f>
        <v>7</v>
      </c>
      <c r="AA100" s="174">
        <f>'2018'!AA100+'2019'!AA100+'2020'!AA100+'2021'!AA100+'2022'!AA84</f>
        <v>2</v>
      </c>
      <c r="AB100" s="174">
        <f>'2018'!AB100+'2019'!AB100+'2020'!AB100+'2021'!AB100+'2022'!AB84</f>
        <v>33</v>
      </c>
      <c r="AC100" s="174">
        <f>'2018'!AC100+'2019'!AC100+'2020'!AC100+'2021'!AC100+'2022'!AC84</f>
        <v>2</v>
      </c>
      <c r="AD100" s="174">
        <f>'2018'!AD100+'2019'!AD100+'2020'!AD100+'2021'!AD100+'2022'!AD84</f>
        <v>0</v>
      </c>
      <c r="AE100" s="174">
        <f>'2018'!AE100+'2019'!AE100+'2020'!AE100+'2021'!AE100+'2022'!AE84</f>
        <v>0</v>
      </c>
      <c r="AF100" s="174">
        <f>'2018'!AF100+'2019'!AF100+'2020'!AF100+'2021'!AF100+'2022'!AF84</f>
        <v>28</v>
      </c>
      <c r="AG100" s="174">
        <f>'2018'!AG100+'2019'!AG100+'2020'!AG100+'2021'!AG100+'2022'!AG84</f>
        <v>0</v>
      </c>
      <c r="AH100" s="174">
        <f>'2018'!AH100+'2019'!AH100+'2020'!AH100+'2021'!AH100+'2022'!AH84</f>
        <v>0</v>
      </c>
      <c r="AI100" s="174">
        <f>'2018'!AI100+'2019'!AI100+'2020'!AI100+'2021'!AI100+'2022'!AI84</f>
        <v>0</v>
      </c>
      <c r="AJ100" s="174">
        <f>'2018'!AJ100+'2019'!AJ100+'2020'!AJ100+'2021'!AJ100+'2022'!AJ84</f>
        <v>1</v>
      </c>
      <c r="AK100" s="174">
        <f>'2018'!AK100+'2019'!AK100+'2020'!AK100+'2021'!AK100+'2022'!AK84</f>
        <v>0</v>
      </c>
      <c r="AL100" s="174">
        <f>'2018'!AL100+'2019'!AL100+'2020'!AL100+'2021'!AL100+'2022'!AL84</f>
        <v>0</v>
      </c>
      <c r="AM100" s="174">
        <f>'2018'!AM100+'2019'!AM100+'2020'!AM100+'2021'!AM100+'2022'!AM84</f>
        <v>0</v>
      </c>
      <c r="AN100" s="174">
        <f>'2018'!AN100+'2019'!AN100+'2020'!AN100+'2021'!AN100+'2022'!AN84</f>
        <v>0</v>
      </c>
      <c r="AO100" s="174">
        <f>'2018'!AO100+'2019'!AO100+'2020'!AO100+'2021'!AO100+'2022'!AO84</f>
        <v>0</v>
      </c>
      <c r="AP100" s="174">
        <f>'2018'!AP100+'2019'!AP100+'2020'!AP100+'2021'!AP100+'2022'!AP84</f>
        <v>2</v>
      </c>
      <c r="AQ100" s="174">
        <f>'2018'!AQ100+'2019'!AQ100+'2020'!AQ100+'2021'!AQ100+'2022'!AQ84</f>
        <v>0</v>
      </c>
      <c r="AR100" s="174">
        <f>'2018'!AR100+'2019'!AR100+'2020'!AR100+'2021'!AR100+'2022'!AR84</f>
        <v>2</v>
      </c>
      <c r="AS100" s="174">
        <f>'2018'!AS100+'2019'!AS100+'2020'!AS100+'2021'!AS100+'2022'!AS84</f>
        <v>0</v>
      </c>
      <c r="AT100" s="174">
        <f>'2018'!AT100+'2019'!AT100+'2020'!AT100+'2021'!AT100+'2022'!AT84</f>
        <v>0</v>
      </c>
      <c r="AU100" s="174">
        <f>'2018'!AU100+'2019'!AU100+'2020'!AU100+'2021'!AU100+'2022'!AU84</f>
        <v>0</v>
      </c>
      <c r="AV100" s="174">
        <f>'2018'!AV100+'2019'!AV100+'2020'!AV100+'2021'!AV100+'2022'!AV84</f>
        <v>0</v>
      </c>
      <c r="AW100" s="174">
        <f t="shared" si="15"/>
        <v>33</v>
      </c>
      <c r="AX100" s="156">
        <f t="shared" si="16"/>
        <v>1358.4180000000001</v>
      </c>
      <c r="AY100" s="14">
        <f>'2018'!AX100+'2019'!AX100+'2020'!AX100+'2021'!AX100+'2022'!AX84</f>
        <v>6792.09</v>
      </c>
      <c r="AZ100" s="14">
        <f t="shared" si="11"/>
        <v>89.189189189189193</v>
      </c>
      <c r="BA100" s="142"/>
      <c r="BB100" s="144"/>
      <c r="BC100" s="142"/>
    </row>
    <row r="101" spans="1:55" x14ac:dyDescent="0.25">
      <c r="A101" s="175" t="s">
        <v>182</v>
      </c>
      <c r="B101" s="176">
        <f>'2018'!B101+'2019'!B101+'2020'!B101+'2021'!B101+'2022'!B85</f>
        <v>48</v>
      </c>
      <c r="C101" s="176">
        <f>'2018'!C101+'2019'!C101+'2020'!C101+'2021'!C101+'2022'!C85</f>
        <v>0</v>
      </c>
      <c r="D101" s="176">
        <f>'2018'!D101+'2019'!D101+'2020'!D101+'2021'!D101+'2022'!D85</f>
        <v>109</v>
      </c>
      <c r="E101" s="176">
        <f>'2018'!E101+'2019'!E101+'2020'!E101+'2021'!E101+'2022'!E85</f>
        <v>0</v>
      </c>
      <c r="F101" s="176">
        <f>'2018'!F101+'2019'!F101+'2020'!F101+'2021'!F101+'2022'!F85</f>
        <v>0</v>
      </c>
      <c r="G101" s="176">
        <f>'2018'!G101+'2019'!G101+'2020'!G101+'2021'!G101+'2022'!G85</f>
        <v>0</v>
      </c>
      <c r="H101" s="176">
        <f>'2018'!H101+'2019'!H101+'2020'!H101+'2021'!H101+'2022'!H85</f>
        <v>76</v>
      </c>
      <c r="I101" s="176">
        <f>'2018'!I101+'2019'!I101+'2020'!I101+'2021'!I101+'2022'!I85</f>
        <v>0</v>
      </c>
      <c r="J101" s="176">
        <f>'2018'!J101+'2019'!J101+'2020'!J101+'2021'!J101+'2022'!J85</f>
        <v>0</v>
      </c>
      <c r="K101" s="176">
        <f>'2018'!K101+'2019'!K101+'2020'!K101+'2021'!K101+'2022'!K85</f>
        <v>5</v>
      </c>
      <c r="L101" s="176">
        <f>'2018'!L101+'2019'!L101+'2020'!L101+'2021'!L101+'2022'!L85</f>
        <v>0</v>
      </c>
      <c r="M101" s="176">
        <f>'2018'!M101+'2019'!M101+'2020'!M101+'2021'!M101+'2022'!M85</f>
        <v>0</v>
      </c>
      <c r="N101" s="176">
        <f>'2018'!N101+'2019'!N101+'2020'!N101+'2021'!N101+'2022'!N85</f>
        <v>0</v>
      </c>
      <c r="O101" s="176">
        <f>'2018'!O101+'2019'!O101+'2020'!O101+'2021'!O101+'2022'!O85</f>
        <v>9</v>
      </c>
      <c r="P101" s="176">
        <f>'2018'!P101+'2019'!P101+'2020'!P101+'2021'!P101+'2022'!P85</f>
        <v>0</v>
      </c>
      <c r="Q101" s="176">
        <f>'2018'!Q101+'2019'!Q101+'2020'!Q101+'2021'!Q101+'2022'!Q85</f>
        <v>8</v>
      </c>
      <c r="R101" s="176">
        <f>'2018'!R101+'2019'!R101+'2020'!R101+'2021'!R101+'2022'!R85</f>
        <v>10</v>
      </c>
      <c r="S101" s="176">
        <f>'2018'!S101+'2019'!S101+'2020'!S101+'2021'!S101+'2022'!S85</f>
        <v>0</v>
      </c>
      <c r="T101" s="176">
        <f>'2018'!T101+'2019'!T101+'2020'!T101+'2021'!T101+'2022'!T85</f>
        <v>0</v>
      </c>
      <c r="U101" s="176">
        <f>'2018'!U101+'2019'!U101+'2020'!U101+'2021'!U101+'2022'!U85</f>
        <v>0</v>
      </c>
      <c r="V101" s="176">
        <f>'2018'!V101+'2019'!V101+'2020'!V101+'2021'!V101+'2022'!V85</f>
        <v>0</v>
      </c>
      <c r="W101" s="176">
        <f>'2018'!W101+'2019'!W101+'2020'!W101+'2021'!W101+'2022'!W85</f>
        <v>0</v>
      </c>
      <c r="X101" s="176">
        <f>'2018'!X101+'2019'!X101+'2020'!X101+'2021'!X101+'2022'!X85</f>
        <v>1</v>
      </c>
      <c r="Y101" s="174">
        <f t="shared" si="14"/>
        <v>109</v>
      </c>
      <c r="Z101" s="174">
        <f>'2018'!Z101+'2019'!Z101+'2020'!Z101+'2021'!Z101+'2022'!Z85</f>
        <v>33</v>
      </c>
      <c r="AA101" s="174">
        <f>'2018'!AA101+'2019'!AA101+'2020'!AA101+'2021'!AA101+'2022'!AA85</f>
        <v>0</v>
      </c>
      <c r="AB101" s="174">
        <f>'2018'!AB101+'2019'!AB101+'2020'!AB101+'2021'!AB101+'2022'!AB85</f>
        <v>67</v>
      </c>
      <c r="AC101" s="174">
        <f>'2018'!AC101+'2019'!AC101+'2020'!AC101+'2021'!AC101+'2022'!AC85</f>
        <v>0</v>
      </c>
      <c r="AD101" s="174">
        <f>'2018'!AD101+'2019'!AD101+'2020'!AD101+'2021'!AD101+'2022'!AD85</f>
        <v>0</v>
      </c>
      <c r="AE101" s="174">
        <f>'2018'!AE101+'2019'!AE101+'2020'!AE101+'2021'!AE101+'2022'!AE85</f>
        <v>0</v>
      </c>
      <c r="AF101" s="174">
        <f>'2018'!AF101+'2019'!AF101+'2020'!AF101+'2021'!AF101+'2022'!AF85</f>
        <v>41</v>
      </c>
      <c r="AG101" s="174">
        <f>'2018'!AG101+'2019'!AG101+'2020'!AG101+'2021'!AG101+'2022'!AG85</f>
        <v>0</v>
      </c>
      <c r="AH101" s="174">
        <f>'2018'!AH101+'2019'!AH101+'2020'!AH101+'2021'!AH101+'2022'!AH85</f>
        <v>0</v>
      </c>
      <c r="AI101" s="174">
        <f>'2018'!AI101+'2019'!AI101+'2020'!AI101+'2021'!AI101+'2022'!AI85</f>
        <v>4</v>
      </c>
      <c r="AJ101" s="174">
        <f>'2018'!AJ101+'2019'!AJ101+'2020'!AJ101+'2021'!AJ101+'2022'!AJ85</f>
        <v>0</v>
      </c>
      <c r="AK101" s="174">
        <f>'2018'!AK101+'2019'!AK101+'2020'!AK101+'2021'!AK101+'2022'!AK85</f>
        <v>0</v>
      </c>
      <c r="AL101" s="174">
        <f>'2018'!AL101+'2019'!AL101+'2020'!AL101+'2021'!AL101+'2022'!AL85</f>
        <v>0</v>
      </c>
      <c r="AM101" s="174">
        <f>'2018'!AM101+'2019'!AM101+'2020'!AM101+'2021'!AM101+'2022'!AM85</f>
        <v>7</v>
      </c>
      <c r="AN101" s="174">
        <f>'2018'!AN101+'2019'!AN101+'2020'!AN101+'2021'!AN101+'2022'!AN85</f>
        <v>0</v>
      </c>
      <c r="AO101" s="174">
        <f>'2018'!AO101+'2019'!AO101+'2020'!AO101+'2021'!AO101+'2022'!AO85</f>
        <v>8</v>
      </c>
      <c r="AP101" s="174">
        <f>'2018'!AP101+'2019'!AP101+'2020'!AP101+'2021'!AP101+'2022'!AP85</f>
        <v>6</v>
      </c>
      <c r="AQ101" s="174">
        <f>'2018'!AQ101+'2019'!AQ101+'2020'!AQ101+'2021'!AQ101+'2022'!AQ85</f>
        <v>0</v>
      </c>
      <c r="AR101" s="174">
        <f>'2018'!AR101+'2019'!AR101+'2020'!AR101+'2021'!AR101+'2022'!AR85</f>
        <v>0</v>
      </c>
      <c r="AS101" s="174">
        <f>'2018'!AS101+'2019'!AS101+'2020'!AS101+'2021'!AS101+'2022'!AS85</f>
        <v>0</v>
      </c>
      <c r="AT101" s="174">
        <f>'2018'!AT101+'2019'!AT101+'2020'!AT101+'2021'!AT101+'2022'!AT85</f>
        <v>0</v>
      </c>
      <c r="AU101" s="174">
        <f>'2018'!AU101+'2019'!AU101+'2020'!AU101+'2021'!AU101+'2022'!AU85</f>
        <v>0</v>
      </c>
      <c r="AV101" s="174">
        <f>'2018'!AV101+'2019'!AV101+'2020'!AV101+'2021'!AV101+'2022'!AV85</f>
        <v>1</v>
      </c>
      <c r="AW101" s="174">
        <f t="shared" si="15"/>
        <v>67</v>
      </c>
      <c r="AX101" s="156">
        <f t="shared" si="16"/>
        <v>2161.6853333333333</v>
      </c>
      <c r="AY101" s="14">
        <f>'2018'!AX101+'2019'!AX101+'2020'!AX101+'2021'!AX101+'2022'!AX85</f>
        <v>10808.426666666666</v>
      </c>
      <c r="AZ101" s="14">
        <f t="shared" si="11"/>
        <v>61.467889908256879</v>
      </c>
      <c r="BA101" s="142"/>
      <c r="BB101" s="144"/>
      <c r="BC101" s="142"/>
    </row>
    <row r="102" spans="1:55" x14ac:dyDescent="0.25">
      <c r="A102" s="175" t="s">
        <v>183</v>
      </c>
      <c r="B102" s="176">
        <f>'2018'!B102+'2019'!B102+'2020'!B102+'2021'!B102+'2022'!B86</f>
        <v>9</v>
      </c>
      <c r="C102" s="176">
        <f>'2018'!C102+'2019'!C102+'2020'!C102+'2021'!C102+'2022'!C86</f>
        <v>0</v>
      </c>
      <c r="D102" s="176">
        <f>'2018'!D102+'2019'!D102+'2020'!D102+'2021'!D102+'2022'!D86</f>
        <v>36</v>
      </c>
      <c r="E102" s="176">
        <f>'2018'!E102+'2019'!E102+'2020'!E102+'2021'!E102+'2022'!E86</f>
        <v>0</v>
      </c>
      <c r="F102" s="176">
        <f>'2018'!F102+'2019'!F102+'2020'!F102+'2021'!F102+'2022'!F86</f>
        <v>0</v>
      </c>
      <c r="G102" s="176">
        <f>'2018'!G102+'2019'!G102+'2020'!G102+'2021'!G102+'2022'!G86</f>
        <v>0</v>
      </c>
      <c r="H102" s="176">
        <f>'2018'!H102+'2019'!H102+'2020'!H102+'2021'!H102+'2022'!H86</f>
        <v>33</v>
      </c>
      <c r="I102" s="176">
        <f>'2018'!I102+'2019'!I102+'2020'!I102+'2021'!I102+'2022'!I86</f>
        <v>0</v>
      </c>
      <c r="J102" s="176">
        <f>'2018'!J102+'2019'!J102+'2020'!J102+'2021'!J102+'2022'!J86</f>
        <v>0</v>
      </c>
      <c r="K102" s="176">
        <f>'2018'!K102+'2019'!K102+'2020'!K102+'2021'!K102+'2022'!K86</f>
        <v>3</v>
      </c>
      <c r="L102" s="176">
        <f>'2018'!L102+'2019'!L102+'2020'!L102+'2021'!L102+'2022'!L86</f>
        <v>0</v>
      </c>
      <c r="M102" s="176">
        <f>'2018'!M102+'2019'!M102+'2020'!M102+'2021'!M102+'2022'!M86</f>
        <v>0</v>
      </c>
      <c r="N102" s="176">
        <f>'2018'!N102+'2019'!N102+'2020'!N102+'2021'!N102+'2022'!N86</f>
        <v>0</v>
      </c>
      <c r="O102" s="176">
        <f>'2018'!O102+'2019'!O102+'2020'!O102+'2021'!O102+'2022'!O86</f>
        <v>0</v>
      </c>
      <c r="P102" s="176">
        <f>'2018'!P102+'2019'!P102+'2020'!P102+'2021'!P102+'2022'!P86</f>
        <v>0</v>
      </c>
      <c r="Q102" s="176">
        <f>'2018'!Q102+'2019'!Q102+'2020'!Q102+'2021'!Q102+'2022'!Q86</f>
        <v>0</v>
      </c>
      <c r="R102" s="176">
        <f>'2018'!R102+'2019'!R102+'2020'!R102+'2021'!R102+'2022'!R86</f>
        <v>0</v>
      </c>
      <c r="S102" s="176">
        <f>'2018'!S102+'2019'!S102+'2020'!S102+'2021'!S102+'2022'!S86</f>
        <v>0</v>
      </c>
      <c r="T102" s="176">
        <f>'2018'!T102+'2019'!T102+'2020'!T102+'2021'!T102+'2022'!T86</f>
        <v>0</v>
      </c>
      <c r="U102" s="176">
        <f>'2018'!U102+'2019'!U102+'2020'!U102+'2021'!U102+'2022'!U86</f>
        <v>0</v>
      </c>
      <c r="V102" s="176">
        <f>'2018'!V102+'2019'!V102+'2020'!V102+'2021'!V102+'2022'!V86</f>
        <v>0</v>
      </c>
      <c r="W102" s="176">
        <f>'2018'!W102+'2019'!W102+'2020'!W102+'2021'!W102+'2022'!W86</f>
        <v>0</v>
      </c>
      <c r="X102" s="176">
        <f>'2018'!X102+'2019'!X102+'2020'!X102+'2021'!X102+'2022'!X86</f>
        <v>0</v>
      </c>
      <c r="Y102" s="174">
        <f t="shared" si="14"/>
        <v>36</v>
      </c>
      <c r="Z102" s="174">
        <f>'2018'!Z102+'2019'!Z102+'2020'!Z102+'2021'!Z102+'2022'!Z86</f>
        <v>7</v>
      </c>
      <c r="AA102" s="174">
        <f>'2018'!AA102+'2019'!AA102+'2020'!AA102+'2021'!AA102+'2022'!AA86</f>
        <v>0</v>
      </c>
      <c r="AB102" s="174">
        <f>'2018'!AB102+'2019'!AB102+'2020'!AB102+'2021'!AB102+'2022'!AB86</f>
        <v>16</v>
      </c>
      <c r="AC102" s="174">
        <f>'2018'!AC102+'2019'!AC102+'2020'!AC102+'2021'!AC102+'2022'!AC86</f>
        <v>0</v>
      </c>
      <c r="AD102" s="174">
        <f>'2018'!AD102+'2019'!AD102+'2020'!AD102+'2021'!AD102+'2022'!AD86</f>
        <v>0</v>
      </c>
      <c r="AE102" s="174">
        <f>'2018'!AE102+'2019'!AE102+'2020'!AE102+'2021'!AE102+'2022'!AE86</f>
        <v>0</v>
      </c>
      <c r="AF102" s="174">
        <f>'2018'!AF102+'2019'!AF102+'2020'!AF102+'2021'!AF102+'2022'!AF86</f>
        <v>14</v>
      </c>
      <c r="AG102" s="174">
        <f>'2018'!AG102+'2019'!AG102+'2020'!AG102+'2021'!AG102+'2022'!AG86</f>
        <v>0</v>
      </c>
      <c r="AH102" s="174">
        <f>'2018'!AH102+'2019'!AH102+'2020'!AH102+'2021'!AH102+'2022'!AH86</f>
        <v>0</v>
      </c>
      <c r="AI102" s="174">
        <f>'2018'!AI102+'2019'!AI102+'2020'!AI102+'2021'!AI102+'2022'!AI86</f>
        <v>2</v>
      </c>
      <c r="AJ102" s="174">
        <f>'2018'!AJ102+'2019'!AJ102+'2020'!AJ102+'2021'!AJ102+'2022'!AJ86</f>
        <v>0</v>
      </c>
      <c r="AK102" s="174">
        <f>'2018'!AK102+'2019'!AK102+'2020'!AK102+'2021'!AK102+'2022'!AK86</f>
        <v>0</v>
      </c>
      <c r="AL102" s="174">
        <f>'2018'!AL102+'2019'!AL102+'2020'!AL102+'2021'!AL102+'2022'!AL86</f>
        <v>0</v>
      </c>
      <c r="AM102" s="174">
        <f>'2018'!AM102+'2019'!AM102+'2020'!AM102+'2021'!AM102+'2022'!AM86</f>
        <v>0</v>
      </c>
      <c r="AN102" s="174">
        <f>'2018'!AN102+'2019'!AN102+'2020'!AN102+'2021'!AN102+'2022'!AN86</f>
        <v>0</v>
      </c>
      <c r="AO102" s="174">
        <f>'2018'!AO102+'2019'!AO102+'2020'!AO102+'2021'!AO102+'2022'!AO86</f>
        <v>0</v>
      </c>
      <c r="AP102" s="174">
        <f>'2018'!AP102+'2019'!AP102+'2020'!AP102+'2021'!AP102+'2022'!AP86</f>
        <v>0</v>
      </c>
      <c r="AQ102" s="174">
        <f>'2018'!AQ102+'2019'!AQ102+'2020'!AQ102+'2021'!AQ102+'2022'!AQ86</f>
        <v>0</v>
      </c>
      <c r="AR102" s="174">
        <f>'2018'!AR102+'2019'!AR102+'2020'!AR102+'2021'!AR102+'2022'!AR86</f>
        <v>0</v>
      </c>
      <c r="AS102" s="174">
        <f>'2018'!AS102+'2019'!AS102+'2020'!AS102+'2021'!AS102+'2022'!AS86</f>
        <v>0</v>
      </c>
      <c r="AT102" s="174">
        <f>'2018'!AT102+'2019'!AT102+'2020'!AT102+'2021'!AT102+'2022'!AT86</f>
        <v>0</v>
      </c>
      <c r="AU102" s="174">
        <f>'2018'!AU102+'2019'!AU102+'2020'!AU102+'2021'!AU102+'2022'!AU86</f>
        <v>0</v>
      </c>
      <c r="AV102" s="174">
        <f>'2018'!AV102+'2019'!AV102+'2020'!AV102+'2021'!AV102+'2022'!AV86</f>
        <v>0</v>
      </c>
      <c r="AW102" s="174">
        <f t="shared" si="15"/>
        <v>16</v>
      </c>
      <c r="AX102" s="156">
        <f t="shared" si="16"/>
        <v>1332.2</v>
      </c>
      <c r="AY102" s="14">
        <f>'2018'!AX102+'2019'!AX102+'2020'!AX102+'2021'!AX102+'2022'!AX86</f>
        <v>6661</v>
      </c>
      <c r="AZ102" s="14">
        <f t="shared" si="11"/>
        <v>44.444444444444443</v>
      </c>
      <c r="BA102" s="142"/>
      <c r="BB102" s="144"/>
      <c r="BC102" s="142"/>
    </row>
    <row r="103" spans="1:55" x14ac:dyDescent="0.25">
      <c r="A103" s="175" t="s">
        <v>184</v>
      </c>
      <c r="B103" s="176">
        <f>'2018'!B103+'2019'!B103+'2020'!B103+'2021'!B103+'2022'!B87</f>
        <v>3</v>
      </c>
      <c r="C103" s="176">
        <f>'2018'!C103+'2019'!C103+'2020'!C103+'2021'!C103+'2022'!C87</f>
        <v>0</v>
      </c>
      <c r="D103" s="176">
        <f>'2018'!D103+'2019'!D103+'2020'!D103+'2021'!D103+'2022'!D87</f>
        <v>13</v>
      </c>
      <c r="E103" s="176">
        <f>'2018'!E103+'2019'!E103+'2020'!E103+'2021'!E103+'2022'!E87</f>
        <v>0</v>
      </c>
      <c r="F103" s="176">
        <f>'2018'!F103+'2019'!F103+'2020'!F103+'2021'!F103+'2022'!F87</f>
        <v>0</v>
      </c>
      <c r="G103" s="176">
        <f>'2018'!G103+'2019'!G103+'2020'!G103+'2021'!G103+'2022'!G87</f>
        <v>0</v>
      </c>
      <c r="H103" s="176">
        <f>'2018'!H103+'2019'!H103+'2020'!H103+'2021'!H103+'2022'!H87</f>
        <v>0</v>
      </c>
      <c r="I103" s="176">
        <f>'2018'!I103+'2019'!I103+'2020'!I103+'2021'!I103+'2022'!I87</f>
        <v>0</v>
      </c>
      <c r="J103" s="176">
        <f>'2018'!J103+'2019'!J103+'2020'!J103+'2021'!J103+'2022'!J87</f>
        <v>0</v>
      </c>
      <c r="K103" s="176">
        <f>'2018'!K103+'2019'!K103+'2020'!K103+'2021'!K103+'2022'!K87</f>
        <v>7</v>
      </c>
      <c r="L103" s="176">
        <f>'2018'!L103+'2019'!L103+'2020'!L103+'2021'!L103+'2022'!L87</f>
        <v>4</v>
      </c>
      <c r="M103" s="176">
        <f>'2018'!M103+'2019'!M103+'2020'!M103+'2021'!M103+'2022'!M87</f>
        <v>0</v>
      </c>
      <c r="N103" s="176">
        <f>'2018'!N103+'2019'!N103+'2020'!N103+'2021'!N103+'2022'!N87</f>
        <v>0</v>
      </c>
      <c r="O103" s="176">
        <f>'2018'!O103+'2019'!O103+'2020'!O103+'2021'!O103+'2022'!O87</f>
        <v>2</v>
      </c>
      <c r="P103" s="176">
        <f>'2018'!P103+'2019'!P103+'2020'!P103+'2021'!P103+'2022'!P87</f>
        <v>0</v>
      </c>
      <c r="Q103" s="176">
        <f>'2018'!Q103+'2019'!Q103+'2020'!Q103+'2021'!Q103+'2022'!Q87</f>
        <v>0</v>
      </c>
      <c r="R103" s="176">
        <f>'2018'!R103+'2019'!R103+'2020'!R103+'2021'!R103+'2022'!R87</f>
        <v>0</v>
      </c>
      <c r="S103" s="176">
        <f>'2018'!S103+'2019'!S103+'2020'!S103+'2021'!S103+'2022'!S87</f>
        <v>0</v>
      </c>
      <c r="T103" s="176">
        <f>'2018'!T103+'2019'!T103+'2020'!T103+'2021'!T103+'2022'!T87</f>
        <v>0</v>
      </c>
      <c r="U103" s="176">
        <f>'2018'!U103+'2019'!U103+'2020'!U103+'2021'!U103+'2022'!U87</f>
        <v>0</v>
      </c>
      <c r="V103" s="176">
        <f>'2018'!V103+'2019'!V103+'2020'!V103+'2021'!V103+'2022'!V87</f>
        <v>0</v>
      </c>
      <c r="W103" s="176">
        <f>'2018'!W103+'2019'!W103+'2020'!W103+'2021'!W103+'2022'!W87</f>
        <v>0</v>
      </c>
      <c r="X103" s="176">
        <f>'2018'!X103+'2019'!X103+'2020'!X103+'2021'!X103+'2022'!X87</f>
        <v>0</v>
      </c>
      <c r="Y103" s="174">
        <f t="shared" si="14"/>
        <v>13</v>
      </c>
      <c r="Z103" s="174">
        <f>'2018'!Z103+'2019'!Z103+'2020'!Z103+'2021'!Z103+'2022'!Z87</f>
        <v>2</v>
      </c>
      <c r="AA103" s="174">
        <f>'2018'!AA103+'2019'!AA103+'2020'!AA103+'2021'!AA103+'2022'!AA87</f>
        <v>0</v>
      </c>
      <c r="AB103" s="174">
        <f>'2018'!AB103+'2019'!AB103+'2020'!AB103+'2021'!AB103+'2022'!AB87</f>
        <v>6</v>
      </c>
      <c r="AC103" s="174">
        <f>'2018'!AC103+'2019'!AC103+'2020'!AC103+'2021'!AC103+'2022'!AC87</f>
        <v>0</v>
      </c>
      <c r="AD103" s="174">
        <f>'2018'!AD103+'2019'!AD103+'2020'!AD103+'2021'!AD103+'2022'!AD87</f>
        <v>0</v>
      </c>
      <c r="AE103" s="174">
        <f>'2018'!AE103+'2019'!AE103+'2020'!AE103+'2021'!AE103+'2022'!AE87</f>
        <v>0</v>
      </c>
      <c r="AF103" s="174">
        <f>'2018'!AF103+'2019'!AF103+'2020'!AF103+'2021'!AF103+'2022'!AF87</f>
        <v>0</v>
      </c>
      <c r="AG103" s="174">
        <f>'2018'!AG103+'2019'!AG103+'2020'!AG103+'2021'!AG103+'2022'!AG87</f>
        <v>0</v>
      </c>
      <c r="AH103" s="174">
        <f>'2018'!AH103+'2019'!AH103+'2020'!AH103+'2021'!AH103+'2022'!AH87</f>
        <v>0</v>
      </c>
      <c r="AI103" s="174">
        <f>'2018'!AI103+'2019'!AI103+'2020'!AI103+'2021'!AI103+'2022'!AI87</f>
        <v>0</v>
      </c>
      <c r="AJ103" s="174">
        <f>'2018'!AJ103+'2019'!AJ103+'2020'!AJ103+'2021'!AJ103+'2022'!AJ87</f>
        <v>4</v>
      </c>
      <c r="AK103" s="174">
        <f>'2018'!AK103+'2019'!AK103+'2020'!AK103+'2021'!AK103+'2022'!AK87</f>
        <v>0</v>
      </c>
      <c r="AL103" s="174">
        <f>'2018'!AL103+'2019'!AL103+'2020'!AL103+'2021'!AL103+'2022'!AL87</f>
        <v>0</v>
      </c>
      <c r="AM103" s="174">
        <f>'2018'!AM103+'2019'!AM103+'2020'!AM103+'2021'!AM103+'2022'!AM87</f>
        <v>2</v>
      </c>
      <c r="AN103" s="174">
        <f>'2018'!AN103+'2019'!AN103+'2020'!AN103+'2021'!AN103+'2022'!AN87</f>
        <v>0</v>
      </c>
      <c r="AO103" s="174">
        <f>'2018'!AO103+'2019'!AO103+'2020'!AO103+'2021'!AO103+'2022'!AO87</f>
        <v>0</v>
      </c>
      <c r="AP103" s="174">
        <f>'2018'!AP103+'2019'!AP103+'2020'!AP103+'2021'!AP103+'2022'!AP87</f>
        <v>0</v>
      </c>
      <c r="AQ103" s="174">
        <f>'2018'!AQ103+'2019'!AQ103+'2020'!AQ103+'2021'!AQ103+'2022'!AQ87</f>
        <v>0</v>
      </c>
      <c r="AR103" s="174">
        <f>'2018'!AR103+'2019'!AR103+'2020'!AR103+'2021'!AR103+'2022'!AR87</f>
        <v>0</v>
      </c>
      <c r="AS103" s="174">
        <f>'2018'!AS103+'2019'!AS103+'2020'!AS103+'2021'!AS103+'2022'!AS87</f>
        <v>0</v>
      </c>
      <c r="AT103" s="174">
        <f>'2018'!AT103+'2019'!AT103+'2020'!AT103+'2021'!AT103+'2022'!AT87</f>
        <v>0</v>
      </c>
      <c r="AU103" s="174">
        <f>'2018'!AU103+'2019'!AU103+'2020'!AU103+'2021'!AU103+'2022'!AU87</f>
        <v>0</v>
      </c>
      <c r="AV103" s="174">
        <f>'2018'!AV103+'2019'!AV103+'2020'!AV103+'2021'!AV103+'2022'!AV87</f>
        <v>0</v>
      </c>
      <c r="AW103" s="174">
        <f t="shared" si="15"/>
        <v>6</v>
      </c>
      <c r="AX103" s="156">
        <f t="shared" si="16"/>
        <v>1058</v>
      </c>
      <c r="AY103" s="14">
        <f>'2018'!AX103+'2019'!AX103+'2020'!AX103+'2021'!AX103+'2022'!AX87</f>
        <v>5290</v>
      </c>
      <c r="AZ103" s="14">
        <f t="shared" si="11"/>
        <v>46.153846153846153</v>
      </c>
      <c r="BA103" s="142"/>
      <c r="BB103" s="144"/>
      <c r="BC103" s="142"/>
    </row>
    <row r="104" spans="1:55" x14ac:dyDescent="0.25">
      <c r="A104" s="175" t="s">
        <v>185</v>
      </c>
      <c r="B104" s="176">
        <f>'2018'!B104+'2019'!B104+'2020'!B104+'2021'!B104+'2022'!B88</f>
        <v>227</v>
      </c>
      <c r="C104" s="176">
        <f>'2018'!C104+'2019'!C104+'2020'!C104+'2021'!C104+'2022'!C88</f>
        <v>20</v>
      </c>
      <c r="D104" s="176">
        <f>'2018'!D104+'2019'!D104+'2020'!D104+'2021'!D104+'2022'!D88</f>
        <v>421</v>
      </c>
      <c r="E104" s="176">
        <f>'2018'!E104+'2019'!E104+'2020'!E104+'2021'!E104+'2022'!E88</f>
        <v>35</v>
      </c>
      <c r="F104" s="176">
        <f>'2018'!F104+'2019'!F104+'2020'!F104+'2021'!F104+'2022'!F88</f>
        <v>0</v>
      </c>
      <c r="G104" s="176">
        <f>'2018'!G104+'2019'!G104+'2020'!G104+'2021'!G104+'2022'!G88</f>
        <v>21</v>
      </c>
      <c r="H104" s="176">
        <f>'2018'!H104+'2019'!H104+'2020'!H104+'2021'!H104+'2022'!H88</f>
        <v>111</v>
      </c>
      <c r="I104" s="176">
        <f>'2018'!I104+'2019'!I104+'2020'!I104+'2021'!I104+'2022'!I88</f>
        <v>0</v>
      </c>
      <c r="J104" s="176">
        <f>'2018'!J104+'2019'!J104+'2020'!J104+'2021'!J104+'2022'!J88</f>
        <v>18</v>
      </c>
      <c r="K104" s="176">
        <f>'2018'!K104+'2019'!K104+'2020'!K104+'2021'!K104+'2022'!K88</f>
        <v>163</v>
      </c>
      <c r="L104" s="176">
        <f>'2018'!L104+'2019'!L104+'2020'!L104+'2021'!L104+'2022'!L88</f>
        <v>32</v>
      </c>
      <c r="M104" s="176">
        <f>'2018'!M104+'2019'!M104+'2020'!M104+'2021'!M104+'2022'!M88</f>
        <v>15</v>
      </c>
      <c r="N104" s="176">
        <f>'2018'!N104+'2019'!N104+'2020'!N104+'2021'!N104+'2022'!N88</f>
        <v>0</v>
      </c>
      <c r="O104" s="176">
        <f>'2018'!O104+'2019'!O104+'2020'!O104+'2021'!O104+'2022'!O88</f>
        <v>10</v>
      </c>
      <c r="P104" s="176">
        <f>'2018'!P104+'2019'!P104+'2020'!P104+'2021'!P104+'2022'!P88</f>
        <v>1</v>
      </c>
      <c r="Q104" s="176">
        <f>'2018'!Q104+'2019'!Q104+'2020'!Q104+'2021'!Q104+'2022'!Q88</f>
        <v>5</v>
      </c>
      <c r="R104" s="176">
        <f>'2018'!R104+'2019'!R104+'2020'!R104+'2021'!R104+'2022'!R88</f>
        <v>1</v>
      </c>
      <c r="S104" s="176">
        <f>'2018'!S104+'2019'!S104+'2020'!S104+'2021'!S104+'2022'!S88</f>
        <v>17</v>
      </c>
      <c r="T104" s="176">
        <f>'2018'!T104+'2019'!T104+'2020'!T104+'2021'!T104+'2022'!T88</f>
        <v>11</v>
      </c>
      <c r="U104" s="176">
        <f>'2018'!U104+'2019'!U104+'2020'!U104+'2021'!U104+'2022'!U88</f>
        <v>0</v>
      </c>
      <c r="V104" s="176">
        <f>'2018'!V104+'2019'!V104+'2020'!V104+'2021'!V104+'2022'!V88</f>
        <v>12</v>
      </c>
      <c r="W104" s="176">
        <f>'2018'!W104+'2019'!W104+'2020'!W104+'2021'!W104+'2022'!W88</f>
        <v>0</v>
      </c>
      <c r="X104" s="176">
        <f>'2018'!X104+'2019'!X104+'2020'!X104+'2021'!X104+'2022'!X88</f>
        <v>4</v>
      </c>
      <c r="Y104" s="174">
        <f t="shared" si="14"/>
        <v>421</v>
      </c>
      <c r="Z104" s="174">
        <f>'2018'!Z104+'2019'!Z104+'2020'!Z104+'2021'!Z104+'2022'!Z88</f>
        <v>159</v>
      </c>
      <c r="AA104" s="174">
        <f>'2018'!AA104+'2019'!AA104+'2020'!AA104+'2021'!AA104+'2022'!AA88</f>
        <v>12</v>
      </c>
      <c r="AB104" s="174">
        <f>'2018'!AB104+'2019'!AB104+'2020'!AB104+'2021'!AB104+'2022'!AB88</f>
        <v>296</v>
      </c>
      <c r="AC104" s="174">
        <f>'2018'!AC104+'2019'!AC104+'2020'!AC104+'2021'!AC104+'2022'!AC88</f>
        <v>23</v>
      </c>
      <c r="AD104" s="174">
        <f>'2018'!AD104+'2019'!AD104+'2020'!AD104+'2021'!AD104+'2022'!AD88</f>
        <v>0</v>
      </c>
      <c r="AE104" s="174">
        <f>'2018'!AE104+'2019'!AE104+'2020'!AE104+'2021'!AE104+'2022'!AE88</f>
        <v>18</v>
      </c>
      <c r="AF104" s="174">
        <f>'2018'!AF104+'2019'!AF104+'2020'!AF104+'2021'!AF104+'2022'!AF88</f>
        <v>82</v>
      </c>
      <c r="AG104" s="174">
        <f>'2018'!AG104+'2019'!AG104+'2020'!AG104+'2021'!AG104+'2022'!AG88</f>
        <v>0</v>
      </c>
      <c r="AH104" s="174">
        <f>'2018'!AH104+'2019'!AH104+'2020'!AH104+'2021'!AH104+'2022'!AH88</f>
        <v>12</v>
      </c>
      <c r="AI104" s="174">
        <f>'2018'!AI104+'2019'!AI104+'2020'!AI104+'2021'!AI104+'2022'!AI88</f>
        <v>107</v>
      </c>
      <c r="AJ104" s="174">
        <f>'2018'!AJ104+'2019'!AJ104+'2020'!AJ104+'2021'!AJ104+'2022'!AJ88</f>
        <v>22</v>
      </c>
      <c r="AK104" s="174">
        <f>'2018'!AK104+'2019'!AK104+'2020'!AK104+'2021'!AK104+'2022'!AK88</f>
        <v>15</v>
      </c>
      <c r="AL104" s="174">
        <f>'2018'!AL104+'2019'!AL104+'2020'!AL104+'2021'!AL104+'2022'!AL88</f>
        <v>0</v>
      </c>
      <c r="AM104" s="174">
        <f>'2018'!AM104+'2019'!AM104+'2020'!AM104+'2021'!AM104+'2022'!AM88</f>
        <v>6</v>
      </c>
      <c r="AN104" s="174">
        <f>'2018'!AN104+'2019'!AN104+'2020'!AN104+'2021'!AN104+'2022'!AN88</f>
        <v>1</v>
      </c>
      <c r="AO104" s="174">
        <f>'2018'!AO104+'2019'!AO104+'2020'!AO104+'2021'!AO104+'2022'!AO88</f>
        <v>3</v>
      </c>
      <c r="AP104" s="174">
        <f>'2018'!AP104+'2019'!AP104+'2020'!AP104+'2021'!AP104+'2022'!AP88</f>
        <v>1</v>
      </c>
      <c r="AQ104" s="174">
        <f>'2018'!AQ104+'2019'!AQ104+'2020'!AQ104+'2021'!AQ104+'2022'!AQ88</f>
        <v>8</v>
      </c>
      <c r="AR104" s="174">
        <f>'2018'!AR104+'2019'!AR104+'2020'!AR104+'2021'!AR104+'2022'!AR88</f>
        <v>11</v>
      </c>
      <c r="AS104" s="174">
        <f>'2018'!AS104+'2019'!AS104+'2020'!AS104+'2021'!AS104+'2022'!AS88</f>
        <v>0</v>
      </c>
      <c r="AT104" s="174">
        <f>'2018'!AT104+'2019'!AT104+'2020'!AT104+'2021'!AT104+'2022'!AT88</f>
        <v>10</v>
      </c>
      <c r="AU104" s="174">
        <f>'2018'!AU104+'2019'!AU104+'2020'!AU104+'2021'!AU104+'2022'!AU88</f>
        <v>0</v>
      </c>
      <c r="AV104" s="174">
        <f>'2018'!AV104+'2019'!AV104+'2020'!AV104+'2021'!AV104+'2022'!AV88</f>
        <v>0</v>
      </c>
      <c r="AW104" s="174">
        <f t="shared" si="15"/>
        <v>296</v>
      </c>
      <c r="AX104" s="156">
        <f t="shared" si="16"/>
        <v>2127.2930400359874</v>
      </c>
      <c r="AY104" s="14">
        <f>'2018'!AX104+'2019'!AX104+'2020'!AX104+'2021'!AX104+'2022'!AX88</f>
        <v>10636.465200179937</v>
      </c>
      <c r="AZ104" s="14">
        <f t="shared" si="11"/>
        <v>70.308788598574822</v>
      </c>
      <c r="BA104" s="142"/>
      <c r="BB104" s="144"/>
      <c r="BC104" s="142"/>
    </row>
    <row r="105" spans="1:55" x14ac:dyDescent="0.25">
      <c r="A105" s="175" t="s">
        <v>186</v>
      </c>
      <c r="B105" s="176">
        <f>'2018'!B105+'2019'!B105+'2020'!B105+'2021'!B105+'2022'!B89</f>
        <v>36</v>
      </c>
      <c r="C105" s="176">
        <f>'2018'!C105+'2019'!C105+'2020'!C105+'2021'!C105+'2022'!C89</f>
        <v>7</v>
      </c>
      <c r="D105" s="176">
        <f>'2018'!D105+'2019'!D105+'2020'!D105+'2021'!D105+'2022'!D89</f>
        <v>107</v>
      </c>
      <c r="E105" s="176">
        <f>'2018'!E105+'2019'!E105+'2020'!E105+'2021'!E105+'2022'!E89</f>
        <v>7</v>
      </c>
      <c r="F105" s="176">
        <f>'2018'!F105+'2019'!F105+'2020'!F105+'2021'!F105+'2022'!F89</f>
        <v>0</v>
      </c>
      <c r="G105" s="176">
        <f>'2018'!G105+'2019'!G105+'2020'!G105+'2021'!G105+'2022'!G89</f>
        <v>0</v>
      </c>
      <c r="H105" s="176">
        <f>'2018'!H105+'2019'!H105+'2020'!H105+'2021'!H105+'2022'!H89</f>
        <v>73</v>
      </c>
      <c r="I105" s="176">
        <f>'2018'!I105+'2019'!I105+'2020'!I105+'2021'!I105+'2022'!I89</f>
        <v>0</v>
      </c>
      <c r="J105" s="176">
        <f>'2018'!J105+'2019'!J105+'2020'!J105+'2021'!J105+'2022'!J89</f>
        <v>2</v>
      </c>
      <c r="K105" s="176">
        <f>'2018'!K105+'2019'!K105+'2020'!K105+'2021'!K105+'2022'!K89</f>
        <v>1</v>
      </c>
      <c r="L105" s="176">
        <f>'2018'!L105+'2019'!L105+'2020'!L105+'2021'!L105+'2022'!L89</f>
        <v>12</v>
      </c>
      <c r="M105" s="176">
        <f>'2018'!M105+'2019'!M105+'2020'!M105+'2021'!M105+'2022'!M89</f>
        <v>0</v>
      </c>
      <c r="N105" s="176">
        <f>'2018'!N105+'2019'!N105+'2020'!N105+'2021'!N105+'2022'!N89</f>
        <v>0</v>
      </c>
      <c r="O105" s="176">
        <f>'2018'!O105+'2019'!O105+'2020'!O105+'2021'!O105+'2022'!O89</f>
        <v>6</v>
      </c>
      <c r="P105" s="176">
        <f>'2018'!P105+'2019'!P105+'2020'!P105+'2021'!P105+'2022'!P89</f>
        <v>0</v>
      </c>
      <c r="Q105" s="176">
        <f>'2018'!Q105+'2019'!Q105+'2020'!Q105+'2021'!Q105+'2022'!Q89</f>
        <v>0</v>
      </c>
      <c r="R105" s="176">
        <f>'2018'!R105+'2019'!R105+'2020'!R105+'2021'!R105+'2022'!R89</f>
        <v>6</v>
      </c>
      <c r="S105" s="176">
        <f>'2018'!S105+'2019'!S105+'2020'!S105+'2021'!S105+'2022'!S89</f>
        <v>3</v>
      </c>
      <c r="T105" s="176">
        <f>'2018'!T105+'2019'!T105+'2020'!T105+'2021'!T105+'2022'!T89</f>
        <v>0</v>
      </c>
      <c r="U105" s="176">
        <f>'2018'!U105+'2019'!U105+'2020'!U105+'2021'!U105+'2022'!U89</f>
        <v>1</v>
      </c>
      <c r="V105" s="176">
        <f>'2018'!V105+'2019'!V105+'2020'!V105+'2021'!V105+'2022'!V89</f>
        <v>0</v>
      </c>
      <c r="W105" s="176">
        <f>'2018'!W105+'2019'!W105+'2020'!W105+'2021'!W105+'2022'!W89</f>
        <v>0</v>
      </c>
      <c r="X105" s="176">
        <f>'2018'!X105+'2019'!X105+'2020'!X105+'2021'!X105+'2022'!X89</f>
        <v>3</v>
      </c>
      <c r="Y105" s="174">
        <f t="shared" si="14"/>
        <v>107</v>
      </c>
      <c r="Z105" s="174">
        <f>'2018'!Z105+'2019'!Z105+'2020'!Z105+'2021'!Z105+'2022'!Z89</f>
        <v>13</v>
      </c>
      <c r="AA105" s="174">
        <f>'2018'!AA105+'2019'!AA105+'2020'!AA105+'2021'!AA105+'2022'!AA89</f>
        <v>0</v>
      </c>
      <c r="AB105" s="174">
        <f>'2018'!AB105+'2019'!AB105+'2020'!AB105+'2021'!AB105+'2022'!AB89</f>
        <v>83</v>
      </c>
      <c r="AC105" s="174">
        <f>'2018'!AC105+'2019'!AC105+'2020'!AC105+'2021'!AC105+'2022'!AC89</f>
        <v>0</v>
      </c>
      <c r="AD105" s="174">
        <f>'2018'!AD105+'2019'!AD105+'2020'!AD105+'2021'!AD105+'2022'!AD89</f>
        <v>0</v>
      </c>
      <c r="AE105" s="174">
        <f>'2018'!AE105+'2019'!AE105+'2020'!AE105+'2021'!AE105+'2022'!AE89</f>
        <v>0</v>
      </c>
      <c r="AF105" s="174">
        <f>'2018'!AF105+'2019'!AF105+'2020'!AF105+'2021'!AF105+'2022'!AF89</f>
        <v>72</v>
      </c>
      <c r="AG105" s="174">
        <f>'2018'!AG105+'2019'!AG105+'2020'!AG105+'2021'!AG105+'2022'!AG89</f>
        <v>0</v>
      </c>
      <c r="AH105" s="174">
        <f>'2018'!AH105+'2019'!AH105+'2020'!AH105+'2021'!AH105+'2022'!AH89</f>
        <v>2</v>
      </c>
      <c r="AI105" s="174">
        <f>'2018'!AI105+'2019'!AI105+'2020'!AI105+'2021'!AI105+'2022'!AI89</f>
        <v>0</v>
      </c>
      <c r="AJ105" s="174">
        <f>'2018'!AJ105+'2019'!AJ105+'2020'!AJ105+'2021'!AJ105+'2022'!AJ89</f>
        <v>1</v>
      </c>
      <c r="AK105" s="174">
        <f>'2018'!AK105+'2019'!AK105+'2020'!AK105+'2021'!AK105+'2022'!AK89</f>
        <v>0</v>
      </c>
      <c r="AL105" s="174">
        <f>'2018'!AL105+'2019'!AL105+'2020'!AL105+'2021'!AL105+'2022'!AL89</f>
        <v>0</v>
      </c>
      <c r="AM105" s="174">
        <f>'2018'!AM105+'2019'!AM105+'2020'!AM105+'2021'!AM105+'2022'!AM89</f>
        <v>3</v>
      </c>
      <c r="AN105" s="174">
        <f>'2018'!AN105+'2019'!AN105+'2020'!AN105+'2021'!AN105+'2022'!AN89</f>
        <v>0</v>
      </c>
      <c r="AO105" s="174">
        <f>'2018'!AO105+'2019'!AO105+'2020'!AO105+'2021'!AO105+'2022'!AO89</f>
        <v>0</v>
      </c>
      <c r="AP105" s="174">
        <f>'2018'!AP105+'2019'!AP105+'2020'!AP105+'2021'!AP105+'2022'!AP89</f>
        <v>0</v>
      </c>
      <c r="AQ105" s="174">
        <f>'2018'!AQ105+'2019'!AQ105+'2020'!AQ105+'2021'!AQ105+'2022'!AQ89</f>
        <v>3</v>
      </c>
      <c r="AR105" s="174">
        <f>'2018'!AR105+'2019'!AR105+'2020'!AR105+'2021'!AR105+'2022'!AR89</f>
        <v>0</v>
      </c>
      <c r="AS105" s="174">
        <f>'2018'!AS105+'2019'!AS105+'2020'!AS105+'2021'!AS105+'2022'!AS89</f>
        <v>0</v>
      </c>
      <c r="AT105" s="174">
        <f>'2018'!AT105+'2019'!AT105+'2020'!AT105+'2021'!AT105+'2022'!AT89</f>
        <v>0</v>
      </c>
      <c r="AU105" s="174">
        <f>'2018'!AU105+'2019'!AU105+'2020'!AU105+'2021'!AU105+'2022'!AU89</f>
        <v>0</v>
      </c>
      <c r="AV105" s="174">
        <f>'2018'!AV105+'2019'!AV105+'2020'!AV105+'2021'!AV105+'2022'!AV89</f>
        <v>2</v>
      </c>
      <c r="AW105" s="174">
        <f t="shared" si="15"/>
        <v>83</v>
      </c>
      <c r="AX105" s="156">
        <f t="shared" si="16"/>
        <v>2153.0219999999999</v>
      </c>
      <c r="AY105" s="14">
        <f>'2018'!AX105+'2019'!AX105+'2020'!AX105+'2021'!AX105+'2022'!AX89</f>
        <v>10765.11</v>
      </c>
      <c r="AZ105" s="14">
        <f t="shared" si="11"/>
        <v>77.570093457943926</v>
      </c>
      <c r="BA105" s="142"/>
      <c r="BB105" s="144"/>
      <c r="BC105" s="142"/>
    </row>
    <row r="106" spans="1:55" x14ac:dyDescent="0.25">
      <c r="A106" s="175" t="s">
        <v>187</v>
      </c>
      <c r="B106" s="176">
        <f>'2018'!B106+'2019'!B106+'2020'!B106+'2021'!B106+'2022'!B90</f>
        <v>18</v>
      </c>
      <c r="C106" s="176">
        <f>'2018'!C106+'2019'!C106+'2020'!C106+'2021'!C106+'2022'!C90</f>
        <v>2</v>
      </c>
      <c r="D106" s="176">
        <f>'2018'!D106+'2019'!D106+'2020'!D106+'2021'!D106+'2022'!D90</f>
        <v>37</v>
      </c>
      <c r="E106" s="176">
        <f>'2018'!E106+'2019'!E106+'2020'!E106+'2021'!E106+'2022'!E90</f>
        <v>9</v>
      </c>
      <c r="F106" s="176">
        <f>'2018'!F106+'2019'!F106+'2020'!F106+'2021'!F106+'2022'!F90</f>
        <v>0</v>
      </c>
      <c r="G106" s="176">
        <f>'2018'!G106+'2019'!G106+'2020'!G106+'2021'!G106+'2022'!G90</f>
        <v>0</v>
      </c>
      <c r="H106" s="176">
        <f>'2018'!H106+'2019'!H106+'2020'!H106+'2021'!H106+'2022'!H90</f>
        <v>0</v>
      </c>
      <c r="I106" s="176">
        <f>'2018'!I106+'2019'!I106+'2020'!I106+'2021'!I106+'2022'!I90</f>
        <v>0</v>
      </c>
      <c r="J106" s="176">
        <f>'2018'!J106+'2019'!J106+'2020'!J106+'2021'!J106+'2022'!J90</f>
        <v>0</v>
      </c>
      <c r="K106" s="176">
        <f>'2018'!K106+'2019'!K106+'2020'!K106+'2021'!K106+'2022'!K90</f>
        <v>5</v>
      </c>
      <c r="L106" s="176">
        <f>'2018'!L106+'2019'!L106+'2020'!L106+'2021'!L106+'2022'!L90</f>
        <v>3</v>
      </c>
      <c r="M106" s="176">
        <f>'2018'!M106+'2019'!M106+'2020'!M106+'2021'!M106+'2022'!M90</f>
        <v>1</v>
      </c>
      <c r="N106" s="176">
        <f>'2018'!N106+'2019'!N106+'2020'!N106+'2021'!N106+'2022'!N90</f>
        <v>9</v>
      </c>
      <c r="O106" s="176">
        <f>'2018'!O106+'2019'!O106+'2020'!O106+'2021'!O106+'2022'!O90</f>
        <v>0</v>
      </c>
      <c r="P106" s="176">
        <f>'2018'!P106+'2019'!P106+'2020'!P106+'2021'!P106+'2022'!P90</f>
        <v>0</v>
      </c>
      <c r="Q106" s="176">
        <f>'2018'!Q106+'2019'!Q106+'2020'!Q106+'2021'!Q106+'2022'!Q90</f>
        <v>0</v>
      </c>
      <c r="R106" s="176">
        <f>'2018'!R106+'2019'!R106+'2020'!R106+'2021'!R106+'2022'!R90</f>
        <v>1</v>
      </c>
      <c r="S106" s="176">
        <f>'2018'!S106+'2019'!S106+'2020'!S106+'2021'!S106+'2022'!S90</f>
        <v>0</v>
      </c>
      <c r="T106" s="176">
        <f>'2018'!T106+'2019'!T106+'2020'!T106+'2021'!T106+'2022'!T90</f>
        <v>0</v>
      </c>
      <c r="U106" s="176">
        <f>'2018'!U106+'2019'!U106+'2020'!U106+'2021'!U106+'2022'!U90</f>
        <v>0</v>
      </c>
      <c r="V106" s="176">
        <f>'2018'!V106+'2019'!V106+'2020'!V106+'2021'!V106+'2022'!V90</f>
        <v>0</v>
      </c>
      <c r="W106" s="176">
        <f>'2018'!W106+'2019'!W106+'2020'!W106+'2021'!W106+'2022'!W90</f>
        <v>10</v>
      </c>
      <c r="X106" s="176">
        <f>'2018'!X106+'2019'!X106+'2020'!X106+'2021'!X106+'2022'!X90</f>
        <v>8</v>
      </c>
      <c r="Y106" s="174">
        <f t="shared" si="14"/>
        <v>37</v>
      </c>
      <c r="Z106" s="174">
        <f>'2018'!Z106+'2019'!Z106+'2020'!Z106+'2021'!Z106+'2022'!Z90</f>
        <v>8</v>
      </c>
      <c r="AA106" s="174">
        <f>'2018'!AA106+'2019'!AA106+'2020'!AA106+'2021'!AA106+'2022'!AA90</f>
        <v>1</v>
      </c>
      <c r="AB106" s="174">
        <f>'2018'!AB106+'2019'!AB106+'2020'!AB106+'2021'!AB106+'2022'!AB90</f>
        <v>10</v>
      </c>
      <c r="AC106" s="174">
        <f>'2018'!AC106+'2019'!AC106+'2020'!AC106+'2021'!AC106+'2022'!AC90</f>
        <v>3</v>
      </c>
      <c r="AD106" s="174">
        <f>'2018'!AD106+'2019'!AD106+'2020'!AD106+'2021'!AD106+'2022'!AD90</f>
        <v>0</v>
      </c>
      <c r="AE106" s="174">
        <f>'2018'!AE106+'2019'!AE106+'2020'!AE106+'2021'!AE106+'2022'!AE90</f>
        <v>0</v>
      </c>
      <c r="AF106" s="174">
        <f>'2018'!AF106+'2019'!AF106+'2020'!AF106+'2021'!AF106+'2022'!AF90</f>
        <v>0</v>
      </c>
      <c r="AG106" s="174">
        <f>'2018'!AG106+'2019'!AG106+'2020'!AG106+'2021'!AG106+'2022'!AG90</f>
        <v>0</v>
      </c>
      <c r="AH106" s="174">
        <f>'2018'!AH106+'2019'!AH106+'2020'!AH106+'2021'!AH106+'2022'!AH90</f>
        <v>0</v>
      </c>
      <c r="AI106" s="174">
        <f>'2018'!AI106+'2019'!AI106+'2020'!AI106+'2021'!AI106+'2022'!AI90</f>
        <v>0</v>
      </c>
      <c r="AJ106" s="174">
        <f>'2018'!AJ106+'2019'!AJ106+'2020'!AJ106+'2021'!AJ106+'2022'!AJ90</f>
        <v>2</v>
      </c>
      <c r="AK106" s="174">
        <f>'2018'!AK106+'2019'!AK106+'2020'!AK106+'2021'!AK106+'2022'!AK90</f>
        <v>0</v>
      </c>
      <c r="AL106" s="174">
        <f>'2018'!AL106+'2019'!AL106+'2020'!AL106+'2021'!AL106+'2022'!AL90</f>
        <v>1</v>
      </c>
      <c r="AM106" s="174">
        <f>'2018'!AM106+'2019'!AM106+'2020'!AM106+'2021'!AM106+'2022'!AM90</f>
        <v>2</v>
      </c>
      <c r="AN106" s="174">
        <f>'2018'!AN106+'2019'!AN106+'2020'!AN106+'2021'!AN106+'2022'!AN90</f>
        <v>0</v>
      </c>
      <c r="AO106" s="174">
        <f>'2018'!AO106+'2019'!AO106+'2020'!AO106+'2021'!AO106+'2022'!AO90</f>
        <v>0</v>
      </c>
      <c r="AP106" s="174">
        <f>'2018'!AP106+'2019'!AP106+'2020'!AP106+'2021'!AP106+'2022'!AP90</f>
        <v>0</v>
      </c>
      <c r="AQ106" s="174">
        <f>'2018'!AQ106+'2019'!AQ106+'2020'!AQ106+'2021'!AQ106+'2022'!AQ90</f>
        <v>0</v>
      </c>
      <c r="AR106" s="174">
        <f>'2018'!AR106+'2019'!AR106+'2020'!AR106+'2021'!AR106+'2022'!AR90</f>
        <v>0</v>
      </c>
      <c r="AS106" s="174">
        <f>'2018'!AS106+'2019'!AS106+'2020'!AS106+'2021'!AS106+'2022'!AS90</f>
        <v>0</v>
      </c>
      <c r="AT106" s="174">
        <f>'2018'!AT106+'2019'!AT106+'2020'!AT106+'2021'!AT106+'2022'!AT90</f>
        <v>0</v>
      </c>
      <c r="AU106" s="174">
        <f>'2018'!AU106+'2019'!AU106+'2020'!AU106+'2021'!AU106+'2022'!AU90</f>
        <v>3</v>
      </c>
      <c r="AV106" s="174">
        <f>'2018'!AV106+'2019'!AV106+'2020'!AV106+'2021'!AV106+'2022'!AV90</f>
        <v>2</v>
      </c>
      <c r="AW106" s="174">
        <f t="shared" si="15"/>
        <v>10</v>
      </c>
      <c r="AX106" s="156">
        <f t="shared" si="16"/>
        <v>687.15457142857144</v>
      </c>
      <c r="AY106" s="14">
        <f>'2018'!AX106+'2019'!AX106+'2020'!AX106+'2021'!AX106+'2022'!AX90</f>
        <v>3435.772857142857</v>
      </c>
      <c r="AZ106" s="14">
        <f t="shared" si="11"/>
        <v>27.027027027027028</v>
      </c>
      <c r="BA106" s="142"/>
      <c r="BB106" s="142"/>
      <c r="BC106" s="142"/>
    </row>
    <row r="107" spans="1:55" x14ac:dyDescent="0.25">
      <c r="A107" s="175" t="s">
        <v>188</v>
      </c>
      <c r="B107" s="176">
        <f>'2018'!B107+'2019'!B107+'2020'!B107+'2021'!B107+'2022'!B91</f>
        <v>616</v>
      </c>
      <c r="C107" s="176">
        <f>'2018'!C107+'2019'!C107+'2020'!C107+'2021'!C107+'2022'!C91</f>
        <v>2</v>
      </c>
      <c r="D107" s="176">
        <f>'2018'!D107+'2019'!D107+'2020'!D107+'2021'!D107+'2022'!D91</f>
        <v>919</v>
      </c>
      <c r="E107" s="176">
        <f>'2018'!E107+'2019'!E107+'2020'!E107+'2021'!E107+'2022'!E91</f>
        <v>2</v>
      </c>
      <c r="F107" s="176">
        <f>'2018'!F107+'2019'!F107+'2020'!F107+'2021'!F107+'2022'!F91</f>
        <v>0</v>
      </c>
      <c r="G107" s="176">
        <f>'2018'!G107+'2019'!G107+'2020'!G107+'2021'!G107+'2022'!G91</f>
        <v>0</v>
      </c>
      <c r="H107" s="176">
        <f>'2018'!H107+'2019'!H107+'2020'!H107+'2021'!H107+'2022'!H91</f>
        <v>0</v>
      </c>
      <c r="I107" s="176">
        <f>'2018'!I107+'2019'!I107+'2020'!I107+'2021'!I107+'2022'!I91</f>
        <v>0</v>
      </c>
      <c r="J107" s="176">
        <f>'2018'!J107+'2019'!J107+'2020'!J107+'2021'!J107+'2022'!J91</f>
        <v>0</v>
      </c>
      <c r="K107" s="176">
        <f>'2018'!K107+'2019'!K107+'2020'!K107+'2021'!K107+'2022'!K91</f>
        <v>9</v>
      </c>
      <c r="L107" s="176">
        <f>'2018'!L107+'2019'!L107+'2020'!L107+'2021'!L107+'2022'!L91</f>
        <v>17</v>
      </c>
      <c r="M107" s="176">
        <f>'2018'!M107+'2019'!M107+'2020'!M107+'2021'!M107+'2022'!M91</f>
        <v>7</v>
      </c>
      <c r="N107" s="176">
        <f>'2018'!N107+'2019'!N107+'2020'!N107+'2021'!N107+'2022'!N91</f>
        <v>10</v>
      </c>
      <c r="O107" s="176">
        <f>'2018'!O107+'2019'!O107+'2020'!O107+'2021'!O107+'2022'!O91</f>
        <v>0</v>
      </c>
      <c r="P107" s="176">
        <f>'2018'!P107+'2019'!P107+'2020'!P107+'2021'!P107+'2022'!P91</f>
        <v>0</v>
      </c>
      <c r="Q107" s="176">
        <f>'2018'!Q107+'2019'!Q107+'2020'!Q107+'2021'!Q107+'2022'!Q91</f>
        <v>0</v>
      </c>
      <c r="R107" s="176">
        <f>'2018'!R107+'2019'!R107+'2020'!R107+'2021'!R107+'2022'!R91</f>
        <v>9</v>
      </c>
      <c r="S107" s="176">
        <f>'2018'!S107+'2019'!S107+'2020'!S107+'2021'!S107+'2022'!S91</f>
        <v>1</v>
      </c>
      <c r="T107" s="176">
        <f>'2018'!T107+'2019'!T107+'2020'!T107+'2021'!T107+'2022'!T91</f>
        <v>0</v>
      </c>
      <c r="U107" s="176">
        <f>'2018'!U107+'2019'!U107+'2020'!U107+'2021'!U107+'2022'!U91</f>
        <v>3</v>
      </c>
      <c r="V107" s="176">
        <f>'2018'!V107+'2019'!V107+'2020'!V107+'2021'!V107+'2022'!V91</f>
        <v>14</v>
      </c>
      <c r="W107" s="176">
        <f>'2018'!W107+'2019'!W107+'2020'!W107+'2021'!W107+'2022'!W91</f>
        <v>14</v>
      </c>
      <c r="X107" s="176">
        <f>'2018'!X107+'2019'!X107+'2020'!X107+'2021'!X107+'2022'!X91</f>
        <v>835</v>
      </c>
      <c r="Y107" s="174">
        <f t="shared" si="14"/>
        <v>919</v>
      </c>
      <c r="Z107" s="174">
        <f>'2018'!Z107+'2019'!Z107+'2020'!Z107+'2021'!Z107+'2022'!Z91</f>
        <v>365</v>
      </c>
      <c r="AA107" s="174">
        <f>'2018'!AA107+'2019'!AA107+'2020'!AA107+'2021'!AA107+'2022'!AA91</f>
        <v>2</v>
      </c>
      <c r="AB107" s="174">
        <f>'2018'!AB107+'2019'!AB107+'2020'!AB107+'2021'!AB107+'2022'!AB91</f>
        <v>464</v>
      </c>
      <c r="AC107" s="174">
        <f>'2018'!AC107+'2019'!AC107+'2020'!AC107+'2021'!AC107+'2022'!AC91</f>
        <v>2</v>
      </c>
      <c r="AD107" s="174">
        <f>'2018'!AD107+'2019'!AD107+'2020'!AD107+'2021'!AD107+'2022'!AD91</f>
        <v>0</v>
      </c>
      <c r="AE107" s="174">
        <f>'2018'!AE107+'2019'!AE107+'2020'!AE107+'2021'!AE107+'2022'!AE91</f>
        <v>0</v>
      </c>
      <c r="AF107" s="174">
        <f>'2018'!AF107+'2019'!AF107+'2020'!AF107+'2021'!AF107+'2022'!AF91</f>
        <v>0</v>
      </c>
      <c r="AG107" s="174">
        <f>'2018'!AG107+'2019'!AG107+'2020'!AG107+'2021'!AG107+'2022'!AG91</f>
        <v>0</v>
      </c>
      <c r="AH107" s="174">
        <f>'2018'!AH107+'2019'!AH107+'2020'!AH107+'2021'!AH107+'2022'!AH91</f>
        <v>0</v>
      </c>
      <c r="AI107" s="174">
        <f>'2018'!AI107+'2019'!AI107+'2020'!AI107+'2021'!AI107+'2022'!AI91</f>
        <v>5</v>
      </c>
      <c r="AJ107" s="174">
        <f>'2018'!AJ107+'2019'!AJ107+'2020'!AJ107+'2021'!AJ107+'2022'!AJ91</f>
        <v>7</v>
      </c>
      <c r="AK107" s="174">
        <f>'2018'!AK107+'2019'!AK107+'2020'!AK107+'2021'!AK107+'2022'!AK91</f>
        <v>0</v>
      </c>
      <c r="AL107" s="174">
        <f>'2018'!AL107+'2019'!AL107+'2020'!AL107+'2021'!AL107+'2022'!AL91</f>
        <v>7</v>
      </c>
      <c r="AM107" s="174">
        <f>'2018'!AM107+'2019'!AM107+'2020'!AM107+'2021'!AM107+'2022'!AM91</f>
        <v>0</v>
      </c>
      <c r="AN107" s="174">
        <f>'2018'!AN107+'2019'!AN107+'2020'!AN107+'2021'!AN107+'2022'!AN91</f>
        <v>0</v>
      </c>
      <c r="AO107" s="174">
        <f>'2018'!AO107+'2019'!AO107+'2020'!AO107+'2021'!AO107+'2022'!AO91</f>
        <v>0</v>
      </c>
      <c r="AP107" s="174">
        <f>'2018'!AP107+'2019'!AP107+'2020'!AP107+'2021'!AP107+'2022'!AP91</f>
        <v>5</v>
      </c>
      <c r="AQ107" s="174">
        <f>'2018'!AQ107+'2019'!AQ107+'2020'!AQ107+'2021'!AQ107+'2022'!AQ91</f>
        <v>0</v>
      </c>
      <c r="AR107" s="174">
        <f>'2018'!AR107+'2019'!AR107+'2020'!AR107+'2021'!AR107+'2022'!AR91</f>
        <v>0</v>
      </c>
      <c r="AS107" s="174">
        <f>'2018'!AS107+'2019'!AS107+'2020'!AS107+'2021'!AS107+'2022'!AS91</f>
        <v>2</v>
      </c>
      <c r="AT107" s="174">
        <f>'2018'!AT107+'2019'!AT107+'2020'!AT107+'2021'!AT107+'2022'!AT91</f>
        <v>15</v>
      </c>
      <c r="AU107" s="174">
        <f>'2018'!AU107+'2019'!AU107+'2020'!AU107+'2021'!AU107+'2022'!AU91</f>
        <v>0</v>
      </c>
      <c r="AV107" s="174">
        <f>'2018'!AV107+'2019'!AV107+'2020'!AV107+'2021'!AV107+'2022'!AV91</f>
        <v>423</v>
      </c>
      <c r="AW107" s="174">
        <f t="shared" si="15"/>
        <v>464</v>
      </c>
      <c r="AX107" s="156">
        <f t="shared" si="16"/>
        <v>4279.5621502645499</v>
      </c>
      <c r="AY107" s="14">
        <f>'2018'!AX107+'2019'!AX107+'2020'!AX107+'2021'!AX107+'2022'!AX91</f>
        <v>21397.810751322751</v>
      </c>
      <c r="AZ107" s="14">
        <f t="shared" si="11"/>
        <v>50.489662676822633</v>
      </c>
      <c r="BA107" s="142"/>
      <c r="BB107" s="144"/>
      <c r="BC107" s="142"/>
    </row>
    <row r="108" spans="1:55" x14ac:dyDescent="0.25">
      <c r="A108" s="175" t="s">
        <v>189</v>
      </c>
      <c r="B108" s="176">
        <f>'2018'!B108+'2019'!B108+'2020'!B108+'2021'!B108+'2022'!B92</f>
        <v>164</v>
      </c>
      <c r="C108" s="176">
        <f>'2018'!C108+'2019'!C108+'2020'!C108+'2021'!C108+'2022'!C92</f>
        <v>6</v>
      </c>
      <c r="D108" s="176">
        <f>'2018'!D108+'2019'!D108+'2020'!D108+'2021'!D108+'2022'!D92</f>
        <v>1494</v>
      </c>
      <c r="E108" s="176">
        <f>'2018'!E108+'2019'!E108+'2020'!E108+'2021'!E108+'2022'!E92</f>
        <v>31</v>
      </c>
      <c r="F108" s="176">
        <f>'2018'!F108+'2019'!F108+'2020'!F108+'2021'!F108+'2022'!F92</f>
        <v>0</v>
      </c>
      <c r="G108" s="176">
        <f>'2018'!G108+'2019'!G108+'2020'!G108+'2021'!G108+'2022'!G92</f>
        <v>5</v>
      </c>
      <c r="H108" s="176">
        <f>'2018'!H108+'2019'!H108+'2020'!H108+'2021'!H108+'2022'!H92</f>
        <v>1236</v>
      </c>
      <c r="I108" s="176">
        <f>'2018'!I108+'2019'!I108+'2020'!I108+'2021'!I108+'2022'!I92</f>
        <v>0</v>
      </c>
      <c r="J108" s="176">
        <f>'2018'!J108+'2019'!J108+'2020'!J108+'2021'!J108+'2022'!J92</f>
        <v>13</v>
      </c>
      <c r="K108" s="176">
        <f>'2018'!K108+'2019'!K108+'2020'!K108+'2021'!K108+'2022'!K92</f>
        <v>24</v>
      </c>
      <c r="L108" s="176">
        <f>'2018'!L108+'2019'!L108+'2020'!L108+'2021'!L108+'2022'!L92</f>
        <v>37</v>
      </c>
      <c r="M108" s="176">
        <f>'2018'!M108+'2019'!M108+'2020'!M108+'2021'!M108+'2022'!M92</f>
        <v>30</v>
      </c>
      <c r="N108" s="176">
        <f>'2018'!N108+'2019'!N108+'2020'!N108+'2021'!N108+'2022'!N92</f>
        <v>0</v>
      </c>
      <c r="O108" s="176">
        <f>'2018'!O108+'2019'!O108+'2020'!O108+'2021'!O108+'2022'!O92</f>
        <v>1</v>
      </c>
      <c r="P108" s="176">
        <f>'2018'!P108+'2019'!P108+'2020'!P108+'2021'!P108+'2022'!P92</f>
        <v>0</v>
      </c>
      <c r="Q108" s="176">
        <f>'2018'!Q108+'2019'!Q108+'2020'!Q108+'2021'!Q108+'2022'!Q92</f>
        <v>4</v>
      </c>
      <c r="R108" s="176">
        <f>'2018'!R108+'2019'!R108+'2020'!R108+'2021'!R108+'2022'!R92</f>
        <v>68</v>
      </c>
      <c r="S108" s="176">
        <f>'2018'!S108+'2019'!S108+'2020'!S108+'2021'!S108+'2022'!S92</f>
        <v>68</v>
      </c>
      <c r="T108" s="176">
        <f>'2018'!T108+'2019'!T108+'2020'!T108+'2021'!T108+'2022'!T92</f>
        <v>2</v>
      </c>
      <c r="U108" s="176">
        <f>'2018'!U108+'2019'!U108+'2020'!U108+'2021'!U108+'2022'!U92</f>
        <v>5</v>
      </c>
      <c r="V108" s="176">
        <f>'2018'!V108+'2019'!V108+'2020'!V108+'2021'!V108+'2022'!V92</f>
        <v>0</v>
      </c>
      <c r="W108" s="176">
        <f>'2018'!W108+'2019'!W108+'2020'!W108+'2021'!W108+'2022'!W92</f>
        <v>0</v>
      </c>
      <c r="X108" s="176">
        <f>'2018'!X108+'2019'!X108+'2020'!X108+'2021'!X108+'2022'!X92</f>
        <v>1</v>
      </c>
      <c r="Y108" s="174">
        <f t="shared" si="14"/>
        <v>1494</v>
      </c>
      <c r="Z108" s="174">
        <f>'2018'!Z108+'2019'!Z108+'2020'!Z108+'2021'!Z108+'2022'!Z92</f>
        <v>129</v>
      </c>
      <c r="AA108" s="174">
        <f>'2018'!AA108+'2019'!AA108+'2020'!AA108+'2021'!AA108+'2022'!AA92</f>
        <v>5</v>
      </c>
      <c r="AB108" s="174">
        <f>'2018'!AB108+'2019'!AB108+'2020'!AB108+'2021'!AB108+'2022'!AB92</f>
        <v>1096</v>
      </c>
      <c r="AC108" s="174">
        <f>'2018'!AC108+'2019'!AC108+'2020'!AC108+'2021'!AC108+'2022'!AC92</f>
        <v>21</v>
      </c>
      <c r="AD108" s="174">
        <f>'2018'!AD108+'2019'!AD108+'2020'!AD108+'2021'!AD108+'2022'!AD92</f>
        <v>0</v>
      </c>
      <c r="AE108" s="174">
        <f>'2018'!AE108+'2019'!AE108+'2020'!AE108+'2021'!AE108+'2022'!AE92</f>
        <v>5</v>
      </c>
      <c r="AF108" s="174">
        <f>'2018'!AF108+'2019'!AF108+'2020'!AF108+'2021'!AF108+'2022'!AF92</f>
        <v>937</v>
      </c>
      <c r="AG108" s="174">
        <f>'2018'!AG108+'2019'!AG108+'2020'!AG108+'2021'!AG108+'2022'!AG92</f>
        <v>0</v>
      </c>
      <c r="AH108" s="174">
        <f>'2018'!AH108+'2019'!AH108+'2020'!AH108+'2021'!AH108+'2022'!AH92</f>
        <v>15</v>
      </c>
      <c r="AI108" s="174">
        <f>'2018'!AI108+'2019'!AI108+'2020'!AI108+'2021'!AI108+'2022'!AI92</f>
        <v>17</v>
      </c>
      <c r="AJ108" s="174">
        <f>'2018'!AJ108+'2019'!AJ108+'2020'!AJ108+'2021'!AJ108+'2022'!AJ92</f>
        <v>26</v>
      </c>
      <c r="AK108" s="174">
        <f>'2018'!AK108+'2019'!AK108+'2020'!AK108+'2021'!AK108+'2022'!AK92</f>
        <v>24</v>
      </c>
      <c r="AL108" s="174">
        <f>'2018'!AL108+'2019'!AL108+'2020'!AL108+'2021'!AL108+'2022'!AL92</f>
        <v>0</v>
      </c>
      <c r="AM108" s="174">
        <f>'2018'!AM108+'2019'!AM108+'2020'!AM108+'2021'!AM108+'2022'!AM92</f>
        <v>1</v>
      </c>
      <c r="AN108" s="174">
        <f>'2018'!AN108+'2019'!AN108+'2020'!AN108+'2021'!AN108+'2022'!AN92</f>
        <v>0</v>
      </c>
      <c r="AO108" s="174">
        <f>'2018'!AO108+'2019'!AO108+'2020'!AO108+'2021'!AO108+'2022'!AO92</f>
        <v>4</v>
      </c>
      <c r="AP108" s="174">
        <f>'2018'!AP108+'2019'!AP108+'2020'!AP108+'2021'!AP108+'2022'!AP92</f>
        <v>58</v>
      </c>
      <c r="AQ108" s="174">
        <f>'2018'!AQ108+'2019'!AQ108+'2020'!AQ108+'2021'!AQ108+'2022'!AQ92</f>
        <v>7</v>
      </c>
      <c r="AR108" s="174">
        <f>'2018'!AR108+'2019'!AR108+'2020'!AR108+'2021'!AR108+'2022'!AR92</f>
        <v>2</v>
      </c>
      <c r="AS108" s="174">
        <f>'2018'!AS108+'2019'!AS108+'2020'!AS108+'2021'!AS108+'2022'!AS92</f>
        <v>0</v>
      </c>
      <c r="AT108" s="174">
        <f>'2018'!AT108+'2019'!AT108+'2020'!AT108+'2021'!AT108+'2022'!AT92</f>
        <v>0</v>
      </c>
      <c r="AU108" s="174">
        <f>'2018'!AU108+'2019'!AU108+'2020'!AU108+'2021'!AU108+'2022'!AU92</f>
        <v>0</v>
      </c>
      <c r="AV108" s="174">
        <f>'2018'!AV108+'2019'!AV108+'2020'!AV108+'2021'!AV108+'2022'!AV92</f>
        <v>0</v>
      </c>
      <c r="AW108" s="174">
        <f t="shared" si="15"/>
        <v>1096</v>
      </c>
      <c r="AX108" s="156">
        <f t="shared" si="16"/>
        <v>831.88151058723884</v>
      </c>
      <c r="AY108" s="14">
        <f>'2018'!AX108+'2019'!AX108+'2020'!AX108+'2021'!AX108+'2022'!AX92</f>
        <v>4159.4075529361944</v>
      </c>
      <c r="AZ108" s="14">
        <f t="shared" si="11"/>
        <v>73.360107095046857</v>
      </c>
      <c r="BA108" s="142"/>
      <c r="BB108" s="144"/>
      <c r="BC108" s="142"/>
    </row>
    <row r="109" spans="1:55" x14ac:dyDescent="0.25">
      <c r="A109" s="175" t="s">
        <v>190</v>
      </c>
      <c r="B109" s="176">
        <f>'2018'!B109+'2019'!B109+'2020'!B109+'2021'!B109+'2022'!B75</f>
        <v>624</v>
      </c>
      <c r="C109" s="176">
        <f>'2018'!C109+'2019'!C109+'2020'!C109+'2021'!C109+'2022'!C75</f>
        <v>3</v>
      </c>
      <c r="D109" s="176">
        <f>'2018'!D109+'2019'!D109+'2020'!D109+'2021'!D109+'2022'!D75</f>
        <v>1231</v>
      </c>
      <c r="E109" s="176">
        <f>'2018'!E109+'2019'!E109+'2020'!E109+'2021'!E109+'2022'!E75</f>
        <v>7</v>
      </c>
      <c r="F109" s="176">
        <f>'2018'!F109+'2019'!F109+'2020'!F109+'2021'!F109+'2022'!F75</f>
        <v>0</v>
      </c>
      <c r="G109" s="176">
        <f>'2018'!G109+'2019'!G109+'2020'!G109+'2021'!G109+'2022'!G75</f>
        <v>0</v>
      </c>
      <c r="H109" s="176">
        <f>'2018'!H109+'2019'!H109+'2020'!H109+'2021'!H109+'2022'!H75</f>
        <v>1</v>
      </c>
      <c r="I109" s="176">
        <f>'2018'!I109+'2019'!I109+'2020'!I109+'2021'!I109+'2022'!I75</f>
        <v>0</v>
      </c>
      <c r="J109" s="176">
        <f>'2018'!J109+'2019'!J109+'2020'!J109+'2021'!J109+'2022'!J75</f>
        <v>0</v>
      </c>
      <c r="K109" s="176">
        <f>'2018'!K109+'2019'!K109+'2020'!K109+'2021'!K109+'2022'!K75</f>
        <v>10</v>
      </c>
      <c r="L109" s="176">
        <f>'2018'!L109+'2019'!L109+'2020'!L109+'2021'!L109+'2022'!L75</f>
        <v>15</v>
      </c>
      <c r="M109" s="176">
        <f>'2018'!M109+'2019'!M109+'2020'!M109+'2021'!M109+'2022'!M75</f>
        <v>11</v>
      </c>
      <c r="N109" s="176">
        <f>'2018'!N109+'2019'!N109+'2020'!N109+'2021'!N109+'2022'!N75</f>
        <v>11</v>
      </c>
      <c r="O109" s="176">
        <f>'2018'!O109+'2019'!O109+'2020'!O109+'2021'!O109+'2022'!O75</f>
        <v>7</v>
      </c>
      <c r="P109" s="176">
        <f>'2018'!P109+'2019'!P109+'2020'!P109+'2021'!P109+'2022'!P75</f>
        <v>0</v>
      </c>
      <c r="Q109" s="176">
        <f>'2018'!Q109+'2019'!Q109+'2020'!Q109+'2021'!Q109+'2022'!Q75</f>
        <v>1</v>
      </c>
      <c r="R109" s="176">
        <f>'2018'!R109+'2019'!R109+'2020'!R109+'2021'!R109+'2022'!R75</f>
        <v>3</v>
      </c>
      <c r="S109" s="176">
        <f>'2018'!S109+'2019'!S109+'2020'!S109+'2021'!S109+'2022'!S75</f>
        <v>0</v>
      </c>
      <c r="T109" s="176">
        <f>'2018'!T109+'2019'!T109+'2020'!T109+'2021'!T109+'2022'!T75</f>
        <v>0</v>
      </c>
      <c r="U109" s="176">
        <f>'2018'!U109+'2019'!U109+'2020'!U109+'2021'!U109+'2022'!U75</f>
        <v>13</v>
      </c>
      <c r="V109" s="176">
        <f>'2018'!V109+'2019'!V109+'2020'!V109+'2021'!V109+'2022'!V75</f>
        <v>0</v>
      </c>
      <c r="W109" s="176">
        <f>'2018'!W109+'2019'!W109+'2020'!W109+'2021'!W109+'2022'!W75</f>
        <v>2</v>
      </c>
      <c r="X109" s="176">
        <f>'2018'!X109+'2019'!X109+'2020'!X109+'2021'!X109+'2022'!X75</f>
        <v>1157</v>
      </c>
      <c r="Y109" s="174">
        <f t="shared" si="14"/>
        <v>1231</v>
      </c>
      <c r="Z109" s="174">
        <f>'2018'!Z109+'2019'!Z109+'2020'!Z109+'2021'!Z109+'2022'!Z75</f>
        <v>401</v>
      </c>
      <c r="AA109" s="174">
        <f>'2018'!AA109+'2019'!AA109+'2020'!AA109+'2021'!AA109+'2022'!AA75</f>
        <v>3</v>
      </c>
      <c r="AB109" s="174">
        <f>'2018'!AB109+'2019'!AB109+'2020'!AB109+'2021'!AB109+'2022'!AB75</f>
        <v>662</v>
      </c>
      <c r="AC109" s="174">
        <f>'2018'!AC109+'2019'!AC109+'2020'!AC109+'2021'!AC109+'2022'!AC75</f>
        <v>7</v>
      </c>
      <c r="AD109" s="174">
        <f>'2018'!AD109+'2019'!AD109+'2020'!AD109+'2021'!AD109+'2022'!AD75</f>
        <v>0</v>
      </c>
      <c r="AE109" s="174">
        <f>'2018'!AE109+'2019'!AE109+'2020'!AE109+'2021'!AE109+'2022'!AE75</f>
        <v>0</v>
      </c>
      <c r="AF109" s="174">
        <f>'2018'!AF109+'2019'!AF109+'2020'!AF109+'2021'!AF109+'2022'!AF75</f>
        <v>3</v>
      </c>
      <c r="AG109" s="174">
        <f>'2018'!AG109+'2019'!AG109+'2020'!AG109+'2021'!AG109+'2022'!AG75</f>
        <v>0</v>
      </c>
      <c r="AH109" s="174">
        <f>'2018'!AH109+'2019'!AH109+'2020'!AH109+'2021'!AH109+'2022'!AH75</f>
        <v>0</v>
      </c>
      <c r="AI109" s="174">
        <f>'2018'!AI109+'2019'!AI109+'2020'!AI109+'2021'!AI109+'2022'!AI75</f>
        <v>8</v>
      </c>
      <c r="AJ109" s="174">
        <f>'2018'!AJ109+'2019'!AJ109+'2020'!AJ109+'2021'!AJ109+'2022'!AJ75</f>
        <v>7</v>
      </c>
      <c r="AK109" s="174">
        <f>'2018'!AK109+'2019'!AK109+'2020'!AK109+'2021'!AK109+'2022'!AK75</f>
        <v>1</v>
      </c>
      <c r="AL109" s="174">
        <f>'2018'!AL109+'2019'!AL109+'2020'!AL109+'2021'!AL109+'2022'!AL75</f>
        <v>5</v>
      </c>
      <c r="AM109" s="174">
        <f>'2018'!AM109+'2019'!AM109+'2020'!AM109+'2021'!AM109+'2022'!AM75</f>
        <v>4</v>
      </c>
      <c r="AN109" s="174">
        <f>'2018'!AN109+'2019'!AN109+'2020'!AN109+'2021'!AN109+'2022'!AN75</f>
        <v>0</v>
      </c>
      <c r="AO109" s="174">
        <f>'2018'!AO109+'2019'!AO109+'2020'!AO109+'2021'!AO109+'2022'!AO75</f>
        <v>1</v>
      </c>
      <c r="AP109" s="174">
        <f>'2018'!AP109+'2019'!AP109+'2020'!AP109+'2021'!AP109+'2022'!AP75</f>
        <v>3</v>
      </c>
      <c r="AQ109" s="174">
        <f>'2018'!AQ109+'2019'!AQ109+'2020'!AQ109+'2021'!AQ109+'2022'!AQ75</f>
        <v>0</v>
      </c>
      <c r="AR109" s="174">
        <f>'2018'!AR109+'2019'!AR109+'2020'!AR109+'2021'!AR109+'2022'!AR75</f>
        <v>0</v>
      </c>
      <c r="AS109" s="174">
        <f>'2018'!AS109+'2019'!AS109+'2020'!AS109+'2021'!AS109+'2022'!AS75</f>
        <v>8</v>
      </c>
      <c r="AT109" s="174">
        <f>'2018'!AT109+'2019'!AT109+'2020'!AT109+'2021'!AT109+'2022'!AT75</f>
        <v>0</v>
      </c>
      <c r="AU109" s="174">
        <f>'2018'!AU109+'2019'!AU109+'2020'!AU109+'2021'!AU109+'2022'!AU75</f>
        <v>1</v>
      </c>
      <c r="AV109" s="174">
        <f>'2018'!AV109+'2019'!AV109+'2020'!AV109+'2021'!AV109+'2022'!AV75</f>
        <v>621</v>
      </c>
      <c r="AW109" s="174">
        <f t="shared" si="15"/>
        <v>662</v>
      </c>
      <c r="AX109" s="156">
        <f t="shared" si="16"/>
        <v>3802.8516944719131</v>
      </c>
      <c r="AY109" s="14">
        <f>'2018'!AX109+'2019'!AX109+'2020'!AX109+'2021'!AX109+'2022'!AX75</f>
        <v>19014.258472359565</v>
      </c>
      <c r="AZ109" s="14">
        <f t="shared" ref="AZ109:AZ172" si="21">AB109*100/D109</f>
        <v>53.777416734362305</v>
      </c>
      <c r="BA109" s="142"/>
      <c r="BB109" s="144"/>
      <c r="BC109" s="142"/>
    </row>
    <row r="110" spans="1:55" x14ac:dyDescent="0.25">
      <c r="A110" s="175" t="s">
        <v>191</v>
      </c>
      <c r="B110" s="176">
        <f>'2018'!B110+'2019'!B110+'2020'!B110+'2021'!B110+'2022'!B93</f>
        <v>53</v>
      </c>
      <c r="C110" s="176">
        <f>'2018'!C110+'2019'!C110+'2020'!C110+'2021'!C110+'2022'!C93</f>
        <v>13</v>
      </c>
      <c r="D110" s="176">
        <f>'2018'!D110+'2019'!D110+'2020'!D110+'2021'!D110+'2022'!D93</f>
        <v>87</v>
      </c>
      <c r="E110" s="176">
        <f>'2018'!E110+'2019'!E110+'2020'!E110+'2021'!E110+'2022'!E93</f>
        <v>17</v>
      </c>
      <c r="F110" s="176">
        <f>'2018'!F110+'2019'!F110+'2020'!F110+'2021'!F110+'2022'!F93</f>
        <v>0</v>
      </c>
      <c r="G110" s="176">
        <f>'2018'!G110+'2019'!G110+'2020'!G110+'2021'!G110+'2022'!G93</f>
        <v>1</v>
      </c>
      <c r="H110" s="176">
        <f>'2018'!H110+'2019'!H110+'2020'!H110+'2021'!H110+'2022'!H93</f>
        <v>0</v>
      </c>
      <c r="I110" s="176">
        <f>'2018'!I110+'2019'!I110+'2020'!I110+'2021'!I110+'2022'!I93</f>
        <v>0</v>
      </c>
      <c r="J110" s="176">
        <f>'2018'!J110+'2019'!J110+'2020'!J110+'2021'!J110+'2022'!J93</f>
        <v>0</v>
      </c>
      <c r="K110" s="176">
        <f>'2018'!K110+'2019'!K110+'2020'!K110+'2021'!K110+'2022'!K93</f>
        <v>66</v>
      </c>
      <c r="L110" s="176">
        <f>'2018'!L110+'2019'!L110+'2020'!L110+'2021'!L110+'2022'!L93</f>
        <v>11</v>
      </c>
      <c r="M110" s="176">
        <f>'2018'!M110+'2019'!M110+'2020'!M110+'2021'!M110+'2022'!M93</f>
        <v>1</v>
      </c>
      <c r="N110" s="176">
        <f>'2018'!N110+'2019'!N110+'2020'!N110+'2021'!N110+'2022'!N93</f>
        <v>0</v>
      </c>
      <c r="O110" s="176">
        <f>'2018'!O110+'2019'!O110+'2020'!O110+'2021'!O110+'2022'!O93</f>
        <v>0</v>
      </c>
      <c r="P110" s="176">
        <f>'2018'!P110+'2019'!P110+'2020'!P110+'2021'!P110+'2022'!P93</f>
        <v>0</v>
      </c>
      <c r="Q110" s="176">
        <f>'2018'!Q110+'2019'!Q110+'2020'!Q110+'2021'!Q110+'2022'!Q93</f>
        <v>0</v>
      </c>
      <c r="R110" s="176">
        <f>'2018'!R110+'2019'!R110+'2020'!R110+'2021'!R110+'2022'!R93</f>
        <v>0</v>
      </c>
      <c r="S110" s="176">
        <f>'2018'!S110+'2019'!S110+'2020'!S110+'2021'!S110+'2022'!S93</f>
        <v>1</v>
      </c>
      <c r="T110" s="176">
        <f>'2018'!T110+'2019'!T110+'2020'!T110+'2021'!T110+'2022'!T93</f>
        <v>5</v>
      </c>
      <c r="U110" s="176">
        <f>'2018'!U110+'2019'!U110+'2020'!U110+'2021'!U110+'2022'!U93</f>
        <v>0</v>
      </c>
      <c r="V110" s="176">
        <f>'2018'!V110+'2019'!V110+'2020'!V110+'2021'!V110+'2022'!V93</f>
        <v>0</v>
      </c>
      <c r="W110" s="176">
        <f>'2018'!W110+'2019'!W110+'2020'!W110+'2021'!W110+'2022'!W93</f>
        <v>2</v>
      </c>
      <c r="X110" s="176">
        <f>'2018'!X110+'2019'!X110+'2020'!X110+'2021'!X110+'2022'!X93</f>
        <v>0</v>
      </c>
      <c r="Y110" s="174">
        <f t="shared" si="14"/>
        <v>87</v>
      </c>
      <c r="Z110" s="174">
        <f>'2018'!Z110+'2019'!Z110+'2020'!Z110+'2021'!Z110+'2022'!Z93</f>
        <v>36</v>
      </c>
      <c r="AA110" s="174">
        <f>'2018'!AA110+'2019'!AA110+'2020'!AA110+'2021'!AA110+'2022'!AA93</f>
        <v>9</v>
      </c>
      <c r="AB110" s="174">
        <f>'2018'!AB110+'2019'!AB110+'2020'!AB110+'2021'!AB110+'2022'!AB93</f>
        <v>67</v>
      </c>
      <c r="AC110" s="174">
        <f>'2018'!AC110+'2019'!AC110+'2020'!AC110+'2021'!AC110+'2022'!AC93</f>
        <v>13</v>
      </c>
      <c r="AD110" s="174">
        <f>'2018'!AD110+'2019'!AD110+'2020'!AD110+'2021'!AD110+'2022'!AD93</f>
        <v>0</v>
      </c>
      <c r="AE110" s="174">
        <f>'2018'!AE110+'2019'!AE110+'2020'!AE110+'2021'!AE110+'2022'!AE93</f>
        <v>1</v>
      </c>
      <c r="AF110" s="174">
        <f>'2018'!AF110+'2019'!AF110+'2020'!AF110+'2021'!AF110+'2022'!AF93</f>
        <v>0</v>
      </c>
      <c r="AG110" s="174">
        <f>'2018'!AG110+'2019'!AG110+'2020'!AG110+'2021'!AG110+'2022'!AG93</f>
        <v>0</v>
      </c>
      <c r="AH110" s="174">
        <f>'2018'!AH110+'2019'!AH110+'2020'!AH110+'2021'!AH110+'2022'!AH93</f>
        <v>0</v>
      </c>
      <c r="AI110" s="174">
        <f>'2018'!AI110+'2019'!AI110+'2020'!AI110+'2021'!AI110+'2022'!AI93</f>
        <v>48</v>
      </c>
      <c r="AJ110" s="174">
        <f>'2018'!AJ110+'2019'!AJ110+'2020'!AJ110+'2021'!AJ110+'2022'!AJ93</f>
        <v>10</v>
      </c>
      <c r="AK110" s="174">
        <f>'2018'!AK110+'2019'!AK110+'2020'!AK110+'2021'!AK110+'2022'!AK93</f>
        <v>1</v>
      </c>
      <c r="AL110" s="174">
        <f>'2018'!AL110+'2019'!AL110+'2020'!AL110+'2021'!AL110+'2022'!AL93</f>
        <v>0</v>
      </c>
      <c r="AM110" s="174">
        <f>'2018'!AM110+'2019'!AM110+'2020'!AM110+'2021'!AM110+'2022'!AM93</f>
        <v>0</v>
      </c>
      <c r="AN110" s="174">
        <f>'2018'!AN110+'2019'!AN110+'2020'!AN110+'2021'!AN110+'2022'!AN93</f>
        <v>0</v>
      </c>
      <c r="AO110" s="174">
        <f>'2018'!AO110+'2019'!AO110+'2020'!AO110+'2021'!AO110+'2022'!AO93</f>
        <v>0</v>
      </c>
      <c r="AP110" s="174">
        <f>'2018'!AP110+'2019'!AP110+'2020'!AP110+'2021'!AP110+'2022'!AP93</f>
        <v>0</v>
      </c>
      <c r="AQ110" s="174">
        <f>'2018'!AQ110+'2019'!AQ110+'2020'!AQ110+'2021'!AQ110+'2022'!AQ93</f>
        <v>5</v>
      </c>
      <c r="AR110" s="174">
        <f>'2018'!AR110+'2019'!AR110+'2020'!AR110+'2021'!AR110+'2022'!AR93</f>
        <v>0</v>
      </c>
      <c r="AS110" s="174">
        <f>'2018'!AS110+'2019'!AS110+'2020'!AS110+'2021'!AS110+'2022'!AS93</f>
        <v>0</v>
      </c>
      <c r="AT110" s="174">
        <f>'2018'!AT110+'2019'!AT110+'2020'!AT110+'2021'!AT110+'2022'!AT93</f>
        <v>0</v>
      </c>
      <c r="AU110" s="174">
        <f>'2018'!AU110+'2019'!AU110+'2020'!AU110+'2021'!AU110+'2022'!AU93</f>
        <v>2</v>
      </c>
      <c r="AV110" s="174">
        <f>'2018'!AV110+'2019'!AV110+'2020'!AV110+'2021'!AV110+'2022'!AV93</f>
        <v>0</v>
      </c>
      <c r="AW110" s="174">
        <f t="shared" si="15"/>
        <v>67</v>
      </c>
      <c r="AX110" s="156">
        <f t="shared" si="16"/>
        <v>1969.0365714285713</v>
      </c>
      <c r="AY110" s="14">
        <f>'2018'!AX110+'2019'!AX110+'2020'!AX110+'2021'!AX110+'2022'!AX93</f>
        <v>9845.1828571428559</v>
      </c>
      <c r="AZ110" s="14">
        <f t="shared" si="21"/>
        <v>77.011494252873561</v>
      </c>
      <c r="BA110" s="142"/>
      <c r="BB110" s="144"/>
      <c r="BC110" s="142"/>
    </row>
    <row r="111" spans="1:55" x14ac:dyDescent="0.25">
      <c r="A111" s="175" t="s">
        <v>192</v>
      </c>
      <c r="B111" s="176">
        <f>'2018'!B111+'2019'!B111+'2020'!B111+'2021'!B111+'2022'!B76</f>
        <v>55</v>
      </c>
      <c r="C111" s="176">
        <f>'2018'!C111+'2019'!C111+'2020'!C111+'2021'!C111+'2022'!C76</f>
        <v>25</v>
      </c>
      <c r="D111" s="176">
        <f>'2018'!D111+'2019'!D111+'2020'!D111+'2021'!D111+'2022'!D76</f>
        <v>344</v>
      </c>
      <c r="E111" s="176">
        <f>'2018'!E111+'2019'!E111+'2020'!E111+'2021'!E111+'2022'!E76</f>
        <v>189</v>
      </c>
      <c r="F111" s="176">
        <f>'2018'!F111+'2019'!F111+'2020'!F111+'2021'!F111+'2022'!F76</f>
        <v>0</v>
      </c>
      <c r="G111" s="176">
        <f>'2018'!G111+'2019'!G111+'2020'!G111+'2021'!G111+'2022'!G76</f>
        <v>0</v>
      </c>
      <c r="H111" s="176">
        <f>'2018'!H111+'2019'!H111+'2020'!H111+'2021'!H111+'2022'!H76</f>
        <v>63</v>
      </c>
      <c r="I111" s="176">
        <f>'2018'!I111+'2019'!I111+'2020'!I111+'2021'!I111+'2022'!I76</f>
        <v>5</v>
      </c>
      <c r="J111" s="176">
        <f>'2018'!J111+'2019'!J111+'2020'!J111+'2021'!J111+'2022'!J76</f>
        <v>5</v>
      </c>
      <c r="K111" s="176">
        <f>'2018'!K111+'2019'!K111+'2020'!K111+'2021'!K111+'2022'!K76</f>
        <v>2</v>
      </c>
      <c r="L111" s="176">
        <f>'2018'!L111+'2019'!L111+'2020'!L111+'2021'!L111+'2022'!L76</f>
        <v>19</v>
      </c>
      <c r="M111" s="176">
        <f>'2018'!M111+'2019'!M111+'2020'!M111+'2021'!M111+'2022'!M76</f>
        <v>0</v>
      </c>
      <c r="N111" s="176">
        <f>'2018'!N111+'2019'!N111+'2020'!N111+'2021'!N111+'2022'!N76</f>
        <v>5</v>
      </c>
      <c r="O111" s="176">
        <f>'2018'!O111+'2019'!O111+'2020'!O111+'2021'!O111+'2022'!O76</f>
        <v>2</v>
      </c>
      <c r="P111" s="176">
        <f>'2018'!P111+'2019'!P111+'2020'!P111+'2021'!P111+'2022'!P76</f>
        <v>40</v>
      </c>
      <c r="Q111" s="176">
        <f>'2018'!Q111+'2019'!Q111+'2020'!Q111+'2021'!Q111+'2022'!Q76</f>
        <v>0</v>
      </c>
      <c r="R111" s="176">
        <f>'2018'!R111+'2019'!R111+'2020'!R111+'2021'!R111+'2022'!R76</f>
        <v>13</v>
      </c>
      <c r="S111" s="176">
        <f>'2018'!S111+'2019'!S111+'2020'!S111+'2021'!S111+'2022'!S76</f>
        <v>0</v>
      </c>
      <c r="T111" s="176">
        <f>'2018'!T111+'2019'!T111+'2020'!T111+'2021'!T111+'2022'!T76</f>
        <v>184</v>
      </c>
      <c r="U111" s="176">
        <f>'2018'!U111+'2019'!U111+'2020'!U111+'2021'!U111+'2022'!U76</f>
        <v>0</v>
      </c>
      <c r="V111" s="176">
        <f>'2018'!V111+'2019'!V111+'2020'!V111+'2021'!V111+'2022'!V76</f>
        <v>1</v>
      </c>
      <c r="W111" s="176">
        <f>'2018'!W111+'2019'!W111+'2020'!W111+'2021'!W111+'2022'!W76</f>
        <v>1</v>
      </c>
      <c r="X111" s="176">
        <f>'2018'!X111+'2019'!X111+'2020'!X111+'2021'!X111+'2022'!X76</f>
        <v>4</v>
      </c>
      <c r="Y111" s="174">
        <f t="shared" si="14"/>
        <v>344</v>
      </c>
      <c r="Z111" s="174">
        <f>'2018'!Z111+'2019'!Z111+'2020'!Z111+'2021'!Z111+'2022'!Z76</f>
        <v>38</v>
      </c>
      <c r="AA111" s="174">
        <f>'2018'!AA111+'2019'!AA111+'2020'!AA111+'2021'!AA111+'2022'!AA76</f>
        <v>16</v>
      </c>
      <c r="AB111" s="174">
        <f>'2018'!AB111+'2019'!AB111+'2020'!AB111+'2021'!AB111+'2022'!AB76</f>
        <v>256</v>
      </c>
      <c r="AC111" s="174">
        <f>'2018'!AC111+'2019'!AC111+'2020'!AC111+'2021'!AC111+'2022'!AC76</f>
        <v>117</v>
      </c>
      <c r="AD111" s="174">
        <f>'2018'!AD111+'2019'!AD111+'2020'!AD111+'2021'!AD111+'2022'!AD76</f>
        <v>0</v>
      </c>
      <c r="AE111" s="174">
        <f>'2018'!AE111+'2019'!AE111+'2020'!AE111+'2021'!AE111+'2022'!AE76</f>
        <v>0</v>
      </c>
      <c r="AF111" s="174">
        <f>'2018'!AF111+'2019'!AF111+'2020'!AF111+'2021'!AF111+'2022'!AF76</f>
        <v>52</v>
      </c>
      <c r="AG111" s="174">
        <f>'2018'!AG111+'2019'!AG111+'2020'!AG111+'2021'!AG111+'2022'!AG76</f>
        <v>5</v>
      </c>
      <c r="AH111" s="174">
        <f>'2018'!AH111+'2019'!AH111+'2020'!AH111+'2021'!AH111+'2022'!AH76</f>
        <v>2</v>
      </c>
      <c r="AI111" s="174">
        <f>'2018'!AI111+'2019'!AI111+'2020'!AI111+'2021'!AI111+'2022'!AI76</f>
        <v>1</v>
      </c>
      <c r="AJ111" s="174">
        <f>'2018'!AJ111+'2019'!AJ111+'2020'!AJ111+'2021'!AJ111+'2022'!AJ76</f>
        <v>19</v>
      </c>
      <c r="AK111" s="174">
        <f>'2018'!AK111+'2019'!AK111+'2020'!AK111+'2021'!AK111+'2022'!AK76</f>
        <v>0</v>
      </c>
      <c r="AL111" s="174">
        <f>'2018'!AL111+'2019'!AL111+'2020'!AL111+'2021'!AL111+'2022'!AL76</f>
        <v>5</v>
      </c>
      <c r="AM111" s="174">
        <f>'2018'!AM111+'2019'!AM111+'2020'!AM111+'2021'!AM111+'2022'!AM76</f>
        <v>0</v>
      </c>
      <c r="AN111" s="174">
        <f>'2018'!AN111+'2019'!AN111+'2020'!AN111+'2021'!AN111+'2022'!AN76</f>
        <v>40</v>
      </c>
      <c r="AO111" s="174">
        <f>'2018'!AO111+'2019'!AO111+'2020'!AO111+'2021'!AO111+'2022'!AO76</f>
        <v>0</v>
      </c>
      <c r="AP111" s="174">
        <f>'2018'!AP111+'2019'!AP111+'2020'!AP111+'2021'!AP111+'2022'!AP76</f>
        <v>12</v>
      </c>
      <c r="AQ111" s="174">
        <f>'2018'!AQ111+'2019'!AQ111+'2020'!AQ111+'2021'!AQ111+'2022'!AQ76</f>
        <v>0</v>
      </c>
      <c r="AR111" s="174">
        <f>'2018'!AR111+'2019'!AR111+'2020'!AR111+'2021'!AR111+'2022'!AR76</f>
        <v>115</v>
      </c>
      <c r="AS111" s="174">
        <f>'2018'!AS111+'2019'!AS111+'2020'!AS111+'2021'!AS111+'2022'!AS76</f>
        <v>0</v>
      </c>
      <c r="AT111" s="174">
        <f>'2018'!AT111+'2019'!AT111+'2020'!AT111+'2021'!AT111+'2022'!AT76</f>
        <v>1</v>
      </c>
      <c r="AU111" s="174">
        <f>'2018'!AU111+'2019'!AU111+'2020'!AU111+'2021'!AU111+'2022'!AU76</f>
        <v>1</v>
      </c>
      <c r="AV111" s="174">
        <f>'2018'!AV111+'2019'!AV111+'2020'!AV111+'2021'!AV111+'2022'!AV76</f>
        <v>3</v>
      </c>
      <c r="AW111" s="174">
        <f t="shared" si="15"/>
        <v>256</v>
      </c>
      <c r="AX111" s="156">
        <f t="shared" si="16"/>
        <v>3373.1045263157894</v>
      </c>
      <c r="AY111" s="14">
        <f>'2018'!AX111+'2019'!AX111+'2020'!AX111+'2021'!AX111+'2022'!AX76</f>
        <v>16865.522631578948</v>
      </c>
      <c r="AZ111" s="14">
        <f t="shared" si="21"/>
        <v>74.418604651162795</v>
      </c>
      <c r="BA111" s="142"/>
      <c r="BB111" s="144"/>
      <c r="BC111" s="142"/>
    </row>
    <row r="112" spans="1:55" x14ac:dyDescent="0.25">
      <c r="A112" s="175" t="s">
        <v>193</v>
      </c>
      <c r="B112" s="176">
        <f>'2018'!B112+'2019'!B112+'2020'!B112+'2021'!B112+'2022'!B77</f>
        <v>62</v>
      </c>
      <c r="C112" s="176">
        <f>'2018'!C112+'2019'!C112+'2020'!C112+'2021'!C112+'2022'!C77</f>
        <v>6</v>
      </c>
      <c r="D112" s="176">
        <f>'2018'!D112+'2019'!D112+'2020'!D112+'2021'!D112+'2022'!D77</f>
        <v>607</v>
      </c>
      <c r="E112" s="176">
        <f>'2018'!E112+'2019'!E112+'2020'!E112+'2021'!E112+'2022'!E77</f>
        <v>83</v>
      </c>
      <c r="F112" s="176">
        <f>'2018'!F112+'2019'!F112+'2020'!F112+'2021'!F112+'2022'!F77</f>
        <v>0</v>
      </c>
      <c r="G112" s="176">
        <f>'2018'!G112+'2019'!G112+'2020'!G112+'2021'!G112+'2022'!G77</f>
        <v>3</v>
      </c>
      <c r="H112" s="176">
        <f>'2018'!H112+'2019'!H112+'2020'!H112+'2021'!H112+'2022'!H77</f>
        <v>337</v>
      </c>
      <c r="I112" s="176">
        <f>'2018'!I112+'2019'!I112+'2020'!I112+'2021'!I112+'2022'!I77</f>
        <v>0</v>
      </c>
      <c r="J112" s="176">
        <f>'2018'!J112+'2019'!J112+'2020'!J112+'2021'!J112+'2022'!J77</f>
        <v>14</v>
      </c>
      <c r="K112" s="176">
        <f>'2018'!K112+'2019'!K112+'2020'!K112+'2021'!K112+'2022'!K77</f>
        <v>27</v>
      </c>
      <c r="L112" s="176">
        <f>'2018'!L112+'2019'!L112+'2020'!L112+'2021'!L112+'2022'!L77</f>
        <v>10</v>
      </c>
      <c r="M112" s="176">
        <f>'2018'!M112+'2019'!M112+'2020'!M112+'2021'!M112+'2022'!M77</f>
        <v>1</v>
      </c>
      <c r="N112" s="176">
        <f>'2018'!N112+'2019'!N112+'2020'!N112+'2021'!N112+'2022'!N77</f>
        <v>5</v>
      </c>
      <c r="O112" s="176">
        <f>'2018'!O112+'2019'!O112+'2020'!O112+'2021'!O112+'2022'!O77</f>
        <v>0</v>
      </c>
      <c r="P112" s="176">
        <f>'2018'!P112+'2019'!P112+'2020'!P112+'2021'!P112+'2022'!P77</f>
        <v>0</v>
      </c>
      <c r="Q112" s="176">
        <f>'2018'!Q112+'2019'!Q112+'2020'!Q112+'2021'!Q112+'2022'!Q77</f>
        <v>0</v>
      </c>
      <c r="R112" s="176">
        <f>'2018'!R112+'2019'!R112+'2020'!R112+'2021'!R112+'2022'!R77</f>
        <v>5</v>
      </c>
      <c r="S112" s="176">
        <f>'2018'!S112+'2019'!S112+'2020'!S112+'2021'!S112+'2022'!S77</f>
        <v>2</v>
      </c>
      <c r="T112" s="176">
        <f>'2018'!T112+'2019'!T112+'2020'!T112+'2021'!T112+'2022'!T77</f>
        <v>0</v>
      </c>
      <c r="U112" s="176">
        <f>'2018'!U112+'2019'!U112+'2020'!U112+'2021'!U112+'2022'!U77</f>
        <v>5</v>
      </c>
      <c r="V112" s="176">
        <f>'2018'!V112+'2019'!V112+'2020'!V112+'2021'!V112+'2022'!V77</f>
        <v>198</v>
      </c>
      <c r="W112" s="176">
        <f>'2018'!W112+'2019'!W112+'2020'!W112+'2021'!W112+'2022'!W77</f>
        <v>0</v>
      </c>
      <c r="X112" s="176">
        <f>'2018'!X112+'2019'!X112+'2020'!X112+'2021'!X112+'2022'!X77</f>
        <v>0</v>
      </c>
      <c r="Y112" s="174">
        <f t="shared" si="14"/>
        <v>607</v>
      </c>
      <c r="Z112" s="174">
        <f>'2018'!Z112+'2019'!Z112+'2020'!Z112+'2021'!Z112+'2022'!Z77</f>
        <v>55</v>
      </c>
      <c r="AA112" s="174">
        <f>'2018'!AA112+'2019'!AA112+'2020'!AA112+'2021'!AA112+'2022'!AA77</f>
        <v>5</v>
      </c>
      <c r="AB112" s="174">
        <f>'2018'!AB112+'2019'!AB112+'2020'!AB112+'2021'!AB112+'2022'!AB77</f>
        <v>371</v>
      </c>
      <c r="AC112" s="174">
        <f>'2018'!AC112+'2019'!AC112+'2020'!AC112+'2021'!AC112+'2022'!AC77</f>
        <v>39</v>
      </c>
      <c r="AD112" s="174">
        <f>'2018'!AD112+'2019'!AD112+'2020'!AD112+'2021'!AD112+'2022'!AD77</f>
        <v>0</v>
      </c>
      <c r="AE112" s="174">
        <f>'2018'!AE112+'2019'!AE112+'2020'!AE112+'2021'!AE112+'2022'!AE77</f>
        <v>1</v>
      </c>
      <c r="AF112" s="174">
        <f>'2018'!AF112+'2019'!AF112+'2020'!AF112+'2021'!AF112+'2022'!AF77</f>
        <v>247</v>
      </c>
      <c r="AG112" s="174">
        <f>'2018'!AG112+'2019'!AG112+'2020'!AG112+'2021'!AG112+'2022'!AG77</f>
        <v>0</v>
      </c>
      <c r="AH112" s="174">
        <f>'2018'!AH112+'2019'!AH112+'2020'!AH112+'2021'!AH112+'2022'!AH77</f>
        <v>13</v>
      </c>
      <c r="AI112" s="174">
        <f>'2018'!AI112+'2019'!AI112+'2020'!AI112+'2021'!AI112+'2022'!AI77</f>
        <v>14</v>
      </c>
      <c r="AJ112" s="174">
        <f>'2018'!AJ112+'2019'!AJ112+'2020'!AJ112+'2021'!AJ112+'2022'!AJ77</f>
        <v>7</v>
      </c>
      <c r="AK112" s="174">
        <f>'2018'!AK112+'2019'!AK112+'2020'!AK112+'2021'!AK112+'2022'!AK77</f>
        <v>0</v>
      </c>
      <c r="AL112" s="174">
        <f>'2018'!AL112+'2019'!AL112+'2020'!AL112+'2021'!AL112+'2022'!AL77</f>
        <v>5</v>
      </c>
      <c r="AM112" s="174">
        <f>'2018'!AM112+'2019'!AM112+'2020'!AM112+'2021'!AM112+'2022'!AM77</f>
        <v>0</v>
      </c>
      <c r="AN112" s="174">
        <f>'2018'!AN112+'2019'!AN112+'2020'!AN112+'2021'!AN112+'2022'!AN77</f>
        <v>0</v>
      </c>
      <c r="AO112" s="174">
        <f>'2018'!AO112+'2019'!AO112+'2020'!AO112+'2021'!AO112+'2022'!AO77</f>
        <v>0</v>
      </c>
      <c r="AP112" s="174">
        <f>'2018'!AP112+'2019'!AP112+'2020'!AP112+'2021'!AP112+'2022'!AP77</f>
        <v>2</v>
      </c>
      <c r="AQ112" s="174">
        <f>'2018'!AQ112+'2019'!AQ112+'2020'!AQ112+'2021'!AQ112+'2022'!AQ77</f>
        <v>1</v>
      </c>
      <c r="AR112" s="174">
        <f>'2018'!AR112+'2019'!AR112+'2020'!AR112+'2021'!AR112+'2022'!AR77</f>
        <v>0</v>
      </c>
      <c r="AS112" s="174">
        <f>'2018'!AS112+'2019'!AS112+'2020'!AS112+'2021'!AS112+'2022'!AS77</f>
        <v>5</v>
      </c>
      <c r="AT112" s="174">
        <f>'2018'!AT112+'2019'!AT112+'2020'!AT112+'2021'!AT112+'2022'!AT77</f>
        <v>76</v>
      </c>
      <c r="AU112" s="174">
        <f>'2018'!AU112+'2019'!AU112+'2020'!AU112+'2021'!AU112+'2022'!AU77</f>
        <v>0</v>
      </c>
      <c r="AV112" s="174">
        <f>'2018'!AV112+'2019'!AV112+'2020'!AV112+'2021'!AV112+'2022'!AV77</f>
        <v>0</v>
      </c>
      <c r="AW112" s="174">
        <f t="shared" si="15"/>
        <v>371</v>
      </c>
      <c r="AX112" s="156">
        <f t="shared" si="16"/>
        <v>1064.1890714285714</v>
      </c>
      <c r="AY112" s="14">
        <f>'2018'!AX112+'2019'!AX112+'2020'!AX112+'2021'!AX112+'2022'!AX77</f>
        <v>5320.9453571428576</v>
      </c>
      <c r="AZ112" s="14">
        <f t="shared" si="21"/>
        <v>61.120263591433279</v>
      </c>
      <c r="BA112" s="142"/>
      <c r="BB112" s="144"/>
      <c r="BC112" s="142"/>
    </row>
    <row r="113" spans="1:54" s="142" customFormat="1" x14ac:dyDescent="0.25">
      <c r="A113" s="175" t="s">
        <v>194</v>
      </c>
      <c r="B113" s="176">
        <f>'2018'!B113+'2019'!B113+'2020'!B113+'2021'!B113+'2022'!B78</f>
        <v>898</v>
      </c>
      <c r="C113" s="176">
        <f>'2018'!C113+'2019'!C113+'2020'!C113+'2021'!C113+'2022'!C78</f>
        <v>5</v>
      </c>
      <c r="D113" s="176">
        <f>'2018'!D113+'2019'!D113+'2020'!D113+'2021'!D113+'2022'!D78</f>
        <v>4832</v>
      </c>
      <c r="E113" s="176">
        <f>'2018'!E113+'2019'!E113+'2020'!E113+'2021'!E113+'2022'!E78</f>
        <v>4</v>
      </c>
      <c r="F113" s="176">
        <f>'2018'!F113+'2019'!F113+'2020'!F113+'2021'!F113+'2022'!F78</f>
        <v>16</v>
      </c>
      <c r="G113" s="176">
        <f>'2018'!G113+'2019'!G113+'2020'!G113+'2021'!G113+'2022'!G78</f>
        <v>12</v>
      </c>
      <c r="H113" s="176">
        <f>'2018'!H113+'2019'!H113+'2020'!H113+'2021'!H113+'2022'!H78</f>
        <v>4099</v>
      </c>
      <c r="I113" s="176">
        <f>'2018'!I113+'2019'!I113+'2020'!I113+'2021'!I113+'2022'!I78</f>
        <v>18</v>
      </c>
      <c r="J113" s="176">
        <f>'2018'!J113+'2019'!J113+'2020'!J113+'2021'!J113+'2022'!J78</f>
        <v>18</v>
      </c>
      <c r="K113" s="176">
        <f>'2018'!K113+'2019'!K113+'2020'!K113+'2021'!K113+'2022'!K78</f>
        <v>493</v>
      </c>
      <c r="L113" s="176">
        <f>'2018'!L113+'2019'!L113+'2020'!L113+'2021'!L113+'2022'!L78</f>
        <v>82</v>
      </c>
      <c r="M113" s="176">
        <f>'2018'!M113+'2019'!M113+'2020'!M113+'2021'!M113+'2022'!M78</f>
        <v>9</v>
      </c>
      <c r="N113" s="176">
        <f>'2018'!N113+'2019'!N113+'2020'!N113+'2021'!N113+'2022'!N78</f>
        <v>0</v>
      </c>
      <c r="O113" s="176">
        <f>'2018'!O113+'2019'!O113+'2020'!O113+'2021'!O113+'2022'!O78</f>
        <v>0</v>
      </c>
      <c r="P113" s="176">
        <f>'2018'!P113+'2019'!P113+'2020'!P113+'2021'!P113+'2022'!P78</f>
        <v>4</v>
      </c>
      <c r="Q113" s="176">
        <f>'2018'!Q113+'2019'!Q113+'2020'!Q113+'2021'!Q113+'2022'!Q78</f>
        <v>0</v>
      </c>
      <c r="R113" s="176">
        <f>'2018'!R113+'2019'!R113+'2020'!R113+'2021'!R113+'2022'!R78</f>
        <v>29</v>
      </c>
      <c r="S113" s="176">
        <f>'2018'!S113+'2019'!S113+'2020'!S113+'2021'!S113+'2022'!S78</f>
        <v>34</v>
      </c>
      <c r="T113" s="176">
        <f>'2018'!T113+'2019'!T113+'2020'!T113+'2021'!T113+'2022'!T78</f>
        <v>0</v>
      </c>
      <c r="U113" s="176">
        <f>'2018'!U113+'2019'!U113+'2020'!U113+'2021'!U113+'2022'!U78</f>
        <v>6</v>
      </c>
      <c r="V113" s="176">
        <f>'2018'!V113+'2019'!V113+'2020'!V113+'2021'!V113+'2022'!V78</f>
        <v>2</v>
      </c>
      <c r="W113" s="176">
        <f>'2018'!W113+'2019'!W113+'2020'!W113+'2021'!W113+'2022'!W78</f>
        <v>0</v>
      </c>
      <c r="X113" s="176">
        <f>'2018'!X113+'2019'!X113+'2020'!X113+'2021'!X113+'2022'!X78</f>
        <v>10</v>
      </c>
      <c r="Y113" s="174">
        <f t="shared" si="14"/>
        <v>4832</v>
      </c>
      <c r="Z113" s="174">
        <f>'2018'!Z113+'2019'!Z113+'2020'!Z113+'2021'!Z113+'2022'!Z78</f>
        <v>801</v>
      </c>
      <c r="AA113" s="174">
        <f>'2018'!AA113+'2019'!AA113+'2020'!AA113+'2021'!AA113+'2022'!AA78</f>
        <v>4</v>
      </c>
      <c r="AB113" s="174">
        <f>'2018'!AB113+'2019'!AB113+'2020'!AB113+'2021'!AB113+'2022'!AB78</f>
        <v>3664</v>
      </c>
      <c r="AC113" s="174">
        <f>'2018'!AC113+'2019'!AC113+'2020'!AC113+'2021'!AC113+'2022'!AC78</f>
        <v>5</v>
      </c>
      <c r="AD113" s="174">
        <f>'2018'!AD113+'2019'!AD113+'2020'!AD113+'2021'!AD113+'2022'!AD78</f>
        <v>16</v>
      </c>
      <c r="AE113" s="174">
        <f>'2018'!AE113+'2019'!AE113+'2020'!AE113+'2021'!AE113+'2022'!AE78</f>
        <v>10</v>
      </c>
      <c r="AF113" s="174">
        <f>'2018'!AF113+'2019'!AF113+'2020'!AF113+'2021'!AF113+'2022'!AF78</f>
        <v>3233</v>
      </c>
      <c r="AG113" s="174">
        <f>'2018'!AG113+'2019'!AG113+'2020'!AG113+'2021'!AG113+'2022'!AG78</f>
        <v>15</v>
      </c>
      <c r="AH113" s="174">
        <f>'2018'!AH113+'2019'!AH113+'2020'!AH113+'2021'!AH113+'2022'!AH78</f>
        <v>11</v>
      </c>
      <c r="AI113" s="174">
        <f>'2018'!AI113+'2019'!AI113+'2020'!AI113+'2021'!AI113+'2022'!AI78</f>
        <v>279</v>
      </c>
      <c r="AJ113" s="174">
        <f>'2018'!AJ113+'2019'!AJ113+'2020'!AJ113+'2021'!AJ113+'2022'!AJ78</f>
        <v>45</v>
      </c>
      <c r="AK113" s="174">
        <f>'2018'!AK113+'2019'!AK113+'2020'!AK113+'2021'!AK113+'2022'!AK78</f>
        <v>9</v>
      </c>
      <c r="AL113" s="174">
        <f>'2018'!AL113+'2019'!AL113+'2020'!AL113+'2021'!AL113+'2022'!AL78</f>
        <v>0</v>
      </c>
      <c r="AM113" s="174">
        <f>'2018'!AM113+'2019'!AM113+'2020'!AM113+'2021'!AM113+'2022'!AM78</f>
        <v>0</v>
      </c>
      <c r="AN113" s="174">
        <f>'2018'!AN113+'2019'!AN113+'2020'!AN113+'2021'!AN113+'2022'!AN78</f>
        <v>0</v>
      </c>
      <c r="AO113" s="174">
        <f>'2018'!AO113+'2019'!AO113+'2020'!AO113+'2021'!AO113+'2022'!AO78</f>
        <v>0</v>
      </c>
      <c r="AP113" s="174">
        <f>'2018'!AP113+'2019'!AP113+'2020'!AP113+'2021'!AP113+'2022'!AP78</f>
        <v>19</v>
      </c>
      <c r="AQ113" s="174">
        <f>'2018'!AQ113+'2019'!AQ113+'2020'!AQ113+'2021'!AQ113+'2022'!AQ78</f>
        <v>16</v>
      </c>
      <c r="AR113" s="174">
        <f>'2018'!AR113+'2019'!AR113+'2020'!AR113+'2021'!AR113+'2022'!AR78</f>
        <v>0</v>
      </c>
      <c r="AS113" s="174">
        <f>'2018'!AS113+'2019'!AS113+'2020'!AS113+'2021'!AS113+'2022'!AS78</f>
        <v>9</v>
      </c>
      <c r="AT113" s="174">
        <f>'2018'!AT113+'2019'!AT113+'2020'!AT113+'2021'!AT113+'2022'!AT78</f>
        <v>2</v>
      </c>
      <c r="AU113" s="174">
        <f>'2018'!AU113+'2019'!AU113+'2020'!AU113+'2021'!AU113+'2022'!AU78</f>
        <v>0</v>
      </c>
      <c r="AV113" s="174">
        <f>'2018'!AV113+'2019'!AV113+'2020'!AV113+'2021'!AV113+'2022'!AV78</f>
        <v>0</v>
      </c>
      <c r="AW113" s="174">
        <f t="shared" si="15"/>
        <v>3664</v>
      </c>
      <c r="AX113" s="156">
        <f t="shared" si="16"/>
        <v>2117.1775486542442</v>
      </c>
      <c r="AY113" s="14">
        <f>'2018'!AX113+'2019'!AX113+'2020'!AX113+'2021'!AX113+'2022'!AX78</f>
        <v>10585.887743271222</v>
      </c>
      <c r="AZ113" s="14">
        <f t="shared" si="21"/>
        <v>75.827814569536429</v>
      </c>
      <c r="BB113" s="144"/>
    </row>
    <row r="114" spans="1:54" s="142" customFormat="1" x14ac:dyDescent="0.25">
      <c r="A114" s="175" t="s">
        <v>195</v>
      </c>
      <c r="B114" s="176">
        <f>'2018'!B114+'2019'!B114+'2020'!B114+'2021'!B114+'2022'!B79</f>
        <v>20</v>
      </c>
      <c r="C114" s="176">
        <f>'2018'!C114+'2019'!C114+'2020'!C114+'2021'!C114+'2022'!C79</f>
        <v>0</v>
      </c>
      <c r="D114" s="176">
        <f>'2018'!D114+'2019'!D114+'2020'!D114+'2021'!D114+'2022'!D79</f>
        <v>44</v>
      </c>
      <c r="E114" s="176">
        <f>'2018'!E114+'2019'!E114+'2020'!E114+'2021'!E114+'2022'!E79</f>
        <v>0</v>
      </c>
      <c r="F114" s="176">
        <f>'2018'!F114+'2019'!F114+'2020'!F114+'2021'!F114+'2022'!F79</f>
        <v>0</v>
      </c>
      <c r="G114" s="176">
        <f>'2018'!G114+'2019'!G114+'2020'!G114+'2021'!G114+'2022'!G79</f>
        <v>0</v>
      </c>
      <c r="H114" s="176">
        <f>'2018'!H114+'2019'!H114+'2020'!H114+'2021'!H114+'2022'!H79</f>
        <v>31</v>
      </c>
      <c r="I114" s="176">
        <f>'2018'!I114+'2019'!I114+'2020'!I114+'2021'!I114+'2022'!I79</f>
        <v>0</v>
      </c>
      <c r="J114" s="176">
        <f>'2018'!J114+'2019'!J114+'2020'!J114+'2021'!J114+'2022'!J79</f>
        <v>0</v>
      </c>
      <c r="K114" s="176">
        <f>'2018'!K114+'2019'!K114+'2020'!K114+'2021'!K114+'2022'!K79</f>
        <v>5</v>
      </c>
      <c r="L114" s="176">
        <f>'2018'!L114+'2019'!L114+'2020'!L114+'2021'!L114+'2022'!L79</f>
        <v>2</v>
      </c>
      <c r="M114" s="176">
        <f>'2018'!M114+'2019'!M114+'2020'!M114+'2021'!M114+'2022'!M79</f>
        <v>0</v>
      </c>
      <c r="N114" s="176">
        <f>'2018'!N114+'2019'!N114+'2020'!N114+'2021'!N114+'2022'!N79</f>
        <v>0</v>
      </c>
      <c r="O114" s="176">
        <f>'2018'!O114+'2019'!O114+'2020'!O114+'2021'!O114+'2022'!O79</f>
        <v>4</v>
      </c>
      <c r="P114" s="176">
        <f>'2018'!P114+'2019'!P114+'2020'!P114+'2021'!P114+'2022'!P79</f>
        <v>0</v>
      </c>
      <c r="Q114" s="176">
        <f>'2018'!Q114+'2019'!Q114+'2020'!Q114+'2021'!Q114+'2022'!Q79</f>
        <v>0</v>
      </c>
      <c r="R114" s="176">
        <f>'2018'!R114+'2019'!R114+'2020'!R114+'2021'!R114+'2022'!R79</f>
        <v>0</v>
      </c>
      <c r="S114" s="176">
        <f>'2018'!S114+'2019'!S114+'2020'!S114+'2021'!S114+'2022'!S79</f>
        <v>0</v>
      </c>
      <c r="T114" s="176">
        <f>'2018'!T114+'2019'!T114+'2020'!T114+'2021'!T114+'2022'!T79</f>
        <v>0</v>
      </c>
      <c r="U114" s="176">
        <f>'2018'!U114+'2019'!U114+'2020'!U114+'2021'!U114+'2022'!U79</f>
        <v>0</v>
      </c>
      <c r="V114" s="176">
        <f>'2018'!V114+'2019'!V114+'2020'!V114+'2021'!V114+'2022'!V79</f>
        <v>0</v>
      </c>
      <c r="W114" s="176">
        <f>'2018'!W114+'2019'!W114+'2020'!W114+'2021'!W114+'2022'!W79</f>
        <v>0</v>
      </c>
      <c r="X114" s="176">
        <f>'2018'!X114+'2019'!X114+'2020'!X114+'2021'!X114+'2022'!X79</f>
        <v>2</v>
      </c>
      <c r="Y114" s="174">
        <f t="shared" si="14"/>
        <v>44</v>
      </c>
      <c r="Z114" s="174">
        <f>'2018'!Z114+'2019'!Z114+'2020'!Z114+'2021'!Z114+'2022'!Z79</f>
        <v>10</v>
      </c>
      <c r="AA114" s="174">
        <f>'2018'!AA114+'2019'!AA114+'2020'!AA114+'2021'!AA114+'2022'!AA79</f>
        <v>0</v>
      </c>
      <c r="AB114" s="174">
        <f>'2018'!AB114+'2019'!AB114+'2020'!AB114+'2021'!AB114+'2022'!AB79</f>
        <v>23</v>
      </c>
      <c r="AC114" s="174">
        <f>'2018'!AC114+'2019'!AC114+'2020'!AC114+'2021'!AC114+'2022'!AC79</f>
        <v>0</v>
      </c>
      <c r="AD114" s="174">
        <f>'2018'!AD114+'2019'!AD114+'2020'!AD114+'2021'!AD114+'2022'!AD79</f>
        <v>0</v>
      </c>
      <c r="AE114" s="174">
        <f>'2018'!AE114+'2019'!AE114+'2020'!AE114+'2021'!AE114+'2022'!AE79</f>
        <v>0</v>
      </c>
      <c r="AF114" s="174">
        <f>'2018'!AF114+'2019'!AF114+'2020'!AF114+'2021'!AF114+'2022'!AF79</f>
        <v>18</v>
      </c>
      <c r="AG114" s="174">
        <f>'2018'!AG114+'2019'!AG114+'2020'!AG114+'2021'!AG114+'2022'!AG79</f>
        <v>0</v>
      </c>
      <c r="AH114" s="174">
        <f>'2018'!AH114+'2019'!AH114+'2020'!AH114+'2021'!AH114+'2022'!AH79</f>
        <v>0</v>
      </c>
      <c r="AI114" s="174">
        <f>'2018'!AI114+'2019'!AI114+'2020'!AI114+'2021'!AI114+'2022'!AI79</f>
        <v>1</v>
      </c>
      <c r="AJ114" s="174">
        <f>'2018'!AJ114+'2019'!AJ114+'2020'!AJ114+'2021'!AJ114+'2022'!AJ79</f>
        <v>1</v>
      </c>
      <c r="AK114" s="174">
        <f>'2018'!AK114+'2019'!AK114+'2020'!AK114+'2021'!AK114+'2022'!AK79</f>
        <v>0</v>
      </c>
      <c r="AL114" s="174">
        <f>'2018'!AL114+'2019'!AL114+'2020'!AL114+'2021'!AL114+'2022'!AL79</f>
        <v>0</v>
      </c>
      <c r="AM114" s="174">
        <f>'2018'!AM114+'2019'!AM114+'2020'!AM114+'2021'!AM114+'2022'!AM79</f>
        <v>2</v>
      </c>
      <c r="AN114" s="174">
        <f>'2018'!AN114+'2019'!AN114+'2020'!AN114+'2021'!AN114+'2022'!AN79</f>
        <v>0</v>
      </c>
      <c r="AO114" s="174">
        <f>'2018'!AO114+'2019'!AO114+'2020'!AO114+'2021'!AO114+'2022'!AO79</f>
        <v>0</v>
      </c>
      <c r="AP114" s="174">
        <f>'2018'!AP114+'2019'!AP114+'2020'!AP114+'2021'!AP114+'2022'!AP79</f>
        <v>0</v>
      </c>
      <c r="AQ114" s="174">
        <f>'2018'!AQ114+'2019'!AQ114+'2020'!AQ114+'2021'!AQ114+'2022'!AQ79</f>
        <v>0</v>
      </c>
      <c r="AR114" s="174">
        <f>'2018'!AR114+'2019'!AR114+'2020'!AR114+'2021'!AR114+'2022'!AR79</f>
        <v>0</v>
      </c>
      <c r="AS114" s="174">
        <f>'2018'!AS114+'2019'!AS114+'2020'!AS114+'2021'!AS114+'2022'!AS79</f>
        <v>0</v>
      </c>
      <c r="AT114" s="174">
        <f>'2018'!AT114+'2019'!AT114+'2020'!AT114+'2021'!AT114+'2022'!AT79</f>
        <v>0</v>
      </c>
      <c r="AU114" s="174">
        <f>'2018'!AU114+'2019'!AU114+'2020'!AU114+'2021'!AU114+'2022'!AU79</f>
        <v>0</v>
      </c>
      <c r="AV114" s="174">
        <f>'2018'!AV114+'2019'!AV114+'2020'!AV114+'2021'!AV114+'2022'!AV79</f>
        <v>1</v>
      </c>
      <c r="AW114" s="174">
        <f t="shared" si="15"/>
        <v>23</v>
      </c>
      <c r="AX114" s="156">
        <f t="shared" si="16"/>
        <v>2529.8332</v>
      </c>
      <c r="AY114" s="14">
        <f>'2018'!AX114+'2019'!AX114+'2020'!AX114+'2021'!AX114+'2022'!AX79</f>
        <v>12649.166000000001</v>
      </c>
      <c r="AZ114" s="14">
        <f t="shared" si="21"/>
        <v>52.272727272727273</v>
      </c>
      <c r="BB114" s="144"/>
    </row>
    <row r="115" spans="1:54" s="142" customFormat="1" x14ac:dyDescent="0.25">
      <c r="A115" s="175" t="s">
        <v>196</v>
      </c>
      <c r="B115" s="176">
        <f>'2018'!B115+'2019'!B115+'2020'!B115+'2021'!B115+'2022'!B80</f>
        <v>111</v>
      </c>
      <c r="C115" s="176">
        <f>'2018'!C115+'2019'!C115+'2020'!C115+'2021'!C115+'2022'!C80</f>
        <v>11</v>
      </c>
      <c r="D115" s="176">
        <f>'2018'!D115+'2019'!D115+'2020'!D115+'2021'!D115+'2022'!D80</f>
        <v>449</v>
      </c>
      <c r="E115" s="176">
        <f>'2018'!E115+'2019'!E115+'2020'!E115+'2021'!E115+'2022'!E80</f>
        <v>100</v>
      </c>
      <c r="F115" s="176">
        <f>'2018'!F115+'2019'!F115+'2020'!F115+'2021'!F115+'2022'!F80</f>
        <v>0</v>
      </c>
      <c r="G115" s="176">
        <f>'2018'!G115+'2019'!G115+'2020'!G115+'2021'!G115+'2022'!G80</f>
        <v>0</v>
      </c>
      <c r="H115" s="176">
        <f>'2018'!H115+'2019'!H115+'2020'!H115+'2021'!H115+'2022'!H80</f>
        <v>254</v>
      </c>
      <c r="I115" s="176">
        <f>'2018'!I115+'2019'!I115+'2020'!I115+'2021'!I115+'2022'!I80</f>
        <v>0</v>
      </c>
      <c r="J115" s="176">
        <f>'2018'!J115+'2019'!J115+'2020'!J115+'2021'!J115+'2022'!J80</f>
        <v>9</v>
      </c>
      <c r="K115" s="176">
        <f>'2018'!K115+'2019'!K115+'2020'!K115+'2021'!K115+'2022'!K80</f>
        <v>9</v>
      </c>
      <c r="L115" s="176">
        <f>'2018'!L115+'2019'!L115+'2020'!L115+'2021'!L115+'2022'!L80</f>
        <v>0</v>
      </c>
      <c r="M115" s="176">
        <f>'2018'!M115+'2019'!M115+'2020'!M115+'2021'!M115+'2022'!M80</f>
        <v>4</v>
      </c>
      <c r="N115" s="176">
        <f>'2018'!N115+'2019'!N115+'2020'!N115+'2021'!N115+'2022'!N80</f>
        <v>4</v>
      </c>
      <c r="O115" s="176">
        <f>'2018'!O115+'2019'!O115+'2020'!O115+'2021'!O115+'2022'!O80</f>
        <v>2</v>
      </c>
      <c r="P115" s="176">
        <f>'2018'!P115+'2019'!P115+'2020'!P115+'2021'!P115+'2022'!P80</f>
        <v>27</v>
      </c>
      <c r="Q115" s="176">
        <f>'2018'!Q115+'2019'!Q115+'2020'!Q115+'2021'!Q115+'2022'!Q80</f>
        <v>0</v>
      </c>
      <c r="R115" s="176">
        <f>'2018'!R115+'2019'!R115+'2020'!R115+'2021'!R115+'2022'!R80</f>
        <v>7</v>
      </c>
      <c r="S115" s="176">
        <f>'2018'!S115+'2019'!S115+'2020'!S115+'2021'!S115+'2022'!S80</f>
        <v>0</v>
      </c>
      <c r="T115" s="176">
        <f>'2018'!T115+'2019'!T115+'2020'!T115+'2021'!T115+'2022'!T80</f>
        <v>72</v>
      </c>
      <c r="U115" s="176">
        <f>'2018'!U115+'2019'!U115+'2020'!U115+'2021'!U115+'2022'!U80</f>
        <v>4</v>
      </c>
      <c r="V115" s="176">
        <f>'2018'!V115+'2019'!V115+'2020'!V115+'2021'!V115+'2022'!V80</f>
        <v>50</v>
      </c>
      <c r="W115" s="176">
        <f>'2018'!W115+'2019'!W115+'2020'!W115+'2021'!W115+'2022'!W80</f>
        <v>2</v>
      </c>
      <c r="X115" s="176">
        <f>'2018'!X115+'2019'!X115+'2020'!X115+'2021'!X115+'2022'!X80</f>
        <v>5</v>
      </c>
      <c r="Y115" s="174">
        <f t="shared" si="14"/>
        <v>449</v>
      </c>
      <c r="Z115" s="174">
        <f>'2018'!Z115+'2019'!Z115+'2020'!Z115+'2021'!Z115+'2022'!Z80</f>
        <v>64</v>
      </c>
      <c r="AA115" s="174">
        <f>'2018'!AA115+'2019'!AA115+'2020'!AA115+'2021'!AA115+'2022'!AA80</f>
        <v>5</v>
      </c>
      <c r="AB115" s="174">
        <f>'2018'!AB115+'2019'!AB115+'2020'!AB115+'2021'!AB115+'2022'!AB80</f>
        <v>283</v>
      </c>
      <c r="AC115" s="174">
        <f>'2018'!AC115+'2019'!AC115+'2020'!AC115+'2021'!AC115+'2022'!AC80</f>
        <v>18</v>
      </c>
      <c r="AD115" s="174">
        <f>'2018'!AD115+'2019'!AD115+'2020'!AD115+'2021'!AD115+'2022'!AD80</f>
        <v>0</v>
      </c>
      <c r="AE115" s="174">
        <f>'2018'!AE115+'2019'!AE115+'2020'!AE115+'2021'!AE115+'2022'!AE80</f>
        <v>0</v>
      </c>
      <c r="AF115" s="174">
        <f>'2018'!AF115+'2019'!AF115+'2020'!AF115+'2021'!AF115+'2022'!AF80</f>
        <v>185</v>
      </c>
      <c r="AG115" s="174">
        <f>'2018'!AG115+'2019'!AG115+'2020'!AG115+'2021'!AG115+'2022'!AG80</f>
        <v>0</v>
      </c>
      <c r="AH115" s="174">
        <f>'2018'!AH115+'2019'!AH115+'2020'!AH115+'2021'!AH115+'2022'!AH80</f>
        <v>7</v>
      </c>
      <c r="AI115" s="174">
        <f>'2018'!AI115+'2019'!AI115+'2020'!AI115+'2021'!AI115+'2022'!AI80</f>
        <v>12</v>
      </c>
      <c r="AJ115" s="174">
        <f>'2018'!AJ115+'2019'!AJ115+'2020'!AJ115+'2021'!AJ115+'2022'!AJ80</f>
        <v>0</v>
      </c>
      <c r="AK115" s="174">
        <f>'2018'!AK115+'2019'!AK115+'2020'!AK115+'2021'!AK115+'2022'!AK80</f>
        <v>0</v>
      </c>
      <c r="AL115" s="174">
        <f>'2018'!AL115+'2019'!AL115+'2020'!AL115+'2021'!AL115+'2022'!AL80</f>
        <v>3</v>
      </c>
      <c r="AM115" s="174">
        <f>'2018'!AM115+'2019'!AM115+'2020'!AM115+'2021'!AM115+'2022'!AM80</f>
        <v>1</v>
      </c>
      <c r="AN115" s="174">
        <f>'2018'!AN115+'2019'!AN115+'2020'!AN115+'2021'!AN115+'2022'!AN80</f>
        <v>27</v>
      </c>
      <c r="AO115" s="174">
        <f>'2018'!AO115+'2019'!AO115+'2020'!AO115+'2021'!AO115+'2022'!AO80</f>
        <v>0</v>
      </c>
      <c r="AP115" s="174">
        <f>'2018'!AP115+'2019'!AP115+'2020'!AP115+'2021'!AP115+'2022'!AP80</f>
        <v>8</v>
      </c>
      <c r="AQ115" s="174">
        <f>'2018'!AQ115+'2019'!AQ115+'2020'!AQ115+'2021'!AQ115+'2022'!AQ80</f>
        <v>0</v>
      </c>
      <c r="AR115" s="174">
        <f>'2018'!AR115+'2019'!AR115+'2020'!AR115+'2021'!AR115+'2022'!AR80</f>
        <v>12</v>
      </c>
      <c r="AS115" s="174">
        <f>'2018'!AS115+'2019'!AS115+'2020'!AS115+'2021'!AS115+'2022'!AS80</f>
        <v>4</v>
      </c>
      <c r="AT115" s="174">
        <f>'2018'!AT115+'2019'!AT115+'2020'!AT115+'2021'!AT115+'2022'!AT80</f>
        <v>22</v>
      </c>
      <c r="AU115" s="174">
        <f>'2018'!AU115+'2019'!AU115+'2020'!AU115+'2021'!AU115+'2022'!AU80</f>
        <v>2</v>
      </c>
      <c r="AV115" s="174">
        <f>'2018'!AV115+'2019'!AV115+'2020'!AV115+'2021'!AV115+'2022'!AV80</f>
        <v>0</v>
      </c>
      <c r="AW115" s="174">
        <f t="shared" si="15"/>
        <v>283</v>
      </c>
      <c r="AX115" s="156">
        <f t="shared" si="16"/>
        <v>1625.0237333333334</v>
      </c>
      <c r="AY115" s="14">
        <f>'2018'!AX115+'2019'!AX115+'2020'!AX115+'2021'!AX115+'2022'!AX80</f>
        <v>8125.1186666666672</v>
      </c>
      <c r="AZ115" s="14">
        <f t="shared" si="21"/>
        <v>63.028953229398667</v>
      </c>
      <c r="BB115" s="144"/>
    </row>
    <row r="116" spans="1:54" s="142" customFormat="1" x14ac:dyDescent="0.25">
      <c r="A116" s="175" t="s">
        <v>197</v>
      </c>
      <c r="B116" s="176">
        <f>'2018'!B116+'2019'!B116+'2020'!B116+'2021'!B116+'2022'!B81</f>
        <v>35</v>
      </c>
      <c r="C116" s="176">
        <f>'2018'!C116+'2019'!C116+'2020'!C116+'2021'!C116+'2022'!C81</f>
        <v>6</v>
      </c>
      <c r="D116" s="176">
        <f>'2018'!D116+'2019'!D116+'2020'!D116+'2021'!D116+'2022'!D81</f>
        <v>72</v>
      </c>
      <c r="E116" s="176">
        <f>'2018'!E116+'2019'!E116+'2020'!E116+'2021'!E116+'2022'!E81</f>
        <v>16</v>
      </c>
      <c r="F116" s="176">
        <f>'2018'!F116+'2019'!F116+'2020'!F116+'2021'!F116+'2022'!F81</f>
        <v>0</v>
      </c>
      <c r="G116" s="176">
        <f>'2018'!G116+'2019'!G116+'2020'!G116+'2021'!G116+'2022'!G81</f>
        <v>0</v>
      </c>
      <c r="H116" s="176">
        <f>'2018'!H116+'2019'!H116+'2020'!H116+'2021'!H116+'2022'!H81</f>
        <v>27</v>
      </c>
      <c r="I116" s="176">
        <f>'2018'!I116+'2019'!I116+'2020'!I116+'2021'!I116+'2022'!I81</f>
        <v>0</v>
      </c>
      <c r="J116" s="176">
        <f>'2018'!J116+'2019'!J116+'2020'!J116+'2021'!J116+'2022'!J81</f>
        <v>0</v>
      </c>
      <c r="K116" s="176">
        <f>'2018'!K116+'2019'!K116+'2020'!K116+'2021'!K116+'2022'!K81</f>
        <v>0</v>
      </c>
      <c r="L116" s="176">
        <f>'2018'!L116+'2019'!L116+'2020'!L116+'2021'!L116+'2022'!L81</f>
        <v>15</v>
      </c>
      <c r="M116" s="176">
        <f>'2018'!M116+'2019'!M116+'2020'!M116+'2021'!M116+'2022'!M81</f>
        <v>3</v>
      </c>
      <c r="N116" s="176">
        <f>'2018'!N116+'2019'!N116+'2020'!N116+'2021'!N116+'2022'!N81</f>
        <v>1</v>
      </c>
      <c r="O116" s="176">
        <f>'2018'!O116+'2019'!O116+'2020'!O116+'2021'!O116+'2022'!O81</f>
        <v>4</v>
      </c>
      <c r="P116" s="176">
        <f>'2018'!P116+'2019'!P116+'2020'!P116+'2021'!P116+'2022'!P81</f>
        <v>0</v>
      </c>
      <c r="Q116" s="176">
        <f>'2018'!Q116+'2019'!Q116+'2020'!Q116+'2021'!Q116+'2022'!Q81</f>
        <v>6</v>
      </c>
      <c r="R116" s="176">
        <f>'2018'!R116+'2019'!R116+'2020'!R116+'2021'!R116+'2022'!R81</f>
        <v>2</v>
      </c>
      <c r="S116" s="176">
        <f>'2018'!S116+'2019'!S116+'2020'!S116+'2021'!S116+'2022'!S81</f>
        <v>3</v>
      </c>
      <c r="T116" s="176">
        <f>'2018'!T116+'2019'!T116+'2020'!T116+'2021'!T116+'2022'!T81</f>
        <v>0</v>
      </c>
      <c r="U116" s="176">
        <f>'2018'!U116+'2019'!U116+'2020'!U116+'2021'!U116+'2022'!U81</f>
        <v>10</v>
      </c>
      <c r="V116" s="176">
        <f>'2018'!V116+'2019'!V116+'2020'!V116+'2021'!V116+'2022'!V81</f>
        <v>1</v>
      </c>
      <c r="W116" s="176">
        <f>'2018'!W116+'2019'!W116+'2020'!W116+'2021'!W116+'2022'!W81</f>
        <v>0</v>
      </c>
      <c r="X116" s="176">
        <f>'2018'!X116+'2019'!X116+'2020'!X116+'2021'!X116+'2022'!X81</f>
        <v>0</v>
      </c>
      <c r="Y116" s="174">
        <f t="shared" si="14"/>
        <v>72</v>
      </c>
      <c r="Z116" s="174">
        <f>'2018'!Z116+'2019'!Z116+'2020'!Z116+'2021'!Z116+'2022'!Z81</f>
        <v>20</v>
      </c>
      <c r="AA116" s="174">
        <f>'2018'!AA116+'2019'!AA116+'2020'!AA116+'2021'!AA116+'2022'!AA81</f>
        <v>5</v>
      </c>
      <c r="AB116" s="174">
        <f>'2018'!AB116+'2019'!AB116+'2020'!AB116+'2021'!AB116+'2022'!AB81</f>
        <v>41</v>
      </c>
      <c r="AC116" s="174">
        <f>'2018'!AC116+'2019'!AC116+'2020'!AC116+'2021'!AC116+'2022'!AC81</f>
        <v>9</v>
      </c>
      <c r="AD116" s="174">
        <f>'2018'!AD116+'2019'!AD116+'2020'!AD116+'2021'!AD116+'2022'!AD81</f>
        <v>0</v>
      </c>
      <c r="AE116" s="174">
        <f>'2018'!AE116+'2019'!AE116+'2020'!AE116+'2021'!AE116+'2022'!AE81</f>
        <v>0</v>
      </c>
      <c r="AF116" s="174">
        <f>'2018'!AF116+'2019'!AF116+'2020'!AF116+'2021'!AF116+'2022'!AF81</f>
        <v>19</v>
      </c>
      <c r="AG116" s="174">
        <f>'2018'!AG116+'2019'!AG116+'2020'!AG116+'2021'!AG116+'2022'!AG81</f>
        <v>0</v>
      </c>
      <c r="AH116" s="174">
        <f>'2018'!AH116+'2019'!AH116+'2020'!AH116+'2021'!AH116+'2022'!AH81</f>
        <v>0</v>
      </c>
      <c r="AI116" s="174">
        <f>'2018'!AI116+'2019'!AI116+'2020'!AI116+'2021'!AI116+'2022'!AI81</f>
        <v>0</v>
      </c>
      <c r="AJ116" s="174">
        <f>'2018'!AJ116+'2019'!AJ116+'2020'!AJ116+'2021'!AJ116+'2022'!AJ81</f>
        <v>3</v>
      </c>
      <c r="AK116" s="174">
        <f>'2018'!AK116+'2019'!AK116+'2020'!AK116+'2021'!AK116+'2022'!AK81</f>
        <v>2</v>
      </c>
      <c r="AL116" s="174">
        <f>'2018'!AL116+'2019'!AL116+'2020'!AL116+'2021'!AL116+'2022'!AL81</f>
        <v>0</v>
      </c>
      <c r="AM116" s="174">
        <f>'2018'!AM116+'2019'!AM116+'2020'!AM116+'2021'!AM116+'2022'!AM81</f>
        <v>2</v>
      </c>
      <c r="AN116" s="174">
        <f>'2018'!AN116+'2019'!AN116+'2020'!AN116+'2021'!AN116+'2022'!AN81</f>
        <v>0</v>
      </c>
      <c r="AO116" s="174">
        <f>'2018'!AO116+'2019'!AO116+'2020'!AO116+'2021'!AO116+'2022'!AO81</f>
        <v>6</v>
      </c>
      <c r="AP116" s="174">
        <f>'2018'!AP116+'2019'!AP116+'2020'!AP116+'2021'!AP116+'2022'!AP81</f>
        <v>2</v>
      </c>
      <c r="AQ116" s="174">
        <f>'2018'!AQ116+'2019'!AQ116+'2020'!AQ116+'2021'!AQ116+'2022'!AQ81</f>
        <v>1</v>
      </c>
      <c r="AR116" s="174">
        <f>'2018'!AR116+'2019'!AR116+'2020'!AR116+'2021'!AR116+'2022'!AR81</f>
        <v>0</v>
      </c>
      <c r="AS116" s="174">
        <f>'2018'!AS116+'2019'!AS116+'2020'!AS116+'2021'!AS116+'2022'!AS81</f>
        <v>6</v>
      </c>
      <c r="AT116" s="174">
        <f>'2018'!AT116+'2019'!AT116+'2020'!AT116+'2021'!AT116+'2022'!AT81</f>
        <v>0</v>
      </c>
      <c r="AU116" s="174">
        <f>'2018'!AU116+'2019'!AU116+'2020'!AU116+'2021'!AU116+'2022'!AU81</f>
        <v>0</v>
      </c>
      <c r="AV116" s="174">
        <f>'2018'!AV116+'2019'!AV116+'2020'!AV116+'2021'!AV116+'2022'!AV81</f>
        <v>0</v>
      </c>
      <c r="AW116" s="174">
        <f t="shared" si="15"/>
        <v>41</v>
      </c>
      <c r="AX116" s="156">
        <f t="shared" si="16"/>
        <v>2726.1952499999998</v>
      </c>
      <c r="AY116" s="14">
        <f>'2018'!AX116+'2019'!AX116+'2020'!AX116+'2021'!AX116+'2022'!AX81</f>
        <v>13630.97625</v>
      </c>
      <c r="AZ116" s="14">
        <f t="shared" si="21"/>
        <v>56.944444444444443</v>
      </c>
      <c r="BB116" s="144"/>
    </row>
    <row r="117" spans="1:54" s="142" customFormat="1" x14ac:dyDescent="0.25">
      <c r="A117" s="175" t="s">
        <v>198</v>
      </c>
      <c r="B117" s="176">
        <f>'2018'!B117+'2019'!B117+'2020'!B117+'2021'!B117+'2022'!B82</f>
        <v>213</v>
      </c>
      <c r="C117" s="176">
        <f>'2018'!C117+'2019'!C117+'2020'!C117+'2021'!C117+'2022'!C82</f>
        <v>6</v>
      </c>
      <c r="D117" s="176">
        <f>'2018'!D117+'2019'!D117+'2020'!D117+'2021'!D117+'2022'!D82</f>
        <v>518</v>
      </c>
      <c r="E117" s="176">
        <f>'2018'!E117+'2019'!E117+'2020'!E117+'2021'!E117+'2022'!E82</f>
        <v>28</v>
      </c>
      <c r="F117" s="176">
        <f>'2018'!F117+'2019'!F117+'2020'!F117+'2021'!F117+'2022'!F82</f>
        <v>0</v>
      </c>
      <c r="G117" s="176">
        <f>'2018'!G117+'2019'!G117+'2020'!G117+'2021'!G117+'2022'!G82</f>
        <v>0</v>
      </c>
      <c r="H117" s="176">
        <f>'2018'!H117+'2019'!H117+'2020'!H117+'2021'!H117+'2022'!H82</f>
        <v>16</v>
      </c>
      <c r="I117" s="176">
        <f>'2018'!I117+'2019'!I117+'2020'!I117+'2021'!I117+'2022'!I82</f>
        <v>0</v>
      </c>
      <c r="J117" s="176">
        <f>'2018'!J117+'2019'!J117+'2020'!J117+'2021'!J117+'2022'!J82</f>
        <v>3</v>
      </c>
      <c r="K117" s="176">
        <f>'2018'!K117+'2019'!K117+'2020'!K117+'2021'!K117+'2022'!K82</f>
        <v>13</v>
      </c>
      <c r="L117" s="176">
        <f>'2018'!L117+'2019'!L117+'2020'!L117+'2021'!L117+'2022'!L82</f>
        <v>417</v>
      </c>
      <c r="M117" s="176">
        <f>'2018'!M117+'2019'!M117+'2020'!M117+'2021'!M117+'2022'!M82</f>
        <v>11</v>
      </c>
      <c r="N117" s="176">
        <f>'2018'!N117+'2019'!N117+'2020'!N117+'2021'!N117+'2022'!N82</f>
        <v>11</v>
      </c>
      <c r="O117" s="176">
        <f>'2018'!O117+'2019'!O117+'2020'!O117+'2021'!O117+'2022'!O82</f>
        <v>4</v>
      </c>
      <c r="P117" s="176">
        <f>'2018'!P117+'2019'!P117+'2020'!P117+'2021'!P117+'2022'!P82</f>
        <v>0</v>
      </c>
      <c r="Q117" s="176">
        <f>'2018'!Q117+'2019'!Q117+'2020'!Q117+'2021'!Q117+'2022'!Q82</f>
        <v>0</v>
      </c>
      <c r="R117" s="176">
        <f>'2018'!R117+'2019'!R117+'2020'!R117+'2021'!R117+'2022'!R82</f>
        <v>15</v>
      </c>
      <c r="S117" s="176">
        <f>'2018'!S117+'2019'!S117+'2020'!S117+'2021'!S117+'2022'!S82</f>
        <v>0</v>
      </c>
      <c r="T117" s="176">
        <f>'2018'!T117+'2019'!T117+'2020'!T117+'2021'!T117+'2022'!T82</f>
        <v>0</v>
      </c>
      <c r="U117" s="176">
        <f>'2018'!U117+'2019'!U117+'2020'!U117+'2021'!U117+'2022'!U82</f>
        <v>26</v>
      </c>
      <c r="V117" s="176">
        <f>'2018'!V117+'2019'!V117+'2020'!V117+'2021'!V117+'2022'!V82</f>
        <v>0</v>
      </c>
      <c r="W117" s="176">
        <f>'2018'!W117+'2019'!W117+'2020'!W117+'2021'!W117+'2022'!W82</f>
        <v>0</v>
      </c>
      <c r="X117" s="176">
        <f>'2018'!X117+'2019'!X117+'2020'!X117+'2021'!X117+'2022'!X82</f>
        <v>2</v>
      </c>
      <c r="Y117" s="174">
        <f t="shared" si="14"/>
        <v>518</v>
      </c>
      <c r="Z117" s="174">
        <f>'2018'!Z117+'2019'!Z117+'2020'!Z117+'2021'!Z117+'2022'!Z82</f>
        <v>168</v>
      </c>
      <c r="AA117" s="174">
        <f>'2018'!AA117+'2019'!AA117+'2020'!AA117+'2021'!AA117+'2022'!AA82</f>
        <v>6</v>
      </c>
      <c r="AB117" s="174">
        <f>'2018'!AB117+'2019'!AB117+'2020'!AB117+'2021'!AB117+'2022'!AB82</f>
        <v>384</v>
      </c>
      <c r="AC117" s="174">
        <f>'2018'!AC117+'2019'!AC117+'2020'!AC117+'2021'!AC117+'2022'!AC82</f>
        <v>28</v>
      </c>
      <c r="AD117" s="174">
        <f>'2018'!AD117+'2019'!AD117+'2020'!AD117+'2021'!AD117+'2022'!AD82</f>
        <v>0</v>
      </c>
      <c r="AE117" s="174">
        <f>'2018'!AE117+'2019'!AE117+'2020'!AE117+'2021'!AE117+'2022'!AE82</f>
        <v>0</v>
      </c>
      <c r="AF117" s="174">
        <f>'2018'!AF117+'2019'!AF117+'2020'!AF117+'2021'!AF117+'2022'!AF82</f>
        <v>5</v>
      </c>
      <c r="AG117" s="174">
        <f>'2018'!AG117+'2019'!AG117+'2020'!AG117+'2021'!AG117+'2022'!AG82</f>
        <v>0</v>
      </c>
      <c r="AH117" s="174">
        <f>'2018'!AH117+'2019'!AH117+'2020'!AH117+'2021'!AH117+'2022'!AH82</f>
        <v>5</v>
      </c>
      <c r="AI117" s="174">
        <f>'2018'!AI117+'2019'!AI117+'2020'!AI117+'2021'!AI117+'2022'!AI82</f>
        <v>11</v>
      </c>
      <c r="AJ117" s="174">
        <f>'2018'!AJ117+'2019'!AJ117+'2020'!AJ117+'2021'!AJ117+'2022'!AJ82</f>
        <v>312</v>
      </c>
      <c r="AK117" s="174">
        <f>'2018'!AK117+'2019'!AK117+'2020'!AK117+'2021'!AK117+'2022'!AK82</f>
        <v>12</v>
      </c>
      <c r="AL117" s="174">
        <f>'2018'!AL117+'2019'!AL117+'2020'!AL117+'2021'!AL117+'2022'!AL82</f>
        <v>0</v>
      </c>
      <c r="AM117" s="174">
        <f>'2018'!AM117+'2019'!AM117+'2020'!AM117+'2021'!AM117+'2022'!AM82</f>
        <v>4</v>
      </c>
      <c r="AN117" s="174">
        <f>'2018'!AN117+'2019'!AN117+'2020'!AN117+'2021'!AN117+'2022'!AN82</f>
        <v>0</v>
      </c>
      <c r="AO117" s="174">
        <f>'2018'!AO117+'2019'!AO117+'2020'!AO117+'2021'!AO117+'2022'!AO82</f>
        <v>0</v>
      </c>
      <c r="AP117" s="174">
        <f>'2018'!AP117+'2019'!AP117+'2020'!AP117+'2021'!AP117+'2022'!AP82</f>
        <v>10</v>
      </c>
      <c r="AQ117" s="174">
        <f>'2018'!AQ117+'2019'!AQ117+'2020'!AQ117+'2021'!AQ117+'2022'!AQ82</f>
        <v>0</v>
      </c>
      <c r="AR117" s="174">
        <f>'2018'!AR117+'2019'!AR117+'2020'!AR117+'2021'!AR117+'2022'!AR82</f>
        <v>4</v>
      </c>
      <c r="AS117" s="174">
        <f>'2018'!AS117+'2019'!AS117+'2020'!AS117+'2021'!AS117+'2022'!AS82</f>
        <v>21</v>
      </c>
      <c r="AT117" s="174">
        <f>'2018'!AT117+'2019'!AT117+'2020'!AT117+'2021'!AT117+'2022'!AT82</f>
        <v>0</v>
      </c>
      <c r="AU117" s="174">
        <f>'2018'!AU117+'2019'!AU117+'2020'!AU117+'2021'!AU117+'2022'!AU82</f>
        <v>0</v>
      </c>
      <c r="AV117" s="174">
        <f>'2018'!AV117+'2019'!AV117+'2020'!AV117+'2021'!AV117+'2022'!AV82</f>
        <v>0</v>
      </c>
      <c r="AW117" s="174">
        <f t="shared" si="15"/>
        <v>384</v>
      </c>
      <c r="AX117" s="156">
        <f t="shared" si="16"/>
        <v>3023.623855555556</v>
      </c>
      <c r="AY117" s="14">
        <f>'2018'!AX117+'2019'!AX117+'2020'!AX117+'2021'!AX117+'2022'!AX82</f>
        <v>15118.11927777778</v>
      </c>
      <c r="AZ117" s="14">
        <f t="shared" si="21"/>
        <v>74.131274131274125</v>
      </c>
      <c r="BB117" s="144"/>
    </row>
    <row r="118" spans="1:54" s="142" customFormat="1" x14ac:dyDescent="0.25">
      <c r="A118" s="175" t="s">
        <v>199</v>
      </c>
      <c r="B118" s="176">
        <f>'2018'!B118+'2019'!B118+'2020'!B118+'2021'!B118+'2022'!B94</f>
        <v>1066</v>
      </c>
      <c r="C118" s="176">
        <f>'2018'!C118+'2019'!C118+'2020'!C118+'2021'!C118+'2022'!C94</f>
        <v>44</v>
      </c>
      <c r="D118" s="176">
        <f>'2018'!D118+'2019'!D118+'2020'!D118+'2021'!D118+'2022'!D94</f>
        <v>4943</v>
      </c>
      <c r="E118" s="176">
        <f>'2018'!E118+'2019'!E118+'2020'!E118+'2021'!E118+'2022'!E94</f>
        <v>189</v>
      </c>
      <c r="F118" s="176">
        <f>'2018'!F118+'2019'!F118+'2020'!F118+'2021'!F118+'2022'!F94</f>
        <v>0</v>
      </c>
      <c r="G118" s="176">
        <f>'2018'!G118+'2019'!G118+'2020'!G118+'2021'!G118+'2022'!G94</f>
        <v>10</v>
      </c>
      <c r="H118" s="176">
        <f>'2018'!H118+'2019'!H118+'2020'!H118+'2021'!H118+'2022'!H94</f>
        <v>3082</v>
      </c>
      <c r="I118" s="176">
        <f>'2018'!I118+'2019'!I118+'2020'!I118+'2021'!I118+'2022'!I94</f>
        <v>0</v>
      </c>
      <c r="J118" s="176">
        <f>'2018'!J118+'2019'!J118+'2020'!J118+'2021'!J118+'2022'!J94</f>
        <v>43</v>
      </c>
      <c r="K118" s="176">
        <f>'2018'!K118+'2019'!K118+'2020'!K118+'2021'!K118+'2022'!K94</f>
        <v>396</v>
      </c>
      <c r="L118" s="176">
        <f>'2018'!L118+'2019'!L118+'2020'!L118+'2021'!L118+'2022'!L94</f>
        <v>168</v>
      </c>
      <c r="M118" s="176">
        <f>'2018'!M118+'2019'!M118+'2020'!M118+'2021'!M118+'2022'!M94</f>
        <v>20</v>
      </c>
      <c r="N118" s="176">
        <f>'2018'!N118+'2019'!N118+'2020'!N118+'2021'!N118+'2022'!N94</f>
        <v>301</v>
      </c>
      <c r="O118" s="176">
        <f>'2018'!O118+'2019'!O118+'2020'!O118+'2021'!O118+'2022'!O94</f>
        <v>56</v>
      </c>
      <c r="P118" s="176">
        <f>'2018'!P118+'2019'!P118+'2020'!P118+'2021'!P118+'2022'!P94</f>
        <v>4</v>
      </c>
      <c r="Q118" s="176">
        <f>'2018'!Q118+'2019'!Q118+'2020'!Q118+'2021'!Q118+'2022'!Q94</f>
        <v>10</v>
      </c>
      <c r="R118" s="176">
        <f>'2018'!R118+'2019'!R118+'2020'!R118+'2021'!R118+'2022'!R94</f>
        <v>55</v>
      </c>
      <c r="S118" s="176">
        <f>'2018'!S118+'2019'!S118+'2020'!S118+'2021'!S118+'2022'!S94</f>
        <v>32</v>
      </c>
      <c r="T118" s="176">
        <f>'2018'!T118+'2019'!T118+'2020'!T118+'2021'!T118+'2022'!T94</f>
        <v>8</v>
      </c>
      <c r="U118" s="176">
        <f>'2018'!U118+'2019'!U118+'2020'!U118+'2021'!U118+'2022'!U94</f>
        <v>72</v>
      </c>
      <c r="V118" s="176">
        <f>'2018'!V118+'2019'!V118+'2020'!V118+'2021'!V118+'2022'!V94</f>
        <v>135</v>
      </c>
      <c r="W118" s="176">
        <f>'2018'!W118+'2019'!W118+'2020'!W118+'2021'!W118+'2022'!W94</f>
        <v>0</v>
      </c>
      <c r="X118" s="176">
        <f>'2018'!X118+'2019'!X118+'2020'!X118+'2021'!X118+'2022'!X94</f>
        <v>551</v>
      </c>
      <c r="Y118" s="174">
        <f t="shared" si="14"/>
        <v>4943</v>
      </c>
      <c r="Z118" s="174">
        <f>'2018'!Z118+'2019'!Z118+'2020'!Z118+'2021'!Z118+'2022'!Z94</f>
        <v>662</v>
      </c>
      <c r="AA118" s="174">
        <f>'2018'!AA118+'2019'!AA118+'2020'!AA118+'2021'!AA118+'2022'!AA94</f>
        <v>35</v>
      </c>
      <c r="AB118" s="174">
        <f>'2018'!AB118+'2019'!AB118+'2020'!AB118+'2021'!AB118+'2022'!AB94</f>
        <v>3160</v>
      </c>
      <c r="AC118" s="174">
        <f>'2018'!AC118+'2019'!AC118+'2020'!AC118+'2021'!AC118+'2022'!AC94</f>
        <v>139</v>
      </c>
      <c r="AD118" s="174">
        <f>'2018'!AD118+'2019'!AD118+'2020'!AD118+'2021'!AD118+'2022'!AD94</f>
        <v>0</v>
      </c>
      <c r="AE118" s="174">
        <f>'2018'!AE118+'2019'!AE118+'2020'!AE118+'2021'!AE118+'2022'!AE94</f>
        <v>5</v>
      </c>
      <c r="AF118" s="174">
        <f>'2018'!AF118+'2019'!AF118+'2020'!AF118+'2021'!AF118+'2022'!AF94</f>
        <v>2109</v>
      </c>
      <c r="AG118" s="174">
        <f>'2018'!AG118+'2019'!AG118+'2020'!AG118+'2021'!AG118+'2022'!AG94</f>
        <v>0</v>
      </c>
      <c r="AH118" s="174">
        <f>'2018'!AH118+'2019'!AH118+'2020'!AH118+'2021'!AH118+'2022'!AH94</f>
        <v>39</v>
      </c>
      <c r="AI118" s="174">
        <f>'2018'!AI118+'2019'!AI118+'2020'!AI118+'2021'!AI118+'2022'!AI94</f>
        <v>270</v>
      </c>
      <c r="AJ118" s="174">
        <f>'2018'!AJ118+'2019'!AJ118+'2020'!AJ118+'2021'!AJ118+'2022'!AJ94</f>
        <v>87</v>
      </c>
      <c r="AK118" s="174">
        <f>'2018'!AK118+'2019'!AK118+'2020'!AK118+'2021'!AK118+'2022'!AK94</f>
        <v>17</v>
      </c>
      <c r="AL118" s="174">
        <f>'2018'!AL118+'2019'!AL118+'2020'!AL118+'2021'!AL118+'2022'!AL94</f>
        <v>170</v>
      </c>
      <c r="AM118" s="174">
        <f>'2018'!AM118+'2019'!AM118+'2020'!AM118+'2021'!AM118+'2022'!AM94</f>
        <v>36</v>
      </c>
      <c r="AN118" s="174">
        <f>'2018'!AN118+'2019'!AN118+'2020'!AN118+'2021'!AN118+'2022'!AN94</f>
        <v>4</v>
      </c>
      <c r="AO118" s="174">
        <f>'2018'!AO118+'2019'!AO118+'2020'!AO118+'2021'!AO118+'2022'!AO94</f>
        <v>9</v>
      </c>
      <c r="AP118" s="174">
        <f>'2018'!AP118+'2019'!AP118+'2020'!AP118+'2021'!AP118+'2022'!AP94</f>
        <v>16</v>
      </c>
      <c r="AQ118" s="174">
        <f>'2018'!AQ118+'2019'!AQ118+'2020'!AQ118+'2021'!AQ118+'2022'!AQ94</f>
        <v>12</v>
      </c>
      <c r="AR118" s="174">
        <f>'2018'!AR118+'2019'!AR118+'2020'!AR118+'2021'!AR118+'2022'!AR94</f>
        <v>5</v>
      </c>
      <c r="AS118" s="174">
        <f>'2018'!AS118+'2019'!AS118+'2020'!AS118+'2021'!AS118+'2022'!AS94</f>
        <v>46</v>
      </c>
      <c r="AT118" s="174">
        <f>'2018'!AT118+'2019'!AT118+'2020'!AT118+'2021'!AT118+'2022'!AT94</f>
        <v>100</v>
      </c>
      <c r="AU118" s="174">
        <f>'2018'!AU118+'2019'!AU118+'2020'!AU118+'2021'!AU118+'2022'!AU94</f>
        <v>0</v>
      </c>
      <c r="AV118" s="174">
        <f>'2018'!AV118+'2019'!AV118+'2020'!AV118+'2021'!AV118+'2022'!AV94</f>
        <v>235</v>
      </c>
      <c r="AW118" s="174">
        <f t="shared" si="15"/>
        <v>3160</v>
      </c>
      <c r="AX118" s="156">
        <f t="shared" si="16"/>
        <v>1980.0330000000001</v>
      </c>
      <c r="AY118" s="14">
        <f>'2018'!AX118+'2019'!AX118+'2020'!AX118+'2021'!AX118+'2022'!AX94</f>
        <v>9900.1650000000009</v>
      </c>
      <c r="AZ118" s="14">
        <f t="shared" si="21"/>
        <v>63.928788185312563</v>
      </c>
      <c r="BB118" s="144"/>
    </row>
    <row r="119" spans="1:54" s="142" customFormat="1" x14ac:dyDescent="0.25">
      <c r="A119" s="175" t="s">
        <v>200</v>
      </c>
      <c r="B119" s="176">
        <f>'2018'!B119+'2019'!B119+'2020'!B119+'2021'!B119+'2022'!B95</f>
        <v>49</v>
      </c>
      <c r="C119" s="176">
        <f>'2018'!C119+'2019'!C119+'2020'!C119+'2021'!C119+'2022'!C95</f>
        <v>4</v>
      </c>
      <c r="D119" s="176">
        <f>'2018'!D119+'2019'!D119+'2020'!D119+'2021'!D119+'2022'!D95</f>
        <v>234</v>
      </c>
      <c r="E119" s="176">
        <f>'2018'!E119+'2019'!E119+'2020'!E119+'2021'!E119+'2022'!E95</f>
        <v>16</v>
      </c>
      <c r="F119" s="176">
        <f>'2018'!F119+'2019'!F119+'2020'!F119+'2021'!F119+'2022'!F95</f>
        <v>0</v>
      </c>
      <c r="G119" s="176">
        <f>'2018'!G119+'2019'!G119+'2020'!G119+'2021'!G119+'2022'!G95</f>
        <v>0</v>
      </c>
      <c r="H119" s="176">
        <f>'2018'!H119+'2019'!H119+'2020'!H119+'2021'!H119+'2022'!H95</f>
        <v>0</v>
      </c>
      <c r="I119" s="176">
        <f>'2018'!I119+'2019'!I119+'2020'!I119+'2021'!I119+'2022'!I95</f>
        <v>0</v>
      </c>
      <c r="J119" s="176">
        <f>'2018'!J119+'2019'!J119+'2020'!J119+'2021'!J119+'2022'!J95</f>
        <v>0</v>
      </c>
      <c r="K119" s="176">
        <f>'2018'!K119+'2019'!K119+'2020'!K119+'2021'!K119+'2022'!K95</f>
        <v>62</v>
      </c>
      <c r="L119" s="176">
        <f>'2018'!L119+'2019'!L119+'2020'!L119+'2021'!L119+'2022'!L95</f>
        <v>7</v>
      </c>
      <c r="M119" s="176">
        <f>'2018'!M119+'2019'!M119+'2020'!M119+'2021'!M119+'2022'!M95</f>
        <v>0</v>
      </c>
      <c r="N119" s="176">
        <f>'2018'!N119+'2019'!N119+'2020'!N119+'2021'!N119+'2022'!N95</f>
        <v>71</v>
      </c>
      <c r="O119" s="176">
        <f>'2018'!O119+'2019'!O119+'2020'!O119+'2021'!O119+'2022'!O95</f>
        <v>0</v>
      </c>
      <c r="P119" s="176">
        <f>'2018'!P119+'2019'!P119+'2020'!P119+'2021'!P119+'2022'!P95</f>
        <v>77</v>
      </c>
      <c r="Q119" s="176">
        <f>'2018'!Q119+'2019'!Q119+'2020'!Q119+'2021'!Q119+'2022'!Q95</f>
        <v>0</v>
      </c>
      <c r="R119" s="176">
        <f>'2018'!R119+'2019'!R119+'2020'!R119+'2021'!R119+'2022'!R95</f>
        <v>0</v>
      </c>
      <c r="S119" s="176">
        <f>'2018'!S119+'2019'!S119+'2020'!S119+'2021'!S119+'2022'!S95</f>
        <v>7</v>
      </c>
      <c r="T119" s="176">
        <f>'2018'!T119+'2019'!T119+'2020'!T119+'2021'!T119+'2022'!T95</f>
        <v>0</v>
      </c>
      <c r="U119" s="176">
        <f>'2018'!U119+'2019'!U119+'2020'!U119+'2021'!U119+'2022'!U95</f>
        <v>0</v>
      </c>
      <c r="V119" s="176">
        <f>'2018'!V119+'2019'!V119+'2020'!V119+'2021'!V119+'2022'!V95</f>
        <v>10</v>
      </c>
      <c r="W119" s="176">
        <f>'2018'!W119+'2019'!W119+'2020'!W119+'2021'!W119+'2022'!W95</f>
        <v>0</v>
      </c>
      <c r="X119" s="176">
        <f>'2018'!X119+'2019'!X119+'2020'!X119+'2021'!X119+'2022'!X95</f>
        <v>0</v>
      </c>
      <c r="Y119" s="174">
        <f t="shared" si="14"/>
        <v>234</v>
      </c>
      <c r="Z119" s="174">
        <f>'2018'!Z119+'2019'!Z119+'2020'!Z119+'2021'!Z119+'2022'!Z95</f>
        <v>35</v>
      </c>
      <c r="AA119" s="174">
        <f>'2018'!AA119+'2019'!AA119+'2020'!AA119+'2021'!AA119+'2022'!AA95</f>
        <v>1</v>
      </c>
      <c r="AB119" s="174">
        <f>'2018'!AB119+'2019'!AB119+'2020'!AB119+'2021'!AB119+'2022'!AB95</f>
        <v>193</v>
      </c>
      <c r="AC119" s="174">
        <f>'2018'!AC119+'2019'!AC119+'2020'!AC119+'2021'!AC119+'2022'!AC95</f>
        <v>5</v>
      </c>
      <c r="AD119" s="174">
        <f>'2018'!AD119+'2019'!AD119+'2020'!AD119+'2021'!AD119+'2022'!AD95</f>
        <v>0</v>
      </c>
      <c r="AE119" s="174">
        <f>'2018'!AE119+'2019'!AE119+'2020'!AE119+'2021'!AE119+'2022'!AE95</f>
        <v>0</v>
      </c>
      <c r="AF119" s="174">
        <f>'2018'!AF119+'2019'!AF119+'2020'!AF119+'2021'!AF119+'2022'!AF95</f>
        <v>0</v>
      </c>
      <c r="AG119" s="174">
        <f>'2018'!AG119+'2019'!AG119+'2020'!AG119+'2021'!AG119+'2022'!AG95</f>
        <v>0</v>
      </c>
      <c r="AH119" s="174">
        <f>'2018'!AH119+'2019'!AH119+'2020'!AH119+'2021'!AH119+'2022'!AH95</f>
        <v>0</v>
      </c>
      <c r="AI119" s="174">
        <f>'2018'!AI119+'2019'!AI119+'2020'!AI119+'2021'!AI119+'2022'!AI95</f>
        <v>0</v>
      </c>
      <c r="AJ119" s="174">
        <f>'2018'!AJ119+'2019'!AJ119+'2020'!AJ119+'2021'!AJ119+'2022'!AJ95</f>
        <v>0</v>
      </c>
      <c r="AK119" s="174">
        <f>'2018'!AK119+'2019'!AK119+'2020'!AK119+'2021'!AK119+'2022'!AK95</f>
        <v>0</v>
      </c>
      <c r="AL119" s="174">
        <f>'2018'!AL119+'2019'!AL119+'2020'!AL119+'2021'!AL119+'2022'!AL95</f>
        <v>49</v>
      </c>
      <c r="AM119" s="174">
        <f>'2018'!AM119+'2019'!AM119+'2020'!AM119+'2021'!AM119+'2022'!AM95</f>
        <v>0</v>
      </c>
      <c r="AN119" s="174">
        <f>'2018'!AN119+'2019'!AN119+'2020'!AN119+'2021'!AN119+'2022'!AN95</f>
        <v>137</v>
      </c>
      <c r="AO119" s="174">
        <f>'2018'!AO119+'2019'!AO119+'2020'!AO119+'2021'!AO119+'2022'!AO95</f>
        <v>0</v>
      </c>
      <c r="AP119" s="174">
        <f>'2018'!AP119+'2019'!AP119+'2020'!AP119+'2021'!AP119+'2022'!AP95</f>
        <v>0</v>
      </c>
      <c r="AQ119" s="174">
        <f>'2018'!AQ119+'2019'!AQ119+'2020'!AQ119+'2021'!AQ119+'2022'!AQ95</f>
        <v>0</v>
      </c>
      <c r="AR119" s="174">
        <f>'2018'!AR119+'2019'!AR119+'2020'!AR119+'2021'!AR119+'2022'!AR95</f>
        <v>0</v>
      </c>
      <c r="AS119" s="174">
        <f>'2018'!AS119+'2019'!AS119+'2020'!AS119+'2021'!AS119+'2022'!AS95</f>
        <v>0</v>
      </c>
      <c r="AT119" s="174">
        <f>'2018'!AT119+'2019'!AT119+'2020'!AT119+'2021'!AT119+'2022'!AT95</f>
        <v>7</v>
      </c>
      <c r="AU119" s="174">
        <f>'2018'!AU119+'2019'!AU119+'2020'!AU119+'2021'!AU119+'2022'!AU95</f>
        <v>0</v>
      </c>
      <c r="AV119" s="174">
        <f>'2018'!AV119+'2019'!AV119+'2020'!AV119+'2021'!AV119+'2022'!AV95</f>
        <v>0</v>
      </c>
      <c r="AW119" s="174">
        <f t="shared" si="15"/>
        <v>193</v>
      </c>
      <c r="AX119" s="156">
        <f t="shared" si="16"/>
        <v>1090.7195555555554</v>
      </c>
      <c r="AY119" s="14">
        <f>'2018'!AX119+'2019'!AX119+'2020'!AX119+'2021'!AX119+'2022'!AX95</f>
        <v>5453.5977777777771</v>
      </c>
      <c r="AZ119" s="14">
        <f t="shared" si="21"/>
        <v>82.478632478632477</v>
      </c>
      <c r="BB119" s="144"/>
    </row>
    <row r="120" spans="1:54" s="142" customFormat="1" x14ac:dyDescent="0.25">
      <c r="A120" s="175" t="s">
        <v>201</v>
      </c>
      <c r="B120" s="176">
        <f>'2018'!B120+'2019'!B120+'2020'!B120+'2021'!B120+'2022'!B104</f>
        <v>65</v>
      </c>
      <c r="C120" s="176">
        <f>'2018'!C120+'2019'!C120+'2020'!C120+'2021'!C120+'2022'!C104</f>
        <v>7</v>
      </c>
      <c r="D120" s="176">
        <f>'2018'!D120+'2019'!D120+'2020'!D120+'2021'!D120+'2022'!D104</f>
        <v>241</v>
      </c>
      <c r="E120" s="176">
        <f>'2018'!E120+'2019'!E120+'2020'!E120+'2021'!E120+'2022'!E104</f>
        <v>26</v>
      </c>
      <c r="F120" s="176">
        <f>'2018'!F120+'2019'!F120+'2020'!F120+'2021'!F120+'2022'!F104</f>
        <v>0</v>
      </c>
      <c r="G120" s="176">
        <f>'2018'!G120+'2019'!G120+'2020'!G120+'2021'!G120+'2022'!G104</f>
        <v>4</v>
      </c>
      <c r="H120" s="176">
        <f>'2018'!H120+'2019'!H120+'2020'!H120+'2021'!H120+'2022'!H104</f>
        <v>118</v>
      </c>
      <c r="I120" s="176">
        <f>'2018'!I120+'2019'!I120+'2020'!I120+'2021'!I120+'2022'!I104</f>
        <v>0</v>
      </c>
      <c r="J120" s="176">
        <f>'2018'!J120+'2019'!J120+'2020'!J120+'2021'!J120+'2022'!J104</f>
        <v>21</v>
      </c>
      <c r="K120" s="176">
        <f>'2018'!K120+'2019'!K120+'2020'!K120+'2021'!K120+'2022'!K104</f>
        <v>63</v>
      </c>
      <c r="L120" s="176">
        <f>'2018'!L120+'2019'!L120+'2020'!L120+'2021'!L120+'2022'!L104</f>
        <v>20</v>
      </c>
      <c r="M120" s="176">
        <f>'2018'!M120+'2019'!M120+'2020'!M120+'2021'!M120+'2022'!M104</f>
        <v>1</v>
      </c>
      <c r="N120" s="176">
        <f>'2018'!N120+'2019'!N120+'2020'!N120+'2021'!N120+'2022'!N104</f>
        <v>1</v>
      </c>
      <c r="O120" s="176">
        <f>'2018'!O120+'2019'!O120+'2020'!O120+'2021'!O120+'2022'!O104</f>
        <v>2</v>
      </c>
      <c r="P120" s="176">
        <f>'2018'!P120+'2019'!P120+'2020'!P120+'2021'!P120+'2022'!P104</f>
        <v>0</v>
      </c>
      <c r="Q120" s="176">
        <f>'2018'!Q120+'2019'!Q120+'2020'!Q120+'2021'!Q120+'2022'!Q104</f>
        <v>0</v>
      </c>
      <c r="R120" s="176">
        <f>'2018'!R120+'2019'!R120+'2020'!R120+'2021'!R120+'2022'!R104</f>
        <v>0</v>
      </c>
      <c r="S120" s="176">
        <f>'2018'!S120+'2019'!S120+'2020'!S120+'2021'!S120+'2022'!S104</f>
        <v>1</v>
      </c>
      <c r="T120" s="176">
        <f>'2018'!T120+'2019'!T120+'2020'!T120+'2021'!T120+'2022'!T104</f>
        <v>0</v>
      </c>
      <c r="U120" s="176">
        <f>'2018'!U120+'2019'!U120+'2020'!U120+'2021'!U120+'2022'!U104</f>
        <v>0</v>
      </c>
      <c r="V120" s="176">
        <f>'2018'!V120+'2019'!V120+'2020'!V120+'2021'!V120+'2022'!V104</f>
        <v>5</v>
      </c>
      <c r="W120" s="176">
        <f>'2018'!W120+'2019'!W120+'2020'!W120+'2021'!W120+'2022'!W104</f>
        <v>0</v>
      </c>
      <c r="X120" s="176">
        <f>'2018'!X120+'2019'!X120+'2020'!X120+'2021'!X120+'2022'!X104</f>
        <v>5</v>
      </c>
      <c r="Y120" s="174">
        <f t="shared" si="14"/>
        <v>241</v>
      </c>
      <c r="Z120" s="174">
        <f>'2018'!Z120+'2019'!Z120+'2020'!Z120+'2021'!Z120+'2022'!Z104</f>
        <v>64</v>
      </c>
      <c r="AA120" s="174">
        <f>'2018'!AA120+'2019'!AA120+'2020'!AA120+'2021'!AA120+'2022'!AA104</f>
        <v>16</v>
      </c>
      <c r="AB120" s="174">
        <f>'2018'!AB120+'2019'!AB120+'2020'!AB120+'2021'!AB120+'2022'!AB104</f>
        <v>190</v>
      </c>
      <c r="AC120" s="174">
        <f>'2018'!AC120+'2019'!AC120+'2020'!AC120+'2021'!AC120+'2022'!AC104</f>
        <v>25</v>
      </c>
      <c r="AD120" s="174">
        <f>'2018'!AD120+'2019'!AD120+'2020'!AD120+'2021'!AD120+'2022'!AD104</f>
        <v>15</v>
      </c>
      <c r="AE120" s="174">
        <f>'2018'!AE120+'2019'!AE120+'2020'!AE120+'2021'!AE120+'2022'!AE104</f>
        <v>2</v>
      </c>
      <c r="AF120" s="174">
        <f>'2018'!AF120+'2019'!AF120+'2020'!AF120+'2021'!AF120+'2022'!AF104</f>
        <v>68</v>
      </c>
      <c r="AG120" s="174">
        <f>'2018'!AG120+'2019'!AG120+'2020'!AG120+'2021'!AG120+'2022'!AG104</f>
        <v>0</v>
      </c>
      <c r="AH120" s="174">
        <f>'2018'!AH120+'2019'!AH120+'2020'!AH120+'2021'!AH120+'2022'!AH104</f>
        <v>24</v>
      </c>
      <c r="AI120" s="174">
        <f>'2018'!AI120+'2019'!AI120+'2020'!AI120+'2021'!AI120+'2022'!AI104</f>
        <v>59</v>
      </c>
      <c r="AJ120" s="174">
        <f>'2018'!AJ120+'2019'!AJ120+'2020'!AJ120+'2021'!AJ120+'2022'!AJ104</f>
        <v>16</v>
      </c>
      <c r="AK120" s="174">
        <f>'2018'!AK120+'2019'!AK120+'2020'!AK120+'2021'!AK120+'2022'!AK104</f>
        <v>1</v>
      </c>
      <c r="AL120" s="174">
        <f>'2018'!AL120+'2019'!AL120+'2020'!AL120+'2021'!AL120+'2022'!AL104</f>
        <v>0</v>
      </c>
      <c r="AM120" s="174">
        <f>'2018'!AM120+'2019'!AM120+'2020'!AM120+'2021'!AM120+'2022'!AM104</f>
        <v>0</v>
      </c>
      <c r="AN120" s="174">
        <f>'2018'!AN120+'2019'!AN120+'2020'!AN120+'2021'!AN120+'2022'!AN104</f>
        <v>0</v>
      </c>
      <c r="AO120" s="174">
        <f>'2018'!AO120+'2019'!AO120+'2020'!AO120+'2021'!AO120+'2022'!AO104</f>
        <v>0</v>
      </c>
      <c r="AP120" s="174">
        <f>'2018'!AP120+'2019'!AP120+'2020'!AP120+'2021'!AP120+'2022'!AP104</f>
        <v>0</v>
      </c>
      <c r="AQ120" s="174">
        <f>'2018'!AQ120+'2019'!AQ120+'2020'!AQ120+'2021'!AQ120+'2022'!AQ104</f>
        <v>0</v>
      </c>
      <c r="AR120" s="174">
        <f>'2018'!AR120+'2019'!AR120+'2020'!AR120+'2021'!AR120+'2022'!AR104</f>
        <v>0</v>
      </c>
      <c r="AS120" s="174">
        <f>'2018'!AS120+'2019'!AS120+'2020'!AS120+'2021'!AS120+'2022'!AS104</f>
        <v>0</v>
      </c>
      <c r="AT120" s="174">
        <f>'2018'!AT120+'2019'!AT120+'2020'!AT120+'2021'!AT120+'2022'!AT104</f>
        <v>5</v>
      </c>
      <c r="AU120" s="174">
        <f>'2018'!AU120+'2019'!AU120+'2020'!AU120+'2021'!AU120+'2022'!AU104</f>
        <v>0</v>
      </c>
      <c r="AV120" s="174">
        <f>'2018'!AV120+'2019'!AV120+'2020'!AV120+'2021'!AV120+'2022'!AV104</f>
        <v>0</v>
      </c>
      <c r="AW120" s="174">
        <f t="shared" si="15"/>
        <v>190</v>
      </c>
      <c r="AX120" s="156">
        <f t="shared" si="16"/>
        <v>1988.4673333333333</v>
      </c>
      <c r="AY120" s="14">
        <f>'2018'!AX120+'2019'!AX120+'2020'!AX120+'2021'!AX120+'2022'!AX104</f>
        <v>9942.3366666666661</v>
      </c>
      <c r="AZ120" s="14">
        <f t="shared" si="21"/>
        <v>78.838174273858925</v>
      </c>
      <c r="BB120" s="144"/>
    </row>
    <row r="121" spans="1:54" s="142" customFormat="1" x14ac:dyDescent="0.25">
      <c r="A121" s="175" t="s">
        <v>202</v>
      </c>
      <c r="B121" s="176">
        <f>'2018'!B121+'2019'!B121+'2020'!B121+'2021'!B121+'2022'!B105</f>
        <v>6</v>
      </c>
      <c r="C121" s="176">
        <f>'2018'!C121+'2019'!C121+'2020'!C121+'2021'!C121+'2022'!C105</f>
        <v>0</v>
      </c>
      <c r="D121" s="176">
        <f>'2018'!D121+'2019'!D121+'2020'!D121+'2021'!D121+'2022'!D105</f>
        <v>10</v>
      </c>
      <c r="E121" s="176">
        <f>'2018'!E121+'2019'!E121+'2020'!E121+'2021'!E121+'2022'!E105</f>
        <v>0</v>
      </c>
      <c r="F121" s="176">
        <f>'2018'!F121+'2019'!F121+'2020'!F121+'2021'!F121+'2022'!F105</f>
        <v>0</v>
      </c>
      <c r="G121" s="176">
        <f>'2018'!G121+'2019'!G121+'2020'!G121+'2021'!G121+'2022'!G105</f>
        <v>0</v>
      </c>
      <c r="H121" s="176">
        <f>'2018'!H121+'2019'!H121+'2020'!H121+'2021'!H121+'2022'!H105</f>
        <v>4</v>
      </c>
      <c r="I121" s="176">
        <f>'2018'!I121+'2019'!I121+'2020'!I121+'2021'!I121+'2022'!I105</f>
        <v>0</v>
      </c>
      <c r="J121" s="176">
        <f>'2018'!J121+'2019'!J121+'2020'!J121+'2021'!J121+'2022'!J105</f>
        <v>0</v>
      </c>
      <c r="K121" s="176">
        <f>'2018'!K121+'2019'!K121+'2020'!K121+'2021'!K121+'2022'!K105</f>
        <v>0</v>
      </c>
      <c r="L121" s="176">
        <f>'2018'!L121+'2019'!L121+'2020'!L121+'2021'!L121+'2022'!L105</f>
        <v>4</v>
      </c>
      <c r="M121" s="176">
        <f>'2018'!M121+'2019'!M121+'2020'!M121+'2021'!M121+'2022'!M105</f>
        <v>0</v>
      </c>
      <c r="N121" s="176">
        <f>'2018'!N121+'2019'!N121+'2020'!N121+'2021'!N121+'2022'!N105</f>
        <v>0</v>
      </c>
      <c r="O121" s="176">
        <f>'2018'!O121+'2019'!O121+'2020'!O121+'2021'!O121+'2022'!O105</f>
        <v>0</v>
      </c>
      <c r="P121" s="176">
        <f>'2018'!P121+'2019'!P121+'2020'!P121+'2021'!P121+'2022'!P105</f>
        <v>0</v>
      </c>
      <c r="Q121" s="176">
        <f>'2018'!Q121+'2019'!Q121+'2020'!Q121+'2021'!Q121+'2022'!Q105</f>
        <v>0</v>
      </c>
      <c r="R121" s="176">
        <f>'2018'!R121+'2019'!R121+'2020'!R121+'2021'!R121+'2022'!R105</f>
        <v>2</v>
      </c>
      <c r="S121" s="176">
        <f>'2018'!S121+'2019'!S121+'2020'!S121+'2021'!S121+'2022'!S105</f>
        <v>0</v>
      </c>
      <c r="T121" s="176">
        <f>'2018'!T121+'2019'!T121+'2020'!T121+'2021'!T121+'2022'!T105</f>
        <v>0</v>
      </c>
      <c r="U121" s="176">
        <f>'2018'!U121+'2019'!U121+'2020'!U121+'2021'!U121+'2022'!U105</f>
        <v>0</v>
      </c>
      <c r="V121" s="176">
        <f>'2018'!V121+'2019'!V121+'2020'!V121+'2021'!V121+'2022'!V105</f>
        <v>0</v>
      </c>
      <c r="W121" s="176">
        <f>'2018'!W121+'2019'!W121+'2020'!W121+'2021'!W121+'2022'!W105</f>
        <v>0</v>
      </c>
      <c r="X121" s="176">
        <f>'2018'!X121+'2019'!X121+'2020'!X121+'2021'!X121+'2022'!X105</f>
        <v>0</v>
      </c>
      <c r="Y121" s="174">
        <f t="shared" si="14"/>
        <v>10</v>
      </c>
      <c r="Z121" s="174">
        <f>'2018'!Z121+'2019'!Z121+'2020'!Z121+'2021'!Z121+'2022'!Z105</f>
        <v>4</v>
      </c>
      <c r="AA121" s="174">
        <f>'2018'!AA121+'2019'!AA121+'2020'!AA121+'2021'!AA121+'2022'!AA105</f>
        <v>0</v>
      </c>
      <c r="AB121" s="174">
        <f>'2018'!AB121+'2019'!AB121+'2020'!AB121+'2021'!AB121+'2022'!AB105</f>
        <v>7</v>
      </c>
      <c r="AC121" s="174">
        <f>'2018'!AC121+'2019'!AC121+'2020'!AC121+'2021'!AC121+'2022'!AC105</f>
        <v>0</v>
      </c>
      <c r="AD121" s="174">
        <f>'2018'!AD121+'2019'!AD121+'2020'!AD121+'2021'!AD121+'2022'!AD105</f>
        <v>0</v>
      </c>
      <c r="AE121" s="174">
        <f>'2018'!AE121+'2019'!AE121+'2020'!AE121+'2021'!AE121+'2022'!AE105</f>
        <v>0</v>
      </c>
      <c r="AF121" s="174">
        <f>'2018'!AF121+'2019'!AF121+'2020'!AF121+'2021'!AF121+'2022'!AF105</f>
        <v>4</v>
      </c>
      <c r="AG121" s="174">
        <f>'2018'!AG121+'2019'!AG121+'2020'!AG121+'2021'!AG121+'2022'!AG105</f>
        <v>0</v>
      </c>
      <c r="AH121" s="174">
        <f>'2018'!AH121+'2019'!AH121+'2020'!AH121+'2021'!AH121+'2022'!AH105</f>
        <v>0</v>
      </c>
      <c r="AI121" s="174">
        <f>'2018'!AI121+'2019'!AI121+'2020'!AI121+'2021'!AI121+'2022'!AI105</f>
        <v>0</v>
      </c>
      <c r="AJ121" s="174">
        <f>'2018'!AJ121+'2019'!AJ121+'2020'!AJ121+'2021'!AJ121+'2022'!AJ105</f>
        <v>1</v>
      </c>
      <c r="AK121" s="174">
        <f>'2018'!AK121+'2019'!AK121+'2020'!AK121+'2021'!AK121+'2022'!AK105</f>
        <v>0</v>
      </c>
      <c r="AL121" s="174">
        <f>'2018'!AL121+'2019'!AL121+'2020'!AL121+'2021'!AL121+'2022'!AL105</f>
        <v>0</v>
      </c>
      <c r="AM121" s="174">
        <f>'2018'!AM121+'2019'!AM121+'2020'!AM121+'2021'!AM121+'2022'!AM105</f>
        <v>0</v>
      </c>
      <c r="AN121" s="174">
        <f>'2018'!AN121+'2019'!AN121+'2020'!AN121+'2021'!AN121+'2022'!AN105</f>
        <v>0</v>
      </c>
      <c r="AO121" s="174">
        <f>'2018'!AO121+'2019'!AO121+'2020'!AO121+'2021'!AO121+'2022'!AO105</f>
        <v>0</v>
      </c>
      <c r="AP121" s="174">
        <f>'2018'!AP121+'2019'!AP121+'2020'!AP121+'2021'!AP121+'2022'!AP105</f>
        <v>2</v>
      </c>
      <c r="AQ121" s="174">
        <f>'2018'!AQ121+'2019'!AQ121+'2020'!AQ121+'2021'!AQ121+'2022'!AQ105</f>
        <v>0</v>
      </c>
      <c r="AR121" s="174">
        <f>'2018'!AR121+'2019'!AR121+'2020'!AR121+'2021'!AR121+'2022'!AR105</f>
        <v>0</v>
      </c>
      <c r="AS121" s="174">
        <f>'2018'!AS121+'2019'!AS121+'2020'!AS121+'2021'!AS121+'2022'!AS105</f>
        <v>0</v>
      </c>
      <c r="AT121" s="174">
        <f>'2018'!AT121+'2019'!AT121+'2020'!AT121+'2021'!AT121+'2022'!AT105</f>
        <v>0</v>
      </c>
      <c r="AU121" s="174">
        <f>'2018'!AU121+'2019'!AU121+'2020'!AU121+'2021'!AU121+'2022'!AU105</f>
        <v>0</v>
      </c>
      <c r="AV121" s="174">
        <f>'2018'!AV121+'2019'!AV121+'2020'!AV121+'2021'!AV121+'2022'!AV105</f>
        <v>0</v>
      </c>
      <c r="AW121" s="174">
        <f t="shared" si="15"/>
        <v>7</v>
      </c>
      <c r="AX121" s="156">
        <f t="shared" si="16"/>
        <v>1845.2</v>
      </c>
      <c r="AY121" s="14">
        <f>'2018'!AX121+'2019'!AX121+'2020'!AX121+'2021'!AX121+'2022'!AX105</f>
        <v>9226</v>
      </c>
      <c r="AZ121" s="14">
        <f t="shared" si="21"/>
        <v>70</v>
      </c>
      <c r="BB121" s="144"/>
    </row>
    <row r="122" spans="1:54" s="142" customFormat="1" x14ac:dyDescent="0.25">
      <c r="A122" s="175" t="s">
        <v>203</v>
      </c>
      <c r="B122" s="176">
        <f>'2018'!B122+'2019'!B122+'2020'!B122+'2021'!B122+'2022'!B106</f>
        <v>14</v>
      </c>
      <c r="C122" s="176">
        <f>'2018'!C122+'2019'!C122+'2020'!C122+'2021'!C122+'2022'!C106</f>
        <v>1</v>
      </c>
      <c r="D122" s="176">
        <f>'2018'!D122+'2019'!D122+'2020'!D122+'2021'!D122+'2022'!D106</f>
        <v>163</v>
      </c>
      <c r="E122" s="176">
        <f>'2018'!E122+'2019'!E122+'2020'!E122+'2021'!E122+'2022'!E106</f>
        <v>54</v>
      </c>
      <c r="F122" s="176">
        <f>'2018'!F122+'2019'!F122+'2020'!F122+'2021'!F122+'2022'!F106</f>
        <v>0</v>
      </c>
      <c r="G122" s="176">
        <f>'2018'!G122+'2019'!G122+'2020'!G122+'2021'!G122+'2022'!G106</f>
        <v>0</v>
      </c>
      <c r="H122" s="176">
        <f>'2018'!H122+'2019'!H122+'2020'!H122+'2021'!H122+'2022'!H106</f>
        <v>109</v>
      </c>
      <c r="I122" s="176">
        <f>'2018'!I122+'2019'!I122+'2020'!I122+'2021'!I122+'2022'!I106</f>
        <v>0</v>
      </c>
      <c r="J122" s="176">
        <f>'2018'!J122+'2019'!J122+'2020'!J122+'2021'!J122+'2022'!J106</f>
        <v>0</v>
      </c>
      <c r="K122" s="176">
        <f>'2018'!K122+'2019'!K122+'2020'!K122+'2021'!K122+'2022'!K106</f>
        <v>0</v>
      </c>
      <c r="L122" s="176">
        <f>'2018'!L122+'2019'!L122+'2020'!L122+'2021'!L122+'2022'!L106</f>
        <v>0</v>
      </c>
      <c r="M122" s="176">
        <f>'2018'!M122+'2019'!M122+'2020'!M122+'2021'!M122+'2022'!M106</f>
        <v>0</v>
      </c>
      <c r="N122" s="176">
        <f>'2018'!N122+'2019'!N122+'2020'!N122+'2021'!N122+'2022'!N106</f>
        <v>0</v>
      </c>
      <c r="O122" s="176">
        <f>'2018'!O122+'2019'!O122+'2020'!O122+'2021'!O122+'2022'!O106</f>
        <v>0</v>
      </c>
      <c r="P122" s="176">
        <f>'2018'!P122+'2019'!P122+'2020'!P122+'2021'!P122+'2022'!P106</f>
        <v>0</v>
      </c>
      <c r="Q122" s="176">
        <f>'2018'!Q122+'2019'!Q122+'2020'!Q122+'2021'!Q122+'2022'!Q106</f>
        <v>0</v>
      </c>
      <c r="R122" s="176">
        <f>'2018'!R122+'2019'!R122+'2020'!R122+'2021'!R122+'2022'!R106</f>
        <v>0</v>
      </c>
      <c r="S122" s="176">
        <f>'2018'!S122+'2019'!S122+'2020'!S122+'2021'!S122+'2022'!S106</f>
        <v>0</v>
      </c>
      <c r="T122" s="176">
        <f>'2018'!T122+'2019'!T122+'2020'!T122+'2021'!T122+'2022'!T106</f>
        <v>0</v>
      </c>
      <c r="U122" s="176">
        <f>'2018'!U122+'2019'!U122+'2020'!U122+'2021'!U122+'2022'!U106</f>
        <v>0</v>
      </c>
      <c r="V122" s="176">
        <f>'2018'!V122+'2019'!V122+'2020'!V122+'2021'!V122+'2022'!V106</f>
        <v>54</v>
      </c>
      <c r="W122" s="176">
        <f>'2018'!W122+'2019'!W122+'2020'!W122+'2021'!W122+'2022'!W106</f>
        <v>0</v>
      </c>
      <c r="X122" s="176">
        <f>'2018'!X122+'2019'!X122+'2020'!X122+'2021'!X122+'2022'!X106</f>
        <v>0</v>
      </c>
      <c r="Y122" s="174">
        <f t="shared" si="14"/>
        <v>163</v>
      </c>
      <c r="Z122" s="174">
        <f>'2018'!Z122+'2019'!Z122+'2020'!Z122+'2021'!Z122+'2022'!Z106</f>
        <v>12</v>
      </c>
      <c r="AA122" s="174">
        <f>'2018'!AA122+'2019'!AA122+'2020'!AA122+'2021'!AA122+'2022'!AA106</f>
        <v>1</v>
      </c>
      <c r="AB122" s="174">
        <f>'2018'!AB122+'2019'!AB122+'2020'!AB122+'2021'!AB122+'2022'!AB106</f>
        <v>148</v>
      </c>
      <c r="AC122" s="174">
        <f>'2018'!AC122+'2019'!AC122+'2020'!AC122+'2021'!AC122+'2022'!AC106</f>
        <v>54</v>
      </c>
      <c r="AD122" s="174">
        <f>'2018'!AD122+'2019'!AD122+'2020'!AD122+'2021'!AD122+'2022'!AD106</f>
        <v>0</v>
      </c>
      <c r="AE122" s="174">
        <f>'2018'!AE122+'2019'!AE122+'2020'!AE122+'2021'!AE122+'2022'!AE106</f>
        <v>0</v>
      </c>
      <c r="AF122" s="174">
        <f>'2018'!AF122+'2019'!AF122+'2020'!AF122+'2021'!AF122+'2022'!AF106</f>
        <v>94</v>
      </c>
      <c r="AG122" s="174">
        <f>'2018'!AG122+'2019'!AG122+'2020'!AG122+'2021'!AG122+'2022'!AG106</f>
        <v>0</v>
      </c>
      <c r="AH122" s="174">
        <f>'2018'!AH122+'2019'!AH122+'2020'!AH122+'2021'!AH122+'2022'!AH106</f>
        <v>0</v>
      </c>
      <c r="AI122" s="174">
        <f>'2018'!AI122+'2019'!AI122+'2020'!AI122+'2021'!AI122+'2022'!AI106</f>
        <v>0</v>
      </c>
      <c r="AJ122" s="174">
        <f>'2018'!AJ122+'2019'!AJ122+'2020'!AJ122+'2021'!AJ122+'2022'!AJ106</f>
        <v>0</v>
      </c>
      <c r="AK122" s="174">
        <f>'2018'!AK122+'2019'!AK122+'2020'!AK122+'2021'!AK122+'2022'!AK106</f>
        <v>0</v>
      </c>
      <c r="AL122" s="174">
        <f>'2018'!AL122+'2019'!AL122+'2020'!AL122+'2021'!AL122+'2022'!AL106</f>
        <v>0</v>
      </c>
      <c r="AM122" s="174">
        <f>'2018'!AM122+'2019'!AM122+'2020'!AM122+'2021'!AM122+'2022'!AM106</f>
        <v>0</v>
      </c>
      <c r="AN122" s="174">
        <f>'2018'!AN122+'2019'!AN122+'2020'!AN122+'2021'!AN122+'2022'!AN106</f>
        <v>0</v>
      </c>
      <c r="AO122" s="174">
        <f>'2018'!AO122+'2019'!AO122+'2020'!AO122+'2021'!AO122+'2022'!AO106</f>
        <v>0</v>
      </c>
      <c r="AP122" s="174">
        <f>'2018'!AP122+'2019'!AP122+'2020'!AP122+'2021'!AP122+'2022'!AP106</f>
        <v>0</v>
      </c>
      <c r="AQ122" s="174">
        <f>'2018'!AQ122+'2019'!AQ122+'2020'!AQ122+'2021'!AQ122+'2022'!AQ106</f>
        <v>0</v>
      </c>
      <c r="AR122" s="174">
        <f>'2018'!AR122+'2019'!AR122+'2020'!AR122+'2021'!AR122+'2022'!AR106</f>
        <v>0</v>
      </c>
      <c r="AS122" s="174">
        <f>'2018'!AS122+'2019'!AS122+'2020'!AS122+'2021'!AS122+'2022'!AS106</f>
        <v>0</v>
      </c>
      <c r="AT122" s="174">
        <f>'2018'!AT122+'2019'!AT122+'2020'!AT122+'2021'!AT122+'2022'!AT106</f>
        <v>54</v>
      </c>
      <c r="AU122" s="174">
        <f>'2018'!AU122+'2019'!AU122+'2020'!AU122+'2021'!AU122+'2022'!AU106</f>
        <v>0</v>
      </c>
      <c r="AV122" s="174">
        <f>'2018'!AV122+'2019'!AV122+'2020'!AV122+'2021'!AV122+'2022'!AV106</f>
        <v>0</v>
      </c>
      <c r="AW122" s="174">
        <f t="shared" si="15"/>
        <v>148</v>
      </c>
      <c r="AX122" s="156">
        <f t="shared" si="16"/>
        <v>1057.1007999999999</v>
      </c>
      <c r="AY122" s="14">
        <f>'2018'!AX122+'2019'!AX122+'2020'!AX122+'2021'!AX122+'2022'!AX106</f>
        <v>5285.5039999999999</v>
      </c>
      <c r="AZ122" s="14">
        <f t="shared" si="21"/>
        <v>90.797546012269933</v>
      </c>
      <c r="BB122" s="144"/>
    </row>
    <row r="123" spans="1:54" s="142" customFormat="1" x14ac:dyDescent="0.25">
      <c r="A123" s="175" t="s">
        <v>204</v>
      </c>
      <c r="B123" s="176">
        <f>'2018'!B123+'2019'!B123+'2020'!B123+'2021'!B123+'2022'!B107</f>
        <v>215</v>
      </c>
      <c r="C123" s="176">
        <f>'2018'!C123+'2019'!C123+'2020'!C123+'2021'!C123+'2022'!C107</f>
        <v>1</v>
      </c>
      <c r="D123" s="176">
        <f>'2018'!D123+'2019'!D123+'2020'!D123+'2021'!D123+'2022'!D107</f>
        <v>292</v>
      </c>
      <c r="E123" s="176">
        <f>'2018'!E123+'2019'!E123+'2020'!E123+'2021'!E123+'2022'!E107</f>
        <v>1</v>
      </c>
      <c r="F123" s="176">
        <f>'2018'!F123+'2019'!F123+'2020'!F123+'2021'!F123+'2022'!F107</f>
        <v>0</v>
      </c>
      <c r="G123" s="176">
        <f>'2018'!G123+'2019'!G123+'2020'!G123+'2021'!G123+'2022'!G107</f>
        <v>0</v>
      </c>
      <c r="H123" s="176">
        <f>'2018'!H123+'2019'!H123+'2020'!H123+'2021'!H123+'2022'!H107</f>
        <v>3</v>
      </c>
      <c r="I123" s="176">
        <f>'2018'!I123+'2019'!I123+'2020'!I123+'2021'!I123+'2022'!I107</f>
        <v>0</v>
      </c>
      <c r="J123" s="176">
        <f>'2018'!J123+'2019'!J123+'2020'!J123+'2021'!J123+'2022'!J107</f>
        <v>0</v>
      </c>
      <c r="K123" s="176">
        <f>'2018'!K123+'2019'!K123+'2020'!K123+'2021'!K123+'2022'!K107</f>
        <v>6</v>
      </c>
      <c r="L123" s="176">
        <f>'2018'!L123+'2019'!L123+'2020'!L123+'2021'!L123+'2022'!L107</f>
        <v>3</v>
      </c>
      <c r="M123" s="176">
        <f>'2018'!M123+'2019'!M123+'2020'!M123+'2021'!M123+'2022'!M107</f>
        <v>1</v>
      </c>
      <c r="N123" s="176">
        <f>'2018'!N123+'2019'!N123+'2020'!N123+'2021'!N123+'2022'!N107</f>
        <v>3</v>
      </c>
      <c r="O123" s="176">
        <f>'2018'!O123+'2019'!O123+'2020'!O123+'2021'!O123+'2022'!O107</f>
        <v>0</v>
      </c>
      <c r="P123" s="176">
        <f>'2018'!P123+'2019'!P123+'2020'!P123+'2021'!P123+'2022'!P107</f>
        <v>0</v>
      </c>
      <c r="Q123" s="176">
        <f>'2018'!Q123+'2019'!Q123+'2020'!Q123+'2021'!Q123+'2022'!Q107</f>
        <v>3</v>
      </c>
      <c r="R123" s="176">
        <f>'2018'!R123+'2019'!R123+'2020'!R123+'2021'!R123+'2022'!R107</f>
        <v>0</v>
      </c>
      <c r="S123" s="176">
        <f>'2018'!S123+'2019'!S123+'2020'!S123+'2021'!S123+'2022'!S107</f>
        <v>0</v>
      </c>
      <c r="T123" s="176">
        <f>'2018'!T123+'2019'!T123+'2020'!T123+'2021'!T123+'2022'!T107</f>
        <v>0</v>
      </c>
      <c r="U123" s="176">
        <f>'2018'!U123+'2019'!U123+'2020'!U123+'2021'!U123+'2022'!U107</f>
        <v>0</v>
      </c>
      <c r="V123" s="176">
        <f>'2018'!V123+'2019'!V123+'2020'!V123+'2021'!V123+'2022'!V107</f>
        <v>22</v>
      </c>
      <c r="W123" s="176">
        <f>'2018'!W123+'2019'!W123+'2020'!W123+'2021'!W123+'2022'!W107</f>
        <v>0</v>
      </c>
      <c r="X123" s="176">
        <f>'2018'!X123+'2019'!X123+'2020'!X123+'2021'!X123+'2022'!X107</f>
        <v>251</v>
      </c>
      <c r="Y123" s="174">
        <f t="shared" si="14"/>
        <v>292</v>
      </c>
      <c r="Z123" s="174">
        <f>'2018'!Z123+'2019'!Z123+'2020'!Z123+'2021'!Z123+'2022'!Z107</f>
        <v>105</v>
      </c>
      <c r="AA123" s="174">
        <f>'2018'!AA123+'2019'!AA123+'2020'!AA123+'2021'!AA123+'2022'!AA107</f>
        <v>1</v>
      </c>
      <c r="AB123" s="174">
        <f>'2018'!AB123+'2019'!AB123+'2020'!AB123+'2021'!AB123+'2022'!AB107</f>
        <v>132</v>
      </c>
      <c r="AC123" s="174">
        <f>'2018'!AC123+'2019'!AC123+'2020'!AC123+'2021'!AC123+'2022'!AC107</f>
        <v>1</v>
      </c>
      <c r="AD123" s="174">
        <f>'2018'!AD123+'2019'!AD123+'2020'!AD123+'2021'!AD123+'2022'!AD107</f>
        <v>0</v>
      </c>
      <c r="AE123" s="174">
        <f>'2018'!AE123+'2019'!AE123+'2020'!AE123+'2021'!AE123+'2022'!AE107</f>
        <v>0</v>
      </c>
      <c r="AF123" s="174">
        <f>'2018'!AF123+'2019'!AF123+'2020'!AF123+'2021'!AF123+'2022'!AF107</f>
        <v>3</v>
      </c>
      <c r="AG123" s="174">
        <f>'2018'!AG123+'2019'!AG123+'2020'!AG123+'2021'!AG123+'2022'!AG107</f>
        <v>0</v>
      </c>
      <c r="AH123" s="174">
        <f>'2018'!AH123+'2019'!AH123+'2020'!AH123+'2021'!AH123+'2022'!AH107</f>
        <v>0</v>
      </c>
      <c r="AI123" s="174">
        <f>'2018'!AI123+'2019'!AI123+'2020'!AI123+'2021'!AI123+'2022'!AI107</f>
        <v>6</v>
      </c>
      <c r="AJ123" s="174">
        <f>'2018'!AJ123+'2019'!AJ123+'2020'!AJ123+'2021'!AJ123+'2022'!AJ107</f>
        <v>2</v>
      </c>
      <c r="AK123" s="174">
        <f>'2018'!AK123+'2019'!AK123+'2020'!AK123+'2021'!AK123+'2022'!AK107</f>
        <v>1</v>
      </c>
      <c r="AL123" s="174">
        <f>'2018'!AL123+'2019'!AL123+'2020'!AL123+'2021'!AL123+'2022'!AL107</f>
        <v>3</v>
      </c>
      <c r="AM123" s="174">
        <f>'2018'!AM123+'2019'!AM123+'2020'!AM123+'2021'!AM123+'2022'!AM107</f>
        <v>0</v>
      </c>
      <c r="AN123" s="174">
        <f>'2018'!AN123+'2019'!AN123+'2020'!AN123+'2021'!AN123+'2022'!AN107</f>
        <v>0</v>
      </c>
      <c r="AO123" s="174">
        <f>'2018'!AO123+'2019'!AO123+'2020'!AO123+'2021'!AO123+'2022'!AO107</f>
        <v>2</v>
      </c>
      <c r="AP123" s="174">
        <f>'2018'!AP123+'2019'!AP123+'2020'!AP123+'2021'!AP123+'2022'!AP107</f>
        <v>0</v>
      </c>
      <c r="AQ123" s="174">
        <f>'2018'!AQ123+'2019'!AQ123+'2020'!AQ123+'2021'!AQ123+'2022'!AQ107</f>
        <v>0</v>
      </c>
      <c r="AR123" s="174">
        <f>'2018'!AR123+'2019'!AR123+'2020'!AR123+'2021'!AR123+'2022'!AR107</f>
        <v>0</v>
      </c>
      <c r="AS123" s="174">
        <f>'2018'!AS123+'2019'!AS123+'2020'!AS123+'2021'!AS123+'2022'!AS107</f>
        <v>0</v>
      </c>
      <c r="AT123" s="174">
        <f>'2018'!AT123+'2019'!AT123+'2020'!AT123+'2021'!AT123+'2022'!AT107</f>
        <v>16</v>
      </c>
      <c r="AU123" s="174">
        <f>'2018'!AU123+'2019'!AU123+'2020'!AU123+'2021'!AU123+'2022'!AU107</f>
        <v>0</v>
      </c>
      <c r="AV123" s="174">
        <f>'2018'!AV123+'2019'!AV123+'2020'!AV123+'2021'!AV123+'2022'!AV107</f>
        <v>99</v>
      </c>
      <c r="AW123" s="174">
        <f t="shared" si="15"/>
        <v>132</v>
      </c>
      <c r="AX123" s="156">
        <f t="shared" si="16"/>
        <v>1057.442153846154</v>
      </c>
      <c r="AY123" s="14">
        <f>'2018'!AX123+'2019'!AX123+'2020'!AX123+'2021'!AX123+'2022'!AX107</f>
        <v>5287.21076923077</v>
      </c>
      <c r="AZ123" s="14">
        <f t="shared" si="21"/>
        <v>45.205479452054796</v>
      </c>
      <c r="BB123" s="144"/>
    </row>
    <row r="124" spans="1:54" s="142" customFormat="1" x14ac:dyDescent="0.25">
      <c r="A124" s="175" t="s">
        <v>205</v>
      </c>
      <c r="B124" s="176">
        <f>'2018'!B124+'2019'!B124+'2020'!B124+'2021'!B124+'2022'!B108</f>
        <v>58</v>
      </c>
      <c r="C124" s="176">
        <f>'2018'!C124+'2019'!C124+'2020'!C124+'2021'!C124+'2022'!C108</f>
        <v>0</v>
      </c>
      <c r="D124" s="176">
        <f>'2018'!D124+'2019'!D124+'2020'!D124+'2021'!D124+'2022'!D108</f>
        <v>401</v>
      </c>
      <c r="E124" s="176">
        <f>'2018'!E124+'2019'!E124+'2020'!E124+'2021'!E124+'2022'!E108</f>
        <v>0</v>
      </c>
      <c r="F124" s="176">
        <f>'2018'!F124+'2019'!F124+'2020'!F124+'2021'!F124+'2022'!F108</f>
        <v>0</v>
      </c>
      <c r="G124" s="176">
        <f>'2018'!G124+'2019'!G124+'2020'!G124+'2021'!G124+'2022'!G108</f>
        <v>0</v>
      </c>
      <c r="H124" s="176">
        <f>'2018'!H124+'2019'!H124+'2020'!H124+'2021'!H124+'2022'!H108</f>
        <v>366</v>
      </c>
      <c r="I124" s="176">
        <f>'2018'!I124+'2019'!I124+'2020'!I124+'2021'!I124+'2022'!I108</f>
        <v>0</v>
      </c>
      <c r="J124" s="176">
        <f>'2018'!J124+'2019'!J124+'2020'!J124+'2021'!J124+'2022'!J108</f>
        <v>5</v>
      </c>
      <c r="K124" s="176">
        <f>'2018'!K124+'2019'!K124+'2020'!K124+'2021'!K124+'2022'!K108</f>
        <v>10</v>
      </c>
      <c r="L124" s="176">
        <f>'2018'!L124+'2019'!L124+'2020'!L124+'2021'!L124+'2022'!L108</f>
        <v>10</v>
      </c>
      <c r="M124" s="176">
        <f>'2018'!M124+'2019'!M124+'2020'!M124+'2021'!M124+'2022'!M108</f>
        <v>2</v>
      </c>
      <c r="N124" s="176">
        <f>'2018'!N124+'2019'!N124+'2020'!N124+'2021'!N124+'2022'!N108</f>
        <v>0</v>
      </c>
      <c r="O124" s="176">
        <f>'2018'!O124+'2019'!O124+'2020'!O124+'2021'!O124+'2022'!O108</f>
        <v>0</v>
      </c>
      <c r="P124" s="176">
        <f>'2018'!P124+'2019'!P124+'2020'!P124+'2021'!P124+'2022'!P108</f>
        <v>0</v>
      </c>
      <c r="Q124" s="176">
        <f>'2018'!Q124+'2019'!Q124+'2020'!Q124+'2021'!Q124+'2022'!Q108</f>
        <v>0</v>
      </c>
      <c r="R124" s="176">
        <f>'2018'!R124+'2019'!R124+'2020'!R124+'2021'!R124+'2022'!R108</f>
        <v>8</v>
      </c>
      <c r="S124" s="176">
        <f>'2018'!S124+'2019'!S124+'2020'!S124+'2021'!S124+'2022'!S108</f>
        <v>0</v>
      </c>
      <c r="T124" s="176">
        <f>'2018'!T124+'2019'!T124+'2020'!T124+'2021'!T124+'2022'!T108</f>
        <v>0</v>
      </c>
      <c r="U124" s="176">
        <f>'2018'!U124+'2019'!U124+'2020'!U124+'2021'!U124+'2022'!U108</f>
        <v>0</v>
      </c>
      <c r="V124" s="176">
        <f>'2018'!V124+'2019'!V124+'2020'!V124+'2021'!V124+'2022'!V108</f>
        <v>0</v>
      </c>
      <c r="W124" s="176">
        <f>'2018'!W124+'2019'!W124+'2020'!W124+'2021'!W124+'2022'!W108</f>
        <v>0</v>
      </c>
      <c r="X124" s="176">
        <f>'2018'!X124+'2019'!X124+'2020'!X124+'2021'!X124+'2022'!X108</f>
        <v>0</v>
      </c>
      <c r="Y124" s="174">
        <f t="shared" si="14"/>
        <v>401</v>
      </c>
      <c r="Z124" s="174">
        <f>'2018'!Z124+'2019'!Z124+'2020'!Z124+'2021'!Z124+'2022'!Z108</f>
        <v>44</v>
      </c>
      <c r="AA124" s="174">
        <f>'2018'!AA124+'2019'!AA124+'2020'!AA124+'2021'!AA124+'2022'!AA108</f>
        <v>0</v>
      </c>
      <c r="AB124" s="174">
        <f>'2018'!AB124+'2019'!AB124+'2020'!AB124+'2021'!AB124+'2022'!AB108</f>
        <v>277</v>
      </c>
      <c r="AC124" s="174">
        <f>'2018'!AC124+'2019'!AC124+'2020'!AC124+'2021'!AC124+'2022'!AC108</f>
        <v>0</v>
      </c>
      <c r="AD124" s="174">
        <f>'2018'!AD124+'2019'!AD124+'2020'!AD124+'2021'!AD124+'2022'!AD108</f>
        <v>0</v>
      </c>
      <c r="AE124" s="174">
        <f>'2018'!AE124+'2019'!AE124+'2020'!AE124+'2021'!AE124+'2022'!AE108</f>
        <v>0</v>
      </c>
      <c r="AF124" s="174">
        <f>'2018'!AF124+'2019'!AF124+'2020'!AF124+'2021'!AF124+'2022'!AF108</f>
        <v>252</v>
      </c>
      <c r="AG124" s="174">
        <f>'2018'!AG124+'2019'!AG124+'2020'!AG124+'2021'!AG124+'2022'!AG108</f>
        <v>0</v>
      </c>
      <c r="AH124" s="174">
        <f>'2018'!AH124+'2019'!AH124+'2020'!AH124+'2021'!AH124+'2022'!AH108</f>
        <v>5</v>
      </c>
      <c r="AI124" s="174">
        <f>'2018'!AI124+'2019'!AI124+'2020'!AI124+'2021'!AI124+'2022'!AI108</f>
        <v>7</v>
      </c>
      <c r="AJ124" s="174">
        <f>'2018'!AJ124+'2019'!AJ124+'2020'!AJ124+'2021'!AJ124+'2022'!AJ108</f>
        <v>5</v>
      </c>
      <c r="AK124" s="174">
        <f>'2018'!AK124+'2019'!AK124+'2020'!AK124+'2021'!AK124+'2022'!AK108</f>
        <v>2</v>
      </c>
      <c r="AL124" s="174">
        <f>'2018'!AL124+'2019'!AL124+'2020'!AL124+'2021'!AL124+'2022'!AL108</f>
        <v>0</v>
      </c>
      <c r="AM124" s="174">
        <f>'2018'!AM124+'2019'!AM124+'2020'!AM124+'2021'!AM124+'2022'!AM108</f>
        <v>0</v>
      </c>
      <c r="AN124" s="174">
        <f>'2018'!AN124+'2019'!AN124+'2020'!AN124+'2021'!AN124+'2022'!AN108</f>
        <v>0</v>
      </c>
      <c r="AO124" s="174">
        <f>'2018'!AO124+'2019'!AO124+'2020'!AO124+'2021'!AO124+'2022'!AO108</f>
        <v>0</v>
      </c>
      <c r="AP124" s="174">
        <f>'2018'!AP124+'2019'!AP124+'2020'!AP124+'2021'!AP124+'2022'!AP108</f>
        <v>6</v>
      </c>
      <c r="AQ124" s="174">
        <f>'2018'!AQ124+'2019'!AQ124+'2020'!AQ124+'2021'!AQ124+'2022'!AQ108</f>
        <v>0</v>
      </c>
      <c r="AR124" s="174">
        <f>'2018'!AR124+'2019'!AR124+'2020'!AR124+'2021'!AR124+'2022'!AR108</f>
        <v>0</v>
      </c>
      <c r="AS124" s="174">
        <f>'2018'!AS124+'2019'!AS124+'2020'!AS124+'2021'!AS124+'2022'!AS108</f>
        <v>0</v>
      </c>
      <c r="AT124" s="174">
        <f>'2018'!AT124+'2019'!AT124+'2020'!AT124+'2021'!AT124+'2022'!AT108</f>
        <v>0</v>
      </c>
      <c r="AU124" s="174">
        <f>'2018'!AU124+'2019'!AU124+'2020'!AU124+'2021'!AU124+'2022'!AU108</f>
        <v>0</v>
      </c>
      <c r="AV124" s="174">
        <f>'2018'!AV124+'2019'!AV124+'2020'!AV124+'2021'!AV124+'2022'!AV108</f>
        <v>0</v>
      </c>
      <c r="AW124" s="174">
        <f t="shared" si="15"/>
        <v>277</v>
      </c>
      <c r="AX124" s="156">
        <f t="shared" si="16"/>
        <v>2313.4916363636362</v>
      </c>
      <c r="AY124" s="14">
        <f>'2018'!AX124+'2019'!AX124+'2020'!AX124+'2021'!AX124+'2022'!AX108</f>
        <v>11567.458181818181</v>
      </c>
      <c r="AZ124" s="14">
        <f t="shared" si="21"/>
        <v>69.077306733167077</v>
      </c>
      <c r="BB124" s="144"/>
    </row>
    <row r="125" spans="1:54" s="142" customFormat="1" x14ac:dyDescent="0.25">
      <c r="A125" s="175" t="s">
        <v>206</v>
      </c>
      <c r="B125" s="176">
        <f>'2018'!B125+'2019'!B125+'2020'!B125+'2021'!B125+'2022'!B109</f>
        <v>140</v>
      </c>
      <c r="C125" s="176">
        <f>'2018'!C125+'2019'!C125+'2020'!C125+'2021'!C125+'2022'!C109</f>
        <v>0</v>
      </c>
      <c r="D125" s="176">
        <f>'2018'!D125+'2019'!D125+'2020'!D125+'2021'!D125+'2022'!D109</f>
        <v>266</v>
      </c>
      <c r="E125" s="176">
        <f>'2018'!E125+'2019'!E125+'2020'!E125+'2021'!E125+'2022'!E109</f>
        <v>0</v>
      </c>
      <c r="F125" s="176">
        <f>'2018'!F125+'2019'!F125+'2020'!F125+'2021'!F125+'2022'!F109</f>
        <v>0</v>
      </c>
      <c r="G125" s="176">
        <f>'2018'!G125+'2019'!G125+'2020'!G125+'2021'!G125+'2022'!G109</f>
        <v>0</v>
      </c>
      <c r="H125" s="176">
        <f>'2018'!H125+'2019'!H125+'2020'!H125+'2021'!H125+'2022'!H109</f>
        <v>36</v>
      </c>
      <c r="I125" s="176">
        <f>'2018'!I125+'2019'!I125+'2020'!I125+'2021'!I125+'2022'!I109</f>
        <v>0</v>
      </c>
      <c r="J125" s="176">
        <f>'2018'!J125+'2019'!J125+'2020'!J125+'2021'!J125+'2022'!J109</f>
        <v>0</v>
      </c>
      <c r="K125" s="176">
        <f>'2018'!K125+'2019'!K125+'2020'!K125+'2021'!K125+'2022'!K109</f>
        <v>0</v>
      </c>
      <c r="L125" s="176">
        <f>'2018'!L125+'2019'!L125+'2020'!L125+'2021'!L125+'2022'!L109</f>
        <v>2</v>
      </c>
      <c r="M125" s="176">
        <f>'2018'!M125+'2019'!M125+'2020'!M125+'2021'!M125+'2022'!M109</f>
        <v>0</v>
      </c>
      <c r="N125" s="176">
        <f>'2018'!N125+'2019'!N125+'2020'!N125+'2021'!N125+'2022'!N109</f>
        <v>0</v>
      </c>
      <c r="O125" s="176">
        <f>'2018'!O125+'2019'!O125+'2020'!O125+'2021'!O125+'2022'!O109</f>
        <v>0</v>
      </c>
      <c r="P125" s="176">
        <f>'2018'!P125+'2019'!P125+'2020'!P125+'2021'!P125+'2022'!P109</f>
        <v>0</v>
      </c>
      <c r="Q125" s="176">
        <f>'2018'!Q125+'2019'!Q125+'2020'!Q125+'2021'!Q125+'2022'!Q109</f>
        <v>0</v>
      </c>
      <c r="R125" s="176">
        <f>'2018'!R125+'2019'!R125+'2020'!R125+'2021'!R125+'2022'!R109</f>
        <v>1</v>
      </c>
      <c r="S125" s="176">
        <f>'2018'!S125+'2019'!S125+'2020'!S125+'2021'!S125+'2022'!S109</f>
        <v>0</v>
      </c>
      <c r="T125" s="176">
        <f>'2018'!T125+'2019'!T125+'2020'!T125+'2021'!T125+'2022'!T109</f>
        <v>1</v>
      </c>
      <c r="U125" s="176">
        <f>'2018'!U125+'2019'!U125+'2020'!U125+'2021'!U125+'2022'!U109</f>
        <v>2</v>
      </c>
      <c r="V125" s="176">
        <f>'2018'!V125+'2019'!V125+'2020'!V125+'2021'!V125+'2022'!V109</f>
        <v>2</v>
      </c>
      <c r="W125" s="176">
        <f>'2018'!W125+'2019'!W125+'2020'!W125+'2021'!W125+'2022'!W109</f>
        <v>0</v>
      </c>
      <c r="X125" s="176">
        <f>'2018'!X125+'2019'!X125+'2020'!X125+'2021'!X125+'2022'!X109</f>
        <v>222</v>
      </c>
      <c r="Y125" s="174">
        <f t="shared" si="14"/>
        <v>266</v>
      </c>
      <c r="Z125" s="174">
        <f>'2018'!Z125+'2019'!Z125+'2020'!Z125+'2021'!Z125+'2022'!Z109</f>
        <v>79</v>
      </c>
      <c r="AA125" s="174">
        <f>'2018'!AA125+'2019'!AA125+'2020'!AA125+'2021'!AA125+'2022'!AA109</f>
        <v>0</v>
      </c>
      <c r="AB125" s="174">
        <f>'2018'!AB125+'2019'!AB125+'2020'!AB125+'2021'!AB125+'2022'!AB109</f>
        <v>134</v>
      </c>
      <c r="AC125" s="174">
        <f>'2018'!AC125+'2019'!AC125+'2020'!AC125+'2021'!AC125+'2022'!AC109</f>
        <v>0</v>
      </c>
      <c r="AD125" s="174">
        <f>'2018'!AD125+'2019'!AD125+'2020'!AD125+'2021'!AD125+'2022'!AD109</f>
        <v>0</v>
      </c>
      <c r="AE125" s="174">
        <f>'2018'!AE125+'2019'!AE125+'2020'!AE125+'2021'!AE125+'2022'!AE109</f>
        <v>0</v>
      </c>
      <c r="AF125" s="174">
        <f>'2018'!AF125+'2019'!AF125+'2020'!AF125+'2021'!AF125+'2022'!AF109</f>
        <v>28</v>
      </c>
      <c r="AG125" s="174">
        <f>'2018'!AG125+'2019'!AG125+'2020'!AG125+'2021'!AG125+'2022'!AG109</f>
        <v>0</v>
      </c>
      <c r="AH125" s="174">
        <f>'2018'!AH125+'2019'!AH125+'2020'!AH125+'2021'!AH125+'2022'!AH109</f>
        <v>0</v>
      </c>
      <c r="AI125" s="174">
        <f>'2018'!AI125+'2019'!AI125+'2020'!AI125+'2021'!AI125+'2022'!AI109</f>
        <v>0</v>
      </c>
      <c r="AJ125" s="174">
        <f>'2018'!AJ125+'2019'!AJ125+'2020'!AJ125+'2021'!AJ125+'2022'!AJ109</f>
        <v>0</v>
      </c>
      <c r="AK125" s="174">
        <f>'2018'!AK125+'2019'!AK125+'2020'!AK125+'2021'!AK125+'2022'!AK109</f>
        <v>1</v>
      </c>
      <c r="AL125" s="174">
        <f>'2018'!AL125+'2019'!AL125+'2020'!AL125+'2021'!AL125+'2022'!AL109</f>
        <v>0</v>
      </c>
      <c r="AM125" s="174">
        <f>'2018'!AM125+'2019'!AM125+'2020'!AM125+'2021'!AM125+'2022'!AM109</f>
        <v>0</v>
      </c>
      <c r="AN125" s="174">
        <f>'2018'!AN125+'2019'!AN125+'2020'!AN125+'2021'!AN125+'2022'!AN109</f>
        <v>0</v>
      </c>
      <c r="AO125" s="174">
        <f>'2018'!AO125+'2019'!AO125+'2020'!AO125+'2021'!AO125+'2022'!AO109</f>
        <v>0</v>
      </c>
      <c r="AP125" s="174">
        <f>'2018'!AP125+'2019'!AP125+'2020'!AP125+'2021'!AP125+'2022'!AP109</f>
        <v>0</v>
      </c>
      <c r="AQ125" s="174">
        <f>'2018'!AQ125+'2019'!AQ125+'2020'!AQ125+'2021'!AQ125+'2022'!AQ109</f>
        <v>0</v>
      </c>
      <c r="AR125" s="174">
        <f>'2018'!AR125+'2019'!AR125+'2020'!AR125+'2021'!AR125+'2022'!AR109</f>
        <v>1</v>
      </c>
      <c r="AS125" s="174">
        <f>'2018'!AS125+'2019'!AS125+'2020'!AS125+'2021'!AS125+'2022'!AS109</f>
        <v>2</v>
      </c>
      <c r="AT125" s="174">
        <f>'2018'!AT125+'2019'!AT125+'2020'!AT125+'2021'!AT125+'2022'!AT109</f>
        <v>1</v>
      </c>
      <c r="AU125" s="174">
        <f>'2018'!AU125+'2019'!AU125+'2020'!AU125+'2021'!AU125+'2022'!AU109</f>
        <v>0</v>
      </c>
      <c r="AV125" s="174">
        <f>'2018'!AV125+'2019'!AV125+'2020'!AV125+'2021'!AV125+'2022'!AV109</f>
        <v>101</v>
      </c>
      <c r="AW125" s="174">
        <f t="shared" si="15"/>
        <v>134</v>
      </c>
      <c r="AX125" s="156">
        <f t="shared" si="16"/>
        <v>2337.7931282051286</v>
      </c>
      <c r="AY125" s="14">
        <f>'2018'!AX125+'2019'!AX125+'2020'!AX125+'2021'!AX125+'2022'!AX109</f>
        <v>11688.965641025643</v>
      </c>
      <c r="AZ125" s="14">
        <f t="shared" si="21"/>
        <v>50.375939849624061</v>
      </c>
      <c r="BB125" s="144"/>
    </row>
    <row r="126" spans="1:54" s="142" customFormat="1" x14ac:dyDescent="0.25">
      <c r="A126" s="175" t="s">
        <v>207</v>
      </c>
      <c r="B126" s="176">
        <f>'2018'!B126+'2019'!B126+'2020'!B126+'2021'!B126+'2022'!B110</f>
        <v>0</v>
      </c>
      <c r="C126" s="176">
        <f>'2018'!C126+'2019'!C126+'2020'!C126+'2021'!C126+'2022'!C110</f>
        <v>0</v>
      </c>
      <c r="D126" s="176">
        <f>'2018'!D126+'2019'!D126+'2020'!D126+'2021'!D126+'2022'!D110</f>
        <v>0</v>
      </c>
      <c r="E126" s="176">
        <f>'2018'!E126+'2019'!E126+'2020'!E126+'2021'!E126+'2022'!E110</f>
        <v>0</v>
      </c>
      <c r="F126" s="176">
        <f>'2018'!F126+'2019'!F126+'2020'!F126+'2021'!F126+'2022'!F110</f>
        <v>0</v>
      </c>
      <c r="G126" s="176">
        <f>'2018'!G126+'2019'!G126+'2020'!G126+'2021'!G126+'2022'!G110</f>
        <v>0</v>
      </c>
      <c r="H126" s="176">
        <f>'2018'!H126+'2019'!H126+'2020'!H126+'2021'!H126+'2022'!H110</f>
        <v>0</v>
      </c>
      <c r="I126" s="176">
        <f>'2018'!I126+'2019'!I126+'2020'!I126+'2021'!I126+'2022'!I110</f>
        <v>0</v>
      </c>
      <c r="J126" s="176">
        <f>'2018'!J126+'2019'!J126+'2020'!J126+'2021'!J126+'2022'!J110</f>
        <v>0</v>
      </c>
      <c r="K126" s="176">
        <f>'2018'!K126+'2019'!K126+'2020'!K126+'2021'!K126+'2022'!K110</f>
        <v>0</v>
      </c>
      <c r="L126" s="176">
        <f>'2018'!L126+'2019'!L126+'2020'!L126+'2021'!L126+'2022'!L110</f>
        <v>0</v>
      </c>
      <c r="M126" s="176">
        <f>'2018'!M126+'2019'!M126+'2020'!M126+'2021'!M126+'2022'!M110</f>
        <v>0</v>
      </c>
      <c r="N126" s="176">
        <f>'2018'!N126+'2019'!N126+'2020'!N126+'2021'!N126+'2022'!N110</f>
        <v>0</v>
      </c>
      <c r="O126" s="176">
        <f>'2018'!O126+'2019'!O126+'2020'!O126+'2021'!O126+'2022'!O110</f>
        <v>0</v>
      </c>
      <c r="P126" s="176">
        <f>'2018'!P126+'2019'!P126+'2020'!P126+'2021'!P126+'2022'!P110</f>
        <v>0</v>
      </c>
      <c r="Q126" s="176">
        <f>'2018'!Q126+'2019'!Q126+'2020'!Q126+'2021'!Q126+'2022'!Q110</f>
        <v>0</v>
      </c>
      <c r="R126" s="176">
        <f>'2018'!R126+'2019'!R126+'2020'!R126+'2021'!R126+'2022'!R110</f>
        <v>0</v>
      </c>
      <c r="S126" s="176">
        <f>'2018'!S126+'2019'!S126+'2020'!S126+'2021'!S126+'2022'!S110</f>
        <v>0</v>
      </c>
      <c r="T126" s="176">
        <f>'2018'!T126+'2019'!T126+'2020'!T126+'2021'!T126+'2022'!T110</f>
        <v>0</v>
      </c>
      <c r="U126" s="176">
        <f>'2018'!U126+'2019'!U126+'2020'!U126+'2021'!U126+'2022'!U110</f>
        <v>0</v>
      </c>
      <c r="V126" s="176">
        <f>'2018'!V126+'2019'!V126+'2020'!V126+'2021'!V126+'2022'!V110</f>
        <v>0</v>
      </c>
      <c r="W126" s="176">
        <f>'2018'!W126+'2019'!W126+'2020'!W126+'2021'!W126+'2022'!W110</f>
        <v>0</v>
      </c>
      <c r="X126" s="176">
        <f>'2018'!X126+'2019'!X126+'2020'!X126+'2021'!X126+'2022'!X110</f>
        <v>0</v>
      </c>
      <c r="Y126" s="174">
        <f t="shared" si="14"/>
        <v>0</v>
      </c>
      <c r="Z126" s="174">
        <f>'2018'!Z126+'2019'!Z126+'2020'!Z126+'2021'!Z126+'2022'!Z110</f>
        <v>0</v>
      </c>
      <c r="AA126" s="174">
        <f>'2018'!AA126+'2019'!AA126+'2020'!AA126+'2021'!AA126+'2022'!AA110</f>
        <v>0</v>
      </c>
      <c r="AB126" s="174">
        <f>'2018'!AB126+'2019'!AB126+'2020'!AB126+'2021'!AB126+'2022'!AB110</f>
        <v>0</v>
      </c>
      <c r="AC126" s="174">
        <f>'2018'!AC126+'2019'!AC126+'2020'!AC126+'2021'!AC126+'2022'!AC110</f>
        <v>0</v>
      </c>
      <c r="AD126" s="174">
        <f>'2018'!AD126+'2019'!AD126+'2020'!AD126+'2021'!AD126+'2022'!AD110</f>
        <v>0</v>
      </c>
      <c r="AE126" s="174">
        <f>'2018'!AE126+'2019'!AE126+'2020'!AE126+'2021'!AE126+'2022'!AE110</f>
        <v>0</v>
      </c>
      <c r="AF126" s="174">
        <f>'2018'!AF126+'2019'!AF126+'2020'!AF126+'2021'!AF126+'2022'!AF110</f>
        <v>0</v>
      </c>
      <c r="AG126" s="174">
        <f>'2018'!AG126+'2019'!AG126+'2020'!AG126+'2021'!AG126+'2022'!AG110</f>
        <v>0</v>
      </c>
      <c r="AH126" s="174">
        <f>'2018'!AH126+'2019'!AH126+'2020'!AH126+'2021'!AH126+'2022'!AH110</f>
        <v>0</v>
      </c>
      <c r="AI126" s="174">
        <f>'2018'!AI126+'2019'!AI126+'2020'!AI126+'2021'!AI126+'2022'!AI110</f>
        <v>0</v>
      </c>
      <c r="AJ126" s="174">
        <f>'2018'!AJ126+'2019'!AJ126+'2020'!AJ126+'2021'!AJ126+'2022'!AJ110</f>
        <v>0</v>
      </c>
      <c r="AK126" s="174">
        <f>'2018'!AK126+'2019'!AK126+'2020'!AK126+'2021'!AK126+'2022'!AK110</f>
        <v>0</v>
      </c>
      <c r="AL126" s="174">
        <f>'2018'!AL126+'2019'!AL126+'2020'!AL126+'2021'!AL126+'2022'!AL110</f>
        <v>0</v>
      </c>
      <c r="AM126" s="174">
        <f>'2018'!AM126+'2019'!AM126+'2020'!AM126+'2021'!AM126+'2022'!AM110</f>
        <v>0</v>
      </c>
      <c r="AN126" s="174">
        <f>'2018'!AN126+'2019'!AN126+'2020'!AN126+'2021'!AN126+'2022'!AN110</f>
        <v>0</v>
      </c>
      <c r="AO126" s="174">
        <f>'2018'!AO126+'2019'!AO126+'2020'!AO126+'2021'!AO126+'2022'!AO110</f>
        <v>0</v>
      </c>
      <c r="AP126" s="174">
        <f>'2018'!AP126+'2019'!AP126+'2020'!AP126+'2021'!AP126+'2022'!AP110</f>
        <v>0</v>
      </c>
      <c r="AQ126" s="174">
        <f>'2018'!AQ126+'2019'!AQ126+'2020'!AQ126+'2021'!AQ126+'2022'!AQ110</f>
        <v>0</v>
      </c>
      <c r="AR126" s="174">
        <f>'2018'!AR126+'2019'!AR126+'2020'!AR126+'2021'!AR126+'2022'!AR110</f>
        <v>0</v>
      </c>
      <c r="AS126" s="174">
        <f>'2018'!AS126+'2019'!AS126+'2020'!AS126+'2021'!AS126+'2022'!AS110</f>
        <v>0</v>
      </c>
      <c r="AT126" s="174">
        <f>'2018'!AT126+'2019'!AT126+'2020'!AT126+'2021'!AT126+'2022'!AT110</f>
        <v>0</v>
      </c>
      <c r="AU126" s="174">
        <f>'2018'!AU126+'2019'!AU126+'2020'!AU126+'2021'!AU126+'2022'!AU110</f>
        <v>0</v>
      </c>
      <c r="AV126" s="174">
        <f>'2018'!AV126+'2019'!AV126+'2020'!AV126+'2021'!AV126+'2022'!AV110</f>
        <v>0</v>
      </c>
      <c r="AW126" s="174"/>
      <c r="AX126" s="156"/>
      <c r="AY126" s="110"/>
      <c r="AZ126" s="110"/>
    </row>
    <row r="127" spans="1:54" s="142" customFormat="1" x14ac:dyDescent="0.25">
      <c r="A127" s="175" t="s">
        <v>208</v>
      </c>
      <c r="B127" s="176">
        <f>'2018'!B127+'2019'!B127+'2020'!B127+'2021'!B127+'2022'!B111</f>
        <v>9</v>
      </c>
      <c r="C127" s="176">
        <f>'2018'!C127+'2019'!C127+'2020'!C127+'2021'!C127+'2022'!C111</f>
        <v>1</v>
      </c>
      <c r="D127" s="176">
        <f>'2018'!D127+'2019'!D127+'2020'!D127+'2021'!D127+'2022'!D111</f>
        <v>50</v>
      </c>
      <c r="E127" s="176">
        <f>'2018'!E127+'2019'!E127+'2020'!E127+'2021'!E127+'2022'!E111</f>
        <v>4</v>
      </c>
      <c r="F127" s="176">
        <f>'2018'!F127+'2019'!F127+'2020'!F127+'2021'!F127+'2022'!F111</f>
        <v>0</v>
      </c>
      <c r="G127" s="176">
        <f>'2018'!G127+'2019'!G127+'2020'!G127+'2021'!G127+'2022'!G111</f>
        <v>0</v>
      </c>
      <c r="H127" s="176">
        <f>'2018'!H127+'2019'!H127+'2020'!H127+'2021'!H127+'2022'!H111</f>
        <v>42</v>
      </c>
      <c r="I127" s="176">
        <f>'2018'!I127+'2019'!I127+'2020'!I127+'2021'!I127+'2022'!I111</f>
        <v>0</v>
      </c>
      <c r="J127" s="176">
        <f>'2018'!J127+'2019'!J127+'2020'!J127+'2021'!J127+'2022'!J111</f>
        <v>0</v>
      </c>
      <c r="K127" s="176">
        <f>'2018'!K127+'2019'!K127+'2020'!K127+'2021'!K127+'2022'!K111</f>
        <v>0</v>
      </c>
      <c r="L127" s="176">
        <f>'2018'!L127+'2019'!L127+'2020'!L127+'2021'!L127+'2022'!L111</f>
        <v>0</v>
      </c>
      <c r="M127" s="176">
        <f>'2018'!M127+'2019'!M127+'2020'!M127+'2021'!M127+'2022'!M111</f>
        <v>0</v>
      </c>
      <c r="N127" s="176">
        <f>'2018'!N127+'2019'!N127+'2020'!N127+'2021'!N127+'2022'!N111</f>
        <v>0</v>
      </c>
      <c r="O127" s="176">
        <f>'2018'!O127+'2019'!O127+'2020'!O127+'2021'!O127+'2022'!O111</f>
        <v>0</v>
      </c>
      <c r="P127" s="176">
        <f>'2018'!P127+'2019'!P127+'2020'!P127+'2021'!P127+'2022'!P111</f>
        <v>0</v>
      </c>
      <c r="Q127" s="176">
        <f>'2018'!Q127+'2019'!Q127+'2020'!Q127+'2021'!Q127+'2022'!Q111</f>
        <v>0</v>
      </c>
      <c r="R127" s="176">
        <f>'2018'!R127+'2019'!R127+'2020'!R127+'2021'!R127+'2022'!R111</f>
        <v>4</v>
      </c>
      <c r="S127" s="176">
        <f>'2018'!S127+'2019'!S127+'2020'!S127+'2021'!S127+'2022'!S111</f>
        <v>0</v>
      </c>
      <c r="T127" s="176">
        <f>'2018'!T127+'2019'!T127+'2020'!T127+'2021'!T127+'2022'!T111</f>
        <v>0</v>
      </c>
      <c r="U127" s="176">
        <f>'2018'!U127+'2019'!U127+'2020'!U127+'2021'!U127+'2022'!U111</f>
        <v>4</v>
      </c>
      <c r="V127" s="176">
        <f>'2018'!V127+'2019'!V127+'2020'!V127+'2021'!V127+'2022'!V111</f>
        <v>0</v>
      </c>
      <c r="W127" s="176">
        <f>'2018'!W127+'2019'!W127+'2020'!W127+'2021'!W127+'2022'!W111</f>
        <v>0</v>
      </c>
      <c r="X127" s="176">
        <f>'2018'!X127+'2019'!X127+'2020'!X127+'2021'!X127+'2022'!X111</f>
        <v>0</v>
      </c>
      <c r="Y127" s="174">
        <f t="shared" si="14"/>
        <v>50</v>
      </c>
      <c r="Z127" s="174">
        <f>'2018'!Z127+'2019'!Z127+'2020'!Z127+'2021'!Z127+'2022'!Z111</f>
        <v>5</v>
      </c>
      <c r="AA127" s="174">
        <f>'2018'!AA127+'2019'!AA127+'2020'!AA127+'2021'!AA127+'2022'!AA111</f>
        <v>1</v>
      </c>
      <c r="AB127" s="174">
        <f>'2018'!AB127+'2019'!AB127+'2020'!AB127+'2021'!AB127+'2022'!AB111</f>
        <v>24</v>
      </c>
      <c r="AC127" s="174">
        <f>'2018'!AC127+'2019'!AC127+'2020'!AC127+'2021'!AC127+'2022'!AC111</f>
        <v>4</v>
      </c>
      <c r="AD127" s="174">
        <f>'2018'!AD127+'2019'!AD127+'2020'!AD127+'2021'!AD127+'2022'!AD111</f>
        <v>0</v>
      </c>
      <c r="AE127" s="174">
        <f>'2018'!AE127+'2019'!AE127+'2020'!AE127+'2021'!AE127+'2022'!AE111</f>
        <v>0</v>
      </c>
      <c r="AF127" s="174">
        <f>'2018'!AF127+'2019'!AF127+'2020'!AF127+'2021'!AF127+'2022'!AF111</f>
        <v>18</v>
      </c>
      <c r="AG127" s="174">
        <f>'2018'!AG127+'2019'!AG127+'2020'!AG127+'2021'!AG127+'2022'!AG111</f>
        <v>0</v>
      </c>
      <c r="AH127" s="174">
        <f>'2018'!AH127+'2019'!AH127+'2020'!AH127+'2021'!AH127+'2022'!AH111</f>
        <v>0</v>
      </c>
      <c r="AI127" s="174">
        <f>'2018'!AI127+'2019'!AI127+'2020'!AI127+'2021'!AI127+'2022'!AI111</f>
        <v>0</v>
      </c>
      <c r="AJ127" s="174">
        <f>'2018'!AJ127+'2019'!AJ127+'2020'!AJ127+'2021'!AJ127+'2022'!AJ111</f>
        <v>0</v>
      </c>
      <c r="AK127" s="174">
        <f>'2018'!AK127+'2019'!AK127+'2020'!AK127+'2021'!AK127+'2022'!AK111</f>
        <v>0</v>
      </c>
      <c r="AL127" s="174">
        <f>'2018'!AL127+'2019'!AL127+'2020'!AL127+'2021'!AL127+'2022'!AL111</f>
        <v>0</v>
      </c>
      <c r="AM127" s="174">
        <f>'2018'!AM127+'2019'!AM127+'2020'!AM127+'2021'!AM127+'2022'!AM111</f>
        <v>0</v>
      </c>
      <c r="AN127" s="174">
        <f>'2018'!AN127+'2019'!AN127+'2020'!AN127+'2021'!AN127+'2022'!AN111</f>
        <v>0</v>
      </c>
      <c r="AO127" s="174">
        <f>'2018'!AO127+'2019'!AO127+'2020'!AO127+'2021'!AO127+'2022'!AO111</f>
        <v>0</v>
      </c>
      <c r="AP127" s="174">
        <f>'2018'!AP127+'2019'!AP127+'2020'!AP127+'2021'!AP127+'2022'!AP111</f>
        <v>2</v>
      </c>
      <c r="AQ127" s="174">
        <f>'2018'!AQ127+'2019'!AQ127+'2020'!AQ127+'2021'!AQ127+'2022'!AQ111</f>
        <v>0</v>
      </c>
      <c r="AR127" s="174">
        <f>'2018'!AR127+'2019'!AR127+'2020'!AR127+'2021'!AR127+'2022'!AR111</f>
        <v>0</v>
      </c>
      <c r="AS127" s="174">
        <f>'2018'!AS127+'2019'!AS127+'2020'!AS127+'2021'!AS127+'2022'!AS111</f>
        <v>4</v>
      </c>
      <c r="AT127" s="174">
        <f>'2018'!AT127+'2019'!AT127+'2020'!AT127+'2021'!AT127+'2022'!AT111</f>
        <v>0</v>
      </c>
      <c r="AU127" s="174">
        <f>'2018'!AU127+'2019'!AU127+'2020'!AU127+'2021'!AU127+'2022'!AU111</f>
        <v>0</v>
      </c>
      <c r="AV127" s="174">
        <f>'2018'!AV127+'2019'!AV127+'2020'!AV127+'2021'!AV127+'2022'!AV111</f>
        <v>0</v>
      </c>
      <c r="AW127" s="174">
        <f t="shared" si="15"/>
        <v>24</v>
      </c>
      <c r="AX127" s="156">
        <f t="shared" si="16"/>
        <v>2552.96</v>
      </c>
      <c r="AY127" s="14">
        <f>'2018'!AX127+'2019'!AX127+'2020'!AX127+'2021'!AX127+'2022'!AX111</f>
        <v>12764.8</v>
      </c>
      <c r="AZ127" s="14">
        <f t="shared" si="21"/>
        <v>48</v>
      </c>
      <c r="BB127" s="144"/>
    </row>
    <row r="128" spans="1:54" s="142" customFormat="1" x14ac:dyDescent="0.25">
      <c r="A128" s="175" t="s">
        <v>209</v>
      </c>
      <c r="B128" s="176">
        <f>'2018'!B128+'2019'!B128+'2020'!B128+'2021'!B128+'2022'!B112</f>
        <v>91</v>
      </c>
      <c r="C128" s="176">
        <f>'2018'!C128+'2019'!C128+'2020'!C128+'2021'!C128+'2022'!C112</f>
        <v>1</v>
      </c>
      <c r="D128" s="176">
        <f>'2018'!D128+'2019'!D128+'2020'!D128+'2021'!D128+'2022'!D112</f>
        <v>1126</v>
      </c>
      <c r="E128" s="176">
        <f>'2018'!E128+'2019'!E128+'2020'!E128+'2021'!E128+'2022'!E112</f>
        <v>2</v>
      </c>
      <c r="F128" s="176">
        <f>'2018'!F128+'2019'!F128+'2020'!F128+'2021'!F128+'2022'!F112</f>
        <v>0</v>
      </c>
      <c r="G128" s="176">
        <f>'2018'!G128+'2019'!G128+'2020'!G128+'2021'!G128+'2022'!G112</f>
        <v>0</v>
      </c>
      <c r="H128" s="176">
        <f>'2018'!H128+'2019'!H128+'2020'!H128+'2021'!H128+'2022'!H112</f>
        <v>1083</v>
      </c>
      <c r="I128" s="176">
        <f>'2018'!I128+'2019'!I128+'2020'!I128+'2021'!I128+'2022'!I112</f>
        <v>0</v>
      </c>
      <c r="J128" s="176">
        <f>'2018'!J128+'2019'!J128+'2020'!J128+'2021'!J128+'2022'!J112</f>
        <v>2</v>
      </c>
      <c r="K128" s="176">
        <f>'2018'!K128+'2019'!K128+'2020'!K128+'2021'!K128+'2022'!K112</f>
        <v>15</v>
      </c>
      <c r="L128" s="176">
        <f>'2018'!L128+'2019'!L128+'2020'!L128+'2021'!L128+'2022'!L112</f>
        <v>17</v>
      </c>
      <c r="M128" s="176">
        <f>'2018'!M128+'2019'!M128+'2020'!M128+'2021'!M128+'2022'!M112</f>
        <v>9</v>
      </c>
      <c r="N128" s="176">
        <f>'2018'!N128+'2019'!N128+'2020'!N128+'2021'!N128+'2022'!N112</f>
        <v>0</v>
      </c>
      <c r="O128" s="176">
        <f>'2018'!O128+'2019'!O128+'2020'!O128+'2021'!O128+'2022'!O112</f>
        <v>0</v>
      </c>
      <c r="P128" s="176">
        <f>'2018'!P128+'2019'!P128+'2020'!P128+'2021'!P128+'2022'!P112</f>
        <v>0</v>
      </c>
      <c r="Q128" s="176">
        <f>'2018'!Q128+'2019'!Q128+'2020'!Q128+'2021'!Q128+'2022'!Q112</f>
        <v>0</v>
      </c>
      <c r="R128" s="176">
        <f>'2018'!R128+'2019'!R128+'2020'!R128+'2021'!R128+'2022'!R112</f>
        <v>0</v>
      </c>
      <c r="S128" s="176">
        <f>'2018'!S128+'2019'!S128+'2020'!S128+'2021'!S128+'2022'!S112</f>
        <v>0</v>
      </c>
      <c r="T128" s="176">
        <f>'2018'!T128+'2019'!T128+'2020'!T128+'2021'!T128+'2022'!T112</f>
        <v>0</v>
      </c>
      <c r="U128" s="176">
        <f>'2018'!U128+'2019'!U128+'2020'!U128+'2021'!U128+'2022'!U112</f>
        <v>0</v>
      </c>
      <c r="V128" s="176">
        <f>'2018'!V128+'2019'!V128+'2020'!V128+'2021'!V128+'2022'!V112</f>
        <v>0</v>
      </c>
      <c r="W128" s="176">
        <f>'2018'!W128+'2019'!W128+'2020'!W128+'2021'!W128+'2022'!W112</f>
        <v>0</v>
      </c>
      <c r="X128" s="176">
        <f>'2018'!X128+'2019'!X128+'2020'!X128+'2021'!X128+'2022'!X112</f>
        <v>0</v>
      </c>
      <c r="Y128" s="174">
        <f t="shared" si="14"/>
        <v>1126</v>
      </c>
      <c r="Z128" s="174">
        <f>'2018'!Z128+'2019'!Z128+'2020'!Z128+'2021'!Z128+'2022'!Z112</f>
        <v>75</v>
      </c>
      <c r="AA128" s="174">
        <f>'2018'!AA128+'2019'!AA128+'2020'!AA128+'2021'!AA128+'2022'!AA112</f>
        <v>0</v>
      </c>
      <c r="AB128" s="174">
        <f>'2018'!AB128+'2019'!AB128+'2020'!AB128+'2021'!AB128+'2022'!AB112</f>
        <v>1000</v>
      </c>
      <c r="AC128" s="174">
        <f>'2018'!AC128+'2019'!AC128+'2020'!AC128+'2021'!AC128+'2022'!AC112</f>
        <v>0</v>
      </c>
      <c r="AD128" s="174">
        <f>'2018'!AD128+'2019'!AD128+'2020'!AD128+'2021'!AD128+'2022'!AD112</f>
        <v>0</v>
      </c>
      <c r="AE128" s="174">
        <f>'2018'!AE128+'2019'!AE128+'2020'!AE128+'2021'!AE128+'2022'!AE112</f>
        <v>0</v>
      </c>
      <c r="AF128" s="174">
        <f>'2018'!AF128+'2019'!AF128+'2020'!AF128+'2021'!AF128+'2022'!AF112</f>
        <v>970</v>
      </c>
      <c r="AG128" s="174">
        <f>'2018'!AG128+'2019'!AG128+'2020'!AG128+'2021'!AG128+'2022'!AG112</f>
        <v>0</v>
      </c>
      <c r="AH128" s="174">
        <f>'2018'!AH128+'2019'!AH128+'2020'!AH128+'2021'!AH128+'2022'!AH112</f>
        <v>0</v>
      </c>
      <c r="AI128" s="174">
        <f>'2018'!AI128+'2019'!AI128+'2020'!AI128+'2021'!AI128+'2022'!AI112</f>
        <v>11</v>
      </c>
      <c r="AJ128" s="174">
        <f>'2018'!AJ128+'2019'!AJ128+'2020'!AJ128+'2021'!AJ128+'2022'!AJ112</f>
        <v>10</v>
      </c>
      <c r="AK128" s="174">
        <f>'2018'!AK128+'2019'!AK128+'2020'!AK128+'2021'!AK128+'2022'!AK112</f>
        <v>9</v>
      </c>
      <c r="AL128" s="174">
        <f>'2018'!AL128+'2019'!AL128+'2020'!AL128+'2021'!AL128+'2022'!AL112</f>
        <v>0</v>
      </c>
      <c r="AM128" s="174">
        <f>'2018'!AM128+'2019'!AM128+'2020'!AM128+'2021'!AM128+'2022'!AM112</f>
        <v>0</v>
      </c>
      <c r="AN128" s="174">
        <f>'2018'!AN128+'2019'!AN128+'2020'!AN128+'2021'!AN128+'2022'!AN112</f>
        <v>0</v>
      </c>
      <c r="AO128" s="174">
        <f>'2018'!AO128+'2019'!AO128+'2020'!AO128+'2021'!AO128+'2022'!AO112</f>
        <v>0</v>
      </c>
      <c r="AP128" s="174">
        <f>'2018'!AP128+'2019'!AP128+'2020'!AP128+'2021'!AP128+'2022'!AP112</f>
        <v>0</v>
      </c>
      <c r="AQ128" s="174">
        <f>'2018'!AQ128+'2019'!AQ128+'2020'!AQ128+'2021'!AQ128+'2022'!AQ112</f>
        <v>0</v>
      </c>
      <c r="AR128" s="174">
        <f>'2018'!AR128+'2019'!AR128+'2020'!AR128+'2021'!AR128+'2022'!AR112</f>
        <v>0</v>
      </c>
      <c r="AS128" s="174">
        <f>'2018'!AS128+'2019'!AS128+'2020'!AS128+'2021'!AS128+'2022'!AS112</f>
        <v>0</v>
      </c>
      <c r="AT128" s="174">
        <f>'2018'!AT128+'2019'!AT128+'2020'!AT128+'2021'!AT128+'2022'!AT112</f>
        <v>0</v>
      </c>
      <c r="AU128" s="174">
        <f>'2018'!AU128+'2019'!AU128+'2020'!AU128+'2021'!AU128+'2022'!AU112</f>
        <v>0</v>
      </c>
      <c r="AV128" s="174">
        <f>'2018'!AV128+'2019'!AV128+'2020'!AV128+'2021'!AV128+'2022'!AV112</f>
        <v>0</v>
      </c>
      <c r="AW128" s="174">
        <f t="shared" si="15"/>
        <v>1000</v>
      </c>
      <c r="AX128" s="156">
        <f t="shared" si="16"/>
        <v>677.80470454545446</v>
      </c>
      <c r="AY128" s="14">
        <f>'2018'!AX128+'2019'!AX128+'2020'!AX128+'2021'!AX128+'2022'!AX112</f>
        <v>3389.0235227272724</v>
      </c>
      <c r="AZ128" s="14">
        <f t="shared" si="21"/>
        <v>88.809946714031966</v>
      </c>
      <c r="BB128" s="144"/>
    </row>
    <row r="129" spans="1:54" s="142" customFormat="1" x14ac:dyDescent="0.25">
      <c r="A129" s="175" t="s">
        <v>210</v>
      </c>
      <c r="B129" s="176">
        <f>'2018'!B129+'2019'!B129+'2020'!B129+'2021'!B129+'2022'!B113</f>
        <v>235</v>
      </c>
      <c r="C129" s="176">
        <f>'2018'!C129+'2019'!C129+'2020'!C129+'2021'!C129+'2022'!C113</f>
        <v>2</v>
      </c>
      <c r="D129" s="176">
        <f>'2018'!D129+'2019'!D129+'2020'!D129+'2021'!D129+'2022'!D113</f>
        <v>1805</v>
      </c>
      <c r="E129" s="176">
        <f>'2018'!E129+'2019'!E129+'2020'!E129+'2021'!E129+'2022'!E113</f>
        <v>10</v>
      </c>
      <c r="F129" s="176">
        <f>'2018'!F129+'2019'!F129+'2020'!F129+'2021'!F129+'2022'!F113</f>
        <v>0</v>
      </c>
      <c r="G129" s="176">
        <f>'2018'!G129+'2019'!G129+'2020'!G129+'2021'!G129+'2022'!G113</f>
        <v>6</v>
      </c>
      <c r="H129" s="176">
        <f>'2018'!H129+'2019'!H129+'2020'!H129+'2021'!H129+'2022'!H113</f>
        <v>1582</v>
      </c>
      <c r="I129" s="176">
        <f>'2018'!I129+'2019'!I129+'2020'!I129+'2021'!I129+'2022'!I113</f>
        <v>0</v>
      </c>
      <c r="J129" s="176">
        <f>'2018'!J129+'2019'!J129+'2020'!J129+'2021'!J129+'2022'!J113</f>
        <v>10</v>
      </c>
      <c r="K129" s="176">
        <f>'2018'!K129+'2019'!K129+'2020'!K129+'2021'!K129+'2022'!K113</f>
        <v>141</v>
      </c>
      <c r="L129" s="176">
        <f>'2018'!L129+'2019'!L129+'2020'!L129+'2021'!L129+'2022'!L113</f>
        <v>16</v>
      </c>
      <c r="M129" s="176">
        <f>'2018'!M129+'2019'!M129+'2020'!M129+'2021'!M129+'2022'!M113</f>
        <v>0</v>
      </c>
      <c r="N129" s="176">
        <f>'2018'!N129+'2019'!N129+'2020'!N129+'2021'!N129+'2022'!N113</f>
        <v>0</v>
      </c>
      <c r="O129" s="176">
        <f>'2018'!O129+'2019'!O129+'2020'!O129+'2021'!O129+'2022'!O113</f>
        <v>18</v>
      </c>
      <c r="P129" s="176">
        <f>'2018'!P129+'2019'!P129+'2020'!P129+'2021'!P129+'2022'!P113</f>
        <v>0</v>
      </c>
      <c r="Q129" s="176">
        <f>'2018'!Q129+'2019'!Q129+'2020'!Q129+'2021'!Q129+'2022'!Q113</f>
        <v>0</v>
      </c>
      <c r="R129" s="176">
        <f>'2018'!R129+'2019'!R129+'2020'!R129+'2021'!R129+'2022'!R113</f>
        <v>22</v>
      </c>
      <c r="S129" s="176">
        <f>'2018'!S129+'2019'!S129+'2020'!S129+'2021'!S129+'2022'!S113</f>
        <v>0</v>
      </c>
      <c r="T129" s="176">
        <f>'2018'!T129+'2019'!T129+'2020'!T129+'2021'!T129+'2022'!T113</f>
        <v>0</v>
      </c>
      <c r="U129" s="176">
        <f>'2018'!U129+'2019'!U129+'2020'!U129+'2021'!U129+'2022'!U113</f>
        <v>10</v>
      </c>
      <c r="V129" s="176">
        <f>'2018'!V129+'2019'!V129+'2020'!V129+'2021'!V129+'2022'!V113</f>
        <v>0</v>
      </c>
      <c r="W129" s="176">
        <f>'2018'!W129+'2019'!W129+'2020'!W129+'2021'!W129+'2022'!W113</f>
        <v>0</v>
      </c>
      <c r="X129" s="176">
        <f>'2018'!X129+'2019'!X129+'2020'!X129+'2021'!X129+'2022'!X113</f>
        <v>0</v>
      </c>
      <c r="Y129" s="174">
        <f t="shared" si="14"/>
        <v>1805</v>
      </c>
      <c r="Z129" s="174">
        <f>'2018'!Z129+'2019'!Z129+'2020'!Z129+'2021'!Z129+'2022'!Z113</f>
        <v>150</v>
      </c>
      <c r="AA129" s="174">
        <f>'2018'!AA129+'2019'!AA129+'2020'!AA129+'2021'!AA129+'2022'!AA113</f>
        <v>2</v>
      </c>
      <c r="AB129" s="174">
        <f>'2018'!AB129+'2019'!AB129+'2020'!AB129+'2021'!AB129+'2022'!AB113</f>
        <v>921</v>
      </c>
      <c r="AC129" s="174">
        <f>'2018'!AC129+'2019'!AC129+'2020'!AC129+'2021'!AC129+'2022'!AC113</f>
        <v>6</v>
      </c>
      <c r="AD129" s="174">
        <f>'2018'!AD129+'2019'!AD129+'2020'!AD129+'2021'!AD129+'2022'!AD113</f>
        <v>0</v>
      </c>
      <c r="AE129" s="174">
        <f>'2018'!AE129+'2019'!AE129+'2020'!AE129+'2021'!AE129+'2022'!AE113</f>
        <v>3</v>
      </c>
      <c r="AF129" s="174">
        <f>'2018'!AF129+'2019'!AF129+'2020'!AF129+'2021'!AF129+'2022'!AF113</f>
        <v>792</v>
      </c>
      <c r="AG129" s="174">
        <f>'2018'!AG129+'2019'!AG129+'2020'!AG129+'2021'!AG129+'2022'!AG113</f>
        <v>0</v>
      </c>
      <c r="AH129" s="174">
        <f>'2018'!AH129+'2019'!AH129+'2020'!AH129+'2021'!AH129+'2022'!AH113</f>
        <v>7</v>
      </c>
      <c r="AI129" s="174">
        <f>'2018'!AI129+'2019'!AI129+'2020'!AI129+'2021'!AI129+'2022'!AI113</f>
        <v>109</v>
      </c>
      <c r="AJ129" s="174">
        <f>'2018'!AJ129+'2019'!AJ129+'2020'!AJ129+'2021'!AJ129+'2022'!AJ113</f>
        <v>4</v>
      </c>
      <c r="AK129" s="174">
        <f>'2018'!AK129+'2019'!AK129+'2020'!AK129+'2021'!AK129+'2022'!AK113</f>
        <v>0</v>
      </c>
      <c r="AL129" s="174">
        <f>'2018'!AL129+'2019'!AL129+'2020'!AL129+'2021'!AL129+'2022'!AL113</f>
        <v>0</v>
      </c>
      <c r="AM129" s="174">
        <f>'2018'!AM129+'2019'!AM129+'2020'!AM129+'2021'!AM129+'2022'!AM113</f>
        <v>0</v>
      </c>
      <c r="AN129" s="174">
        <f>'2018'!AN129+'2019'!AN129+'2020'!AN129+'2021'!AN129+'2022'!AN113</f>
        <v>0</v>
      </c>
      <c r="AO129" s="174">
        <f>'2018'!AO129+'2019'!AO129+'2020'!AO129+'2021'!AO129+'2022'!AO113</f>
        <v>0</v>
      </c>
      <c r="AP129" s="174">
        <f>'2018'!AP129+'2019'!AP129+'2020'!AP129+'2021'!AP129+'2022'!AP113</f>
        <v>0</v>
      </c>
      <c r="AQ129" s="174">
        <f>'2018'!AQ129+'2019'!AQ129+'2020'!AQ129+'2021'!AQ129+'2022'!AQ113</f>
        <v>0</v>
      </c>
      <c r="AR129" s="174">
        <f>'2018'!AR129+'2019'!AR129+'2020'!AR129+'2021'!AR129+'2022'!AR113</f>
        <v>0</v>
      </c>
      <c r="AS129" s="174">
        <f>'2018'!AS129+'2019'!AS129+'2020'!AS129+'2021'!AS129+'2022'!AS113</f>
        <v>6</v>
      </c>
      <c r="AT129" s="174">
        <f>'2018'!AT129+'2019'!AT129+'2020'!AT129+'2021'!AT129+'2022'!AT113</f>
        <v>0</v>
      </c>
      <c r="AU129" s="174">
        <f>'2018'!AU129+'2019'!AU129+'2020'!AU129+'2021'!AU129+'2022'!AU113</f>
        <v>0</v>
      </c>
      <c r="AV129" s="174">
        <f>'2018'!AV129+'2019'!AV129+'2020'!AV129+'2021'!AV129+'2022'!AV113</f>
        <v>0</v>
      </c>
      <c r="AW129" s="174">
        <f t="shared" si="15"/>
        <v>921</v>
      </c>
      <c r="AX129" s="156">
        <f t="shared" si="16"/>
        <v>673.71461702127658</v>
      </c>
      <c r="AY129" s="14">
        <f>'2018'!AX129+'2019'!AX129+'2020'!AX129+'2021'!AX129+'2022'!AX113</f>
        <v>3368.5730851063831</v>
      </c>
      <c r="AZ129" s="14">
        <f t="shared" si="21"/>
        <v>51.02493074792244</v>
      </c>
      <c r="BB129" s="144"/>
    </row>
    <row r="130" spans="1:54" s="142" customFormat="1" x14ac:dyDescent="0.25">
      <c r="A130" s="175" t="s">
        <v>211</v>
      </c>
      <c r="B130" s="176">
        <f>'2018'!B130+'2019'!B130+'2020'!B130+'2021'!B130+'2022'!B96</f>
        <v>81</v>
      </c>
      <c r="C130" s="176">
        <f>'2018'!C130+'2019'!C130+'2020'!C130+'2021'!C130+'2022'!C96</f>
        <v>8</v>
      </c>
      <c r="D130" s="176">
        <f>'2018'!D130+'2019'!D130+'2020'!D130+'2021'!D130+'2022'!D96</f>
        <v>376</v>
      </c>
      <c r="E130" s="176">
        <f>'2018'!E130+'2019'!E130+'2020'!E130+'2021'!E130+'2022'!E96</f>
        <v>34</v>
      </c>
      <c r="F130" s="176">
        <f>'2018'!F130+'2019'!F130+'2020'!F130+'2021'!F130+'2022'!F96</f>
        <v>0</v>
      </c>
      <c r="G130" s="176">
        <f>'2018'!G130+'2019'!G130+'2020'!G130+'2021'!G130+'2022'!G96</f>
        <v>3</v>
      </c>
      <c r="H130" s="176">
        <f>'2018'!H130+'2019'!H130+'2020'!H130+'2021'!H130+'2022'!H96</f>
        <v>65</v>
      </c>
      <c r="I130" s="176">
        <f>'2018'!I130+'2019'!I130+'2020'!I130+'2021'!I130+'2022'!I96</f>
        <v>0</v>
      </c>
      <c r="J130" s="176">
        <f>'2018'!J130+'2019'!J130+'2020'!J130+'2021'!J130+'2022'!J96</f>
        <v>0</v>
      </c>
      <c r="K130" s="176">
        <f>'2018'!K130+'2019'!K130+'2020'!K130+'2021'!K130+'2022'!K96</f>
        <v>3</v>
      </c>
      <c r="L130" s="176">
        <f>'2018'!L130+'2019'!L130+'2020'!L130+'2021'!L130+'2022'!L96</f>
        <v>9</v>
      </c>
      <c r="M130" s="176">
        <f>'2018'!M130+'2019'!M130+'2020'!M130+'2021'!M130+'2022'!M96</f>
        <v>0</v>
      </c>
      <c r="N130" s="176">
        <f>'2018'!N130+'2019'!N130+'2020'!N130+'2021'!N130+'2022'!N96</f>
        <v>176</v>
      </c>
      <c r="O130" s="176">
        <f>'2018'!O130+'2019'!O130+'2020'!O130+'2021'!O130+'2022'!O96</f>
        <v>0</v>
      </c>
      <c r="P130" s="176">
        <f>'2018'!P130+'2019'!P130+'2020'!P130+'2021'!P130+'2022'!P96</f>
        <v>0</v>
      </c>
      <c r="Q130" s="176">
        <f>'2018'!Q130+'2019'!Q130+'2020'!Q130+'2021'!Q130+'2022'!Q96</f>
        <v>0</v>
      </c>
      <c r="R130" s="176">
        <f>'2018'!R130+'2019'!R130+'2020'!R130+'2021'!R130+'2022'!R96</f>
        <v>15</v>
      </c>
      <c r="S130" s="176">
        <f>'2018'!S130+'2019'!S130+'2020'!S130+'2021'!S130+'2022'!S96</f>
        <v>5</v>
      </c>
      <c r="T130" s="176">
        <f>'2018'!T130+'2019'!T130+'2020'!T130+'2021'!T130+'2022'!T96</f>
        <v>0</v>
      </c>
      <c r="U130" s="176">
        <f>'2018'!U130+'2019'!U130+'2020'!U130+'2021'!U130+'2022'!U96</f>
        <v>36</v>
      </c>
      <c r="V130" s="176">
        <f>'2018'!V130+'2019'!V130+'2020'!V130+'2021'!V130+'2022'!V96</f>
        <v>12</v>
      </c>
      <c r="W130" s="176">
        <f>'2018'!W130+'2019'!W130+'2020'!W130+'2021'!W130+'2022'!W96</f>
        <v>0</v>
      </c>
      <c r="X130" s="176">
        <f>'2018'!X130+'2019'!X130+'2020'!X130+'2021'!X130+'2022'!X96</f>
        <v>52</v>
      </c>
      <c r="Y130" s="174">
        <f t="shared" si="14"/>
        <v>376</v>
      </c>
      <c r="Z130" s="174">
        <f>'2018'!Z130+'2019'!Z130+'2020'!Z130+'2021'!Z130+'2022'!Z96</f>
        <v>56</v>
      </c>
      <c r="AA130" s="174">
        <f>'2018'!AA130+'2019'!AA130+'2020'!AA130+'2021'!AA130+'2022'!AA96</f>
        <v>7</v>
      </c>
      <c r="AB130" s="174">
        <f>'2018'!AB130+'2019'!AB130+'2020'!AB130+'2021'!AB130+'2022'!AB96</f>
        <v>223</v>
      </c>
      <c r="AC130" s="174">
        <f>'2018'!AC130+'2019'!AC130+'2020'!AC130+'2021'!AC130+'2022'!AC96</f>
        <v>26</v>
      </c>
      <c r="AD130" s="174">
        <f>'2018'!AD130+'2019'!AD130+'2020'!AD130+'2021'!AD130+'2022'!AD96</f>
        <v>0</v>
      </c>
      <c r="AE130" s="174">
        <f>'2018'!AE130+'2019'!AE130+'2020'!AE130+'2021'!AE130+'2022'!AE96</f>
        <v>3</v>
      </c>
      <c r="AF130" s="174">
        <f>'2018'!AF130+'2019'!AF130+'2020'!AF130+'2021'!AF130+'2022'!AF96</f>
        <v>50</v>
      </c>
      <c r="AG130" s="174">
        <f>'2018'!AG130+'2019'!AG130+'2020'!AG130+'2021'!AG130+'2022'!AG96</f>
        <v>0</v>
      </c>
      <c r="AH130" s="174">
        <f>'2018'!AH130+'2019'!AH130+'2020'!AH130+'2021'!AH130+'2022'!AH96</f>
        <v>0</v>
      </c>
      <c r="AI130" s="174">
        <f>'2018'!AI130+'2019'!AI130+'2020'!AI130+'2021'!AI130+'2022'!AI96</f>
        <v>4</v>
      </c>
      <c r="AJ130" s="174">
        <f>'2018'!AJ130+'2019'!AJ130+'2020'!AJ130+'2021'!AJ130+'2022'!AJ96</f>
        <v>0</v>
      </c>
      <c r="AK130" s="174">
        <f>'2018'!AK130+'2019'!AK130+'2020'!AK130+'2021'!AK130+'2022'!AK96</f>
        <v>0</v>
      </c>
      <c r="AL130" s="174">
        <f>'2018'!AL130+'2019'!AL130+'2020'!AL130+'2021'!AL130+'2022'!AL96</f>
        <v>96</v>
      </c>
      <c r="AM130" s="174">
        <f>'2018'!AM130+'2019'!AM130+'2020'!AM130+'2021'!AM130+'2022'!AM96</f>
        <v>0</v>
      </c>
      <c r="AN130" s="174">
        <f>'2018'!AN130+'2019'!AN130+'2020'!AN130+'2021'!AN130+'2022'!AN96</f>
        <v>0</v>
      </c>
      <c r="AO130" s="174">
        <f>'2018'!AO130+'2019'!AO130+'2020'!AO130+'2021'!AO130+'2022'!AO96</f>
        <v>0</v>
      </c>
      <c r="AP130" s="174">
        <f>'2018'!AP130+'2019'!AP130+'2020'!AP130+'2021'!AP130+'2022'!AP96</f>
        <v>12</v>
      </c>
      <c r="AQ130" s="174">
        <f>'2018'!AQ130+'2019'!AQ130+'2020'!AQ130+'2021'!AQ130+'2022'!AQ96</f>
        <v>3</v>
      </c>
      <c r="AR130" s="174">
        <f>'2018'!AR130+'2019'!AR130+'2020'!AR130+'2021'!AR130+'2022'!AR96</f>
        <v>0</v>
      </c>
      <c r="AS130" s="174">
        <f>'2018'!AS130+'2019'!AS130+'2020'!AS130+'2021'!AS130+'2022'!AS96</f>
        <v>26</v>
      </c>
      <c r="AT130" s="174">
        <f>'2018'!AT130+'2019'!AT130+'2020'!AT130+'2021'!AT130+'2022'!AT96</f>
        <v>6</v>
      </c>
      <c r="AU130" s="174">
        <f>'2018'!AU130+'2019'!AU130+'2020'!AU130+'2021'!AU130+'2022'!AU96</f>
        <v>0</v>
      </c>
      <c r="AV130" s="174">
        <f>'2018'!AV130+'2019'!AV130+'2020'!AV130+'2021'!AV130+'2022'!AV96</f>
        <v>23</v>
      </c>
      <c r="AW130" s="174">
        <f t="shared" si="15"/>
        <v>223</v>
      </c>
      <c r="AX130" s="156">
        <f t="shared" si="16"/>
        <v>1901.3425842424244</v>
      </c>
      <c r="AY130" s="14">
        <f>'2018'!AX130+'2019'!AX130+'2020'!AX130+'2021'!AX130+'2022'!AX96</f>
        <v>9506.7129212121217</v>
      </c>
      <c r="AZ130" s="14">
        <f t="shared" si="21"/>
        <v>59.308510638297875</v>
      </c>
      <c r="BB130" s="144"/>
    </row>
    <row r="131" spans="1:54" s="142" customFormat="1" x14ac:dyDescent="0.25">
      <c r="A131" s="175" t="s">
        <v>212</v>
      </c>
      <c r="B131" s="176">
        <f>'2018'!B131+'2019'!B131+'2020'!B131+'2021'!B131+'2022'!B114</f>
        <v>37</v>
      </c>
      <c r="C131" s="176">
        <f>'2018'!C131+'2019'!C131+'2020'!C131+'2021'!C131+'2022'!C114</f>
        <v>5</v>
      </c>
      <c r="D131" s="176">
        <f>'2018'!D131+'2019'!D131+'2020'!D131+'2021'!D131+'2022'!D114</f>
        <v>140</v>
      </c>
      <c r="E131" s="176">
        <f>'2018'!E131+'2019'!E131+'2020'!E131+'2021'!E131+'2022'!E114</f>
        <v>6</v>
      </c>
      <c r="F131" s="176">
        <f>'2018'!F131+'2019'!F131+'2020'!F131+'2021'!F131+'2022'!F114</f>
        <v>10</v>
      </c>
      <c r="G131" s="176">
        <f>'2018'!G131+'2019'!G131+'2020'!G131+'2021'!G131+'2022'!G114</f>
        <v>1</v>
      </c>
      <c r="H131" s="176">
        <f>'2018'!H131+'2019'!H131+'2020'!H131+'2021'!H131+'2022'!H114</f>
        <v>70</v>
      </c>
      <c r="I131" s="176">
        <f>'2018'!I131+'2019'!I131+'2020'!I131+'2021'!I131+'2022'!I114</f>
        <v>15</v>
      </c>
      <c r="J131" s="176">
        <f>'2018'!J131+'2019'!J131+'2020'!J131+'2021'!J131+'2022'!J114</f>
        <v>25</v>
      </c>
      <c r="K131" s="176">
        <f>'2018'!K131+'2019'!K131+'2020'!K131+'2021'!K131+'2022'!K114</f>
        <v>10</v>
      </c>
      <c r="L131" s="176">
        <f>'2018'!L131+'2019'!L131+'2020'!L131+'2021'!L131+'2022'!L114</f>
        <v>7</v>
      </c>
      <c r="M131" s="176">
        <f>'2018'!M131+'2019'!M131+'2020'!M131+'2021'!M131+'2022'!M114</f>
        <v>0</v>
      </c>
      <c r="N131" s="176">
        <f>'2018'!N131+'2019'!N131+'2020'!N131+'2021'!N131+'2022'!N114</f>
        <v>0</v>
      </c>
      <c r="O131" s="176">
        <f>'2018'!O131+'2019'!O131+'2020'!O131+'2021'!O131+'2022'!O114</f>
        <v>0</v>
      </c>
      <c r="P131" s="176">
        <f>'2018'!P131+'2019'!P131+'2020'!P131+'2021'!P131+'2022'!P114</f>
        <v>0</v>
      </c>
      <c r="Q131" s="176">
        <f>'2018'!Q131+'2019'!Q131+'2020'!Q131+'2021'!Q131+'2022'!Q114</f>
        <v>2</v>
      </c>
      <c r="R131" s="176">
        <f>'2018'!R131+'2019'!R131+'2020'!R131+'2021'!R131+'2022'!R114</f>
        <v>0</v>
      </c>
      <c r="S131" s="176">
        <f>'2018'!S131+'2019'!S131+'2020'!S131+'2021'!S131+'2022'!S114</f>
        <v>0</v>
      </c>
      <c r="T131" s="176">
        <f>'2018'!T131+'2019'!T131+'2020'!T131+'2021'!T131+'2022'!T114</f>
        <v>0</v>
      </c>
      <c r="U131" s="176">
        <f>'2018'!U131+'2019'!U131+'2020'!U131+'2021'!U131+'2022'!U114</f>
        <v>0</v>
      </c>
      <c r="V131" s="176">
        <f>'2018'!V131+'2019'!V131+'2020'!V131+'2021'!V131+'2022'!V114</f>
        <v>0</v>
      </c>
      <c r="W131" s="176">
        <f>'2018'!W131+'2019'!W131+'2020'!W131+'2021'!W131+'2022'!W114</f>
        <v>0</v>
      </c>
      <c r="X131" s="176">
        <f>'2018'!X131+'2019'!X131+'2020'!X131+'2021'!X131+'2022'!X114</f>
        <v>0</v>
      </c>
      <c r="Y131" s="174">
        <f t="shared" si="14"/>
        <v>140</v>
      </c>
      <c r="Z131" s="174">
        <f>'2018'!Z131+'2019'!Z131+'2020'!Z131+'2021'!Z131+'2022'!Z114</f>
        <v>42</v>
      </c>
      <c r="AA131" s="174">
        <f>'2018'!AA131+'2019'!AA131+'2020'!AA131+'2021'!AA131+'2022'!AA114</f>
        <v>3</v>
      </c>
      <c r="AB131" s="174">
        <f>'2018'!AB131+'2019'!AB131+'2020'!AB131+'2021'!AB131+'2022'!AB114</f>
        <v>128</v>
      </c>
      <c r="AC131" s="174">
        <f>'2018'!AC131+'2019'!AC131+'2020'!AC131+'2021'!AC131+'2022'!AC114</f>
        <v>9</v>
      </c>
      <c r="AD131" s="174">
        <f>'2018'!AD131+'2019'!AD131+'2020'!AD131+'2021'!AD131+'2022'!AD114</f>
        <v>16</v>
      </c>
      <c r="AE131" s="174">
        <f>'2018'!AE131+'2019'!AE131+'2020'!AE131+'2021'!AE131+'2022'!AE114</f>
        <v>5</v>
      </c>
      <c r="AF131" s="174">
        <f>'2018'!AF131+'2019'!AF131+'2020'!AF131+'2021'!AF131+'2022'!AF114</f>
        <v>55</v>
      </c>
      <c r="AG131" s="174">
        <f>'2018'!AG131+'2019'!AG131+'2020'!AG131+'2021'!AG131+'2022'!AG114</f>
        <v>16</v>
      </c>
      <c r="AH131" s="174">
        <f>'2018'!AH131+'2019'!AH131+'2020'!AH131+'2021'!AH131+'2022'!AH114</f>
        <v>15</v>
      </c>
      <c r="AI131" s="174">
        <f>'2018'!AI131+'2019'!AI131+'2020'!AI131+'2021'!AI131+'2022'!AI114</f>
        <v>10</v>
      </c>
      <c r="AJ131" s="174">
        <f>'2018'!AJ131+'2019'!AJ131+'2020'!AJ131+'2021'!AJ131+'2022'!AJ114</f>
        <v>9</v>
      </c>
      <c r="AK131" s="174">
        <f>'2018'!AK131+'2019'!AK131+'2020'!AK131+'2021'!AK131+'2022'!AK114</f>
        <v>0</v>
      </c>
      <c r="AL131" s="174">
        <f>'2018'!AL131+'2019'!AL131+'2020'!AL131+'2021'!AL131+'2022'!AL114</f>
        <v>0</v>
      </c>
      <c r="AM131" s="174">
        <f>'2018'!AM131+'2019'!AM131+'2020'!AM131+'2021'!AM131+'2022'!AM114</f>
        <v>0</v>
      </c>
      <c r="AN131" s="174">
        <f>'2018'!AN131+'2019'!AN131+'2020'!AN131+'2021'!AN131+'2022'!AN114</f>
        <v>0</v>
      </c>
      <c r="AO131" s="174">
        <f>'2018'!AO131+'2019'!AO131+'2020'!AO131+'2021'!AO131+'2022'!AO114</f>
        <v>2</v>
      </c>
      <c r="AP131" s="174">
        <f>'2018'!AP131+'2019'!AP131+'2020'!AP131+'2021'!AP131+'2022'!AP114</f>
        <v>0</v>
      </c>
      <c r="AQ131" s="174">
        <f>'2018'!AQ131+'2019'!AQ131+'2020'!AQ131+'2021'!AQ131+'2022'!AQ114</f>
        <v>0</v>
      </c>
      <c r="AR131" s="174">
        <f>'2018'!AR131+'2019'!AR131+'2020'!AR131+'2021'!AR131+'2022'!AR114</f>
        <v>0</v>
      </c>
      <c r="AS131" s="174">
        <f>'2018'!AS131+'2019'!AS131+'2020'!AS131+'2021'!AS131+'2022'!AS114</f>
        <v>0</v>
      </c>
      <c r="AT131" s="174">
        <f>'2018'!AT131+'2019'!AT131+'2020'!AT131+'2021'!AT131+'2022'!AT114</f>
        <v>0</v>
      </c>
      <c r="AU131" s="174">
        <f>'2018'!AU131+'2019'!AU131+'2020'!AU131+'2021'!AU131+'2022'!AU114</f>
        <v>0</v>
      </c>
      <c r="AV131" s="174">
        <f>'2018'!AV131+'2019'!AV131+'2020'!AV131+'2021'!AV131+'2022'!AV114</f>
        <v>0</v>
      </c>
      <c r="AW131" s="174">
        <f t="shared" si="15"/>
        <v>128</v>
      </c>
      <c r="AX131" s="156">
        <f t="shared" si="16"/>
        <v>1207.8866666666668</v>
      </c>
      <c r="AY131" s="14">
        <f>'2018'!AX131+'2019'!AX131+'2020'!AX131+'2021'!AX131+'2022'!AX114</f>
        <v>6039.4333333333334</v>
      </c>
      <c r="AZ131" s="14">
        <f t="shared" si="21"/>
        <v>91.428571428571431</v>
      </c>
      <c r="BB131" s="144"/>
    </row>
    <row r="132" spans="1:54" s="142" customFormat="1" x14ac:dyDescent="0.25">
      <c r="A132" s="175" t="s">
        <v>213</v>
      </c>
      <c r="B132" s="176">
        <f>'2018'!B132+'2019'!B132+'2020'!B132+'2021'!B132+'2022'!B115</f>
        <v>21</v>
      </c>
      <c r="C132" s="176">
        <f>'2018'!C132+'2019'!C132+'2020'!C132+'2021'!C132+'2022'!C115</f>
        <v>3</v>
      </c>
      <c r="D132" s="176">
        <f>'2018'!D132+'2019'!D132+'2020'!D132+'2021'!D132+'2022'!D115</f>
        <v>49</v>
      </c>
      <c r="E132" s="176">
        <f>'2018'!E132+'2019'!E132+'2020'!E132+'2021'!E132+'2022'!E115</f>
        <v>9</v>
      </c>
      <c r="F132" s="176">
        <f>'2018'!F132+'2019'!F132+'2020'!F132+'2021'!F132+'2022'!F115</f>
        <v>5</v>
      </c>
      <c r="G132" s="176">
        <f>'2018'!G132+'2019'!G132+'2020'!G132+'2021'!G132+'2022'!G115</f>
        <v>0</v>
      </c>
      <c r="H132" s="176">
        <f>'2018'!H132+'2019'!H132+'2020'!H132+'2021'!H132+'2022'!H115</f>
        <v>9</v>
      </c>
      <c r="I132" s="176">
        <f>'2018'!I132+'2019'!I132+'2020'!I132+'2021'!I132+'2022'!I115</f>
        <v>0</v>
      </c>
      <c r="J132" s="176">
        <f>'2018'!J132+'2019'!J132+'2020'!J132+'2021'!J132+'2022'!J115</f>
        <v>9</v>
      </c>
      <c r="K132" s="176">
        <f>'2018'!K132+'2019'!K132+'2020'!K132+'2021'!K132+'2022'!K115</f>
        <v>10</v>
      </c>
      <c r="L132" s="176">
        <f>'2018'!L132+'2019'!L132+'2020'!L132+'2021'!L132+'2022'!L115</f>
        <v>1</v>
      </c>
      <c r="M132" s="176">
        <f>'2018'!M132+'2019'!M132+'2020'!M132+'2021'!M132+'2022'!M115</f>
        <v>0</v>
      </c>
      <c r="N132" s="176">
        <f>'2018'!N132+'2019'!N132+'2020'!N132+'2021'!N132+'2022'!N115</f>
        <v>6</v>
      </c>
      <c r="O132" s="176">
        <f>'2018'!O132+'2019'!O132+'2020'!O132+'2021'!O132+'2022'!O115</f>
        <v>0</v>
      </c>
      <c r="P132" s="176">
        <f>'2018'!P132+'2019'!P132+'2020'!P132+'2021'!P132+'2022'!P115</f>
        <v>0</v>
      </c>
      <c r="Q132" s="176">
        <f>'2018'!Q132+'2019'!Q132+'2020'!Q132+'2021'!Q132+'2022'!Q115</f>
        <v>0</v>
      </c>
      <c r="R132" s="176">
        <f>'2018'!R132+'2019'!R132+'2020'!R132+'2021'!R132+'2022'!R115</f>
        <v>0</v>
      </c>
      <c r="S132" s="176">
        <f>'2018'!S132+'2019'!S132+'2020'!S132+'2021'!S132+'2022'!S115</f>
        <v>9</v>
      </c>
      <c r="T132" s="176">
        <f>'2018'!T132+'2019'!T132+'2020'!T132+'2021'!T132+'2022'!T115</f>
        <v>0</v>
      </c>
      <c r="U132" s="176">
        <f>'2018'!U132+'2019'!U132+'2020'!U132+'2021'!U132+'2022'!U115</f>
        <v>0</v>
      </c>
      <c r="V132" s="176">
        <f>'2018'!V132+'2019'!V132+'2020'!V132+'2021'!V132+'2022'!V115</f>
        <v>0</v>
      </c>
      <c r="W132" s="176">
        <f>'2018'!W132+'2019'!W132+'2020'!W132+'2021'!W132+'2022'!W115</f>
        <v>0</v>
      </c>
      <c r="X132" s="176">
        <f>'2018'!X132+'2019'!X132+'2020'!X132+'2021'!X132+'2022'!X115</f>
        <v>0</v>
      </c>
      <c r="Y132" s="174">
        <f t="shared" si="14"/>
        <v>49</v>
      </c>
      <c r="Z132" s="174">
        <f>'2018'!Z132+'2019'!Z132+'2020'!Z132+'2021'!Z132+'2022'!Z115</f>
        <v>18</v>
      </c>
      <c r="AA132" s="174">
        <f>'2018'!AA132+'2019'!AA132+'2020'!AA132+'2021'!AA132+'2022'!AA115</f>
        <v>3</v>
      </c>
      <c r="AB132" s="174">
        <f>'2018'!AB132+'2019'!AB132+'2020'!AB132+'2021'!AB132+'2022'!AB115</f>
        <v>42</v>
      </c>
      <c r="AC132" s="174">
        <f>'2018'!AC132+'2019'!AC132+'2020'!AC132+'2021'!AC132+'2022'!AC115</f>
        <v>9</v>
      </c>
      <c r="AD132" s="174">
        <f>'2018'!AD132+'2019'!AD132+'2020'!AD132+'2021'!AD132+'2022'!AD115</f>
        <v>5</v>
      </c>
      <c r="AE132" s="174">
        <f>'2018'!AE132+'2019'!AE132+'2020'!AE132+'2021'!AE132+'2022'!AE115</f>
        <v>0</v>
      </c>
      <c r="AF132" s="174">
        <f>'2018'!AF132+'2019'!AF132+'2020'!AF132+'2021'!AF132+'2022'!AF115</f>
        <v>6</v>
      </c>
      <c r="AG132" s="174">
        <f>'2018'!AG132+'2019'!AG132+'2020'!AG132+'2021'!AG132+'2022'!AG115</f>
        <v>0</v>
      </c>
      <c r="AH132" s="174">
        <f>'2018'!AH132+'2019'!AH132+'2020'!AH132+'2021'!AH132+'2022'!AH115</f>
        <v>9</v>
      </c>
      <c r="AI132" s="174">
        <f>'2018'!AI132+'2019'!AI132+'2020'!AI132+'2021'!AI132+'2022'!AI115</f>
        <v>6</v>
      </c>
      <c r="AJ132" s="174">
        <f>'2018'!AJ132+'2019'!AJ132+'2020'!AJ132+'2021'!AJ132+'2022'!AJ115</f>
        <v>1</v>
      </c>
      <c r="AK132" s="174">
        <f>'2018'!AK132+'2019'!AK132+'2020'!AK132+'2021'!AK132+'2022'!AK115</f>
        <v>0</v>
      </c>
      <c r="AL132" s="174">
        <f>'2018'!AL132+'2019'!AL132+'2020'!AL132+'2021'!AL132+'2022'!AL115</f>
        <v>6</v>
      </c>
      <c r="AM132" s="174">
        <f>'2018'!AM132+'2019'!AM132+'2020'!AM132+'2021'!AM132+'2022'!AM115</f>
        <v>0</v>
      </c>
      <c r="AN132" s="174">
        <f>'2018'!AN132+'2019'!AN132+'2020'!AN132+'2021'!AN132+'2022'!AN115</f>
        <v>0</v>
      </c>
      <c r="AO132" s="174">
        <f>'2018'!AO132+'2019'!AO132+'2020'!AO132+'2021'!AO132+'2022'!AO115</f>
        <v>0</v>
      </c>
      <c r="AP132" s="174">
        <f>'2018'!AP132+'2019'!AP132+'2020'!AP132+'2021'!AP132+'2022'!AP115</f>
        <v>0</v>
      </c>
      <c r="AQ132" s="174">
        <f>'2018'!AQ132+'2019'!AQ132+'2020'!AQ132+'2021'!AQ132+'2022'!AQ115</f>
        <v>9</v>
      </c>
      <c r="AR132" s="174">
        <f>'2018'!AR132+'2019'!AR132+'2020'!AR132+'2021'!AR132+'2022'!AR115</f>
        <v>0</v>
      </c>
      <c r="AS132" s="174">
        <f>'2018'!AS132+'2019'!AS132+'2020'!AS132+'2021'!AS132+'2022'!AS115</f>
        <v>0</v>
      </c>
      <c r="AT132" s="174">
        <f>'2018'!AT132+'2019'!AT132+'2020'!AT132+'2021'!AT132+'2022'!AT115</f>
        <v>0</v>
      </c>
      <c r="AU132" s="174">
        <f>'2018'!AU132+'2019'!AU132+'2020'!AU132+'2021'!AU132+'2022'!AU115</f>
        <v>0</v>
      </c>
      <c r="AV132" s="174">
        <f>'2018'!AV132+'2019'!AV132+'2020'!AV132+'2021'!AV132+'2022'!AV115</f>
        <v>0</v>
      </c>
      <c r="AW132" s="174">
        <f t="shared" si="15"/>
        <v>42</v>
      </c>
      <c r="AX132" s="156">
        <f t="shared" si="16"/>
        <v>1745.3732499999999</v>
      </c>
      <c r="AY132" s="14">
        <f>'2018'!AX132+'2019'!AX132+'2020'!AX132+'2021'!AX132+'2022'!AX115</f>
        <v>8726.8662499999991</v>
      </c>
      <c r="AZ132" s="14">
        <f t="shared" si="21"/>
        <v>85.714285714285708</v>
      </c>
      <c r="BB132" s="144"/>
    </row>
    <row r="133" spans="1:54" s="142" customFormat="1" x14ac:dyDescent="0.25">
      <c r="A133" s="175" t="s">
        <v>214</v>
      </c>
      <c r="B133" s="176">
        <f>'2018'!B133+'2019'!B133+'2020'!B133+'2021'!B133+'2022'!B116</f>
        <v>11</v>
      </c>
      <c r="C133" s="176">
        <f>'2018'!C133+'2019'!C133+'2020'!C133+'2021'!C133+'2022'!C116</f>
        <v>0</v>
      </c>
      <c r="D133" s="176">
        <f>'2018'!D133+'2019'!D133+'2020'!D133+'2021'!D133+'2022'!D116</f>
        <v>92</v>
      </c>
      <c r="E133" s="176">
        <f>'2018'!E133+'2019'!E133+'2020'!E133+'2021'!E133+'2022'!E116</f>
        <v>0</v>
      </c>
      <c r="F133" s="176">
        <f>'2018'!F133+'2019'!F133+'2020'!F133+'2021'!F133+'2022'!F116</f>
        <v>0</v>
      </c>
      <c r="G133" s="176">
        <f>'2018'!G133+'2019'!G133+'2020'!G133+'2021'!G133+'2022'!G116</f>
        <v>0</v>
      </c>
      <c r="H133" s="176">
        <f>'2018'!H133+'2019'!H133+'2020'!H133+'2021'!H133+'2022'!H116</f>
        <v>54</v>
      </c>
      <c r="I133" s="176">
        <f>'2018'!I133+'2019'!I133+'2020'!I133+'2021'!I133+'2022'!I116</f>
        <v>0</v>
      </c>
      <c r="J133" s="176">
        <f>'2018'!J133+'2019'!J133+'2020'!J133+'2021'!J133+'2022'!J116</f>
        <v>0</v>
      </c>
      <c r="K133" s="176">
        <f>'2018'!K133+'2019'!K133+'2020'!K133+'2021'!K133+'2022'!K116</f>
        <v>0</v>
      </c>
      <c r="L133" s="176">
        <f>'2018'!L133+'2019'!L133+'2020'!L133+'2021'!L133+'2022'!L116</f>
        <v>24</v>
      </c>
      <c r="M133" s="176">
        <f>'2018'!M133+'2019'!M133+'2020'!M133+'2021'!M133+'2022'!M116</f>
        <v>0</v>
      </c>
      <c r="N133" s="176">
        <f>'2018'!N133+'2019'!N133+'2020'!N133+'2021'!N133+'2022'!N116</f>
        <v>0</v>
      </c>
      <c r="O133" s="176">
        <f>'2018'!O133+'2019'!O133+'2020'!O133+'2021'!O133+'2022'!O116</f>
        <v>0</v>
      </c>
      <c r="P133" s="176">
        <f>'2018'!P133+'2019'!P133+'2020'!P133+'2021'!P133+'2022'!P116</f>
        <v>0</v>
      </c>
      <c r="Q133" s="176">
        <f>'2018'!Q133+'2019'!Q133+'2020'!Q133+'2021'!Q133+'2022'!Q116</f>
        <v>0</v>
      </c>
      <c r="R133" s="176">
        <f>'2018'!R133+'2019'!R133+'2020'!R133+'2021'!R133+'2022'!R116</f>
        <v>0</v>
      </c>
      <c r="S133" s="176">
        <f>'2018'!S133+'2019'!S133+'2020'!S133+'2021'!S133+'2022'!S116</f>
        <v>14</v>
      </c>
      <c r="T133" s="176">
        <f>'2018'!T133+'2019'!T133+'2020'!T133+'2021'!T133+'2022'!T116</f>
        <v>0</v>
      </c>
      <c r="U133" s="176">
        <f>'2018'!U133+'2019'!U133+'2020'!U133+'2021'!U133+'2022'!U116</f>
        <v>0</v>
      </c>
      <c r="V133" s="176">
        <f>'2018'!V133+'2019'!V133+'2020'!V133+'2021'!V133+'2022'!V116</f>
        <v>0</v>
      </c>
      <c r="W133" s="176">
        <f>'2018'!W133+'2019'!W133+'2020'!W133+'2021'!W133+'2022'!W116</f>
        <v>0</v>
      </c>
      <c r="X133" s="176">
        <f>'2018'!X133+'2019'!X133+'2020'!X133+'2021'!X133+'2022'!X116</f>
        <v>0</v>
      </c>
      <c r="Y133" s="174">
        <f t="shared" si="14"/>
        <v>92</v>
      </c>
      <c r="Z133" s="174">
        <f>'2018'!Z133+'2019'!Z133+'2020'!Z133+'2021'!Z133+'2022'!Z116</f>
        <v>9</v>
      </c>
      <c r="AA133" s="174">
        <f>'2018'!AA133+'2019'!AA133+'2020'!AA133+'2021'!AA133+'2022'!AA116</f>
        <v>0</v>
      </c>
      <c r="AB133" s="174">
        <f>'2018'!AB133+'2019'!AB133+'2020'!AB133+'2021'!AB133+'2022'!AB116</f>
        <v>70</v>
      </c>
      <c r="AC133" s="174">
        <f>'2018'!AC133+'2019'!AC133+'2020'!AC133+'2021'!AC133+'2022'!AC116</f>
        <v>0</v>
      </c>
      <c r="AD133" s="174">
        <f>'2018'!AD133+'2019'!AD133+'2020'!AD133+'2021'!AD133+'2022'!AD116</f>
        <v>0</v>
      </c>
      <c r="AE133" s="174">
        <f>'2018'!AE133+'2019'!AE133+'2020'!AE133+'2021'!AE133+'2022'!AE116</f>
        <v>0</v>
      </c>
      <c r="AF133" s="174">
        <f>'2018'!AF133+'2019'!AF133+'2020'!AF133+'2021'!AF133+'2022'!AF116</f>
        <v>38</v>
      </c>
      <c r="AG133" s="174">
        <f>'2018'!AG133+'2019'!AG133+'2020'!AG133+'2021'!AG133+'2022'!AG116</f>
        <v>0</v>
      </c>
      <c r="AH133" s="174">
        <f>'2018'!AH133+'2019'!AH133+'2020'!AH133+'2021'!AH133+'2022'!AH116</f>
        <v>0</v>
      </c>
      <c r="AI133" s="174">
        <f>'2018'!AI133+'2019'!AI133+'2020'!AI133+'2021'!AI133+'2022'!AI116</f>
        <v>0</v>
      </c>
      <c r="AJ133" s="174">
        <f>'2018'!AJ133+'2019'!AJ133+'2020'!AJ133+'2021'!AJ133+'2022'!AJ116</f>
        <v>26</v>
      </c>
      <c r="AK133" s="174">
        <f>'2018'!AK133+'2019'!AK133+'2020'!AK133+'2021'!AK133+'2022'!AK116</f>
        <v>0</v>
      </c>
      <c r="AL133" s="174">
        <f>'2018'!AL133+'2019'!AL133+'2020'!AL133+'2021'!AL133+'2022'!AL116</f>
        <v>0</v>
      </c>
      <c r="AM133" s="174">
        <f>'2018'!AM133+'2019'!AM133+'2020'!AM133+'2021'!AM133+'2022'!AM116</f>
        <v>0</v>
      </c>
      <c r="AN133" s="174">
        <f>'2018'!AN133+'2019'!AN133+'2020'!AN133+'2021'!AN133+'2022'!AN116</f>
        <v>0</v>
      </c>
      <c r="AO133" s="174">
        <f>'2018'!AO133+'2019'!AO133+'2020'!AO133+'2021'!AO133+'2022'!AO116</f>
        <v>0</v>
      </c>
      <c r="AP133" s="174">
        <f>'2018'!AP133+'2019'!AP133+'2020'!AP133+'2021'!AP133+'2022'!AP116</f>
        <v>0</v>
      </c>
      <c r="AQ133" s="174">
        <f>'2018'!AQ133+'2019'!AQ133+'2020'!AQ133+'2021'!AQ133+'2022'!AQ116</f>
        <v>6</v>
      </c>
      <c r="AR133" s="174">
        <f>'2018'!AR133+'2019'!AR133+'2020'!AR133+'2021'!AR133+'2022'!AR116</f>
        <v>0</v>
      </c>
      <c r="AS133" s="174">
        <f>'2018'!AS133+'2019'!AS133+'2020'!AS133+'2021'!AS133+'2022'!AS116</f>
        <v>0</v>
      </c>
      <c r="AT133" s="174">
        <f>'2018'!AT133+'2019'!AT133+'2020'!AT133+'2021'!AT133+'2022'!AT116</f>
        <v>0</v>
      </c>
      <c r="AU133" s="174">
        <f>'2018'!AU133+'2019'!AU133+'2020'!AU133+'2021'!AU133+'2022'!AU116</f>
        <v>0</v>
      </c>
      <c r="AV133" s="174">
        <f>'2018'!AV133+'2019'!AV133+'2020'!AV133+'2021'!AV133+'2022'!AV116</f>
        <v>0</v>
      </c>
      <c r="AW133" s="174">
        <f t="shared" ref="AW133:AW196" si="22">SUM(AD133:AV133)</f>
        <v>70</v>
      </c>
      <c r="AX133" s="156">
        <f t="shared" si="16"/>
        <v>943.77799999999991</v>
      </c>
      <c r="AY133" s="14">
        <f>'2018'!AX133+'2019'!AX133+'2020'!AX133+'2021'!AX133+'2022'!AX116</f>
        <v>4718.8899999999994</v>
      </c>
      <c r="AZ133" s="14">
        <f t="shared" si="21"/>
        <v>76.086956521739125</v>
      </c>
      <c r="BB133" s="144"/>
    </row>
    <row r="134" spans="1:54" s="142" customFormat="1" x14ac:dyDescent="0.25">
      <c r="A134" s="175" t="s">
        <v>215</v>
      </c>
      <c r="B134" s="176">
        <f>'2018'!B134+'2019'!B134+'2020'!B134+'2021'!B134+'2022'!B117</f>
        <v>40</v>
      </c>
      <c r="C134" s="176">
        <f>'2018'!C134+'2019'!C134+'2020'!C134+'2021'!C134+'2022'!C117</f>
        <v>0</v>
      </c>
      <c r="D134" s="176">
        <f>'2018'!D134+'2019'!D134+'2020'!D134+'2021'!D134+'2022'!D117</f>
        <v>135</v>
      </c>
      <c r="E134" s="176">
        <f>'2018'!E134+'2019'!E134+'2020'!E134+'2021'!E134+'2022'!E117</f>
        <v>0</v>
      </c>
      <c r="F134" s="176">
        <f>'2018'!F134+'2019'!F134+'2020'!F134+'2021'!F134+'2022'!F117</f>
        <v>1</v>
      </c>
      <c r="G134" s="176">
        <f>'2018'!G134+'2019'!G134+'2020'!G134+'2021'!G134+'2022'!G117</f>
        <v>0</v>
      </c>
      <c r="H134" s="176">
        <f>'2018'!H134+'2019'!H134+'2020'!H134+'2021'!H134+'2022'!H117</f>
        <v>76</v>
      </c>
      <c r="I134" s="176">
        <f>'2018'!I134+'2019'!I134+'2020'!I134+'2021'!I134+'2022'!I117</f>
        <v>0</v>
      </c>
      <c r="J134" s="176">
        <f>'2018'!J134+'2019'!J134+'2020'!J134+'2021'!J134+'2022'!J117</f>
        <v>0</v>
      </c>
      <c r="K134" s="176">
        <f>'2018'!K134+'2019'!K134+'2020'!K134+'2021'!K134+'2022'!K117</f>
        <v>8</v>
      </c>
      <c r="L134" s="176">
        <f>'2018'!L134+'2019'!L134+'2020'!L134+'2021'!L134+'2022'!L117</f>
        <v>41</v>
      </c>
      <c r="M134" s="176">
        <f>'2018'!M134+'2019'!M134+'2020'!M134+'2021'!M134+'2022'!M117</f>
        <v>9</v>
      </c>
      <c r="N134" s="176">
        <f>'2018'!N134+'2019'!N134+'2020'!N134+'2021'!N134+'2022'!N117</f>
        <v>0</v>
      </c>
      <c r="O134" s="176">
        <f>'2018'!O134+'2019'!O134+'2020'!O134+'2021'!O134+'2022'!O117</f>
        <v>0</v>
      </c>
      <c r="P134" s="176">
        <f>'2018'!P134+'2019'!P134+'2020'!P134+'2021'!P134+'2022'!P117</f>
        <v>0</v>
      </c>
      <c r="Q134" s="176">
        <f>'2018'!Q134+'2019'!Q134+'2020'!Q134+'2021'!Q134+'2022'!Q117</f>
        <v>0</v>
      </c>
      <c r="R134" s="176">
        <f>'2018'!R134+'2019'!R134+'2020'!R134+'2021'!R134+'2022'!R117</f>
        <v>0</v>
      </c>
      <c r="S134" s="176">
        <f>'2018'!S134+'2019'!S134+'2020'!S134+'2021'!S134+'2022'!S117</f>
        <v>0</v>
      </c>
      <c r="T134" s="176">
        <f>'2018'!T134+'2019'!T134+'2020'!T134+'2021'!T134+'2022'!T117</f>
        <v>0</v>
      </c>
      <c r="U134" s="176">
        <f>'2018'!U134+'2019'!U134+'2020'!U134+'2021'!U134+'2022'!U117</f>
        <v>0</v>
      </c>
      <c r="V134" s="176">
        <f>'2018'!V134+'2019'!V134+'2020'!V134+'2021'!V134+'2022'!V117</f>
        <v>0</v>
      </c>
      <c r="W134" s="176">
        <f>'2018'!W134+'2019'!W134+'2020'!W134+'2021'!W134+'2022'!W117</f>
        <v>0</v>
      </c>
      <c r="X134" s="176">
        <f>'2018'!X134+'2019'!X134+'2020'!X134+'2021'!X134+'2022'!X117</f>
        <v>0</v>
      </c>
      <c r="Y134" s="174">
        <f t="shared" ref="Y134:Y177" si="23">SUM(F134:X134)</f>
        <v>135</v>
      </c>
      <c r="Z134" s="174">
        <f>'2018'!Z134+'2019'!Z134+'2020'!Z134+'2021'!Z134+'2022'!Z117</f>
        <v>24</v>
      </c>
      <c r="AA134" s="174">
        <f>'2018'!AA134+'2019'!AA134+'2020'!AA134+'2021'!AA134+'2022'!AA117</f>
        <v>0</v>
      </c>
      <c r="AB134" s="174">
        <f>'2018'!AB134+'2019'!AB134+'2020'!AB134+'2021'!AB134+'2022'!AB117</f>
        <v>92</v>
      </c>
      <c r="AC134" s="174">
        <f>'2018'!AC134+'2019'!AC134+'2020'!AC134+'2021'!AC134+'2022'!AC117</f>
        <v>0</v>
      </c>
      <c r="AD134" s="174">
        <f>'2018'!AD134+'2019'!AD134+'2020'!AD134+'2021'!AD134+'2022'!AD117</f>
        <v>0</v>
      </c>
      <c r="AE134" s="174">
        <f>'2018'!AE134+'2019'!AE134+'2020'!AE134+'2021'!AE134+'2022'!AE117</f>
        <v>0</v>
      </c>
      <c r="AF134" s="174">
        <f>'2018'!AF134+'2019'!AF134+'2020'!AF134+'2021'!AF134+'2022'!AF117</f>
        <v>61</v>
      </c>
      <c r="AG134" s="174">
        <f>'2018'!AG134+'2019'!AG134+'2020'!AG134+'2021'!AG134+'2022'!AG117</f>
        <v>0</v>
      </c>
      <c r="AH134" s="174">
        <f>'2018'!AH134+'2019'!AH134+'2020'!AH134+'2021'!AH134+'2022'!AH117</f>
        <v>0</v>
      </c>
      <c r="AI134" s="174">
        <f>'2018'!AI134+'2019'!AI134+'2020'!AI134+'2021'!AI134+'2022'!AI117</f>
        <v>0</v>
      </c>
      <c r="AJ134" s="174">
        <f>'2018'!AJ134+'2019'!AJ134+'2020'!AJ134+'2021'!AJ134+'2022'!AJ117</f>
        <v>24</v>
      </c>
      <c r="AK134" s="174">
        <f>'2018'!AK134+'2019'!AK134+'2020'!AK134+'2021'!AK134+'2022'!AK117</f>
        <v>7</v>
      </c>
      <c r="AL134" s="174">
        <f>'2018'!AL134+'2019'!AL134+'2020'!AL134+'2021'!AL134+'2022'!AL117</f>
        <v>0</v>
      </c>
      <c r="AM134" s="174">
        <f>'2018'!AM134+'2019'!AM134+'2020'!AM134+'2021'!AM134+'2022'!AM117</f>
        <v>0</v>
      </c>
      <c r="AN134" s="174">
        <f>'2018'!AN134+'2019'!AN134+'2020'!AN134+'2021'!AN134+'2022'!AN117</f>
        <v>0</v>
      </c>
      <c r="AO134" s="174">
        <f>'2018'!AO134+'2019'!AO134+'2020'!AO134+'2021'!AO134+'2022'!AO117</f>
        <v>0</v>
      </c>
      <c r="AP134" s="174">
        <f>'2018'!AP134+'2019'!AP134+'2020'!AP134+'2021'!AP134+'2022'!AP117</f>
        <v>0</v>
      </c>
      <c r="AQ134" s="174">
        <f>'2018'!AQ134+'2019'!AQ134+'2020'!AQ134+'2021'!AQ134+'2022'!AQ117</f>
        <v>0</v>
      </c>
      <c r="AR134" s="174">
        <f>'2018'!AR134+'2019'!AR134+'2020'!AR134+'2021'!AR134+'2022'!AR117</f>
        <v>0</v>
      </c>
      <c r="AS134" s="174">
        <f>'2018'!AS134+'2019'!AS134+'2020'!AS134+'2021'!AS134+'2022'!AS117</f>
        <v>0</v>
      </c>
      <c r="AT134" s="174">
        <f>'2018'!AT134+'2019'!AT134+'2020'!AT134+'2021'!AT134+'2022'!AT117</f>
        <v>0</v>
      </c>
      <c r="AU134" s="174">
        <f>'2018'!AU134+'2019'!AU134+'2020'!AU134+'2021'!AU134+'2022'!AU117</f>
        <v>0</v>
      </c>
      <c r="AV134" s="174">
        <f>'2018'!AV134+'2019'!AV134+'2020'!AV134+'2021'!AV134+'2022'!AV117</f>
        <v>0</v>
      </c>
      <c r="AW134" s="174">
        <f t="shared" si="22"/>
        <v>92</v>
      </c>
      <c r="AX134" s="156">
        <f t="shared" si="16"/>
        <v>1163.2596000000001</v>
      </c>
      <c r="AY134" s="14">
        <f>'2018'!AX134+'2019'!AX134+'2020'!AX134+'2021'!AX134+'2022'!AX117</f>
        <v>5816.2980000000007</v>
      </c>
      <c r="AZ134" s="14">
        <f t="shared" si="21"/>
        <v>68.148148148148152</v>
      </c>
      <c r="BB134" s="144"/>
    </row>
    <row r="135" spans="1:54" s="142" customFormat="1" x14ac:dyDescent="0.25">
      <c r="A135" s="175" t="s">
        <v>216</v>
      </c>
      <c r="B135" s="176">
        <f>'2018'!B135+'2019'!B135+'2020'!B135+'2021'!B135+'2022'!B118</f>
        <v>9</v>
      </c>
      <c r="C135" s="176">
        <f>'2018'!C135+'2019'!C135+'2020'!C135+'2021'!C135+'2022'!C118</f>
        <v>0</v>
      </c>
      <c r="D135" s="176">
        <f>'2018'!D135+'2019'!D135+'2020'!D135+'2021'!D135+'2022'!D118</f>
        <v>68</v>
      </c>
      <c r="E135" s="176">
        <f>'2018'!E135+'2019'!E135+'2020'!E135+'2021'!E135+'2022'!E118</f>
        <v>0</v>
      </c>
      <c r="F135" s="176">
        <f>'2018'!F135+'2019'!F135+'2020'!F135+'2021'!F135+'2022'!F118</f>
        <v>0</v>
      </c>
      <c r="G135" s="176">
        <f>'2018'!G135+'2019'!G135+'2020'!G135+'2021'!G135+'2022'!G118</f>
        <v>0</v>
      </c>
      <c r="H135" s="176">
        <f>'2018'!H135+'2019'!H135+'2020'!H135+'2021'!H135+'2022'!H118</f>
        <v>55</v>
      </c>
      <c r="I135" s="176">
        <f>'2018'!I135+'2019'!I135+'2020'!I135+'2021'!I135+'2022'!I118</f>
        <v>0</v>
      </c>
      <c r="J135" s="176">
        <f>'2018'!J135+'2019'!J135+'2020'!J135+'2021'!J135+'2022'!J118</f>
        <v>0</v>
      </c>
      <c r="K135" s="176">
        <f>'2018'!K135+'2019'!K135+'2020'!K135+'2021'!K135+'2022'!K118</f>
        <v>0</v>
      </c>
      <c r="L135" s="176">
        <f>'2018'!L135+'2019'!L135+'2020'!L135+'2021'!L135+'2022'!L118</f>
        <v>0</v>
      </c>
      <c r="M135" s="176">
        <f>'2018'!M135+'2019'!M135+'2020'!M135+'2021'!M135+'2022'!M118</f>
        <v>0</v>
      </c>
      <c r="N135" s="176">
        <f>'2018'!N135+'2019'!N135+'2020'!N135+'2021'!N135+'2022'!N118</f>
        <v>0</v>
      </c>
      <c r="O135" s="176">
        <f>'2018'!O135+'2019'!O135+'2020'!O135+'2021'!O135+'2022'!O118</f>
        <v>7</v>
      </c>
      <c r="P135" s="176">
        <f>'2018'!P135+'2019'!P135+'2020'!P135+'2021'!P135+'2022'!P118</f>
        <v>0</v>
      </c>
      <c r="Q135" s="176">
        <f>'2018'!Q135+'2019'!Q135+'2020'!Q135+'2021'!Q135+'2022'!Q118</f>
        <v>0</v>
      </c>
      <c r="R135" s="176">
        <f>'2018'!R135+'2019'!R135+'2020'!R135+'2021'!R135+'2022'!R118</f>
        <v>6</v>
      </c>
      <c r="S135" s="176">
        <f>'2018'!S135+'2019'!S135+'2020'!S135+'2021'!S135+'2022'!S118</f>
        <v>0</v>
      </c>
      <c r="T135" s="176">
        <f>'2018'!T135+'2019'!T135+'2020'!T135+'2021'!T135+'2022'!T118</f>
        <v>0</v>
      </c>
      <c r="U135" s="176">
        <f>'2018'!U135+'2019'!U135+'2020'!U135+'2021'!U135+'2022'!U118</f>
        <v>0</v>
      </c>
      <c r="V135" s="176">
        <f>'2018'!V135+'2019'!V135+'2020'!V135+'2021'!V135+'2022'!V118</f>
        <v>0</v>
      </c>
      <c r="W135" s="176">
        <f>'2018'!W135+'2019'!W135+'2020'!W135+'2021'!W135+'2022'!W118</f>
        <v>0</v>
      </c>
      <c r="X135" s="176">
        <f>'2018'!X135+'2019'!X135+'2020'!X135+'2021'!X135+'2022'!X118</f>
        <v>0</v>
      </c>
      <c r="Y135" s="174">
        <f t="shared" si="23"/>
        <v>68</v>
      </c>
      <c r="Z135" s="174">
        <f>'2018'!Z135+'2019'!Z135+'2020'!Z135+'2021'!Z135+'2022'!Z118</f>
        <v>4</v>
      </c>
      <c r="AA135" s="174">
        <f>'2018'!AA135+'2019'!AA135+'2020'!AA135+'2021'!AA135+'2022'!AA118</f>
        <v>0</v>
      </c>
      <c r="AB135" s="174">
        <f>'2018'!AB135+'2019'!AB135+'2020'!AB135+'2021'!AB135+'2022'!AB118</f>
        <v>16</v>
      </c>
      <c r="AC135" s="174">
        <f>'2018'!AC135+'2019'!AC135+'2020'!AC135+'2021'!AC135+'2022'!AC118</f>
        <v>0</v>
      </c>
      <c r="AD135" s="174">
        <f>'2018'!AD135+'2019'!AD135+'2020'!AD135+'2021'!AD135+'2022'!AD118</f>
        <v>0</v>
      </c>
      <c r="AE135" s="174">
        <f>'2018'!AE135+'2019'!AE135+'2020'!AE135+'2021'!AE135+'2022'!AE118</f>
        <v>0</v>
      </c>
      <c r="AF135" s="174">
        <f>'2018'!AF135+'2019'!AF135+'2020'!AF135+'2021'!AF135+'2022'!AF118</f>
        <v>4</v>
      </c>
      <c r="AG135" s="174">
        <f>'2018'!AG135+'2019'!AG135+'2020'!AG135+'2021'!AG135+'2022'!AG118</f>
        <v>0</v>
      </c>
      <c r="AH135" s="174">
        <f>'2018'!AH135+'2019'!AH135+'2020'!AH135+'2021'!AH135+'2022'!AH118</f>
        <v>0</v>
      </c>
      <c r="AI135" s="174">
        <f>'2018'!AI135+'2019'!AI135+'2020'!AI135+'2021'!AI135+'2022'!AI118</f>
        <v>0</v>
      </c>
      <c r="AJ135" s="174">
        <f>'2018'!AJ135+'2019'!AJ135+'2020'!AJ135+'2021'!AJ135+'2022'!AJ118</f>
        <v>0</v>
      </c>
      <c r="AK135" s="174">
        <f>'2018'!AK135+'2019'!AK135+'2020'!AK135+'2021'!AK135+'2022'!AK118</f>
        <v>0</v>
      </c>
      <c r="AL135" s="174">
        <f>'2018'!AL135+'2019'!AL135+'2020'!AL135+'2021'!AL135+'2022'!AL118</f>
        <v>0</v>
      </c>
      <c r="AM135" s="174">
        <f>'2018'!AM135+'2019'!AM135+'2020'!AM135+'2021'!AM135+'2022'!AM118</f>
        <v>6</v>
      </c>
      <c r="AN135" s="174">
        <f>'2018'!AN135+'2019'!AN135+'2020'!AN135+'2021'!AN135+'2022'!AN118</f>
        <v>0</v>
      </c>
      <c r="AO135" s="174">
        <f>'2018'!AO135+'2019'!AO135+'2020'!AO135+'2021'!AO135+'2022'!AO118</f>
        <v>0</v>
      </c>
      <c r="AP135" s="174">
        <f>'2018'!AP135+'2019'!AP135+'2020'!AP135+'2021'!AP135+'2022'!AP118</f>
        <v>6</v>
      </c>
      <c r="AQ135" s="174">
        <f>'2018'!AQ135+'2019'!AQ135+'2020'!AQ135+'2021'!AQ135+'2022'!AQ118</f>
        <v>0</v>
      </c>
      <c r="AR135" s="174">
        <f>'2018'!AR135+'2019'!AR135+'2020'!AR135+'2021'!AR135+'2022'!AR118</f>
        <v>0</v>
      </c>
      <c r="AS135" s="174">
        <f>'2018'!AS135+'2019'!AS135+'2020'!AS135+'2021'!AS135+'2022'!AS118</f>
        <v>0</v>
      </c>
      <c r="AT135" s="174">
        <f>'2018'!AT135+'2019'!AT135+'2020'!AT135+'2021'!AT135+'2022'!AT118</f>
        <v>0</v>
      </c>
      <c r="AU135" s="174">
        <f>'2018'!AU135+'2019'!AU135+'2020'!AU135+'2021'!AU135+'2022'!AU118</f>
        <v>0</v>
      </c>
      <c r="AV135" s="174">
        <f>'2018'!AV135+'2019'!AV135+'2020'!AV135+'2021'!AV135+'2022'!AV118</f>
        <v>0</v>
      </c>
      <c r="AW135" s="174">
        <f t="shared" si="22"/>
        <v>16</v>
      </c>
      <c r="AX135" s="156">
        <f t="shared" si="16"/>
        <v>1405.3333333333333</v>
      </c>
      <c r="AY135" s="14">
        <f>'2018'!AX135+'2019'!AX135+'2020'!AX135+'2021'!AX135+'2022'!AX118</f>
        <v>7026.6666666666661</v>
      </c>
      <c r="AZ135" s="14">
        <f t="shared" si="21"/>
        <v>23.529411764705884</v>
      </c>
      <c r="BB135" s="144"/>
    </row>
    <row r="136" spans="1:54" s="142" customFormat="1" x14ac:dyDescent="0.25">
      <c r="A136" s="175" t="s">
        <v>217</v>
      </c>
      <c r="B136" s="176">
        <f>'2018'!B136+'2019'!B136+'2020'!B136+'2021'!B136+'2022'!B119</f>
        <v>31</v>
      </c>
      <c r="C136" s="176">
        <f>'2018'!C136+'2019'!C136+'2020'!C136+'2021'!C136+'2022'!C119</f>
        <v>3</v>
      </c>
      <c r="D136" s="176">
        <f>'2018'!D136+'2019'!D136+'2020'!D136+'2021'!D136+'2022'!D119</f>
        <v>95</v>
      </c>
      <c r="E136" s="176">
        <f>'2018'!E136+'2019'!E136+'2020'!E136+'2021'!E136+'2022'!E119</f>
        <v>9</v>
      </c>
      <c r="F136" s="176">
        <f>'2018'!F136+'2019'!F136+'2020'!F136+'2021'!F136+'2022'!F119</f>
        <v>0</v>
      </c>
      <c r="G136" s="176">
        <f>'2018'!G136+'2019'!G136+'2020'!G136+'2021'!G136+'2022'!G119</f>
        <v>0</v>
      </c>
      <c r="H136" s="176">
        <f>'2018'!H136+'2019'!H136+'2020'!H136+'2021'!H136+'2022'!H119</f>
        <v>31</v>
      </c>
      <c r="I136" s="176">
        <f>'2018'!I136+'2019'!I136+'2020'!I136+'2021'!I136+'2022'!I119</f>
        <v>0</v>
      </c>
      <c r="J136" s="176">
        <f>'2018'!J136+'2019'!J136+'2020'!J136+'2021'!J136+'2022'!J119</f>
        <v>8</v>
      </c>
      <c r="K136" s="176">
        <f>'2018'!K136+'2019'!K136+'2020'!K136+'2021'!K136+'2022'!K119</f>
        <v>9</v>
      </c>
      <c r="L136" s="176">
        <f>'2018'!L136+'2019'!L136+'2020'!L136+'2021'!L136+'2022'!L119</f>
        <v>38</v>
      </c>
      <c r="M136" s="176">
        <f>'2018'!M136+'2019'!M136+'2020'!M136+'2021'!M136+'2022'!M119</f>
        <v>0</v>
      </c>
      <c r="N136" s="176">
        <f>'2018'!N136+'2019'!N136+'2020'!N136+'2021'!N136+'2022'!N119</f>
        <v>0</v>
      </c>
      <c r="O136" s="176">
        <f>'2018'!O136+'2019'!O136+'2020'!O136+'2021'!O136+'2022'!O119</f>
        <v>2</v>
      </c>
      <c r="P136" s="176">
        <f>'2018'!P136+'2019'!P136+'2020'!P136+'2021'!P136+'2022'!P119</f>
        <v>0</v>
      </c>
      <c r="Q136" s="176">
        <f>'2018'!Q136+'2019'!Q136+'2020'!Q136+'2021'!Q136+'2022'!Q119</f>
        <v>0</v>
      </c>
      <c r="R136" s="176">
        <f>'2018'!R136+'2019'!R136+'2020'!R136+'2021'!R136+'2022'!R119</f>
        <v>4</v>
      </c>
      <c r="S136" s="176">
        <f>'2018'!S136+'2019'!S136+'2020'!S136+'2021'!S136+'2022'!S119</f>
        <v>0</v>
      </c>
      <c r="T136" s="176">
        <f>'2018'!T136+'2019'!T136+'2020'!T136+'2021'!T136+'2022'!T119</f>
        <v>0</v>
      </c>
      <c r="U136" s="176">
        <f>'2018'!U136+'2019'!U136+'2020'!U136+'2021'!U136+'2022'!U119</f>
        <v>0</v>
      </c>
      <c r="V136" s="176">
        <f>'2018'!V136+'2019'!V136+'2020'!V136+'2021'!V136+'2022'!V119</f>
        <v>1</v>
      </c>
      <c r="W136" s="176">
        <f>'2018'!W136+'2019'!W136+'2020'!W136+'2021'!W136+'2022'!W119</f>
        <v>0</v>
      </c>
      <c r="X136" s="176">
        <f>'2018'!X136+'2019'!X136+'2020'!X136+'2021'!X136+'2022'!X119</f>
        <v>2</v>
      </c>
      <c r="Y136" s="174">
        <f t="shared" si="23"/>
        <v>95</v>
      </c>
      <c r="Z136" s="174">
        <f>'2018'!Z136+'2019'!Z136+'2020'!Z136+'2021'!Z136+'2022'!Z119</f>
        <v>22</v>
      </c>
      <c r="AA136" s="174">
        <f>'2018'!AA136+'2019'!AA136+'2020'!AA136+'2021'!AA136+'2022'!AA119</f>
        <v>2</v>
      </c>
      <c r="AB136" s="174">
        <f>'2018'!AB136+'2019'!AB136+'2020'!AB136+'2021'!AB136+'2022'!AB119</f>
        <v>47</v>
      </c>
      <c r="AC136" s="174">
        <f>'2018'!AC136+'2019'!AC136+'2020'!AC136+'2021'!AC136+'2022'!AC119</f>
        <v>5</v>
      </c>
      <c r="AD136" s="174">
        <f>'2018'!AD136+'2019'!AD136+'2020'!AD136+'2021'!AD136+'2022'!AD119</f>
        <v>0</v>
      </c>
      <c r="AE136" s="174">
        <f>'2018'!AE136+'2019'!AE136+'2020'!AE136+'2021'!AE136+'2022'!AE119</f>
        <v>0</v>
      </c>
      <c r="AF136" s="174">
        <f>'2018'!AF136+'2019'!AF136+'2020'!AF136+'2021'!AF136+'2022'!AF119</f>
        <v>20</v>
      </c>
      <c r="AG136" s="174">
        <f>'2018'!AG136+'2019'!AG136+'2020'!AG136+'2021'!AG136+'2022'!AG119</f>
        <v>0</v>
      </c>
      <c r="AH136" s="174">
        <f>'2018'!AH136+'2019'!AH136+'2020'!AH136+'2021'!AH136+'2022'!AH119</f>
        <v>3</v>
      </c>
      <c r="AI136" s="174">
        <f>'2018'!AI136+'2019'!AI136+'2020'!AI136+'2021'!AI136+'2022'!AI119</f>
        <v>2</v>
      </c>
      <c r="AJ136" s="174">
        <f>'2018'!AJ136+'2019'!AJ136+'2020'!AJ136+'2021'!AJ136+'2022'!AJ119</f>
        <v>19</v>
      </c>
      <c r="AK136" s="174">
        <f>'2018'!AK136+'2019'!AK136+'2020'!AK136+'2021'!AK136+'2022'!AK119</f>
        <v>0</v>
      </c>
      <c r="AL136" s="174">
        <f>'2018'!AL136+'2019'!AL136+'2020'!AL136+'2021'!AL136+'2022'!AL119</f>
        <v>0</v>
      </c>
      <c r="AM136" s="174">
        <f>'2018'!AM136+'2019'!AM136+'2020'!AM136+'2021'!AM136+'2022'!AM119</f>
        <v>0</v>
      </c>
      <c r="AN136" s="174">
        <f>'2018'!AN136+'2019'!AN136+'2020'!AN136+'2021'!AN136+'2022'!AN119</f>
        <v>0</v>
      </c>
      <c r="AO136" s="174">
        <f>'2018'!AO136+'2019'!AO136+'2020'!AO136+'2021'!AO136+'2022'!AO119</f>
        <v>0</v>
      </c>
      <c r="AP136" s="174">
        <f>'2018'!AP136+'2019'!AP136+'2020'!AP136+'2021'!AP136+'2022'!AP119</f>
        <v>3</v>
      </c>
      <c r="AQ136" s="174">
        <f>'2018'!AQ136+'2019'!AQ136+'2020'!AQ136+'2021'!AQ136+'2022'!AQ119</f>
        <v>0</v>
      </c>
      <c r="AR136" s="174">
        <f>'2018'!AR136+'2019'!AR136+'2020'!AR136+'2021'!AR136+'2022'!AR119</f>
        <v>0</v>
      </c>
      <c r="AS136" s="174">
        <f>'2018'!AS136+'2019'!AS136+'2020'!AS136+'2021'!AS136+'2022'!AS119</f>
        <v>0</v>
      </c>
      <c r="AT136" s="174">
        <f>'2018'!AT136+'2019'!AT136+'2020'!AT136+'2021'!AT136+'2022'!AT119</f>
        <v>0</v>
      </c>
      <c r="AU136" s="174">
        <f>'2018'!AU136+'2019'!AU136+'2020'!AU136+'2021'!AU136+'2022'!AU119</f>
        <v>0</v>
      </c>
      <c r="AV136" s="174">
        <f>'2018'!AV136+'2019'!AV136+'2020'!AV136+'2021'!AV136+'2022'!AV119</f>
        <v>0</v>
      </c>
      <c r="AW136" s="174">
        <f t="shared" si="22"/>
        <v>47</v>
      </c>
      <c r="AX136" s="156">
        <f t="shared" ref="AX136:AX199" si="24">AY136/5</f>
        <v>1862.6493333333333</v>
      </c>
      <c r="AY136" s="14">
        <f>'2018'!AX136+'2019'!AX136+'2020'!AX136+'2021'!AX136+'2022'!AX119</f>
        <v>9313.246666666666</v>
      </c>
      <c r="AZ136" s="14">
        <f t="shared" si="21"/>
        <v>49.473684210526315</v>
      </c>
      <c r="BB136" s="144"/>
    </row>
    <row r="137" spans="1:54" s="142" customFormat="1" x14ac:dyDescent="0.25">
      <c r="A137" s="175" t="s">
        <v>218</v>
      </c>
      <c r="B137" s="176">
        <f>'2018'!B137+'2019'!B137+'2020'!B137+'2021'!B137+'2022'!B120</f>
        <v>16</v>
      </c>
      <c r="C137" s="176">
        <f>'2018'!C137+'2019'!C137+'2020'!C137+'2021'!C137+'2022'!C120</f>
        <v>0</v>
      </c>
      <c r="D137" s="176">
        <f>'2018'!D137+'2019'!D137+'2020'!D137+'2021'!D137+'2022'!D120</f>
        <v>79</v>
      </c>
      <c r="E137" s="176">
        <f>'2018'!E137+'2019'!E137+'2020'!E137+'2021'!E137+'2022'!E120</f>
        <v>0</v>
      </c>
      <c r="F137" s="176">
        <f>'2018'!F137+'2019'!F137+'2020'!F137+'2021'!F137+'2022'!F120</f>
        <v>0</v>
      </c>
      <c r="G137" s="176">
        <f>'2018'!G137+'2019'!G137+'2020'!G137+'2021'!G137+'2022'!G120</f>
        <v>0</v>
      </c>
      <c r="H137" s="176">
        <f>'2018'!H137+'2019'!H137+'2020'!H137+'2021'!H137+'2022'!H120</f>
        <v>51</v>
      </c>
      <c r="I137" s="176">
        <f>'2018'!I137+'2019'!I137+'2020'!I137+'2021'!I137+'2022'!I120</f>
        <v>0</v>
      </c>
      <c r="J137" s="176">
        <f>'2018'!J137+'2019'!J137+'2020'!J137+'2021'!J137+'2022'!J120</f>
        <v>0</v>
      </c>
      <c r="K137" s="176">
        <f>'2018'!K137+'2019'!K137+'2020'!K137+'2021'!K137+'2022'!K120</f>
        <v>2</v>
      </c>
      <c r="L137" s="176">
        <f>'2018'!L137+'2019'!L137+'2020'!L137+'2021'!L137+'2022'!L120</f>
        <v>26</v>
      </c>
      <c r="M137" s="176">
        <f>'2018'!M137+'2019'!M137+'2020'!M137+'2021'!M137+'2022'!M120</f>
        <v>0</v>
      </c>
      <c r="N137" s="176">
        <f>'2018'!N137+'2019'!N137+'2020'!N137+'2021'!N137+'2022'!N120</f>
        <v>0</v>
      </c>
      <c r="O137" s="176">
        <f>'2018'!O137+'2019'!O137+'2020'!O137+'2021'!O137+'2022'!O120</f>
        <v>0</v>
      </c>
      <c r="P137" s="176">
        <f>'2018'!P137+'2019'!P137+'2020'!P137+'2021'!P137+'2022'!P120</f>
        <v>0</v>
      </c>
      <c r="Q137" s="176">
        <f>'2018'!Q137+'2019'!Q137+'2020'!Q137+'2021'!Q137+'2022'!Q120</f>
        <v>0</v>
      </c>
      <c r="R137" s="176">
        <f>'2018'!R137+'2019'!R137+'2020'!R137+'2021'!R137+'2022'!R120</f>
        <v>0</v>
      </c>
      <c r="S137" s="176">
        <f>'2018'!S137+'2019'!S137+'2020'!S137+'2021'!S137+'2022'!S120</f>
        <v>0</v>
      </c>
      <c r="T137" s="176">
        <f>'2018'!T137+'2019'!T137+'2020'!T137+'2021'!T137+'2022'!T120</f>
        <v>0</v>
      </c>
      <c r="U137" s="176">
        <f>'2018'!U137+'2019'!U137+'2020'!U137+'2021'!U137+'2022'!U120</f>
        <v>0</v>
      </c>
      <c r="V137" s="176">
        <f>'2018'!V137+'2019'!V137+'2020'!V137+'2021'!V137+'2022'!V120</f>
        <v>0</v>
      </c>
      <c r="W137" s="176">
        <f>'2018'!W137+'2019'!W137+'2020'!W137+'2021'!W137+'2022'!W120</f>
        <v>0</v>
      </c>
      <c r="X137" s="176">
        <f>'2018'!X137+'2019'!X137+'2020'!X137+'2021'!X137+'2022'!X120</f>
        <v>0</v>
      </c>
      <c r="Y137" s="174">
        <f t="shared" si="23"/>
        <v>79</v>
      </c>
      <c r="Z137" s="174">
        <f>'2018'!Z137+'2019'!Z137+'2020'!Z137+'2021'!Z137+'2022'!Z120</f>
        <v>9</v>
      </c>
      <c r="AA137" s="174">
        <f>'2018'!AA137+'2019'!AA137+'2020'!AA137+'2021'!AA137+'2022'!AA120</f>
        <v>0</v>
      </c>
      <c r="AB137" s="174">
        <f>'2018'!AB137+'2019'!AB137+'2020'!AB137+'2021'!AB137+'2022'!AB120</f>
        <v>33</v>
      </c>
      <c r="AC137" s="174">
        <f>'2018'!AC137+'2019'!AC137+'2020'!AC137+'2021'!AC137+'2022'!AC120</f>
        <v>0</v>
      </c>
      <c r="AD137" s="174">
        <f>'2018'!AD137+'2019'!AD137+'2020'!AD137+'2021'!AD137+'2022'!AD120</f>
        <v>0</v>
      </c>
      <c r="AE137" s="174">
        <f>'2018'!AE137+'2019'!AE137+'2020'!AE137+'2021'!AE137+'2022'!AE120</f>
        <v>0</v>
      </c>
      <c r="AF137" s="174">
        <f>'2018'!AF137+'2019'!AF137+'2020'!AF137+'2021'!AF137+'2022'!AF120</f>
        <v>30</v>
      </c>
      <c r="AG137" s="174">
        <f>'2018'!AG137+'2019'!AG137+'2020'!AG137+'2021'!AG137+'2022'!AG120</f>
        <v>0</v>
      </c>
      <c r="AH137" s="174">
        <f>'2018'!AH137+'2019'!AH137+'2020'!AH137+'2021'!AH137+'2022'!AH120</f>
        <v>0</v>
      </c>
      <c r="AI137" s="174">
        <f>'2018'!AI137+'2019'!AI137+'2020'!AI137+'2021'!AI137+'2022'!AI120</f>
        <v>2</v>
      </c>
      <c r="AJ137" s="174">
        <f>'2018'!AJ137+'2019'!AJ137+'2020'!AJ137+'2021'!AJ137+'2022'!AJ120</f>
        <v>1</v>
      </c>
      <c r="AK137" s="174">
        <f>'2018'!AK137+'2019'!AK137+'2020'!AK137+'2021'!AK137+'2022'!AK120</f>
        <v>0</v>
      </c>
      <c r="AL137" s="174">
        <f>'2018'!AL137+'2019'!AL137+'2020'!AL137+'2021'!AL137+'2022'!AL120</f>
        <v>0</v>
      </c>
      <c r="AM137" s="174">
        <f>'2018'!AM137+'2019'!AM137+'2020'!AM137+'2021'!AM137+'2022'!AM120</f>
        <v>0</v>
      </c>
      <c r="AN137" s="174">
        <f>'2018'!AN137+'2019'!AN137+'2020'!AN137+'2021'!AN137+'2022'!AN120</f>
        <v>0</v>
      </c>
      <c r="AO137" s="174">
        <f>'2018'!AO137+'2019'!AO137+'2020'!AO137+'2021'!AO137+'2022'!AO120</f>
        <v>0</v>
      </c>
      <c r="AP137" s="174">
        <f>'2018'!AP137+'2019'!AP137+'2020'!AP137+'2021'!AP137+'2022'!AP120</f>
        <v>0</v>
      </c>
      <c r="AQ137" s="174">
        <f>'2018'!AQ137+'2019'!AQ137+'2020'!AQ137+'2021'!AQ137+'2022'!AQ120</f>
        <v>0</v>
      </c>
      <c r="AR137" s="174">
        <f>'2018'!AR137+'2019'!AR137+'2020'!AR137+'2021'!AR137+'2022'!AR120</f>
        <v>0</v>
      </c>
      <c r="AS137" s="174">
        <f>'2018'!AS137+'2019'!AS137+'2020'!AS137+'2021'!AS137+'2022'!AS120</f>
        <v>0</v>
      </c>
      <c r="AT137" s="174">
        <f>'2018'!AT137+'2019'!AT137+'2020'!AT137+'2021'!AT137+'2022'!AT120</f>
        <v>0</v>
      </c>
      <c r="AU137" s="174">
        <f>'2018'!AU137+'2019'!AU137+'2020'!AU137+'2021'!AU137+'2022'!AU120</f>
        <v>0</v>
      </c>
      <c r="AV137" s="174">
        <f>'2018'!AV137+'2019'!AV137+'2020'!AV137+'2021'!AV137+'2022'!AV120</f>
        <v>0</v>
      </c>
      <c r="AW137" s="174">
        <f t="shared" si="22"/>
        <v>33</v>
      </c>
      <c r="AX137" s="156">
        <f t="shared" si="24"/>
        <v>1279.5266666666666</v>
      </c>
      <c r="AY137" s="14">
        <f>'2018'!AX137+'2019'!AX137+'2020'!AX137+'2021'!AX137+'2022'!AX120</f>
        <v>6397.6333333333332</v>
      </c>
      <c r="AZ137" s="14">
        <f t="shared" si="21"/>
        <v>41.77215189873418</v>
      </c>
    </row>
    <row r="138" spans="1:54" s="142" customFormat="1" x14ac:dyDescent="0.25">
      <c r="A138" s="175" t="s">
        <v>219</v>
      </c>
      <c r="B138" s="176">
        <f>'2018'!B138+'2019'!B138+'2020'!B138+'2021'!B138+'2022'!B121</f>
        <v>43</v>
      </c>
      <c r="C138" s="176">
        <f>'2018'!C138+'2019'!C138+'2020'!C138+'2021'!C138+'2022'!C121</f>
        <v>2</v>
      </c>
      <c r="D138" s="176">
        <f>'2018'!D138+'2019'!D138+'2020'!D138+'2021'!D138+'2022'!D121</f>
        <v>191</v>
      </c>
      <c r="E138" s="176">
        <f>'2018'!E138+'2019'!E138+'2020'!E138+'2021'!E138+'2022'!E121</f>
        <v>8</v>
      </c>
      <c r="F138" s="176">
        <f>'2018'!F138+'2019'!F138+'2020'!F138+'2021'!F138+'2022'!F121</f>
        <v>0</v>
      </c>
      <c r="G138" s="176">
        <f>'2018'!G138+'2019'!G138+'2020'!G138+'2021'!G138+'2022'!G121</f>
        <v>0</v>
      </c>
      <c r="H138" s="176">
        <f>'2018'!H138+'2019'!H138+'2020'!H138+'2021'!H138+'2022'!H121</f>
        <v>93</v>
      </c>
      <c r="I138" s="176">
        <f>'2018'!I138+'2019'!I138+'2020'!I138+'2021'!I138+'2022'!I121</f>
        <v>0</v>
      </c>
      <c r="J138" s="176">
        <f>'2018'!J138+'2019'!J138+'2020'!J138+'2021'!J138+'2022'!J121</f>
        <v>1</v>
      </c>
      <c r="K138" s="176">
        <f>'2018'!K138+'2019'!K138+'2020'!K138+'2021'!K138+'2022'!K121</f>
        <v>86</v>
      </c>
      <c r="L138" s="176">
        <f>'2018'!L138+'2019'!L138+'2020'!L138+'2021'!L138+'2022'!L121</f>
        <v>2</v>
      </c>
      <c r="M138" s="176">
        <f>'2018'!M138+'2019'!M138+'2020'!M138+'2021'!M138+'2022'!M121</f>
        <v>0</v>
      </c>
      <c r="N138" s="176">
        <f>'2018'!N138+'2019'!N138+'2020'!N138+'2021'!N138+'2022'!N121</f>
        <v>0</v>
      </c>
      <c r="O138" s="176">
        <f>'2018'!O138+'2019'!O138+'2020'!O138+'2021'!O138+'2022'!O121</f>
        <v>0</v>
      </c>
      <c r="P138" s="176">
        <f>'2018'!P138+'2019'!P138+'2020'!P138+'2021'!P138+'2022'!P121</f>
        <v>0</v>
      </c>
      <c r="Q138" s="176">
        <f>'2018'!Q138+'2019'!Q138+'2020'!Q138+'2021'!Q138+'2022'!Q121</f>
        <v>0</v>
      </c>
      <c r="R138" s="176">
        <f>'2018'!R138+'2019'!R138+'2020'!R138+'2021'!R138+'2022'!R121</f>
        <v>4</v>
      </c>
      <c r="S138" s="176">
        <f>'2018'!S138+'2019'!S138+'2020'!S138+'2021'!S138+'2022'!S121</f>
        <v>3</v>
      </c>
      <c r="T138" s="176">
        <f>'2018'!T138+'2019'!T138+'2020'!T138+'2021'!T138+'2022'!T121</f>
        <v>0</v>
      </c>
      <c r="U138" s="176">
        <f>'2018'!U138+'2019'!U138+'2020'!U138+'2021'!U138+'2022'!U121</f>
        <v>0</v>
      </c>
      <c r="V138" s="176">
        <f>'2018'!V138+'2019'!V138+'2020'!V138+'2021'!V138+'2022'!V121</f>
        <v>0</v>
      </c>
      <c r="W138" s="176">
        <f>'2018'!W138+'2019'!W138+'2020'!W138+'2021'!W138+'2022'!W121</f>
        <v>0</v>
      </c>
      <c r="X138" s="176">
        <f>'2018'!X138+'2019'!X138+'2020'!X138+'2021'!X138+'2022'!X121</f>
        <v>2</v>
      </c>
      <c r="Y138" s="174">
        <f t="shared" si="23"/>
        <v>191</v>
      </c>
      <c r="Z138" s="174">
        <f>'2018'!Z138+'2019'!Z138+'2020'!Z138+'2021'!Z138+'2022'!Z121</f>
        <v>31</v>
      </c>
      <c r="AA138" s="174">
        <f>'2018'!AA138+'2019'!AA138+'2020'!AA138+'2021'!AA138+'2022'!AA121</f>
        <v>1</v>
      </c>
      <c r="AB138" s="174">
        <f>'2018'!AB138+'2019'!AB138+'2020'!AB138+'2021'!AB138+'2022'!AB121</f>
        <v>127</v>
      </c>
      <c r="AC138" s="174">
        <f>'2018'!AC138+'2019'!AC138+'2020'!AC138+'2021'!AC138+'2022'!AC121</f>
        <v>6</v>
      </c>
      <c r="AD138" s="174">
        <f>'2018'!AD138+'2019'!AD138+'2020'!AD138+'2021'!AD138+'2022'!AD121</f>
        <v>0</v>
      </c>
      <c r="AE138" s="174">
        <f>'2018'!AE138+'2019'!AE138+'2020'!AE138+'2021'!AE138+'2022'!AE121</f>
        <v>0</v>
      </c>
      <c r="AF138" s="174">
        <f>'2018'!AF138+'2019'!AF138+'2020'!AF138+'2021'!AF138+'2022'!AF121</f>
        <v>54</v>
      </c>
      <c r="AG138" s="174">
        <f>'2018'!AG138+'2019'!AG138+'2020'!AG138+'2021'!AG138+'2022'!AG121</f>
        <v>0</v>
      </c>
      <c r="AH138" s="174">
        <f>'2018'!AH138+'2019'!AH138+'2020'!AH138+'2021'!AH138+'2022'!AH121</f>
        <v>0</v>
      </c>
      <c r="AI138" s="174">
        <f>'2018'!AI138+'2019'!AI138+'2020'!AI138+'2021'!AI138+'2022'!AI121</f>
        <v>67</v>
      </c>
      <c r="AJ138" s="174">
        <f>'2018'!AJ138+'2019'!AJ138+'2020'!AJ138+'2021'!AJ138+'2022'!AJ121</f>
        <v>2</v>
      </c>
      <c r="AK138" s="174">
        <f>'2018'!AK138+'2019'!AK138+'2020'!AK138+'2021'!AK138+'2022'!AK121</f>
        <v>0</v>
      </c>
      <c r="AL138" s="174">
        <f>'2018'!AL138+'2019'!AL138+'2020'!AL138+'2021'!AL138+'2022'!AL121</f>
        <v>0</v>
      </c>
      <c r="AM138" s="174">
        <f>'2018'!AM138+'2019'!AM138+'2020'!AM138+'2021'!AM138+'2022'!AM121</f>
        <v>0</v>
      </c>
      <c r="AN138" s="174">
        <f>'2018'!AN138+'2019'!AN138+'2020'!AN138+'2021'!AN138+'2022'!AN121</f>
        <v>0</v>
      </c>
      <c r="AO138" s="174">
        <f>'2018'!AO138+'2019'!AO138+'2020'!AO138+'2021'!AO138+'2022'!AO121</f>
        <v>0</v>
      </c>
      <c r="AP138" s="174">
        <f>'2018'!AP138+'2019'!AP138+'2020'!AP138+'2021'!AP138+'2022'!AP121</f>
        <v>1</v>
      </c>
      <c r="AQ138" s="174">
        <f>'2018'!AQ138+'2019'!AQ138+'2020'!AQ138+'2021'!AQ138+'2022'!AQ121</f>
        <v>3</v>
      </c>
      <c r="AR138" s="174">
        <f>'2018'!AR138+'2019'!AR138+'2020'!AR138+'2021'!AR138+'2022'!AR121</f>
        <v>0</v>
      </c>
      <c r="AS138" s="174">
        <f>'2018'!AS138+'2019'!AS138+'2020'!AS138+'2021'!AS138+'2022'!AS121</f>
        <v>0</v>
      </c>
      <c r="AT138" s="174">
        <f>'2018'!AT138+'2019'!AT138+'2020'!AT138+'2021'!AT138+'2022'!AT121</f>
        <v>0</v>
      </c>
      <c r="AU138" s="174">
        <f>'2018'!AU138+'2019'!AU138+'2020'!AU138+'2021'!AU138+'2022'!AU121</f>
        <v>0</v>
      </c>
      <c r="AV138" s="174">
        <f>'2018'!AV138+'2019'!AV138+'2020'!AV138+'2021'!AV138+'2022'!AV121</f>
        <v>0</v>
      </c>
      <c r="AW138" s="174">
        <f t="shared" si="22"/>
        <v>127</v>
      </c>
      <c r="AX138" s="156">
        <f t="shared" si="24"/>
        <v>879.71014285714296</v>
      </c>
      <c r="AY138" s="14">
        <f>'2018'!AX138+'2019'!AX138+'2020'!AX138+'2021'!AX138+'2022'!AX121</f>
        <v>4398.550714285715</v>
      </c>
      <c r="AZ138" s="14">
        <f t="shared" si="21"/>
        <v>66.492146596858632</v>
      </c>
      <c r="BB138" s="144"/>
    </row>
    <row r="139" spans="1:54" s="142" customFormat="1" x14ac:dyDescent="0.25">
      <c r="A139" s="175" t="s">
        <v>220</v>
      </c>
      <c r="B139" s="176">
        <f>'2018'!B139+'2019'!B139+'2020'!B139+'2021'!B139+'2022'!B122</f>
        <v>150</v>
      </c>
      <c r="C139" s="176">
        <f>'2018'!C139+'2019'!C139+'2020'!C139+'2021'!C139+'2022'!C122</f>
        <v>1</v>
      </c>
      <c r="D139" s="176">
        <f>'2018'!D139+'2019'!D139+'2020'!D139+'2021'!D139+'2022'!D122</f>
        <v>601</v>
      </c>
      <c r="E139" s="176">
        <f>'2018'!E139+'2019'!E139+'2020'!E139+'2021'!E139+'2022'!E122</f>
        <v>1</v>
      </c>
      <c r="F139" s="176">
        <f>'2018'!F139+'2019'!F139+'2020'!F139+'2021'!F139+'2022'!F122</f>
        <v>0</v>
      </c>
      <c r="G139" s="176">
        <f>'2018'!G139+'2019'!G139+'2020'!G139+'2021'!G139+'2022'!G122</f>
        <v>0</v>
      </c>
      <c r="H139" s="176">
        <f>'2018'!H139+'2019'!H139+'2020'!H139+'2021'!H139+'2022'!H122</f>
        <v>414</v>
      </c>
      <c r="I139" s="176">
        <f>'2018'!I139+'2019'!I139+'2020'!I139+'2021'!I139+'2022'!I122</f>
        <v>0</v>
      </c>
      <c r="J139" s="176">
        <f>'2018'!J139+'2019'!J139+'2020'!J139+'2021'!J139+'2022'!J122</f>
        <v>35</v>
      </c>
      <c r="K139" s="176">
        <f>'2018'!K139+'2019'!K139+'2020'!K139+'2021'!K139+'2022'!K122</f>
        <v>67</v>
      </c>
      <c r="L139" s="176">
        <f>'2018'!L139+'2019'!L139+'2020'!L139+'2021'!L139+'2022'!L122</f>
        <v>15</v>
      </c>
      <c r="M139" s="176">
        <f>'2018'!M139+'2019'!M139+'2020'!M139+'2021'!M139+'2022'!M122</f>
        <v>0</v>
      </c>
      <c r="N139" s="176">
        <f>'2018'!N139+'2019'!N139+'2020'!N139+'2021'!N139+'2022'!N122</f>
        <v>0</v>
      </c>
      <c r="O139" s="176">
        <f>'2018'!O139+'2019'!O139+'2020'!O139+'2021'!O139+'2022'!O122</f>
        <v>2</v>
      </c>
      <c r="P139" s="176">
        <f>'2018'!P139+'2019'!P139+'2020'!P139+'2021'!P139+'2022'!P122</f>
        <v>2</v>
      </c>
      <c r="Q139" s="176">
        <f>'2018'!Q139+'2019'!Q139+'2020'!Q139+'2021'!Q139+'2022'!Q122</f>
        <v>34</v>
      </c>
      <c r="R139" s="176">
        <f>'2018'!R139+'2019'!R139+'2020'!R139+'2021'!R139+'2022'!R122</f>
        <v>15</v>
      </c>
      <c r="S139" s="176">
        <f>'2018'!S139+'2019'!S139+'2020'!S139+'2021'!S139+'2022'!S122</f>
        <v>15</v>
      </c>
      <c r="T139" s="176">
        <f>'2018'!T139+'2019'!T139+'2020'!T139+'2021'!T139+'2022'!T122</f>
        <v>2</v>
      </c>
      <c r="U139" s="176">
        <f>'2018'!U139+'2019'!U139+'2020'!U139+'2021'!U139+'2022'!U122</f>
        <v>0</v>
      </c>
      <c r="V139" s="176">
        <f>'2018'!V139+'2019'!V139+'2020'!V139+'2021'!V139+'2022'!V122</f>
        <v>0</v>
      </c>
      <c r="W139" s="176">
        <f>'2018'!W139+'2019'!W139+'2020'!W139+'2021'!W139+'2022'!W122</f>
        <v>0</v>
      </c>
      <c r="X139" s="176">
        <f>'2018'!X139+'2019'!X139+'2020'!X139+'2021'!X139+'2022'!X122</f>
        <v>0</v>
      </c>
      <c r="Y139" s="174">
        <f t="shared" si="23"/>
        <v>601</v>
      </c>
      <c r="Z139" s="174">
        <f>'2018'!Z139+'2019'!Z139+'2020'!Z139+'2021'!Z139+'2022'!Z122</f>
        <v>97</v>
      </c>
      <c r="AA139" s="174">
        <f>'2018'!AA139+'2019'!AA139+'2020'!AA139+'2021'!AA139+'2022'!AA122</f>
        <v>1</v>
      </c>
      <c r="AB139" s="174">
        <f>'2018'!AB139+'2019'!AB139+'2020'!AB139+'2021'!AB139+'2022'!AB122</f>
        <v>457</v>
      </c>
      <c r="AC139" s="174">
        <f>'2018'!AC139+'2019'!AC139+'2020'!AC139+'2021'!AC139+'2022'!AC122</f>
        <v>1</v>
      </c>
      <c r="AD139" s="174">
        <f>'2018'!AD139+'2019'!AD139+'2020'!AD139+'2021'!AD139+'2022'!AD122</f>
        <v>0</v>
      </c>
      <c r="AE139" s="174">
        <f>'2018'!AE139+'2019'!AE139+'2020'!AE139+'2021'!AE139+'2022'!AE122</f>
        <v>0</v>
      </c>
      <c r="AF139" s="174">
        <f>'2018'!AF139+'2019'!AF139+'2020'!AF139+'2021'!AF139+'2022'!AF122</f>
        <v>318</v>
      </c>
      <c r="AG139" s="174">
        <f>'2018'!AG139+'2019'!AG139+'2020'!AG139+'2021'!AG139+'2022'!AG122</f>
        <v>0</v>
      </c>
      <c r="AH139" s="174">
        <f>'2018'!AH139+'2019'!AH139+'2020'!AH139+'2021'!AH139+'2022'!AH122</f>
        <v>42</v>
      </c>
      <c r="AI139" s="174">
        <f>'2018'!AI139+'2019'!AI139+'2020'!AI139+'2021'!AI139+'2022'!AI122</f>
        <v>39</v>
      </c>
      <c r="AJ139" s="174">
        <f>'2018'!AJ139+'2019'!AJ139+'2020'!AJ139+'2021'!AJ139+'2022'!AJ122</f>
        <v>17</v>
      </c>
      <c r="AK139" s="174">
        <f>'2018'!AK139+'2019'!AK139+'2020'!AK139+'2021'!AK139+'2022'!AK122</f>
        <v>0</v>
      </c>
      <c r="AL139" s="174">
        <f>'2018'!AL139+'2019'!AL139+'2020'!AL139+'2021'!AL139+'2022'!AL122</f>
        <v>0</v>
      </c>
      <c r="AM139" s="174">
        <f>'2018'!AM139+'2019'!AM139+'2020'!AM139+'2021'!AM139+'2022'!AM122</f>
        <v>2</v>
      </c>
      <c r="AN139" s="174">
        <f>'2018'!AN139+'2019'!AN139+'2020'!AN139+'2021'!AN139+'2022'!AN122</f>
        <v>2</v>
      </c>
      <c r="AO139" s="174">
        <f>'2018'!AO139+'2019'!AO139+'2020'!AO139+'2021'!AO139+'2022'!AO122</f>
        <v>21</v>
      </c>
      <c r="AP139" s="174">
        <f>'2018'!AP139+'2019'!AP139+'2020'!AP139+'2021'!AP139+'2022'!AP122</f>
        <v>6</v>
      </c>
      <c r="AQ139" s="174">
        <f>'2018'!AQ139+'2019'!AQ139+'2020'!AQ139+'2021'!AQ139+'2022'!AQ122</f>
        <v>10</v>
      </c>
      <c r="AR139" s="174">
        <f>'2018'!AR139+'2019'!AR139+'2020'!AR139+'2021'!AR139+'2022'!AR122</f>
        <v>0</v>
      </c>
      <c r="AS139" s="174">
        <f>'2018'!AS139+'2019'!AS139+'2020'!AS139+'2021'!AS139+'2022'!AS122</f>
        <v>0</v>
      </c>
      <c r="AT139" s="174">
        <f>'2018'!AT139+'2019'!AT139+'2020'!AT139+'2021'!AT139+'2022'!AT122</f>
        <v>0</v>
      </c>
      <c r="AU139" s="174">
        <f>'2018'!AU139+'2019'!AU139+'2020'!AU139+'2021'!AU139+'2022'!AU122</f>
        <v>0</v>
      </c>
      <c r="AV139" s="174">
        <f>'2018'!AV139+'2019'!AV139+'2020'!AV139+'2021'!AV139+'2022'!AV122</f>
        <v>0</v>
      </c>
      <c r="AW139" s="174">
        <f t="shared" si="22"/>
        <v>457</v>
      </c>
      <c r="AX139" s="156">
        <f t="shared" si="24"/>
        <v>1614.7550666666666</v>
      </c>
      <c r="AY139" s="14">
        <f>'2018'!AX139+'2019'!AX139+'2020'!AX139+'2021'!AX139+'2022'!AX122</f>
        <v>8073.775333333333</v>
      </c>
      <c r="AZ139" s="14">
        <f t="shared" si="21"/>
        <v>76.039933444259574</v>
      </c>
      <c r="BB139" s="144"/>
    </row>
    <row r="140" spans="1:54" s="142" customFormat="1" x14ac:dyDescent="0.25">
      <c r="A140" s="175" t="s">
        <v>221</v>
      </c>
      <c r="B140" s="176">
        <f>'2018'!B140+'2019'!B140+'2020'!B140+'2021'!B140+'2022'!B123</f>
        <v>8</v>
      </c>
      <c r="C140" s="176">
        <f>'2018'!C140+'2019'!C140+'2020'!C140+'2021'!C140+'2022'!C123</f>
        <v>0</v>
      </c>
      <c r="D140" s="176">
        <f>'2018'!D140+'2019'!D140+'2020'!D140+'2021'!D140+'2022'!D123</f>
        <v>22</v>
      </c>
      <c r="E140" s="176">
        <f>'2018'!E140+'2019'!E140+'2020'!E140+'2021'!E140+'2022'!E123</f>
        <v>0</v>
      </c>
      <c r="F140" s="176">
        <f>'2018'!F140+'2019'!F140+'2020'!F140+'2021'!F140+'2022'!F123</f>
        <v>0</v>
      </c>
      <c r="G140" s="176">
        <f>'2018'!G140+'2019'!G140+'2020'!G140+'2021'!G140+'2022'!G123</f>
        <v>0</v>
      </c>
      <c r="H140" s="176">
        <f>'2018'!H140+'2019'!H140+'2020'!H140+'2021'!H140+'2022'!H123</f>
        <v>6</v>
      </c>
      <c r="I140" s="176">
        <f>'2018'!I140+'2019'!I140+'2020'!I140+'2021'!I140+'2022'!I123</f>
        <v>0</v>
      </c>
      <c r="J140" s="176">
        <f>'2018'!J140+'2019'!J140+'2020'!J140+'2021'!J140+'2022'!J123</f>
        <v>0</v>
      </c>
      <c r="K140" s="176">
        <f>'2018'!K140+'2019'!K140+'2020'!K140+'2021'!K140+'2022'!K123</f>
        <v>0</v>
      </c>
      <c r="L140" s="176">
        <f>'2018'!L140+'2019'!L140+'2020'!L140+'2021'!L140+'2022'!L123</f>
        <v>0</v>
      </c>
      <c r="M140" s="176">
        <f>'2018'!M140+'2019'!M140+'2020'!M140+'2021'!M140+'2022'!M123</f>
        <v>1</v>
      </c>
      <c r="N140" s="176">
        <f>'2018'!N140+'2019'!N140+'2020'!N140+'2021'!N140+'2022'!N123</f>
        <v>0</v>
      </c>
      <c r="O140" s="176">
        <f>'2018'!O140+'2019'!O140+'2020'!O140+'2021'!O140+'2022'!O123</f>
        <v>8</v>
      </c>
      <c r="P140" s="176">
        <f>'2018'!P140+'2019'!P140+'2020'!P140+'2021'!P140+'2022'!P123</f>
        <v>0</v>
      </c>
      <c r="Q140" s="176">
        <f>'2018'!Q140+'2019'!Q140+'2020'!Q140+'2021'!Q140+'2022'!Q123</f>
        <v>0</v>
      </c>
      <c r="R140" s="176">
        <f>'2018'!R140+'2019'!R140+'2020'!R140+'2021'!R140+'2022'!R123</f>
        <v>0</v>
      </c>
      <c r="S140" s="176">
        <f>'2018'!S140+'2019'!S140+'2020'!S140+'2021'!S140+'2022'!S123</f>
        <v>2</v>
      </c>
      <c r="T140" s="176">
        <f>'2018'!T140+'2019'!T140+'2020'!T140+'2021'!T140+'2022'!T123</f>
        <v>0</v>
      </c>
      <c r="U140" s="176">
        <f>'2018'!U140+'2019'!U140+'2020'!U140+'2021'!U140+'2022'!U123</f>
        <v>0</v>
      </c>
      <c r="V140" s="176">
        <f>'2018'!V140+'2019'!V140+'2020'!V140+'2021'!V140+'2022'!V123</f>
        <v>0</v>
      </c>
      <c r="W140" s="176">
        <f>'2018'!W140+'2019'!W140+'2020'!W140+'2021'!W140+'2022'!W123</f>
        <v>0</v>
      </c>
      <c r="X140" s="176">
        <f>'2018'!X140+'2019'!X140+'2020'!X140+'2021'!X140+'2022'!X123</f>
        <v>5</v>
      </c>
      <c r="Y140" s="174">
        <f t="shared" si="23"/>
        <v>22</v>
      </c>
      <c r="Z140" s="174">
        <f>'2018'!Z140+'2019'!Z140+'2020'!Z140+'2021'!Z140+'2022'!Z123</f>
        <v>4</v>
      </c>
      <c r="AA140" s="174">
        <f>'2018'!AA140+'2019'!AA140+'2020'!AA140+'2021'!AA140+'2022'!AA123</f>
        <v>0</v>
      </c>
      <c r="AB140" s="174">
        <f>'2018'!AB140+'2019'!AB140+'2020'!AB140+'2021'!AB140+'2022'!AB123</f>
        <v>17</v>
      </c>
      <c r="AC140" s="174">
        <f>'2018'!AC140+'2019'!AC140+'2020'!AC140+'2021'!AC140+'2022'!AC123</f>
        <v>0</v>
      </c>
      <c r="AD140" s="174">
        <f>'2018'!AD140+'2019'!AD140+'2020'!AD140+'2021'!AD140+'2022'!AD123</f>
        <v>0</v>
      </c>
      <c r="AE140" s="174">
        <f>'2018'!AE140+'2019'!AE140+'2020'!AE140+'2021'!AE140+'2022'!AE123</f>
        <v>0</v>
      </c>
      <c r="AF140" s="174">
        <f>'2018'!AF140+'2019'!AF140+'2020'!AF140+'2021'!AF140+'2022'!AF123</f>
        <v>6</v>
      </c>
      <c r="AG140" s="174">
        <f>'2018'!AG140+'2019'!AG140+'2020'!AG140+'2021'!AG140+'2022'!AG123</f>
        <v>0</v>
      </c>
      <c r="AH140" s="174">
        <f>'2018'!AH140+'2019'!AH140+'2020'!AH140+'2021'!AH140+'2022'!AH123</f>
        <v>0</v>
      </c>
      <c r="AI140" s="174">
        <f>'2018'!AI140+'2019'!AI140+'2020'!AI140+'2021'!AI140+'2022'!AI123</f>
        <v>0</v>
      </c>
      <c r="AJ140" s="174">
        <f>'2018'!AJ140+'2019'!AJ140+'2020'!AJ140+'2021'!AJ140+'2022'!AJ123</f>
        <v>0</v>
      </c>
      <c r="AK140" s="174">
        <f>'2018'!AK140+'2019'!AK140+'2020'!AK140+'2021'!AK140+'2022'!AK123</f>
        <v>0</v>
      </c>
      <c r="AL140" s="174">
        <f>'2018'!AL140+'2019'!AL140+'2020'!AL140+'2021'!AL140+'2022'!AL123</f>
        <v>0</v>
      </c>
      <c r="AM140" s="174">
        <f>'2018'!AM140+'2019'!AM140+'2020'!AM140+'2021'!AM140+'2022'!AM123</f>
        <v>8</v>
      </c>
      <c r="AN140" s="174">
        <f>'2018'!AN140+'2019'!AN140+'2020'!AN140+'2021'!AN140+'2022'!AN123</f>
        <v>0</v>
      </c>
      <c r="AO140" s="174">
        <f>'2018'!AO140+'2019'!AO140+'2020'!AO140+'2021'!AO140+'2022'!AO123</f>
        <v>0</v>
      </c>
      <c r="AP140" s="174">
        <f>'2018'!AP140+'2019'!AP140+'2020'!AP140+'2021'!AP140+'2022'!AP123</f>
        <v>0</v>
      </c>
      <c r="AQ140" s="174">
        <f>'2018'!AQ140+'2019'!AQ140+'2020'!AQ140+'2021'!AQ140+'2022'!AQ123</f>
        <v>1</v>
      </c>
      <c r="AR140" s="174">
        <f>'2018'!AR140+'2019'!AR140+'2020'!AR140+'2021'!AR140+'2022'!AR123</f>
        <v>0</v>
      </c>
      <c r="AS140" s="174">
        <f>'2018'!AS140+'2019'!AS140+'2020'!AS140+'2021'!AS140+'2022'!AS123</f>
        <v>0</v>
      </c>
      <c r="AT140" s="174">
        <f>'2018'!AT140+'2019'!AT140+'2020'!AT140+'2021'!AT140+'2022'!AT123</f>
        <v>0</v>
      </c>
      <c r="AU140" s="174">
        <f>'2018'!AU140+'2019'!AU140+'2020'!AU140+'2021'!AU140+'2022'!AU123</f>
        <v>0</v>
      </c>
      <c r="AV140" s="174">
        <f>'2018'!AV140+'2019'!AV140+'2020'!AV140+'2021'!AV140+'2022'!AV123</f>
        <v>2</v>
      </c>
      <c r="AW140" s="174">
        <f t="shared" si="22"/>
        <v>17</v>
      </c>
      <c r="AX140" s="156">
        <f t="shared" si="24"/>
        <v>2037.8273333333332</v>
      </c>
      <c r="AY140" s="14">
        <f>'2018'!AX140+'2019'!AX140+'2020'!AX140+'2021'!AX140+'2022'!AX123</f>
        <v>10189.136666666665</v>
      </c>
      <c r="AZ140" s="14">
        <f t="shared" si="21"/>
        <v>77.272727272727266</v>
      </c>
      <c r="BB140" s="144"/>
    </row>
    <row r="141" spans="1:54" s="142" customFormat="1" x14ac:dyDescent="0.25">
      <c r="A141" s="175" t="s">
        <v>222</v>
      </c>
      <c r="B141" s="176">
        <f>'2018'!B141+'2019'!B141+'2020'!B141+'2021'!B141+'2022'!B97</f>
        <v>19</v>
      </c>
      <c r="C141" s="176">
        <f>'2018'!C141+'2019'!C141+'2020'!C141+'2021'!C141+'2022'!C97</f>
        <v>0</v>
      </c>
      <c r="D141" s="176">
        <f>'2018'!D141+'2019'!D141+'2020'!D141+'2021'!D141+'2022'!D97</f>
        <v>74</v>
      </c>
      <c r="E141" s="176">
        <f>'2018'!E141+'2019'!E141+'2020'!E141+'2021'!E141+'2022'!E97</f>
        <v>0</v>
      </c>
      <c r="F141" s="176">
        <f>'2018'!F141+'2019'!F141+'2020'!F141+'2021'!F141+'2022'!F97</f>
        <v>0</v>
      </c>
      <c r="G141" s="176">
        <f>'2018'!G141+'2019'!G141+'2020'!G141+'2021'!G141+'2022'!G97</f>
        <v>0</v>
      </c>
      <c r="H141" s="176">
        <f>'2018'!H141+'2019'!H141+'2020'!H141+'2021'!H141+'2022'!H97</f>
        <v>29</v>
      </c>
      <c r="I141" s="176">
        <f>'2018'!I141+'2019'!I141+'2020'!I141+'2021'!I141+'2022'!I97</f>
        <v>0</v>
      </c>
      <c r="J141" s="176">
        <f>'2018'!J141+'2019'!J141+'2020'!J141+'2021'!J141+'2022'!J97</f>
        <v>0</v>
      </c>
      <c r="K141" s="176">
        <f>'2018'!K141+'2019'!K141+'2020'!K141+'2021'!K141+'2022'!K97</f>
        <v>4</v>
      </c>
      <c r="L141" s="176">
        <f>'2018'!L141+'2019'!L141+'2020'!L141+'2021'!L141+'2022'!L97</f>
        <v>0</v>
      </c>
      <c r="M141" s="176">
        <f>'2018'!M141+'2019'!M141+'2020'!M141+'2021'!M141+'2022'!M97</f>
        <v>0</v>
      </c>
      <c r="N141" s="176">
        <f>'2018'!N141+'2019'!N141+'2020'!N141+'2021'!N141+'2022'!N97</f>
        <v>26</v>
      </c>
      <c r="O141" s="176">
        <f>'2018'!O141+'2019'!O141+'2020'!O141+'2021'!O141+'2022'!O97</f>
        <v>0</v>
      </c>
      <c r="P141" s="176">
        <f>'2018'!P141+'2019'!P141+'2020'!P141+'2021'!P141+'2022'!P97</f>
        <v>0</v>
      </c>
      <c r="Q141" s="176">
        <f>'2018'!Q141+'2019'!Q141+'2020'!Q141+'2021'!Q141+'2022'!Q97</f>
        <v>0</v>
      </c>
      <c r="R141" s="176">
        <f>'2018'!R141+'2019'!R141+'2020'!R141+'2021'!R141+'2022'!R97</f>
        <v>3</v>
      </c>
      <c r="S141" s="176">
        <f>'2018'!S141+'2019'!S141+'2020'!S141+'2021'!S141+'2022'!S97</f>
        <v>2</v>
      </c>
      <c r="T141" s="176">
        <f>'2018'!T141+'2019'!T141+'2020'!T141+'2021'!T141+'2022'!T97</f>
        <v>0</v>
      </c>
      <c r="U141" s="176">
        <f>'2018'!U141+'2019'!U141+'2020'!U141+'2021'!U141+'2022'!U97</f>
        <v>0</v>
      </c>
      <c r="V141" s="176">
        <f>'2018'!V141+'2019'!V141+'2020'!V141+'2021'!V141+'2022'!V97</f>
        <v>0</v>
      </c>
      <c r="W141" s="176">
        <f>'2018'!W141+'2019'!W141+'2020'!W141+'2021'!W141+'2022'!W97</f>
        <v>0</v>
      </c>
      <c r="X141" s="176">
        <f>'2018'!X141+'2019'!X141+'2020'!X141+'2021'!X141+'2022'!X97</f>
        <v>10</v>
      </c>
      <c r="Y141" s="174">
        <f t="shared" si="23"/>
        <v>74</v>
      </c>
      <c r="Z141" s="174">
        <f>'2018'!Z141+'2019'!Z141+'2020'!Z141+'2021'!Z141+'2022'!Z97</f>
        <v>15</v>
      </c>
      <c r="AA141" s="174">
        <f>'2018'!AA141+'2019'!AA141+'2020'!AA141+'2021'!AA141+'2022'!AA97</f>
        <v>0</v>
      </c>
      <c r="AB141" s="174">
        <f>'2018'!AB141+'2019'!AB141+'2020'!AB141+'2021'!AB141+'2022'!AB97</f>
        <v>55</v>
      </c>
      <c r="AC141" s="174">
        <f>'2018'!AC141+'2019'!AC141+'2020'!AC141+'2021'!AC141+'2022'!AC97</f>
        <v>0</v>
      </c>
      <c r="AD141" s="174">
        <f>'2018'!AD141+'2019'!AD141+'2020'!AD141+'2021'!AD141+'2022'!AD97</f>
        <v>0</v>
      </c>
      <c r="AE141" s="174">
        <f>'2018'!AE141+'2019'!AE141+'2020'!AE141+'2021'!AE141+'2022'!AE97</f>
        <v>0</v>
      </c>
      <c r="AF141" s="174">
        <f>'2018'!AF141+'2019'!AF141+'2020'!AF141+'2021'!AF141+'2022'!AF97</f>
        <v>24</v>
      </c>
      <c r="AG141" s="174">
        <f>'2018'!AG141+'2019'!AG141+'2020'!AG141+'2021'!AG141+'2022'!AG97</f>
        <v>0</v>
      </c>
      <c r="AH141" s="174">
        <f>'2018'!AH141+'2019'!AH141+'2020'!AH141+'2021'!AH141+'2022'!AH97</f>
        <v>0</v>
      </c>
      <c r="AI141" s="174">
        <f>'2018'!AI141+'2019'!AI141+'2020'!AI141+'2021'!AI141+'2022'!AI97</f>
        <v>0</v>
      </c>
      <c r="AJ141" s="174">
        <f>'2018'!AJ141+'2019'!AJ141+'2020'!AJ141+'2021'!AJ141+'2022'!AJ97</f>
        <v>0</v>
      </c>
      <c r="AK141" s="174">
        <f>'2018'!AK141+'2019'!AK141+'2020'!AK141+'2021'!AK141+'2022'!AK97</f>
        <v>0</v>
      </c>
      <c r="AL141" s="174">
        <f>'2018'!AL141+'2019'!AL141+'2020'!AL141+'2021'!AL141+'2022'!AL97</f>
        <v>22</v>
      </c>
      <c r="AM141" s="174">
        <f>'2018'!AM141+'2019'!AM141+'2020'!AM141+'2021'!AM141+'2022'!AM97</f>
        <v>0</v>
      </c>
      <c r="AN141" s="174">
        <f>'2018'!AN141+'2019'!AN141+'2020'!AN141+'2021'!AN141+'2022'!AN97</f>
        <v>0</v>
      </c>
      <c r="AO141" s="174">
        <f>'2018'!AO141+'2019'!AO141+'2020'!AO141+'2021'!AO141+'2022'!AO97</f>
        <v>0</v>
      </c>
      <c r="AP141" s="174">
        <f>'2018'!AP141+'2019'!AP141+'2020'!AP141+'2021'!AP141+'2022'!AP97</f>
        <v>3</v>
      </c>
      <c r="AQ141" s="174">
        <f>'2018'!AQ141+'2019'!AQ141+'2020'!AQ141+'2021'!AQ141+'2022'!AQ97</f>
        <v>0</v>
      </c>
      <c r="AR141" s="174">
        <f>'2018'!AR141+'2019'!AR141+'2020'!AR141+'2021'!AR141+'2022'!AR97</f>
        <v>0</v>
      </c>
      <c r="AS141" s="174">
        <f>'2018'!AS141+'2019'!AS141+'2020'!AS141+'2021'!AS141+'2022'!AS97</f>
        <v>0</v>
      </c>
      <c r="AT141" s="174">
        <f>'2018'!AT141+'2019'!AT141+'2020'!AT141+'2021'!AT141+'2022'!AT97</f>
        <v>0</v>
      </c>
      <c r="AU141" s="174">
        <f>'2018'!AU141+'2019'!AU141+'2020'!AU141+'2021'!AU141+'2022'!AU97</f>
        <v>0</v>
      </c>
      <c r="AV141" s="174">
        <f>'2018'!AV141+'2019'!AV141+'2020'!AV141+'2021'!AV141+'2022'!AV97</f>
        <v>6</v>
      </c>
      <c r="AW141" s="174">
        <f t="shared" si="22"/>
        <v>55</v>
      </c>
      <c r="AX141" s="156">
        <f t="shared" si="24"/>
        <v>2328.6033333333335</v>
      </c>
      <c r="AY141" s="14">
        <f>'2018'!AX141+'2019'!AX141+'2020'!AX141+'2021'!AX141+'2022'!AX97</f>
        <v>11643.016666666666</v>
      </c>
      <c r="AZ141" s="14">
        <f t="shared" si="21"/>
        <v>74.324324324324323</v>
      </c>
      <c r="BB141" s="144"/>
    </row>
    <row r="142" spans="1:54" s="142" customFormat="1" x14ac:dyDescent="0.25">
      <c r="A142" s="175" t="s">
        <v>223</v>
      </c>
      <c r="B142" s="176">
        <f>'2018'!B142+'2019'!B142+'2020'!B142+'2021'!B142+'2022'!B124</f>
        <v>9</v>
      </c>
      <c r="C142" s="176">
        <f>'2018'!C142+'2019'!C142+'2020'!C142+'2021'!C142+'2022'!C124</f>
        <v>1</v>
      </c>
      <c r="D142" s="176">
        <f>'2018'!D142+'2019'!D142+'2020'!D142+'2021'!D142+'2022'!D124</f>
        <v>48</v>
      </c>
      <c r="E142" s="176">
        <f>'2018'!E142+'2019'!E142+'2020'!E142+'2021'!E142+'2022'!E124</f>
        <v>2</v>
      </c>
      <c r="F142" s="176">
        <f>'2018'!F142+'2019'!F142+'2020'!F142+'2021'!F142+'2022'!F124</f>
        <v>0</v>
      </c>
      <c r="G142" s="176">
        <f>'2018'!G142+'2019'!G142+'2020'!G142+'2021'!G142+'2022'!G124</f>
        <v>0</v>
      </c>
      <c r="H142" s="176">
        <f>'2018'!H142+'2019'!H142+'2020'!H142+'2021'!H142+'2022'!H124</f>
        <v>38</v>
      </c>
      <c r="I142" s="176">
        <f>'2018'!I142+'2019'!I142+'2020'!I142+'2021'!I142+'2022'!I124</f>
        <v>0</v>
      </c>
      <c r="J142" s="176">
        <f>'2018'!J142+'2019'!J142+'2020'!J142+'2021'!J142+'2022'!J124</f>
        <v>2</v>
      </c>
      <c r="K142" s="176">
        <f>'2018'!K142+'2019'!K142+'2020'!K142+'2021'!K142+'2022'!K124</f>
        <v>0</v>
      </c>
      <c r="L142" s="176">
        <f>'2018'!L142+'2019'!L142+'2020'!L142+'2021'!L142+'2022'!L124</f>
        <v>0</v>
      </c>
      <c r="M142" s="176">
        <f>'2018'!M142+'2019'!M142+'2020'!M142+'2021'!M142+'2022'!M124</f>
        <v>0</v>
      </c>
      <c r="N142" s="176">
        <f>'2018'!N142+'2019'!N142+'2020'!N142+'2021'!N142+'2022'!N124</f>
        <v>0</v>
      </c>
      <c r="O142" s="176">
        <f>'2018'!O142+'2019'!O142+'2020'!O142+'2021'!O142+'2022'!O124</f>
        <v>0</v>
      </c>
      <c r="P142" s="176">
        <f>'2018'!P142+'2019'!P142+'2020'!P142+'2021'!P142+'2022'!P124</f>
        <v>0</v>
      </c>
      <c r="Q142" s="176">
        <f>'2018'!Q142+'2019'!Q142+'2020'!Q142+'2021'!Q142+'2022'!Q124</f>
        <v>0</v>
      </c>
      <c r="R142" s="176">
        <f>'2018'!R142+'2019'!R142+'2020'!R142+'2021'!R142+'2022'!R124</f>
        <v>0</v>
      </c>
      <c r="S142" s="176">
        <f>'2018'!S142+'2019'!S142+'2020'!S142+'2021'!S142+'2022'!S124</f>
        <v>8</v>
      </c>
      <c r="T142" s="176">
        <f>'2018'!T142+'2019'!T142+'2020'!T142+'2021'!T142+'2022'!T124</f>
        <v>0</v>
      </c>
      <c r="U142" s="176">
        <f>'2018'!U142+'2019'!U142+'2020'!U142+'2021'!U142+'2022'!U124</f>
        <v>0</v>
      </c>
      <c r="V142" s="176">
        <f>'2018'!V142+'2019'!V142+'2020'!V142+'2021'!V142+'2022'!V124</f>
        <v>0</v>
      </c>
      <c r="W142" s="176">
        <f>'2018'!W142+'2019'!W142+'2020'!W142+'2021'!W142+'2022'!W124</f>
        <v>0</v>
      </c>
      <c r="X142" s="176">
        <f>'2018'!X142+'2019'!X142+'2020'!X142+'2021'!X142+'2022'!X124</f>
        <v>0</v>
      </c>
      <c r="Y142" s="174">
        <f t="shared" si="23"/>
        <v>48</v>
      </c>
      <c r="Z142" s="174">
        <f>'2018'!Z142+'2019'!Z142+'2020'!Z142+'2021'!Z142+'2022'!Z124</f>
        <v>8</v>
      </c>
      <c r="AA142" s="174">
        <f>'2018'!AA142+'2019'!AA142+'2020'!AA142+'2021'!AA142+'2022'!AA124</f>
        <v>1</v>
      </c>
      <c r="AB142" s="174">
        <f>'2018'!AB142+'2019'!AB142+'2020'!AB142+'2021'!AB142+'2022'!AB124</f>
        <v>48</v>
      </c>
      <c r="AC142" s="174">
        <f>'2018'!AC142+'2019'!AC142+'2020'!AC142+'2021'!AC142+'2022'!AC124</f>
        <v>2</v>
      </c>
      <c r="AD142" s="174">
        <f>'2018'!AD142+'2019'!AD142+'2020'!AD142+'2021'!AD142+'2022'!AD124</f>
        <v>0</v>
      </c>
      <c r="AE142" s="174">
        <f>'2018'!AE142+'2019'!AE142+'2020'!AE142+'2021'!AE142+'2022'!AE124</f>
        <v>0</v>
      </c>
      <c r="AF142" s="174">
        <f>'2018'!AF142+'2019'!AF142+'2020'!AF142+'2021'!AF142+'2022'!AF124</f>
        <v>38</v>
      </c>
      <c r="AG142" s="174">
        <f>'2018'!AG142+'2019'!AG142+'2020'!AG142+'2021'!AG142+'2022'!AG124</f>
        <v>0</v>
      </c>
      <c r="AH142" s="174">
        <f>'2018'!AH142+'2019'!AH142+'2020'!AH142+'2021'!AH142+'2022'!AH124</f>
        <v>2</v>
      </c>
      <c r="AI142" s="174">
        <f>'2018'!AI142+'2019'!AI142+'2020'!AI142+'2021'!AI142+'2022'!AI124</f>
        <v>0</v>
      </c>
      <c r="AJ142" s="174">
        <f>'2018'!AJ142+'2019'!AJ142+'2020'!AJ142+'2021'!AJ142+'2022'!AJ124</f>
        <v>0</v>
      </c>
      <c r="AK142" s="174">
        <f>'2018'!AK142+'2019'!AK142+'2020'!AK142+'2021'!AK142+'2022'!AK124</f>
        <v>0</v>
      </c>
      <c r="AL142" s="174">
        <f>'2018'!AL142+'2019'!AL142+'2020'!AL142+'2021'!AL142+'2022'!AL124</f>
        <v>0</v>
      </c>
      <c r="AM142" s="174">
        <f>'2018'!AM142+'2019'!AM142+'2020'!AM142+'2021'!AM142+'2022'!AM124</f>
        <v>0</v>
      </c>
      <c r="AN142" s="174">
        <f>'2018'!AN142+'2019'!AN142+'2020'!AN142+'2021'!AN142+'2022'!AN124</f>
        <v>0</v>
      </c>
      <c r="AO142" s="174">
        <f>'2018'!AO142+'2019'!AO142+'2020'!AO142+'2021'!AO142+'2022'!AO124</f>
        <v>0</v>
      </c>
      <c r="AP142" s="174">
        <f>'2018'!AP142+'2019'!AP142+'2020'!AP142+'2021'!AP142+'2022'!AP124</f>
        <v>0</v>
      </c>
      <c r="AQ142" s="174">
        <f>'2018'!AQ142+'2019'!AQ142+'2020'!AQ142+'2021'!AQ142+'2022'!AQ124</f>
        <v>8</v>
      </c>
      <c r="AR142" s="174">
        <f>'2018'!AR142+'2019'!AR142+'2020'!AR142+'2021'!AR142+'2022'!AR124</f>
        <v>0</v>
      </c>
      <c r="AS142" s="174">
        <f>'2018'!AS142+'2019'!AS142+'2020'!AS142+'2021'!AS142+'2022'!AS124</f>
        <v>0</v>
      </c>
      <c r="AT142" s="174">
        <f>'2018'!AT142+'2019'!AT142+'2020'!AT142+'2021'!AT142+'2022'!AT124</f>
        <v>0</v>
      </c>
      <c r="AU142" s="174">
        <f>'2018'!AU142+'2019'!AU142+'2020'!AU142+'2021'!AU142+'2022'!AU124</f>
        <v>0</v>
      </c>
      <c r="AV142" s="174">
        <f>'2018'!AV142+'2019'!AV142+'2020'!AV142+'2021'!AV142+'2022'!AV124</f>
        <v>0</v>
      </c>
      <c r="AW142" s="174">
        <f t="shared" si="22"/>
        <v>48</v>
      </c>
      <c r="AX142" s="156">
        <f t="shared" si="24"/>
        <v>840.26599999999996</v>
      </c>
      <c r="AY142" s="14">
        <f>'2018'!AX142+'2019'!AX142+'2020'!AX142+'2021'!AX142+'2022'!AX124</f>
        <v>4201.33</v>
      </c>
      <c r="AZ142" s="14">
        <f t="shared" si="21"/>
        <v>100</v>
      </c>
      <c r="BB142" s="144"/>
    </row>
    <row r="143" spans="1:54" s="142" customFormat="1" x14ac:dyDescent="0.25">
      <c r="A143" s="175" t="s">
        <v>224</v>
      </c>
      <c r="B143" s="176">
        <f>'2018'!B143+'2019'!B143+'2020'!B143+'2021'!B143+'2022'!B125</f>
        <v>5</v>
      </c>
      <c r="C143" s="176">
        <f>'2018'!C143+'2019'!C143+'2020'!C143+'2021'!C143+'2022'!C125</f>
        <v>1</v>
      </c>
      <c r="D143" s="176">
        <f>'2018'!D143+'2019'!D143+'2020'!D143+'2021'!D143+'2022'!D125</f>
        <v>22</v>
      </c>
      <c r="E143" s="176">
        <f>'2018'!E143+'2019'!E143+'2020'!E143+'2021'!E143+'2022'!E125</f>
        <v>1</v>
      </c>
      <c r="F143" s="176">
        <f>'2018'!F143+'2019'!F143+'2020'!F143+'2021'!F143+'2022'!F125</f>
        <v>2</v>
      </c>
      <c r="G143" s="176">
        <f>'2018'!G143+'2019'!G143+'2020'!G143+'2021'!G143+'2022'!G125</f>
        <v>0</v>
      </c>
      <c r="H143" s="176">
        <f>'2018'!H143+'2019'!H143+'2020'!H143+'2021'!H143+'2022'!H125</f>
        <v>0</v>
      </c>
      <c r="I143" s="176">
        <f>'2018'!I143+'2019'!I143+'2020'!I143+'2021'!I143+'2022'!I125</f>
        <v>0</v>
      </c>
      <c r="J143" s="176">
        <f>'2018'!J143+'2019'!J143+'2020'!J143+'2021'!J143+'2022'!J125</f>
        <v>2</v>
      </c>
      <c r="K143" s="176">
        <f>'2018'!K143+'2019'!K143+'2020'!K143+'2021'!K143+'2022'!K125</f>
        <v>0</v>
      </c>
      <c r="L143" s="176">
        <f>'2018'!L143+'2019'!L143+'2020'!L143+'2021'!L143+'2022'!L125</f>
        <v>0</v>
      </c>
      <c r="M143" s="176">
        <f>'2018'!M143+'2019'!M143+'2020'!M143+'2021'!M143+'2022'!M125</f>
        <v>0</v>
      </c>
      <c r="N143" s="176">
        <f>'2018'!N143+'2019'!N143+'2020'!N143+'2021'!N143+'2022'!N125</f>
        <v>0</v>
      </c>
      <c r="O143" s="176">
        <f>'2018'!O143+'2019'!O143+'2020'!O143+'2021'!O143+'2022'!O125</f>
        <v>0</v>
      </c>
      <c r="P143" s="176">
        <f>'2018'!P143+'2019'!P143+'2020'!P143+'2021'!P143+'2022'!P125</f>
        <v>0</v>
      </c>
      <c r="Q143" s="176">
        <f>'2018'!Q143+'2019'!Q143+'2020'!Q143+'2021'!Q143+'2022'!Q125</f>
        <v>0</v>
      </c>
      <c r="R143" s="176">
        <f>'2018'!R143+'2019'!R143+'2020'!R143+'2021'!R143+'2022'!R125</f>
        <v>0</v>
      </c>
      <c r="S143" s="176">
        <f>'2018'!S143+'2019'!S143+'2020'!S143+'2021'!S143+'2022'!S125</f>
        <v>3</v>
      </c>
      <c r="T143" s="176">
        <f>'2018'!T143+'2019'!T143+'2020'!T143+'2021'!T143+'2022'!T125</f>
        <v>0</v>
      </c>
      <c r="U143" s="176">
        <f>'2018'!U143+'2019'!U143+'2020'!U143+'2021'!U143+'2022'!U125</f>
        <v>0</v>
      </c>
      <c r="V143" s="176">
        <f>'2018'!V143+'2019'!V143+'2020'!V143+'2021'!V143+'2022'!V125</f>
        <v>1</v>
      </c>
      <c r="W143" s="176">
        <f>'2018'!W143+'2019'!W143+'2020'!W143+'2021'!W143+'2022'!W125</f>
        <v>0</v>
      </c>
      <c r="X143" s="176">
        <f>'2018'!X143+'2019'!X143+'2020'!X143+'2021'!X143+'2022'!X125</f>
        <v>14</v>
      </c>
      <c r="Y143" s="174">
        <f t="shared" si="23"/>
        <v>22</v>
      </c>
      <c r="Z143" s="174">
        <f>'2018'!Z143+'2019'!Z143+'2020'!Z143+'2021'!Z143+'2022'!Z125</f>
        <v>3</v>
      </c>
      <c r="AA143" s="174">
        <f>'2018'!AA143+'2019'!AA143+'2020'!AA143+'2021'!AA143+'2022'!AA125</f>
        <v>1</v>
      </c>
      <c r="AB143" s="174">
        <f>'2018'!AB143+'2019'!AB143+'2020'!AB143+'2021'!AB143+'2022'!AB125</f>
        <v>6</v>
      </c>
      <c r="AC143" s="174">
        <f>'2018'!AC143+'2019'!AC143+'2020'!AC143+'2021'!AC143+'2022'!AC125</f>
        <v>1</v>
      </c>
      <c r="AD143" s="174">
        <f>'2018'!AD143+'2019'!AD143+'2020'!AD143+'2021'!AD143+'2022'!AD125</f>
        <v>0</v>
      </c>
      <c r="AE143" s="174">
        <f>'2018'!AE143+'2019'!AE143+'2020'!AE143+'2021'!AE143+'2022'!AE125</f>
        <v>0</v>
      </c>
      <c r="AF143" s="174">
        <f>'2018'!AF143+'2019'!AF143+'2020'!AF143+'2021'!AF143+'2022'!AF125</f>
        <v>0</v>
      </c>
      <c r="AG143" s="174">
        <f>'2018'!AG143+'2019'!AG143+'2020'!AG143+'2021'!AG143+'2022'!AG125</f>
        <v>0</v>
      </c>
      <c r="AH143" s="174">
        <f>'2018'!AH143+'2019'!AH143+'2020'!AH143+'2021'!AH143+'2022'!AH125</f>
        <v>2</v>
      </c>
      <c r="AI143" s="174">
        <f>'2018'!AI143+'2019'!AI143+'2020'!AI143+'2021'!AI143+'2022'!AI125</f>
        <v>0</v>
      </c>
      <c r="AJ143" s="174">
        <f>'2018'!AJ143+'2019'!AJ143+'2020'!AJ143+'2021'!AJ143+'2022'!AJ125</f>
        <v>0</v>
      </c>
      <c r="AK143" s="174">
        <f>'2018'!AK143+'2019'!AK143+'2020'!AK143+'2021'!AK143+'2022'!AK125</f>
        <v>0</v>
      </c>
      <c r="AL143" s="174">
        <f>'2018'!AL143+'2019'!AL143+'2020'!AL143+'2021'!AL143+'2022'!AL125</f>
        <v>0</v>
      </c>
      <c r="AM143" s="174">
        <f>'2018'!AM143+'2019'!AM143+'2020'!AM143+'2021'!AM143+'2022'!AM125</f>
        <v>0</v>
      </c>
      <c r="AN143" s="174">
        <f>'2018'!AN143+'2019'!AN143+'2020'!AN143+'2021'!AN143+'2022'!AN125</f>
        <v>0</v>
      </c>
      <c r="AO143" s="174">
        <f>'2018'!AO143+'2019'!AO143+'2020'!AO143+'2021'!AO143+'2022'!AO125</f>
        <v>0</v>
      </c>
      <c r="AP143" s="174">
        <f>'2018'!AP143+'2019'!AP143+'2020'!AP143+'2021'!AP143+'2022'!AP125</f>
        <v>0</v>
      </c>
      <c r="AQ143" s="174">
        <f>'2018'!AQ143+'2019'!AQ143+'2020'!AQ143+'2021'!AQ143+'2022'!AQ125</f>
        <v>3</v>
      </c>
      <c r="AR143" s="174">
        <f>'2018'!AR143+'2019'!AR143+'2020'!AR143+'2021'!AR143+'2022'!AR125</f>
        <v>0</v>
      </c>
      <c r="AS143" s="174">
        <f>'2018'!AS143+'2019'!AS143+'2020'!AS143+'2021'!AS143+'2022'!AS125</f>
        <v>0</v>
      </c>
      <c r="AT143" s="174">
        <f>'2018'!AT143+'2019'!AT143+'2020'!AT143+'2021'!AT143+'2022'!AT125</f>
        <v>1</v>
      </c>
      <c r="AU143" s="174">
        <f>'2018'!AU143+'2019'!AU143+'2020'!AU143+'2021'!AU143+'2022'!AU125</f>
        <v>0</v>
      </c>
      <c r="AV143" s="174">
        <f>'2018'!AV143+'2019'!AV143+'2020'!AV143+'2021'!AV143+'2022'!AV125</f>
        <v>0</v>
      </c>
      <c r="AW143" s="174">
        <f t="shared" si="22"/>
        <v>6</v>
      </c>
      <c r="AX143" s="156">
        <f t="shared" si="24"/>
        <v>560</v>
      </c>
      <c r="AY143" s="14">
        <f>'2018'!AX143+'2019'!AX143+'2020'!AX143+'2021'!AX143+'2022'!AX125</f>
        <v>2800</v>
      </c>
      <c r="AZ143" s="14">
        <f t="shared" si="21"/>
        <v>27.272727272727273</v>
      </c>
      <c r="BB143" s="144"/>
    </row>
    <row r="144" spans="1:54" s="142" customFormat="1" x14ac:dyDescent="0.25">
      <c r="A144" s="175" t="s">
        <v>225</v>
      </c>
      <c r="B144" s="176">
        <f>'2018'!B144+'2019'!B144+'2020'!B144+'2021'!B144+'2022'!B126</f>
        <v>0</v>
      </c>
      <c r="C144" s="176">
        <f>'2018'!C144+'2019'!C144+'2020'!C144+'2021'!C144+'2022'!C126</f>
        <v>0</v>
      </c>
      <c r="D144" s="176">
        <f>'2018'!D144+'2019'!D144+'2020'!D144+'2021'!D144+'2022'!D126</f>
        <v>0</v>
      </c>
      <c r="E144" s="176">
        <f>'2018'!E144+'2019'!E144+'2020'!E144+'2021'!E144+'2022'!E126</f>
        <v>0</v>
      </c>
      <c r="F144" s="176">
        <f>'2018'!F144+'2019'!F144+'2020'!F144+'2021'!F144+'2022'!F126</f>
        <v>0</v>
      </c>
      <c r="G144" s="176">
        <f>'2018'!G144+'2019'!G144+'2020'!G144+'2021'!G144+'2022'!G126</f>
        <v>0</v>
      </c>
      <c r="H144" s="176">
        <f>'2018'!H144+'2019'!H144+'2020'!H144+'2021'!H144+'2022'!H126</f>
        <v>0</v>
      </c>
      <c r="I144" s="176">
        <f>'2018'!I144+'2019'!I144+'2020'!I144+'2021'!I144+'2022'!I126</f>
        <v>0</v>
      </c>
      <c r="J144" s="176">
        <f>'2018'!J144+'2019'!J144+'2020'!J144+'2021'!J144+'2022'!J126</f>
        <v>0</v>
      </c>
      <c r="K144" s="176">
        <f>'2018'!K144+'2019'!K144+'2020'!K144+'2021'!K144+'2022'!K126</f>
        <v>0</v>
      </c>
      <c r="L144" s="176">
        <f>'2018'!L144+'2019'!L144+'2020'!L144+'2021'!L144+'2022'!L126</f>
        <v>0</v>
      </c>
      <c r="M144" s="176">
        <f>'2018'!M144+'2019'!M144+'2020'!M144+'2021'!M144+'2022'!M126</f>
        <v>0</v>
      </c>
      <c r="N144" s="176">
        <f>'2018'!N144+'2019'!N144+'2020'!N144+'2021'!N144+'2022'!N126</f>
        <v>0</v>
      </c>
      <c r="O144" s="176">
        <f>'2018'!O144+'2019'!O144+'2020'!O144+'2021'!O144+'2022'!O126</f>
        <v>0</v>
      </c>
      <c r="P144" s="176">
        <f>'2018'!P144+'2019'!P144+'2020'!P144+'2021'!P144+'2022'!P126</f>
        <v>0</v>
      </c>
      <c r="Q144" s="176">
        <f>'2018'!Q144+'2019'!Q144+'2020'!Q144+'2021'!Q144+'2022'!Q126</f>
        <v>0</v>
      </c>
      <c r="R144" s="176">
        <f>'2018'!R144+'2019'!R144+'2020'!R144+'2021'!R144+'2022'!R126</f>
        <v>0</v>
      </c>
      <c r="S144" s="176">
        <f>'2018'!S144+'2019'!S144+'2020'!S144+'2021'!S144+'2022'!S126</f>
        <v>0</v>
      </c>
      <c r="T144" s="176">
        <f>'2018'!T144+'2019'!T144+'2020'!T144+'2021'!T144+'2022'!T126</f>
        <v>0</v>
      </c>
      <c r="U144" s="176">
        <f>'2018'!U144+'2019'!U144+'2020'!U144+'2021'!U144+'2022'!U126</f>
        <v>0</v>
      </c>
      <c r="V144" s="176">
        <f>'2018'!V144+'2019'!V144+'2020'!V144+'2021'!V144+'2022'!V126</f>
        <v>0</v>
      </c>
      <c r="W144" s="176">
        <f>'2018'!W144+'2019'!W144+'2020'!W144+'2021'!W144+'2022'!W126</f>
        <v>0</v>
      </c>
      <c r="X144" s="176">
        <f>'2018'!X144+'2019'!X144+'2020'!X144+'2021'!X144+'2022'!X126</f>
        <v>0</v>
      </c>
      <c r="Y144" s="174">
        <f t="shared" si="23"/>
        <v>0</v>
      </c>
      <c r="Z144" s="174">
        <f>'2018'!Z144+'2019'!Z144+'2020'!Z144+'2021'!Z144+'2022'!Z126</f>
        <v>0</v>
      </c>
      <c r="AA144" s="174">
        <f>'2018'!AA144+'2019'!AA144+'2020'!AA144+'2021'!AA144+'2022'!AA126</f>
        <v>0</v>
      </c>
      <c r="AB144" s="174">
        <f>'2018'!AB144+'2019'!AB144+'2020'!AB144+'2021'!AB144+'2022'!AB126</f>
        <v>0</v>
      </c>
      <c r="AC144" s="174">
        <f>'2018'!AC144+'2019'!AC144+'2020'!AC144+'2021'!AC144+'2022'!AC126</f>
        <v>0</v>
      </c>
      <c r="AD144" s="174">
        <f>'2018'!AD144+'2019'!AD144+'2020'!AD144+'2021'!AD144+'2022'!AD126</f>
        <v>0</v>
      </c>
      <c r="AE144" s="174">
        <f>'2018'!AE144+'2019'!AE144+'2020'!AE144+'2021'!AE144+'2022'!AE126</f>
        <v>0</v>
      </c>
      <c r="AF144" s="174">
        <f>'2018'!AF144+'2019'!AF144+'2020'!AF144+'2021'!AF144+'2022'!AF126</f>
        <v>0</v>
      </c>
      <c r="AG144" s="174">
        <f>'2018'!AG144+'2019'!AG144+'2020'!AG144+'2021'!AG144+'2022'!AG126</f>
        <v>0</v>
      </c>
      <c r="AH144" s="174">
        <f>'2018'!AH144+'2019'!AH144+'2020'!AH144+'2021'!AH144+'2022'!AH126</f>
        <v>0</v>
      </c>
      <c r="AI144" s="174">
        <f>'2018'!AI144+'2019'!AI144+'2020'!AI144+'2021'!AI144+'2022'!AI126</f>
        <v>0</v>
      </c>
      <c r="AJ144" s="174">
        <f>'2018'!AJ144+'2019'!AJ144+'2020'!AJ144+'2021'!AJ144+'2022'!AJ126</f>
        <v>0</v>
      </c>
      <c r="AK144" s="174">
        <f>'2018'!AK144+'2019'!AK144+'2020'!AK144+'2021'!AK144+'2022'!AK126</f>
        <v>0</v>
      </c>
      <c r="AL144" s="174">
        <f>'2018'!AL144+'2019'!AL144+'2020'!AL144+'2021'!AL144+'2022'!AL126</f>
        <v>0</v>
      </c>
      <c r="AM144" s="174">
        <f>'2018'!AM144+'2019'!AM144+'2020'!AM144+'2021'!AM144+'2022'!AM126</f>
        <v>0</v>
      </c>
      <c r="AN144" s="174">
        <f>'2018'!AN144+'2019'!AN144+'2020'!AN144+'2021'!AN144+'2022'!AN126</f>
        <v>0</v>
      </c>
      <c r="AO144" s="174">
        <f>'2018'!AO144+'2019'!AO144+'2020'!AO144+'2021'!AO144+'2022'!AO126</f>
        <v>0</v>
      </c>
      <c r="AP144" s="174">
        <f>'2018'!AP144+'2019'!AP144+'2020'!AP144+'2021'!AP144+'2022'!AP126</f>
        <v>0</v>
      </c>
      <c r="AQ144" s="174">
        <f>'2018'!AQ144+'2019'!AQ144+'2020'!AQ144+'2021'!AQ144+'2022'!AQ126</f>
        <v>0</v>
      </c>
      <c r="AR144" s="174">
        <f>'2018'!AR144+'2019'!AR144+'2020'!AR144+'2021'!AR144+'2022'!AR126</f>
        <v>0</v>
      </c>
      <c r="AS144" s="174">
        <f>'2018'!AS144+'2019'!AS144+'2020'!AS144+'2021'!AS144+'2022'!AS126</f>
        <v>0</v>
      </c>
      <c r="AT144" s="174">
        <f>'2018'!AT144+'2019'!AT144+'2020'!AT144+'2021'!AT144+'2022'!AT126</f>
        <v>0</v>
      </c>
      <c r="AU144" s="174">
        <f>'2018'!AU144+'2019'!AU144+'2020'!AU144+'2021'!AU144+'2022'!AU126</f>
        <v>0</v>
      </c>
      <c r="AV144" s="174">
        <f>'2018'!AV144+'2019'!AV144+'2020'!AV144+'2021'!AV144+'2022'!AV126</f>
        <v>0</v>
      </c>
      <c r="AW144" s="174"/>
      <c r="AX144" s="156"/>
      <c r="AY144" s="110"/>
      <c r="AZ144" s="110"/>
    </row>
    <row r="145" spans="1:55" x14ac:dyDescent="0.25">
      <c r="A145" s="175" t="s">
        <v>226</v>
      </c>
      <c r="B145" s="176">
        <f>'2018'!B145+'2019'!B145+'2020'!B145+'2021'!B145+'2022'!B127</f>
        <v>3</v>
      </c>
      <c r="C145" s="176">
        <f>'2018'!C145+'2019'!C145+'2020'!C145+'2021'!C145+'2022'!C127</f>
        <v>0</v>
      </c>
      <c r="D145" s="176">
        <f>'2018'!D145+'2019'!D145+'2020'!D145+'2021'!D145+'2022'!D127</f>
        <v>18</v>
      </c>
      <c r="E145" s="176">
        <f>'2018'!E145+'2019'!E145+'2020'!E145+'2021'!E145+'2022'!E127</f>
        <v>0</v>
      </c>
      <c r="F145" s="176">
        <f>'2018'!F145+'2019'!F145+'2020'!F145+'2021'!F145+'2022'!F127</f>
        <v>0</v>
      </c>
      <c r="G145" s="176">
        <f>'2018'!G145+'2019'!G145+'2020'!G145+'2021'!G145+'2022'!G127</f>
        <v>0</v>
      </c>
      <c r="H145" s="176">
        <f>'2018'!H145+'2019'!H145+'2020'!H145+'2021'!H145+'2022'!H127</f>
        <v>0</v>
      </c>
      <c r="I145" s="176">
        <f>'2018'!I145+'2019'!I145+'2020'!I145+'2021'!I145+'2022'!I127</f>
        <v>0</v>
      </c>
      <c r="J145" s="176">
        <f>'2018'!J145+'2019'!J145+'2020'!J145+'2021'!J145+'2022'!J127</f>
        <v>0</v>
      </c>
      <c r="K145" s="176">
        <f>'2018'!K145+'2019'!K145+'2020'!K145+'2021'!K145+'2022'!K127</f>
        <v>0</v>
      </c>
      <c r="L145" s="176">
        <f>'2018'!L145+'2019'!L145+'2020'!L145+'2021'!L145+'2022'!L127</f>
        <v>0</v>
      </c>
      <c r="M145" s="176">
        <f>'2018'!M145+'2019'!M145+'2020'!M145+'2021'!M145+'2022'!M127</f>
        <v>0</v>
      </c>
      <c r="N145" s="176">
        <f>'2018'!N145+'2019'!N145+'2020'!N145+'2021'!N145+'2022'!N127</f>
        <v>0</v>
      </c>
      <c r="O145" s="176">
        <f>'2018'!O145+'2019'!O145+'2020'!O145+'2021'!O145+'2022'!O127</f>
        <v>0</v>
      </c>
      <c r="P145" s="176">
        <f>'2018'!P145+'2019'!P145+'2020'!P145+'2021'!P145+'2022'!P127</f>
        <v>0</v>
      </c>
      <c r="Q145" s="176">
        <f>'2018'!Q145+'2019'!Q145+'2020'!Q145+'2021'!Q145+'2022'!Q127</f>
        <v>18</v>
      </c>
      <c r="R145" s="176">
        <f>'2018'!R145+'2019'!R145+'2020'!R145+'2021'!R145+'2022'!R127</f>
        <v>0</v>
      </c>
      <c r="S145" s="176">
        <f>'2018'!S145+'2019'!S145+'2020'!S145+'2021'!S145+'2022'!S127</f>
        <v>0</v>
      </c>
      <c r="T145" s="176">
        <f>'2018'!T145+'2019'!T145+'2020'!T145+'2021'!T145+'2022'!T127</f>
        <v>0</v>
      </c>
      <c r="U145" s="176">
        <f>'2018'!U145+'2019'!U145+'2020'!U145+'2021'!U145+'2022'!U127</f>
        <v>0</v>
      </c>
      <c r="V145" s="176">
        <f>'2018'!V145+'2019'!V145+'2020'!V145+'2021'!V145+'2022'!V127</f>
        <v>0</v>
      </c>
      <c r="W145" s="176">
        <f>'2018'!W145+'2019'!W145+'2020'!W145+'2021'!W145+'2022'!W127</f>
        <v>0</v>
      </c>
      <c r="X145" s="176">
        <f>'2018'!X145+'2019'!X145+'2020'!X145+'2021'!X145+'2022'!X127</f>
        <v>0</v>
      </c>
      <c r="Y145" s="174">
        <f t="shared" si="23"/>
        <v>18</v>
      </c>
      <c r="Z145" s="174">
        <f>'2018'!Z145+'2019'!Z145+'2020'!Z145+'2021'!Z145+'2022'!Z127</f>
        <v>0</v>
      </c>
      <c r="AA145" s="174">
        <f>'2018'!AA145+'2019'!AA145+'2020'!AA145+'2021'!AA145+'2022'!AA127</f>
        <v>0</v>
      </c>
      <c r="AB145" s="174">
        <f>'2018'!AB145+'2019'!AB145+'2020'!AB145+'2021'!AB145+'2022'!AB127</f>
        <v>0</v>
      </c>
      <c r="AC145" s="174">
        <f>'2018'!AC145+'2019'!AC145+'2020'!AC145+'2021'!AC145+'2022'!AC127</f>
        <v>0</v>
      </c>
      <c r="AD145" s="174">
        <f>'2018'!AD145+'2019'!AD145+'2020'!AD145+'2021'!AD145+'2022'!AD127</f>
        <v>0</v>
      </c>
      <c r="AE145" s="174">
        <f>'2018'!AE145+'2019'!AE145+'2020'!AE145+'2021'!AE145+'2022'!AE127</f>
        <v>0</v>
      </c>
      <c r="AF145" s="174">
        <f>'2018'!AF145+'2019'!AF145+'2020'!AF145+'2021'!AF145+'2022'!AF127</f>
        <v>0</v>
      </c>
      <c r="AG145" s="174">
        <f>'2018'!AG145+'2019'!AG145+'2020'!AG145+'2021'!AG145+'2022'!AG127</f>
        <v>0</v>
      </c>
      <c r="AH145" s="174">
        <f>'2018'!AH145+'2019'!AH145+'2020'!AH145+'2021'!AH145+'2022'!AH127</f>
        <v>0</v>
      </c>
      <c r="AI145" s="174">
        <f>'2018'!AI145+'2019'!AI145+'2020'!AI145+'2021'!AI145+'2022'!AI127</f>
        <v>0</v>
      </c>
      <c r="AJ145" s="174">
        <f>'2018'!AJ145+'2019'!AJ145+'2020'!AJ145+'2021'!AJ145+'2022'!AJ127</f>
        <v>0</v>
      </c>
      <c r="AK145" s="174">
        <f>'2018'!AK145+'2019'!AK145+'2020'!AK145+'2021'!AK145+'2022'!AK127</f>
        <v>0</v>
      </c>
      <c r="AL145" s="174">
        <f>'2018'!AL145+'2019'!AL145+'2020'!AL145+'2021'!AL145+'2022'!AL127</f>
        <v>0</v>
      </c>
      <c r="AM145" s="174">
        <f>'2018'!AM145+'2019'!AM145+'2020'!AM145+'2021'!AM145+'2022'!AM127</f>
        <v>0</v>
      </c>
      <c r="AN145" s="174">
        <f>'2018'!AN145+'2019'!AN145+'2020'!AN145+'2021'!AN145+'2022'!AN127</f>
        <v>0</v>
      </c>
      <c r="AO145" s="174">
        <f>'2018'!AO145+'2019'!AO145+'2020'!AO145+'2021'!AO145+'2022'!AO127</f>
        <v>0</v>
      </c>
      <c r="AP145" s="174">
        <f>'2018'!AP145+'2019'!AP145+'2020'!AP145+'2021'!AP145+'2022'!AP127</f>
        <v>0</v>
      </c>
      <c r="AQ145" s="174">
        <f>'2018'!AQ145+'2019'!AQ145+'2020'!AQ145+'2021'!AQ145+'2022'!AQ127</f>
        <v>0</v>
      </c>
      <c r="AR145" s="174">
        <f>'2018'!AR145+'2019'!AR145+'2020'!AR145+'2021'!AR145+'2022'!AR127</f>
        <v>0</v>
      </c>
      <c r="AS145" s="174">
        <f>'2018'!AS145+'2019'!AS145+'2020'!AS145+'2021'!AS145+'2022'!AS127</f>
        <v>0</v>
      </c>
      <c r="AT145" s="174">
        <f>'2018'!AT145+'2019'!AT145+'2020'!AT145+'2021'!AT145+'2022'!AT127</f>
        <v>0</v>
      </c>
      <c r="AU145" s="174">
        <f>'2018'!AU145+'2019'!AU145+'2020'!AU145+'2021'!AU145+'2022'!AU127</f>
        <v>0</v>
      </c>
      <c r="AV145" s="174">
        <f>'2018'!AV145+'2019'!AV145+'2020'!AV145+'2021'!AV145+'2022'!AV127</f>
        <v>0</v>
      </c>
      <c r="AW145" s="174"/>
      <c r="AX145" s="156"/>
      <c r="AY145" s="110"/>
      <c r="AZ145" s="110"/>
      <c r="BA145" s="142"/>
      <c r="BB145" s="142"/>
      <c r="BC145" s="142"/>
    </row>
    <row r="146" spans="1:55" x14ac:dyDescent="0.25">
      <c r="A146" s="175" t="s">
        <v>227</v>
      </c>
      <c r="B146" s="176">
        <f>'2018'!B146+'2019'!B146+'2020'!B146+'2021'!B146+'2022'!B128</f>
        <v>28</v>
      </c>
      <c r="C146" s="176">
        <f>'2018'!C146+'2019'!C146+'2020'!C146+'2021'!C146+'2022'!C128</f>
        <v>2</v>
      </c>
      <c r="D146" s="176">
        <f>'2018'!D146+'2019'!D146+'2020'!D146+'2021'!D146+'2022'!D128</f>
        <v>265</v>
      </c>
      <c r="E146" s="176">
        <f>'2018'!E146+'2019'!E146+'2020'!E146+'2021'!E146+'2022'!E128</f>
        <v>4</v>
      </c>
      <c r="F146" s="176">
        <f>'2018'!F146+'2019'!F146+'2020'!F146+'2021'!F146+'2022'!F128</f>
        <v>0</v>
      </c>
      <c r="G146" s="176">
        <f>'2018'!G146+'2019'!G146+'2020'!G146+'2021'!G146+'2022'!G128</f>
        <v>0</v>
      </c>
      <c r="H146" s="176">
        <f>'2018'!H146+'2019'!H146+'2020'!H146+'2021'!H146+'2022'!H128</f>
        <v>215</v>
      </c>
      <c r="I146" s="176">
        <f>'2018'!I146+'2019'!I146+'2020'!I146+'2021'!I146+'2022'!I128</f>
        <v>0</v>
      </c>
      <c r="J146" s="176">
        <f>'2018'!J146+'2019'!J146+'2020'!J146+'2021'!J146+'2022'!J128</f>
        <v>0</v>
      </c>
      <c r="K146" s="176">
        <f>'2018'!K146+'2019'!K146+'2020'!K146+'2021'!K146+'2022'!K128</f>
        <v>7</v>
      </c>
      <c r="L146" s="176">
        <f>'2018'!L146+'2019'!L146+'2020'!L146+'2021'!L146+'2022'!L128</f>
        <v>4</v>
      </c>
      <c r="M146" s="176">
        <f>'2018'!M146+'2019'!M146+'2020'!M146+'2021'!M146+'2022'!M128</f>
        <v>0</v>
      </c>
      <c r="N146" s="176">
        <f>'2018'!N146+'2019'!N146+'2020'!N146+'2021'!N146+'2022'!N128</f>
        <v>0</v>
      </c>
      <c r="O146" s="176">
        <f>'2018'!O146+'2019'!O146+'2020'!O146+'2021'!O146+'2022'!O128</f>
        <v>18</v>
      </c>
      <c r="P146" s="176">
        <f>'2018'!P146+'2019'!P146+'2020'!P146+'2021'!P146+'2022'!P128</f>
        <v>0</v>
      </c>
      <c r="Q146" s="176">
        <f>'2018'!Q146+'2019'!Q146+'2020'!Q146+'2021'!Q146+'2022'!Q128</f>
        <v>0</v>
      </c>
      <c r="R146" s="176">
        <f>'2018'!R146+'2019'!R146+'2020'!R146+'2021'!R146+'2022'!R128</f>
        <v>17</v>
      </c>
      <c r="S146" s="176">
        <f>'2018'!S146+'2019'!S146+'2020'!S146+'2021'!S146+'2022'!S128</f>
        <v>0</v>
      </c>
      <c r="T146" s="176">
        <f>'2018'!T146+'2019'!T146+'2020'!T146+'2021'!T146+'2022'!T128</f>
        <v>1</v>
      </c>
      <c r="U146" s="176">
        <f>'2018'!U146+'2019'!U146+'2020'!U146+'2021'!U146+'2022'!U128</f>
        <v>3</v>
      </c>
      <c r="V146" s="176">
        <f>'2018'!V146+'2019'!V146+'2020'!V146+'2021'!V146+'2022'!V128</f>
        <v>0</v>
      </c>
      <c r="W146" s="176">
        <f>'2018'!W146+'2019'!W146+'2020'!W146+'2021'!W146+'2022'!W128</f>
        <v>0</v>
      </c>
      <c r="X146" s="176">
        <f>'2018'!X146+'2019'!X146+'2020'!X146+'2021'!X146+'2022'!X128</f>
        <v>0</v>
      </c>
      <c r="Y146" s="174">
        <f t="shared" si="23"/>
        <v>265</v>
      </c>
      <c r="Z146" s="174">
        <f>'2018'!Z146+'2019'!Z146+'2020'!Z146+'2021'!Z146+'2022'!Z128</f>
        <v>19</v>
      </c>
      <c r="AA146" s="174">
        <f>'2018'!AA146+'2019'!AA146+'2020'!AA146+'2021'!AA146+'2022'!AA128</f>
        <v>1</v>
      </c>
      <c r="AB146" s="174">
        <f>'2018'!AB146+'2019'!AB146+'2020'!AB146+'2021'!AB146+'2022'!AB128</f>
        <v>245</v>
      </c>
      <c r="AC146" s="174">
        <f>'2018'!AC146+'2019'!AC146+'2020'!AC146+'2021'!AC146+'2022'!AC128</f>
        <v>3</v>
      </c>
      <c r="AD146" s="174">
        <f>'2018'!AD146+'2019'!AD146+'2020'!AD146+'2021'!AD146+'2022'!AD128</f>
        <v>0</v>
      </c>
      <c r="AE146" s="174">
        <f>'2018'!AE146+'2019'!AE146+'2020'!AE146+'2021'!AE146+'2022'!AE128</f>
        <v>0</v>
      </c>
      <c r="AF146" s="174">
        <f>'2018'!AF146+'2019'!AF146+'2020'!AF146+'2021'!AF146+'2022'!AF128</f>
        <v>211</v>
      </c>
      <c r="AG146" s="174">
        <f>'2018'!AG146+'2019'!AG146+'2020'!AG146+'2021'!AG146+'2022'!AG128</f>
        <v>0</v>
      </c>
      <c r="AH146" s="174">
        <f>'2018'!AH146+'2019'!AH146+'2020'!AH146+'2021'!AH146+'2022'!AH128</f>
        <v>0</v>
      </c>
      <c r="AI146" s="174">
        <f>'2018'!AI146+'2019'!AI146+'2020'!AI146+'2021'!AI146+'2022'!AI128</f>
        <v>7</v>
      </c>
      <c r="AJ146" s="174">
        <f>'2018'!AJ146+'2019'!AJ146+'2020'!AJ146+'2021'!AJ146+'2022'!AJ128</f>
        <v>0</v>
      </c>
      <c r="AK146" s="174">
        <f>'2018'!AK146+'2019'!AK146+'2020'!AK146+'2021'!AK146+'2022'!AK128</f>
        <v>0</v>
      </c>
      <c r="AL146" s="174">
        <f>'2018'!AL146+'2019'!AL146+'2020'!AL146+'2021'!AL146+'2022'!AL128</f>
        <v>0</v>
      </c>
      <c r="AM146" s="174">
        <f>'2018'!AM146+'2019'!AM146+'2020'!AM146+'2021'!AM146+'2022'!AM128</f>
        <v>18</v>
      </c>
      <c r="AN146" s="174">
        <f>'2018'!AN146+'2019'!AN146+'2020'!AN146+'2021'!AN146+'2022'!AN128</f>
        <v>0</v>
      </c>
      <c r="AO146" s="174">
        <f>'2018'!AO146+'2019'!AO146+'2020'!AO146+'2021'!AO146+'2022'!AO128</f>
        <v>0</v>
      </c>
      <c r="AP146" s="174">
        <f>'2018'!AP146+'2019'!AP146+'2020'!AP146+'2021'!AP146+'2022'!AP128</f>
        <v>6</v>
      </c>
      <c r="AQ146" s="174">
        <f>'2018'!AQ146+'2019'!AQ146+'2020'!AQ146+'2021'!AQ146+'2022'!AQ128</f>
        <v>0</v>
      </c>
      <c r="AR146" s="174">
        <f>'2018'!AR146+'2019'!AR146+'2020'!AR146+'2021'!AR146+'2022'!AR128</f>
        <v>0</v>
      </c>
      <c r="AS146" s="174">
        <f>'2018'!AS146+'2019'!AS146+'2020'!AS146+'2021'!AS146+'2022'!AS128</f>
        <v>3</v>
      </c>
      <c r="AT146" s="174">
        <f>'2018'!AT146+'2019'!AT146+'2020'!AT146+'2021'!AT146+'2022'!AT128</f>
        <v>0</v>
      </c>
      <c r="AU146" s="174">
        <f>'2018'!AU146+'2019'!AU146+'2020'!AU146+'2021'!AU146+'2022'!AU128</f>
        <v>0</v>
      </c>
      <c r="AV146" s="174">
        <f>'2018'!AV146+'2019'!AV146+'2020'!AV146+'2021'!AV146+'2022'!AV128</f>
        <v>0</v>
      </c>
      <c r="AW146" s="174">
        <f t="shared" si="22"/>
        <v>245</v>
      </c>
      <c r="AX146" s="156">
        <f t="shared" si="24"/>
        <v>2160.502</v>
      </c>
      <c r="AY146" s="14">
        <f>'2018'!AX146+'2019'!AX146+'2020'!AX146+'2021'!AX146+'2022'!AX128</f>
        <v>10802.51</v>
      </c>
      <c r="AZ146" s="14">
        <f t="shared" si="21"/>
        <v>92.452830188679243</v>
      </c>
      <c r="BA146" s="142"/>
      <c r="BB146" s="144"/>
      <c r="BC146" s="142"/>
    </row>
    <row r="147" spans="1:55" x14ac:dyDescent="0.25">
      <c r="A147" s="175" t="s">
        <v>228</v>
      </c>
      <c r="B147" s="176">
        <f>'2018'!B147+'2019'!B147+'2020'!B147+'2021'!B147+'2022'!B129</f>
        <v>22</v>
      </c>
      <c r="C147" s="176">
        <f>'2018'!C147+'2019'!C147+'2020'!C147+'2021'!C147+'2022'!C129</f>
        <v>0</v>
      </c>
      <c r="D147" s="176">
        <f>'2018'!D147+'2019'!D147+'2020'!D147+'2021'!D147+'2022'!D129</f>
        <v>92</v>
      </c>
      <c r="E147" s="176">
        <f>'2018'!E147+'2019'!E147+'2020'!E147+'2021'!E147+'2022'!E129</f>
        <v>0</v>
      </c>
      <c r="F147" s="176">
        <f>'2018'!F147+'2019'!F147+'2020'!F147+'2021'!F147+'2022'!F129</f>
        <v>0</v>
      </c>
      <c r="G147" s="176">
        <f>'2018'!G147+'2019'!G147+'2020'!G147+'2021'!G147+'2022'!G129</f>
        <v>0</v>
      </c>
      <c r="H147" s="176">
        <f>'2018'!H147+'2019'!H147+'2020'!H147+'2021'!H147+'2022'!H129</f>
        <v>37</v>
      </c>
      <c r="I147" s="176">
        <f>'2018'!I147+'2019'!I147+'2020'!I147+'2021'!I147+'2022'!I129</f>
        <v>0</v>
      </c>
      <c r="J147" s="176">
        <f>'2018'!J147+'2019'!J147+'2020'!J147+'2021'!J147+'2022'!J129</f>
        <v>0</v>
      </c>
      <c r="K147" s="176">
        <f>'2018'!K147+'2019'!K147+'2020'!K147+'2021'!K147+'2022'!K129</f>
        <v>42</v>
      </c>
      <c r="L147" s="176">
        <f>'2018'!L147+'2019'!L147+'2020'!L147+'2021'!L147+'2022'!L129</f>
        <v>10</v>
      </c>
      <c r="M147" s="176">
        <f>'2018'!M147+'2019'!M147+'2020'!M147+'2021'!M147+'2022'!M129</f>
        <v>2</v>
      </c>
      <c r="N147" s="176">
        <f>'2018'!N147+'2019'!N147+'2020'!N147+'2021'!N147+'2022'!N129</f>
        <v>0</v>
      </c>
      <c r="O147" s="176">
        <f>'2018'!O147+'2019'!O147+'2020'!O147+'2021'!O147+'2022'!O129</f>
        <v>0</v>
      </c>
      <c r="P147" s="176">
        <f>'2018'!P147+'2019'!P147+'2020'!P147+'2021'!P147+'2022'!P129</f>
        <v>1</v>
      </c>
      <c r="Q147" s="176">
        <f>'2018'!Q147+'2019'!Q147+'2020'!Q147+'2021'!Q147+'2022'!Q129</f>
        <v>0</v>
      </c>
      <c r="R147" s="176">
        <f>'2018'!R147+'2019'!R147+'2020'!R147+'2021'!R147+'2022'!R129</f>
        <v>0</v>
      </c>
      <c r="S147" s="176">
        <f>'2018'!S147+'2019'!S147+'2020'!S147+'2021'!S147+'2022'!S129</f>
        <v>0</v>
      </c>
      <c r="T147" s="176">
        <f>'2018'!T147+'2019'!T147+'2020'!T147+'2021'!T147+'2022'!T129</f>
        <v>0</v>
      </c>
      <c r="U147" s="176">
        <f>'2018'!U147+'2019'!U147+'2020'!U147+'2021'!U147+'2022'!U129</f>
        <v>0</v>
      </c>
      <c r="V147" s="176">
        <f>'2018'!V147+'2019'!V147+'2020'!V147+'2021'!V147+'2022'!V129</f>
        <v>0</v>
      </c>
      <c r="W147" s="176">
        <f>'2018'!W147+'2019'!W147+'2020'!W147+'2021'!W147+'2022'!W129</f>
        <v>0</v>
      </c>
      <c r="X147" s="176">
        <f>'2018'!X147+'2019'!X147+'2020'!X147+'2021'!X147+'2022'!X129</f>
        <v>0</v>
      </c>
      <c r="Y147" s="174">
        <f t="shared" si="23"/>
        <v>92</v>
      </c>
      <c r="Z147" s="174">
        <f>'2018'!Z147+'2019'!Z147+'2020'!Z147+'2021'!Z147+'2022'!Z129</f>
        <v>17</v>
      </c>
      <c r="AA147" s="174">
        <f>'2018'!AA147+'2019'!AA147+'2020'!AA147+'2021'!AA147+'2022'!AA129</f>
        <v>0</v>
      </c>
      <c r="AB147" s="174">
        <f>'2018'!AB147+'2019'!AB147+'2020'!AB147+'2021'!AB147+'2022'!AB129</f>
        <v>80</v>
      </c>
      <c r="AC147" s="174">
        <f>'2018'!AC147+'2019'!AC147+'2020'!AC147+'2021'!AC147+'2022'!AC129</f>
        <v>0</v>
      </c>
      <c r="AD147" s="174">
        <f>'2018'!AD147+'2019'!AD147+'2020'!AD147+'2021'!AD147+'2022'!AD129</f>
        <v>0</v>
      </c>
      <c r="AE147" s="174">
        <f>'2018'!AE147+'2019'!AE147+'2020'!AE147+'2021'!AE147+'2022'!AE129</f>
        <v>0</v>
      </c>
      <c r="AF147" s="174">
        <f>'2018'!AF147+'2019'!AF147+'2020'!AF147+'2021'!AF147+'2022'!AF129</f>
        <v>37</v>
      </c>
      <c r="AG147" s="174">
        <f>'2018'!AG147+'2019'!AG147+'2020'!AG147+'2021'!AG147+'2022'!AG129</f>
        <v>0</v>
      </c>
      <c r="AH147" s="174">
        <f>'2018'!AH147+'2019'!AH147+'2020'!AH147+'2021'!AH147+'2022'!AH129</f>
        <v>0</v>
      </c>
      <c r="AI147" s="174">
        <f>'2018'!AI147+'2019'!AI147+'2020'!AI147+'2021'!AI147+'2022'!AI129</f>
        <v>31</v>
      </c>
      <c r="AJ147" s="174">
        <f>'2018'!AJ147+'2019'!AJ147+'2020'!AJ147+'2021'!AJ147+'2022'!AJ129</f>
        <v>9</v>
      </c>
      <c r="AK147" s="174">
        <f>'2018'!AK147+'2019'!AK147+'2020'!AK147+'2021'!AK147+'2022'!AK129</f>
        <v>2</v>
      </c>
      <c r="AL147" s="174">
        <f>'2018'!AL147+'2019'!AL147+'2020'!AL147+'2021'!AL147+'2022'!AL129</f>
        <v>0</v>
      </c>
      <c r="AM147" s="174">
        <f>'2018'!AM147+'2019'!AM147+'2020'!AM147+'2021'!AM147+'2022'!AM129</f>
        <v>0</v>
      </c>
      <c r="AN147" s="174">
        <f>'2018'!AN147+'2019'!AN147+'2020'!AN147+'2021'!AN147+'2022'!AN129</f>
        <v>1</v>
      </c>
      <c r="AO147" s="174">
        <f>'2018'!AO147+'2019'!AO147+'2020'!AO147+'2021'!AO147+'2022'!AO129</f>
        <v>0</v>
      </c>
      <c r="AP147" s="174">
        <f>'2018'!AP147+'2019'!AP147+'2020'!AP147+'2021'!AP147+'2022'!AP129</f>
        <v>0</v>
      </c>
      <c r="AQ147" s="174">
        <f>'2018'!AQ147+'2019'!AQ147+'2020'!AQ147+'2021'!AQ147+'2022'!AQ129</f>
        <v>0</v>
      </c>
      <c r="AR147" s="174">
        <f>'2018'!AR147+'2019'!AR147+'2020'!AR147+'2021'!AR147+'2022'!AR129</f>
        <v>0</v>
      </c>
      <c r="AS147" s="174">
        <f>'2018'!AS147+'2019'!AS147+'2020'!AS147+'2021'!AS147+'2022'!AS129</f>
        <v>0</v>
      </c>
      <c r="AT147" s="174">
        <f>'2018'!AT147+'2019'!AT147+'2020'!AT147+'2021'!AT147+'2022'!AT129</f>
        <v>0</v>
      </c>
      <c r="AU147" s="174">
        <f>'2018'!AU147+'2019'!AU147+'2020'!AU147+'2021'!AU147+'2022'!AU129</f>
        <v>0</v>
      </c>
      <c r="AV147" s="174">
        <f>'2018'!AV147+'2019'!AV147+'2020'!AV147+'2021'!AV147+'2022'!AV129</f>
        <v>0</v>
      </c>
      <c r="AW147" s="174">
        <f t="shared" si="22"/>
        <v>80</v>
      </c>
      <c r="AX147" s="156">
        <f t="shared" si="24"/>
        <v>1636.5424047619049</v>
      </c>
      <c r="AY147" s="14">
        <f>'2018'!AX147+'2019'!AX147+'2020'!AX147+'2021'!AX147+'2022'!AX129</f>
        <v>8182.712023809524</v>
      </c>
      <c r="AZ147" s="14">
        <f t="shared" si="21"/>
        <v>86.956521739130437</v>
      </c>
      <c r="BA147" s="142"/>
      <c r="BB147" s="144"/>
      <c r="BC147" s="142"/>
    </row>
    <row r="148" spans="1:55" x14ac:dyDescent="0.25">
      <c r="A148" s="175" t="s">
        <v>229</v>
      </c>
      <c r="B148" s="176">
        <f>'2018'!B148+'2019'!B148+'2020'!B148+'2021'!B148+'2022'!B130</f>
        <v>18</v>
      </c>
      <c r="C148" s="176">
        <f>'2018'!C148+'2019'!C148+'2020'!C148+'2021'!C148+'2022'!C130</f>
        <v>3</v>
      </c>
      <c r="D148" s="176">
        <f>'2018'!D148+'2019'!D148+'2020'!D148+'2021'!D148+'2022'!D130</f>
        <v>28</v>
      </c>
      <c r="E148" s="176">
        <f>'2018'!E148+'2019'!E148+'2020'!E148+'2021'!E148+'2022'!E130</f>
        <v>3</v>
      </c>
      <c r="F148" s="176">
        <f>'2018'!F148+'2019'!F148+'2020'!F148+'2021'!F148+'2022'!F130</f>
        <v>0</v>
      </c>
      <c r="G148" s="176">
        <f>'2018'!G148+'2019'!G148+'2020'!G148+'2021'!G148+'2022'!G130</f>
        <v>0</v>
      </c>
      <c r="H148" s="176">
        <f>'2018'!H148+'2019'!H148+'2020'!H148+'2021'!H148+'2022'!H130</f>
        <v>0</v>
      </c>
      <c r="I148" s="176">
        <f>'2018'!I148+'2019'!I148+'2020'!I148+'2021'!I148+'2022'!I130</f>
        <v>0</v>
      </c>
      <c r="J148" s="176">
        <f>'2018'!J148+'2019'!J148+'2020'!J148+'2021'!J148+'2022'!J130</f>
        <v>0</v>
      </c>
      <c r="K148" s="176">
        <f>'2018'!K148+'2019'!K148+'2020'!K148+'2021'!K148+'2022'!K130</f>
        <v>0</v>
      </c>
      <c r="L148" s="176">
        <f>'2018'!L148+'2019'!L148+'2020'!L148+'2021'!L148+'2022'!L130</f>
        <v>0</v>
      </c>
      <c r="M148" s="176">
        <f>'2018'!M148+'2019'!M148+'2020'!M148+'2021'!M148+'2022'!M130</f>
        <v>1</v>
      </c>
      <c r="N148" s="176">
        <f>'2018'!N148+'2019'!N148+'2020'!N148+'2021'!N148+'2022'!N130</f>
        <v>0</v>
      </c>
      <c r="O148" s="176">
        <f>'2018'!O148+'2019'!O148+'2020'!O148+'2021'!O148+'2022'!O130</f>
        <v>0</v>
      </c>
      <c r="P148" s="176">
        <f>'2018'!P148+'2019'!P148+'2020'!P148+'2021'!P148+'2022'!P130</f>
        <v>0</v>
      </c>
      <c r="Q148" s="176">
        <f>'2018'!Q148+'2019'!Q148+'2020'!Q148+'2021'!Q148+'2022'!Q130</f>
        <v>0</v>
      </c>
      <c r="R148" s="176">
        <f>'2018'!R148+'2019'!R148+'2020'!R148+'2021'!R148+'2022'!R130</f>
        <v>18</v>
      </c>
      <c r="S148" s="176">
        <f>'2018'!S148+'2019'!S148+'2020'!S148+'2021'!S148+'2022'!S130</f>
        <v>3</v>
      </c>
      <c r="T148" s="176">
        <f>'2018'!T148+'2019'!T148+'2020'!T148+'2021'!T148+'2022'!T130</f>
        <v>0</v>
      </c>
      <c r="U148" s="176">
        <f>'2018'!U148+'2019'!U148+'2020'!U148+'2021'!U148+'2022'!U130</f>
        <v>0</v>
      </c>
      <c r="V148" s="176">
        <f>'2018'!V148+'2019'!V148+'2020'!V148+'2021'!V148+'2022'!V130</f>
        <v>1</v>
      </c>
      <c r="W148" s="176">
        <f>'2018'!W148+'2019'!W148+'2020'!W148+'2021'!W148+'2022'!W130</f>
        <v>0</v>
      </c>
      <c r="X148" s="176">
        <f>'2018'!X148+'2019'!X148+'2020'!X148+'2021'!X148+'2022'!X130</f>
        <v>5</v>
      </c>
      <c r="Y148" s="174">
        <f t="shared" si="23"/>
        <v>28</v>
      </c>
      <c r="Z148" s="174">
        <f>'2018'!Z148+'2019'!Z148+'2020'!Z148+'2021'!Z148+'2022'!Z130</f>
        <v>14</v>
      </c>
      <c r="AA148" s="174">
        <f>'2018'!AA148+'2019'!AA148+'2020'!AA148+'2021'!AA148+'2022'!AA130</f>
        <v>2</v>
      </c>
      <c r="AB148" s="174">
        <f>'2018'!AB148+'2019'!AB148+'2020'!AB148+'2021'!AB148+'2022'!AB130</f>
        <v>23</v>
      </c>
      <c r="AC148" s="174">
        <f>'2018'!AC148+'2019'!AC148+'2020'!AC148+'2021'!AC148+'2022'!AC130</f>
        <v>2</v>
      </c>
      <c r="AD148" s="174">
        <f>'2018'!AD148+'2019'!AD148+'2020'!AD148+'2021'!AD148+'2022'!AD130</f>
        <v>0</v>
      </c>
      <c r="AE148" s="174">
        <f>'2018'!AE148+'2019'!AE148+'2020'!AE148+'2021'!AE148+'2022'!AE130</f>
        <v>0</v>
      </c>
      <c r="AF148" s="174">
        <f>'2018'!AF148+'2019'!AF148+'2020'!AF148+'2021'!AF148+'2022'!AF130</f>
        <v>0</v>
      </c>
      <c r="AG148" s="174">
        <f>'2018'!AG148+'2019'!AG148+'2020'!AG148+'2021'!AG148+'2022'!AG130</f>
        <v>0</v>
      </c>
      <c r="AH148" s="174">
        <f>'2018'!AH148+'2019'!AH148+'2020'!AH148+'2021'!AH148+'2022'!AH130</f>
        <v>0</v>
      </c>
      <c r="AI148" s="174">
        <f>'2018'!AI148+'2019'!AI148+'2020'!AI148+'2021'!AI148+'2022'!AI130</f>
        <v>0</v>
      </c>
      <c r="AJ148" s="174">
        <f>'2018'!AJ148+'2019'!AJ148+'2020'!AJ148+'2021'!AJ148+'2022'!AJ130</f>
        <v>0</v>
      </c>
      <c r="AK148" s="174">
        <f>'2018'!AK148+'2019'!AK148+'2020'!AK148+'2021'!AK148+'2022'!AK130</f>
        <v>0</v>
      </c>
      <c r="AL148" s="174">
        <f>'2018'!AL148+'2019'!AL148+'2020'!AL148+'2021'!AL148+'2022'!AL130</f>
        <v>0</v>
      </c>
      <c r="AM148" s="174">
        <f>'2018'!AM148+'2019'!AM148+'2020'!AM148+'2021'!AM148+'2022'!AM130</f>
        <v>0</v>
      </c>
      <c r="AN148" s="174">
        <f>'2018'!AN148+'2019'!AN148+'2020'!AN148+'2021'!AN148+'2022'!AN130</f>
        <v>0</v>
      </c>
      <c r="AO148" s="174">
        <f>'2018'!AO148+'2019'!AO148+'2020'!AO148+'2021'!AO148+'2022'!AO130</f>
        <v>0</v>
      </c>
      <c r="AP148" s="174">
        <f>'2018'!AP148+'2019'!AP148+'2020'!AP148+'2021'!AP148+'2022'!AP130</f>
        <v>15</v>
      </c>
      <c r="AQ148" s="174">
        <f>'2018'!AQ148+'2019'!AQ148+'2020'!AQ148+'2021'!AQ148+'2022'!AQ130</f>
        <v>3</v>
      </c>
      <c r="AR148" s="174">
        <f>'2018'!AR148+'2019'!AR148+'2020'!AR148+'2021'!AR148+'2022'!AR130</f>
        <v>0</v>
      </c>
      <c r="AS148" s="174">
        <f>'2018'!AS148+'2019'!AS148+'2020'!AS148+'2021'!AS148+'2022'!AS130</f>
        <v>0</v>
      </c>
      <c r="AT148" s="174">
        <f>'2018'!AT148+'2019'!AT148+'2020'!AT148+'2021'!AT148+'2022'!AT130</f>
        <v>0</v>
      </c>
      <c r="AU148" s="174">
        <f>'2018'!AU148+'2019'!AU148+'2020'!AU148+'2021'!AU148+'2022'!AU130</f>
        <v>0</v>
      </c>
      <c r="AV148" s="174">
        <f>'2018'!AV148+'2019'!AV148+'2020'!AV148+'2021'!AV148+'2022'!AV130</f>
        <v>5</v>
      </c>
      <c r="AW148" s="174">
        <f t="shared" si="22"/>
        <v>23</v>
      </c>
      <c r="AX148" s="156">
        <f t="shared" si="24"/>
        <v>1637.4759999999999</v>
      </c>
      <c r="AY148" s="14">
        <f>'2018'!AX148+'2019'!AX148+'2020'!AX148+'2021'!AX148+'2022'!AX130</f>
        <v>8187.3799999999992</v>
      </c>
      <c r="AZ148" s="14">
        <f t="shared" si="21"/>
        <v>82.142857142857139</v>
      </c>
      <c r="BA148" s="142"/>
      <c r="BB148" s="144"/>
      <c r="BC148" s="142"/>
    </row>
    <row r="149" spans="1:55" x14ac:dyDescent="0.25">
      <c r="A149" s="175" t="s">
        <v>230</v>
      </c>
      <c r="B149" s="176">
        <f>'2018'!B149+'2019'!B149+'2020'!B149+'2021'!B149+'2022'!B131</f>
        <v>9</v>
      </c>
      <c r="C149" s="176">
        <f>'2018'!C149+'2019'!C149+'2020'!C149+'2021'!C149+'2022'!C131</f>
        <v>0</v>
      </c>
      <c r="D149" s="176">
        <f>'2018'!D149+'2019'!D149+'2020'!D149+'2021'!D149+'2022'!D131</f>
        <v>15</v>
      </c>
      <c r="E149" s="176">
        <f>'2018'!E149+'2019'!E149+'2020'!E149+'2021'!E149+'2022'!E131</f>
        <v>0</v>
      </c>
      <c r="F149" s="176">
        <f>'2018'!F149+'2019'!F149+'2020'!F149+'2021'!F149+'2022'!F131</f>
        <v>0</v>
      </c>
      <c r="G149" s="176">
        <f>'2018'!G149+'2019'!G149+'2020'!G149+'2021'!G149+'2022'!G131</f>
        <v>0</v>
      </c>
      <c r="H149" s="176">
        <f>'2018'!H149+'2019'!H149+'2020'!H149+'2021'!H149+'2022'!H131</f>
        <v>2</v>
      </c>
      <c r="I149" s="176">
        <f>'2018'!I149+'2019'!I149+'2020'!I149+'2021'!I149+'2022'!I131</f>
        <v>0</v>
      </c>
      <c r="J149" s="176">
        <f>'2018'!J149+'2019'!J149+'2020'!J149+'2021'!J149+'2022'!J131</f>
        <v>0</v>
      </c>
      <c r="K149" s="176">
        <f>'2018'!K149+'2019'!K149+'2020'!K149+'2021'!K149+'2022'!K131</f>
        <v>3</v>
      </c>
      <c r="L149" s="176">
        <f>'2018'!L149+'2019'!L149+'2020'!L149+'2021'!L149+'2022'!L131</f>
        <v>0</v>
      </c>
      <c r="M149" s="176">
        <f>'2018'!M149+'2019'!M149+'2020'!M149+'2021'!M149+'2022'!M131</f>
        <v>1</v>
      </c>
      <c r="N149" s="176">
        <f>'2018'!N149+'2019'!N149+'2020'!N149+'2021'!N149+'2022'!N131</f>
        <v>3</v>
      </c>
      <c r="O149" s="176">
        <f>'2018'!O149+'2019'!O149+'2020'!O149+'2021'!O149+'2022'!O131</f>
        <v>2</v>
      </c>
      <c r="P149" s="176">
        <f>'2018'!P149+'2019'!P149+'2020'!P149+'2021'!P149+'2022'!P131</f>
        <v>0</v>
      </c>
      <c r="Q149" s="176">
        <f>'2018'!Q149+'2019'!Q149+'2020'!Q149+'2021'!Q149+'2022'!Q131</f>
        <v>0</v>
      </c>
      <c r="R149" s="176">
        <f>'2018'!R149+'2019'!R149+'2020'!R149+'2021'!R149+'2022'!R131</f>
        <v>0</v>
      </c>
      <c r="S149" s="176">
        <f>'2018'!S149+'2019'!S149+'2020'!S149+'2021'!S149+'2022'!S131</f>
        <v>0</v>
      </c>
      <c r="T149" s="176">
        <f>'2018'!T149+'2019'!T149+'2020'!T149+'2021'!T149+'2022'!T131</f>
        <v>0</v>
      </c>
      <c r="U149" s="176">
        <f>'2018'!U149+'2019'!U149+'2020'!U149+'2021'!U149+'2022'!U131</f>
        <v>0</v>
      </c>
      <c r="V149" s="176">
        <f>'2018'!V149+'2019'!V149+'2020'!V149+'2021'!V149+'2022'!V131</f>
        <v>0</v>
      </c>
      <c r="W149" s="176">
        <f>'2018'!W149+'2019'!W149+'2020'!W149+'2021'!W149+'2022'!W131</f>
        <v>0</v>
      </c>
      <c r="X149" s="176">
        <f>'2018'!X149+'2019'!X149+'2020'!X149+'2021'!X149+'2022'!X131</f>
        <v>4</v>
      </c>
      <c r="Y149" s="174">
        <f t="shared" si="23"/>
        <v>15</v>
      </c>
      <c r="Z149" s="174">
        <f>'2018'!Z149+'2019'!Z149+'2020'!Z149+'2021'!Z149+'2022'!Z131</f>
        <v>2</v>
      </c>
      <c r="AA149" s="174">
        <f>'2018'!AA149+'2019'!AA149+'2020'!AA149+'2021'!AA149+'2022'!AA131</f>
        <v>0</v>
      </c>
      <c r="AB149" s="174">
        <f>'2018'!AB149+'2019'!AB149+'2020'!AB149+'2021'!AB149+'2022'!AB131</f>
        <v>4</v>
      </c>
      <c r="AC149" s="174">
        <f>'2018'!AC149+'2019'!AC149+'2020'!AC149+'2021'!AC149+'2022'!AC131</f>
        <v>0</v>
      </c>
      <c r="AD149" s="174">
        <f>'2018'!AD149+'2019'!AD149+'2020'!AD149+'2021'!AD149+'2022'!AD131</f>
        <v>0</v>
      </c>
      <c r="AE149" s="174">
        <f>'2018'!AE149+'2019'!AE149+'2020'!AE149+'2021'!AE149+'2022'!AE131</f>
        <v>0</v>
      </c>
      <c r="AF149" s="174">
        <f>'2018'!AF149+'2019'!AF149+'2020'!AF149+'2021'!AF149+'2022'!AF131</f>
        <v>0</v>
      </c>
      <c r="AG149" s="174">
        <f>'2018'!AG149+'2019'!AG149+'2020'!AG149+'2021'!AG149+'2022'!AG131</f>
        <v>0</v>
      </c>
      <c r="AH149" s="174">
        <f>'2018'!AH149+'2019'!AH149+'2020'!AH149+'2021'!AH149+'2022'!AH131</f>
        <v>0</v>
      </c>
      <c r="AI149" s="174">
        <f>'2018'!AI149+'2019'!AI149+'2020'!AI149+'2021'!AI149+'2022'!AI131</f>
        <v>0</v>
      </c>
      <c r="AJ149" s="174">
        <f>'2018'!AJ149+'2019'!AJ149+'2020'!AJ149+'2021'!AJ149+'2022'!AJ131</f>
        <v>0</v>
      </c>
      <c r="AK149" s="174">
        <f>'2018'!AK149+'2019'!AK149+'2020'!AK149+'2021'!AK149+'2022'!AK131</f>
        <v>1</v>
      </c>
      <c r="AL149" s="174">
        <f>'2018'!AL149+'2019'!AL149+'2020'!AL149+'2021'!AL149+'2022'!AL131</f>
        <v>3</v>
      </c>
      <c r="AM149" s="174">
        <f>'2018'!AM149+'2019'!AM149+'2020'!AM149+'2021'!AM149+'2022'!AM131</f>
        <v>0</v>
      </c>
      <c r="AN149" s="174">
        <f>'2018'!AN149+'2019'!AN149+'2020'!AN149+'2021'!AN149+'2022'!AN131</f>
        <v>0</v>
      </c>
      <c r="AO149" s="174">
        <f>'2018'!AO149+'2019'!AO149+'2020'!AO149+'2021'!AO149+'2022'!AO131</f>
        <v>0</v>
      </c>
      <c r="AP149" s="174">
        <f>'2018'!AP149+'2019'!AP149+'2020'!AP149+'2021'!AP149+'2022'!AP131</f>
        <v>0</v>
      </c>
      <c r="AQ149" s="174">
        <f>'2018'!AQ149+'2019'!AQ149+'2020'!AQ149+'2021'!AQ149+'2022'!AQ131</f>
        <v>0</v>
      </c>
      <c r="AR149" s="174">
        <f>'2018'!AR149+'2019'!AR149+'2020'!AR149+'2021'!AR149+'2022'!AR131</f>
        <v>0</v>
      </c>
      <c r="AS149" s="174">
        <f>'2018'!AS149+'2019'!AS149+'2020'!AS149+'2021'!AS149+'2022'!AS131</f>
        <v>0</v>
      </c>
      <c r="AT149" s="174">
        <f>'2018'!AT149+'2019'!AT149+'2020'!AT149+'2021'!AT149+'2022'!AT131</f>
        <v>0</v>
      </c>
      <c r="AU149" s="174">
        <f>'2018'!AU149+'2019'!AU149+'2020'!AU149+'2021'!AU149+'2022'!AU131</f>
        <v>0</v>
      </c>
      <c r="AV149" s="174">
        <f>'2018'!AV149+'2019'!AV149+'2020'!AV149+'2021'!AV149+'2022'!AV131</f>
        <v>0</v>
      </c>
      <c r="AW149" s="174">
        <f t="shared" si="22"/>
        <v>4</v>
      </c>
      <c r="AX149" s="156">
        <f t="shared" si="24"/>
        <v>584.79999999999995</v>
      </c>
      <c r="AY149" s="14">
        <f>'2018'!AX149+'2019'!AX149+'2020'!AX149+'2021'!AX149+'2022'!AX131</f>
        <v>2924</v>
      </c>
      <c r="AZ149" s="14">
        <f t="shared" si="21"/>
        <v>26.666666666666668</v>
      </c>
      <c r="BA149" s="142"/>
      <c r="BB149" s="144"/>
      <c r="BC149" s="142"/>
    </row>
    <row r="150" spans="1:55" x14ac:dyDescent="0.25">
      <c r="A150" s="175" t="s">
        <v>231</v>
      </c>
      <c r="B150" s="176">
        <f>'2018'!B150+'2019'!B150+'2020'!B150+'2021'!B150+'2022'!B132</f>
        <v>4</v>
      </c>
      <c r="C150" s="176">
        <f>'2018'!C150+'2019'!C150+'2020'!C150+'2021'!C150+'2022'!C132</f>
        <v>0</v>
      </c>
      <c r="D150" s="176">
        <f>'2018'!D150+'2019'!D150+'2020'!D150+'2021'!D150+'2022'!D132</f>
        <v>7</v>
      </c>
      <c r="E150" s="176">
        <f>'2018'!E150+'2019'!E150+'2020'!E150+'2021'!E150+'2022'!E132</f>
        <v>0</v>
      </c>
      <c r="F150" s="176">
        <f>'2018'!F150+'2019'!F150+'2020'!F150+'2021'!F150+'2022'!F132</f>
        <v>0</v>
      </c>
      <c r="G150" s="176">
        <f>'2018'!G150+'2019'!G150+'2020'!G150+'2021'!G150+'2022'!G132</f>
        <v>0</v>
      </c>
      <c r="H150" s="176">
        <f>'2018'!H150+'2019'!H150+'2020'!H150+'2021'!H150+'2022'!H132</f>
        <v>0</v>
      </c>
      <c r="I150" s="176">
        <f>'2018'!I150+'2019'!I150+'2020'!I150+'2021'!I150+'2022'!I132</f>
        <v>0</v>
      </c>
      <c r="J150" s="176">
        <f>'2018'!J150+'2019'!J150+'2020'!J150+'2021'!J150+'2022'!J132</f>
        <v>0</v>
      </c>
      <c r="K150" s="176">
        <f>'2018'!K150+'2019'!K150+'2020'!K150+'2021'!K150+'2022'!K132</f>
        <v>0</v>
      </c>
      <c r="L150" s="176">
        <f>'2018'!L150+'2019'!L150+'2020'!L150+'2021'!L150+'2022'!L132</f>
        <v>0</v>
      </c>
      <c r="M150" s="176">
        <f>'2018'!M150+'2019'!M150+'2020'!M150+'2021'!M150+'2022'!M132</f>
        <v>0</v>
      </c>
      <c r="N150" s="176">
        <f>'2018'!N150+'2019'!N150+'2020'!N150+'2021'!N150+'2022'!N132</f>
        <v>0</v>
      </c>
      <c r="O150" s="176">
        <f>'2018'!O150+'2019'!O150+'2020'!O150+'2021'!O150+'2022'!O132</f>
        <v>0</v>
      </c>
      <c r="P150" s="176">
        <f>'2018'!P150+'2019'!P150+'2020'!P150+'2021'!P150+'2022'!P132</f>
        <v>0</v>
      </c>
      <c r="Q150" s="176">
        <f>'2018'!Q150+'2019'!Q150+'2020'!Q150+'2021'!Q150+'2022'!Q132</f>
        <v>0</v>
      </c>
      <c r="R150" s="176">
        <f>'2018'!R150+'2019'!R150+'2020'!R150+'2021'!R150+'2022'!R132</f>
        <v>0</v>
      </c>
      <c r="S150" s="176">
        <f>'2018'!S150+'2019'!S150+'2020'!S150+'2021'!S150+'2022'!S132</f>
        <v>0</v>
      </c>
      <c r="T150" s="176">
        <f>'2018'!T150+'2019'!T150+'2020'!T150+'2021'!T150+'2022'!T132</f>
        <v>0</v>
      </c>
      <c r="U150" s="176">
        <f>'2018'!U150+'2019'!U150+'2020'!U150+'2021'!U150+'2022'!U132</f>
        <v>0</v>
      </c>
      <c r="V150" s="176">
        <f>'2018'!V150+'2019'!V150+'2020'!V150+'2021'!V150+'2022'!V132</f>
        <v>0</v>
      </c>
      <c r="W150" s="176">
        <f>'2018'!W150+'2019'!W150+'2020'!W150+'2021'!W150+'2022'!W132</f>
        <v>0</v>
      </c>
      <c r="X150" s="176">
        <f>'2018'!X150+'2019'!X150+'2020'!X150+'2021'!X150+'2022'!X132</f>
        <v>7</v>
      </c>
      <c r="Y150" s="174">
        <f t="shared" si="23"/>
        <v>7</v>
      </c>
      <c r="Z150" s="174">
        <f>'2018'!Z150+'2019'!Z150+'2020'!Z150+'2021'!Z150+'2022'!Z132</f>
        <v>1</v>
      </c>
      <c r="AA150" s="174">
        <f>'2018'!AA150+'2019'!AA150+'2020'!AA150+'2021'!AA150+'2022'!AA132</f>
        <v>0</v>
      </c>
      <c r="AB150" s="174">
        <f>'2018'!AB150+'2019'!AB150+'2020'!AB150+'2021'!AB150+'2022'!AB132</f>
        <v>1</v>
      </c>
      <c r="AC150" s="174">
        <f>'2018'!AC150+'2019'!AC150+'2020'!AC150+'2021'!AC150+'2022'!AC132</f>
        <v>0</v>
      </c>
      <c r="AD150" s="174">
        <f>'2018'!AD150+'2019'!AD150+'2020'!AD150+'2021'!AD150+'2022'!AD132</f>
        <v>0</v>
      </c>
      <c r="AE150" s="174">
        <f>'2018'!AE150+'2019'!AE150+'2020'!AE150+'2021'!AE150+'2022'!AE132</f>
        <v>0</v>
      </c>
      <c r="AF150" s="174">
        <f>'2018'!AF150+'2019'!AF150+'2020'!AF150+'2021'!AF150+'2022'!AF132</f>
        <v>0</v>
      </c>
      <c r="AG150" s="174">
        <f>'2018'!AG150+'2019'!AG150+'2020'!AG150+'2021'!AG150+'2022'!AG132</f>
        <v>0</v>
      </c>
      <c r="AH150" s="174">
        <f>'2018'!AH150+'2019'!AH150+'2020'!AH150+'2021'!AH150+'2022'!AH132</f>
        <v>0</v>
      </c>
      <c r="AI150" s="174">
        <f>'2018'!AI150+'2019'!AI150+'2020'!AI150+'2021'!AI150+'2022'!AI132</f>
        <v>0</v>
      </c>
      <c r="AJ150" s="174">
        <f>'2018'!AJ150+'2019'!AJ150+'2020'!AJ150+'2021'!AJ150+'2022'!AJ132</f>
        <v>0</v>
      </c>
      <c r="AK150" s="174">
        <f>'2018'!AK150+'2019'!AK150+'2020'!AK150+'2021'!AK150+'2022'!AK132</f>
        <v>0</v>
      </c>
      <c r="AL150" s="174">
        <f>'2018'!AL150+'2019'!AL150+'2020'!AL150+'2021'!AL150+'2022'!AL132</f>
        <v>0</v>
      </c>
      <c r="AM150" s="174">
        <f>'2018'!AM150+'2019'!AM150+'2020'!AM150+'2021'!AM150+'2022'!AM132</f>
        <v>0</v>
      </c>
      <c r="AN150" s="174">
        <f>'2018'!AN150+'2019'!AN150+'2020'!AN150+'2021'!AN150+'2022'!AN132</f>
        <v>0</v>
      </c>
      <c r="AO150" s="174">
        <f>'2018'!AO150+'2019'!AO150+'2020'!AO150+'2021'!AO150+'2022'!AO132</f>
        <v>0</v>
      </c>
      <c r="AP150" s="174">
        <f>'2018'!AP150+'2019'!AP150+'2020'!AP150+'2021'!AP150+'2022'!AP132</f>
        <v>0</v>
      </c>
      <c r="AQ150" s="174">
        <f>'2018'!AQ150+'2019'!AQ150+'2020'!AQ150+'2021'!AQ150+'2022'!AQ132</f>
        <v>0</v>
      </c>
      <c r="AR150" s="174">
        <f>'2018'!AR150+'2019'!AR150+'2020'!AR150+'2021'!AR150+'2022'!AR132</f>
        <v>0</v>
      </c>
      <c r="AS150" s="174">
        <f>'2018'!AS150+'2019'!AS150+'2020'!AS150+'2021'!AS150+'2022'!AS132</f>
        <v>0</v>
      </c>
      <c r="AT150" s="174">
        <f>'2018'!AT150+'2019'!AT150+'2020'!AT150+'2021'!AT150+'2022'!AT132</f>
        <v>0</v>
      </c>
      <c r="AU150" s="174">
        <f>'2018'!AU150+'2019'!AU150+'2020'!AU150+'2021'!AU150+'2022'!AU132</f>
        <v>0</v>
      </c>
      <c r="AV150" s="174">
        <f>'2018'!AV150+'2019'!AV150+'2020'!AV150+'2021'!AV150+'2022'!AV132</f>
        <v>1</v>
      </c>
      <c r="AW150" s="174">
        <f t="shared" si="22"/>
        <v>1</v>
      </c>
      <c r="AX150" s="156">
        <f t="shared" si="24"/>
        <v>500</v>
      </c>
      <c r="AY150" s="14">
        <f>'2018'!AX150+'2019'!AX150+'2020'!AX150+'2021'!AX150+'2022'!AX132</f>
        <v>2500</v>
      </c>
      <c r="AZ150" s="14">
        <f t="shared" si="21"/>
        <v>14.285714285714286</v>
      </c>
      <c r="BA150" s="142"/>
      <c r="BB150" s="144"/>
      <c r="BC150" s="142"/>
    </row>
    <row r="151" spans="1:55" x14ac:dyDescent="0.25">
      <c r="A151" s="175" t="s">
        <v>232</v>
      </c>
      <c r="B151" s="176">
        <f>'2018'!B151+'2019'!B151+'2020'!B151+'2021'!B151+'2022'!B133</f>
        <v>19</v>
      </c>
      <c r="C151" s="176">
        <f>'2018'!C151+'2019'!C151+'2020'!C151+'2021'!C151+'2022'!C133</f>
        <v>2</v>
      </c>
      <c r="D151" s="176">
        <f>'2018'!D151+'2019'!D151+'2020'!D151+'2021'!D151+'2022'!D133</f>
        <v>63</v>
      </c>
      <c r="E151" s="176">
        <f>'2018'!E151+'2019'!E151+'2020'!E151+'2021'!E151+'2022'!E133</f>
        <v>2</v>
      </c>
      <c r="F151" s="176">
        <f>'2018'!F151+'2019'!F151+'2020'!F151+'2021'!F151+'2022'!F133</f>
        <v>0</v>
      </c>
      <c r="G151" s="176">
        <f>'2018'!G151+'2019'!G151+'2020'!G151+'2021'!G151+'2022'!G133</f>
        <v>0</v>
      </c>
      <c r="H151" s="176">
        <f>'2018'!H151+'2019'!H151+'2020'!H151+'2021'!H151+'2022'!H133</f>
        <v>29</v>
      </c>
      <c r="I151" s="176">
        <f>'2018'!I151+'2019'!I151+'2020'!I151+'2021'!I151+'2022'!I133</f>
        <v>0</v>
      </c>
      <c r="J151" s="176">
        <f>'2018'!J151+'2019'!J151+'2020'!J151+'2021'!J151+'2022'!J133</f>
        <v>0</v>
      </c>
      <c r="K151" s="176">
        <f>'2018'!K151+'2019'!K151+'2020'!K151+'2021'!K151+'2022'!K133</f>
        <v>0</v>
      </c>
      <c r="L151" s="176">
        <f>'2018'!L151+'2019'!L151+'2020'!L151+'2021'!L151+'2022'!L133</f>
        <v>6</v>
      </c>
      <c r="M151" s="176">
        <f>'2018'!M151+'2019'!M151+'2020'!M151+'2021'!M151+'2022'!M133</f>
        <v>0</v>
      </c>
      <c r="N151" s="176">
        <f>'2018'!N151+'2019'!N151+'2020'!N151+'2021'!N151+'2022'!N133</f>
        <v>4</v>
      </c>
      <c r="O151" s="176">
        <f>'2018'!O151+'2019'!O151+'2020'!O151+'2021'!O151+'2022'!O133</f>
        <v>16</v>
      </c>
      <c r="P151" s="176">
        <f>'2018'!P151+'2019'!P151+'2020'!P151+'2021'!P151+'2022'!P133</f>
        <v>0</v>
      </c>
      <c r="Q151" s="176">
        <f>'2018'!Q151+'2019'!Q151+'2020'!Q151+'2021'!Q151+'2022'!Q133</f>
        <v>0</v>
      </c>
      <c r="R151" s="176">
        <f>'2018'!R151+'2019'!R151+'2020'!R151+'2021'!R151+'2022'!R133</f>
        <v>2</v>
      </c>
      <c r="S151" s="176">
        <f>'2018'!S151+'2019'!S151+'2020'!S151+'2021'!S151+'2022'!S133</f>
        <v>0</v>
      </c>
      <c r="T151" s="176">
        <f>'2018'!T151+'2019'!T151+'2020'!T151+'2021'!T151+'2022'!T133</f>
        <v>0</v>
      </c>
      <c r="U151" s="176">
        <f>'2018'!U151+'2019'!U151+'2020'!U151+'2021'!U151+'2022'!U133</f>
        <v>0</v>
      </c>
      <c r="V151" s="176">
        <f>'2018'!V151+'2019'!V151+'2020'!V151+'2021'!V151+'2022'!V133</f>
        <v>0</v>
      </c>
      <c r="W151" s="176">
        <f>'2018'!W151+'2019'!W151+'2020'!W151+'2021'!W151+'2022'!W133</f>
        <v>6</v>
      </c>
      <c r="X151" s="176">
        <f>'2018'!X151+'2019'!X151+'2020'!X151+'2021'!X151+'2022'!X133</f>
        <v>0</v>
      </c>
      <c r="Y151" s="174">
        <f t="shared" si="23"/>
        <v>63</v>
      </c>
      <c r="Z151" s="174">
        <f>'2018'!Z151+'2019'!Z151+'2020'!Z151+'2021'!Z151+'2022'!Z133</f>
        <v>13</v>
      </c>
      <c r="AA151" s="174">
        <f>'2018'!AA151+'2019'!AA151+'2020'!AA151+'2021'!AA151+'2022'!AA133</f>
        <v>2</v>
      </c>
      <c r="AB151" s="174">
        <f>'2018'!AB151+'2019'!AB151+'2020'!AB151+'2021'!AB151+'2022'!AB133</f>
        <v>37</v>
      </c>
      <c r="AC151" s="174">
        <f>'2018'!AC151+'2019'!AC151+'2020'!AC151+'2021'!AC151+'2022'!AC133</f>
        <v>2</v>
      </c>
      <c r="AD151" s="174">
        <f>'2018'!AD151+'2019'!AD151+'2020'!AD151+'2021'!AD151+'2022'!AD133</f>
        <v>0</v>
      </c>
      <c r="AE151" s="174">
        <f>'2018'!AE151+'2019'!AE151+'2020'!AE151+'2021'!AE151+'2022'!AE133</f>
        <v>0</v>
      </c>
      <c r="AF151" s="174">
        <f>'2018'!AF151+'2019'!AF151+'2020'!AF151+'2021'!AF151+'2022'!AF133</f>
        <v>10</v>
      </c>
      <c r="AG151" s="174">
        <f>'2018'!AG151+'2019'!AG151+'2020'!AG151+'2021'!AG151+'2022'!AG133</f>
        <v>0</v>
      </c>
      <c r="AH151" s="174">
        <f>'2018'!AH151+'2019'!AH151+'2020'!AH151+'2021'!AH151+'2022'!AH133</f>
        <v>0</v>
      </c>
      <c r="AI151" s="174">
        <f>'2018'!AI151+'2019'!AI151+'2020'!AI151+'2021'!AI151+'2022'!AI133</f>
        <v>0</v>
      </c>
      <c r="AJ151" s="174">
        <f>'2018'!AJ151+'2019'!AJ151+'2020'!AJ151+'2021'!AJ151+'2022'!AJ133</f>
        <v>6</v>
      </c>
      <c r="AK151" s="174">
        <f>'2018'!AK151+'2019'!AK151+'2020'!AK151+'2021'!AK151+'2022'!AK133</f>
        <v>0</v>
      </c>
      <c r="AL151" s="174">
        <f>'2018'!AL151+'2019'!AL151+'2020'!AL151+'2021'!AL151+'2022'!AL133</f>
        <v>1</v>
      </c>
      <c r="AM151" s="174">
        <f>'2018'!AM151+'2019'!AM151+'2020'!AM151+'2021'!AM151+'2022'!AM133</f>
        <v>13</v>
      </c>
      <c r="AN151" s="174">
        <f>'2018'!AN151+'2019'!AN151+'2020'!AN151+'2021'!AN151+'2022'!AN133</f>
        <v>0</v>
      </c>
      <c r="AO151" s="174">
        <f>'2018'!AO151+'2019'!AO151+'2020'!AO151+'2021'!AO151+'2022'!AO133</f>
        <v>0</v>
      </c>
      <c r="AP151" s="174">
        <f>'2018'!AP151+'2019'!AP151+'2020'!AP151+'2021'!AP151+'2022'!AP133</f>
        <v>2</v>
      </c>
      <c r="AQ151" s="174">
        <f>'2018'!AQ151+'2019'!AQ151+'2020'!AQ151+'2021'!AQ151+'2022'!AQ133</f>
        <v>0</v>
      </c>
      <c r="AR151" s="174">
        <f>'2018'!AR151+'2019'!AR151+'2020'!AR151+'2021'!AR151+'2022'!AR133</f>
        <v>0</v>
      </c>
      <c r="AS151" s="174">
        <f>'2018'!AS151+'2019'!AS151+'2020'!AS151+'2021'!AS151+'2022'!AS133</f>
        <v>0</v>
      </c>
      <c r="AT151" s="174">
        <f>'2018'!AT151+'2019'!AT151+'2020'!AT151+'2021'!AT151+'2022'!AT133</f>
        <v>0</v>
      </c>
      <c r="AU151" s="174">
        <f>'2018'!AU151+'2019'!AU151+'2020'!AU151+'2021'!AU151+'2022'!AU133</f>
        <v>5</v>
      </c>
      <c r="AV151" s="174">
        <f>'2018'!AV151+'2019'!AV151+'2020'!AV151+'2021'!AV151+'2022'!AV133</f>
        <v>0</v>
      </c>
      <c r="AW151" s="174">
        <f t="shared" si="22"/>
        <v>37</v>
      </c>
      <c r="AX151" s="156">
        <f t="shared" si="24"/>
        <v>3038.44</v>
      </c>
      <c r="AY151" s="14">
        <f>'2018'!AX151+'2019'!AX151+'2020'!AX151+'2021'!AX151+'2022'!AX133</f>
        <v>15192.2</v>
      </c>
      <c r="AZ151" s="14">
        <f t="shared" si="21"/>
        <v>58.730158730158728</v>
      </c>
      <c r="BA151" s="142"/>
      <c r="BB151" s="144"/>
      <c r="BC151" s="142"/>
    </row>
    <row r="152" spans="1:55" x14ac:dyDescent="0.25">
      <c r="A152" s="175" t="s">
        <v>233</v>
      </c>
      <c r="B152" s="176">
        <f>'2018'!B152+'2019'!B152+'2020'!B152+'2021'!B152+'2022'!B98</f>
        <v>8</v>
      </c>
      <c r="C152" s="176">
        <f>'2018'!C152+'2019'!C152+'2020'!C152+'2021'!C152+'2022'!C98</f>
        <v>2</v>
      </c>
      <c r="D152" s="176">
        <f>'2018'!D152+'2019'!D152+'2020'!D152+'2021'!D152+'2022'!D98</f>
        <v>20</v>
      </c>
      <c r="E152" s="176">
        <f>'2018'!E152+'2019'!E152+'2020'!E152+'2021'!E152+'2022'!E98</f>
        <v>2</v>
      </c>
      <c r="F152" s="176">
        <f>'2018'!F152+'2019'!F152+'2020'!F152+'2021'!F152+'2022'!F98</f>
        <v>0</v>
      </c>
      <c r="G152" s="176">
        <f>'2018'!G152+'2019'!G152+'2020'!G152+'2021'!G152+'2022'!G98</f>
        <v>0</v>
      </c>
      <c r="H152" s="176">
        <f>'2018'!H152+'2019'!H152+'2020'!H152+'2021'!H152+'2022'!H98</f>
        <v>7</v>
      </c>
      <c r="I152" s="176">
        <f>'2018'!I152+'2019'!I152+'2020'!I152+'2021'!I152+'2022'!I98</f>
        <v>0</v>
      </c>
      <c r="J152" s="176">
        <f>'2018'!J152+'2019'!J152+'2020'!J152+'2021'!J152+'2022'!J98</f>
        <v>0</v>
      </c>
      <c r="K152" s="176">
        <f>'2018'!K152+'2019'!K152+'2020'!K152+'2021'!K152+'2022'!K98</f>
        <v>0</v>
      </c>
      <c r="L152" s="176">
        <f>'2018'!L152+'2019'!L152+'2020'!L152+'2021'!L152+'2022'!L98</f>
        <v>0</v>
      </c>
      <c r="M152" s="176">
        <f>'2018'!M152+'2019'!M152+'2020'!M152+'2021'!M152+'2022'!M98</f>
        <v>0</v>
      </c>
      <c r="N152" s="176">
        <f>'2018'!N152+'2019'!N152+'2020'!N152+'2021'!N152+'2022'!N98</f>
        <v>0</v>
      </c>
      <c r="O152" s="176">
        <f>'2018'!O152+'2019'!O152+'2020'!O152+'2021'!O152+'2022'!O98</f>
        <v>0</v>
      </c>
      <c r="P152" s="176">
        <f>'2018'!P152+'2019'!P152+'2020'!P152+'2021'!P152+'2022'!P98</f>
        <v>0</v>
      </c>
      <c r="Q152" s="176">
        <f>'2018'!Q152+'2019'!Q152+'2020'!Q152+'2021'!Q152+'2022'!Q98</f>
        <v>0</v>
      </c>
      <c r="R152" s="176">
        <f>'2018'!R152+'2019'!R152+'2020'!R152+'2021'!R152+'2022'!R98</f>
        <v>0</v>
      </c>
      <c r="S152" s="176">
        <f>'2018'!S152+'2019'!S152+'2020'!S152+'2021'!S152+'2022'!S98</f>
        <v>0</v>
      </c>
      <c r="T152" s="176">
        <f>'2018'!T152+'2019'!T152+'2020'!T152+'2021'!T152+'2022'!T98</f>
        <v>0</v>
      </c>
      <c r="U152" s="176">
        <f>'2018'!U152+'2019'!U152+'2020'!U152+'2021'!U152+'2022'!U98</f>
        <v>6</v>
      </c>
      <c r="V152" s="176">
        <f>'2018'!V152+'2019'!V152+'2020'!V152+'2021'!V152+'2022'!V98</f>
        <v>6</v>
      </c>
      <c r="W152" s="176">
        <f>'2018'!W152+'2019'!W152+'2020'!W152+'2021'!W152+'2022'!W98</f>
        <v>0</v>
      </c>
      <c r="X152" s="176">
        <f>'2018'!X152+'2019'!X152+'2020'!X152+'2021'!X152+'2022'!X98</f>
        <v>1</v>
      </c>
      <c r="Y152" s="174">
        <f t="shared" si="23"/>
        <v>20</v>
      </c>
      <c r="Z152" s="174">
        <f>'2018'!Z152+'2019'!Z152+'2020'!Z152+'2021'!Z152+'2022'!Z98</f>
        <v>5</v>
      </c>
      <c r="AA152" s="174">
        <f>'2018'!AA152+'2019'!AA152+'2020'!AA152+'2021'!AA152+'2022'!AA98</f>
        <v>2</v>
      </c>
      <c r="AB152" s="174">
        <f>'2018'!AB152+'2019'!AB152+'2020'!AB152+'2021'!AB152+'2022'!AB98</f>
        <v>18</v>
      </c>
      <c r="AC152" s="174">
        <f>'2018'!AC152+'2019'!AC152+'2020'!AC152+'2021'!AC152+'2022'!AC98</f>
        <v>2</v>
      </c>
      <c r="AD152" s="174">
        <f>'2018'!AD152+'2019'!AD152+'2020'!AD152+'2021'!AD152+'2022'!AD98</f>
        <v>0</v>
      </c>
      <c r="AE152" s="174">
        <f>'2018'!AE152+'2019'!AE152+'2020'!AE152+'2021'!AE152+'2022'!AE98</f>
        <v>0</v>
      </c>
      <c r="AF152" s="174">
        <f>'2018'!AF152+'2019'!AF152+'2020'!AF152+'2021'!AF152+'2022'!AF98</f>
        <v>0</v>
      </c>
      <c r="AG152" s="174">
        <f>'2018'!AG152+'2019'!AG152+'2020'!AG152+'2021'!AG152+'2022'!AG98</f>
        <v>0</v>
      </c>
      <c r="AH152" s="174">
        <f>'2018'!AH152+'2019'!AH152+'2020'!AH152+'2021'!AH152+'2022'!AH98</f>
        <v>0</v>
      </c>
      <c r="AI152" s="174">
        <f>'2018'!AI152+'2019'!AI152+'2020'!AI152+'2021'!AI152+'2022'!AI98</f>
        <v>0</v>
      </c>
      <c r="AJ152" s="174">
        <f>'2018'!AJ152+'2019'!AJ152+'2020'!AJ152+'2021'!AJ152+'2022'!AJ98</f>
        <v>0</v>
      </c>
      <c r="AK152" s="174">
        <f>'2018'!AK152+'2019'!AK152+'2020'!AK152+'2021'!AK152+'2022'!AK98</f>
        <v>0</v>
      </c>
      <c r="AL152" s="174">
        <f>'2018'!AL152+'2019'!AL152+'2020'!AL152+'2021'!AL152+'2022'!AL98</f>
        <v>0</v>
      </c>
      <c r="AM152" s="174">
        <f>'2018'!AM152+'2019'!AM152+'2020'!AM152+'2021'!AM152+'2022'!AM98</f>
        <v>0</v>
      </c>
      <c r="AN152" s="174">
        <f>'2018'!AN152+'2019'!AN152+'2020'!AN152+'2021'!AN152+'2022'!AN98</f>
        <v>0</v>
      </c>
      <c r="AO152" s="174">
        <f>'2018'!AO152+'2019'!AO152+'2020'!AO152+'2021'!AO152+'2022'!AO98</f>
        <v>0</v>
      </c>
      <c r="AP152" s="174">
        <f>'2018'!AP152+'2019'!AP152+'2020'!AP152+'2021'!AP152+'2022'!AP98</f>
        <v>0</v>
      </c>
      <c r="AQ152" s="174">
        <f>'2018'!AQ152+'2019'!AQ152+'2020'!AQ152+'2021'!AQ152+'2022'!AQ98</f>
        <v>0</v>
      </c>
      <c r="AR152" s="174">
        <f>'2018'!AR152+'2019'!AR152+'2020'!AR152+'2021'!AR152+'2022'!AR98</f>
        <v>0</v>
      </c>
      <c r="AS152" s="174">
        <f>'2018'!AS152+'2019'!AS152+'2020'!AS152+'2021'!AS152+'2022'!AS98</f>
        <v>11</v>
      </c>
      <c r="AT152" s="174">
        <f>'2018'!AT152+'2019'!AT152+'2020'!AT152+'2021'!AT152+'2022'!AT98</f>
        <v>6</v>
      </c>
      <c r="AU152" s="174">
        <f>'2018'!AU152+'2019'!AU152+'2020'!AU152+'2021'!AU152+'2022'!AU98</f>
        <v>0</v>
      </c>
      <c r="AV152" s="174">
        <f>'2018'!AV152+'2019'!AV152+'2020'!AV152+'2021'!AV152+'2022'!AV98</f>
        <v>1</v>
      </c>
      <c r="AW152" s="174">
        <f t="shared" si="22"/>
        <v>18</v>
      </c>
      <c r="AX152" s="156">
        <f t="shared" si="24"/>
        <v>1491.8</v>
      </c>
      <c r="AY152" s="14">
        <f>'2018'!AX152+'2019'!AX152+'2020'!AX152+'2021'!AX152+'2022'!AX98</f>
        <v>7459</v>
      </c>
      <c r="AZ152" s="14">
        <f t="shared" si="21"/>
        <v>90</v>
      </c>
      <c r="BA152" s="142"/>
      <c r="BB152" s="144"/>
      <c r="BC152" s="142"/>
    </row>
    <row r="153" spans="1:55" x14ac:dyDescent="0.25">
      <c r="A153" s="175" t="s">
        <v>234</v>
      </c>
      <c r="B153" s="176">
        <f>'2018'!B153+'2019'!B153+'2020'!B153+'2021'!B153+'2022'!B134</f>
        <v>9</v>
      </c>
      <c r="C153" s="176">
        <f>'2018'!C153+'2019'!C153+'2020'!C153+'2021'!C153+'2022'!C134</f>
        <v>0</v>
      </c>
      <c r="D153" s="176">
        <f>'2018'!D153+'2019'!D153+'2020'!D153+'2021'!D153+'2022'!D134</f>
        <v>22</v>
      </c>
      <c r="E153" s="176">
        <f>'2018'!E153+'2019'!E153+'2020'!E153+'2021'!E153+'2022'!E134</f>
        <v>0</v>
      </c>
      <c r="F153" s="176">
        <f>'2018'!F153+'2019'!F153+'2020'!F153+'2021'!F153+'2022'!F134</f>
        <v>0</v>
      </c>
      <c r="G153" s="176">
        <f>'2018'!G153+'2019'!G153+'2020'!G153+'2021'!G153+'2022'!G134</f>
        <v>0</v>
      </c>
      <c r="H153" s="176">
        <f>'2018'!H153+'2019'!H153+'2020'!H153+'2021'!H153+'2022'!H134</f>
        <v>16</v>
      </c>
      <c r="I153" s="176">
        <f>'2018'!I153+'2019'!I153+'2020'!I153+'2021'!I153+'2022'!I134</f>
        <v>0</v>
      </c>
      <c r="J153" s="176">
        <f>'2018'!J153+'2019'!J153+'2020'!J153+'2021'!J153+'2022'!J134</f>
        <v>0</v>
      </c>
      <c r="K153" s="176">
        <f>'2018'!K153+'2019'!K153+'2020'!K153+'2021'!K153+'2022'!K134</f>
        <v>0</v>
      </c>
      <c r="L153" s="176">
        <f>'2018'!L153+'2019'!L153+'2020'!L153+'2021'!L153+'2022'!L134</f>
        <v>0</v>
      </c>
      <c r="M153" s="176">
        <f>'2018'!M153+'2019'!M153+'2020'!M153+'2021'!M153+'2022'!M134</f>
        <v>1</v>
      </c>
      <c r="N153" s="176">
        <f>'2018'!N153+'2019'!N153+'2020'!N153+'2021'!N153+'2022'!N134</f>
        <v>0</v>
      </c>
      <c r="O153" s="176">
        <f>'2018'!O153+'2019'!O153+'2020'!O153+'2021'!O153+'2022'!O134</f>
        <v>0</v>
      </c>
      <c r="P153" s="176">
        <f>'2018'!P153+'2019'!P153+'2020'!P153+'2021'!P153+'2022'!P134</f>
        <v>0</v>
      </c>
      <c r="Q153" s="176">
        <f>'2018'!Q153+'2019'!Q153+'2020'!Q153+'2021'!Q153+'2022'!Q134</f>
        <v>0</v>
      </c>
      <c r="R153" s="176">
        <f>'2018'!R153+'2019'!R153+'2020'!R153+'2021'!R153+'2022'!R134</f>
        <v>0</v>
      </c>
      <c r="S153" s="176">
        <f>'2018'!S153+'2019'!S153+'2020'!S153+'2021'!S153+'2022'!S134</f>
        <v>5</v>
      </c>
      <c r="T153" s="176">
        <f>'2018'!T153+'2019'!T153+'2020'!T153+'2021'!T153+'2022'!T134</f>
        <v>0</v>
      </c>
      <c r="U153" s="176">
        <f>'2018'!U153+'2019'!U153+'2020'!U153+'2021'!U153+'2022'!U134</f>
        <v>0</v>
      </c>
      <c r="V153" s="176">
        <f>'2018'!V153+'2019'!V153+'2020'!V153+'2021'!V153+'2022'!V134</f>
        <v>0</v>
      </c>
      <c r="W153" s="176">
        <f>'2018'!W153+'2019'!W153+'2020'!W153+'2021'!W153+'2022'!W134</f>
        <v>0</v>
      </c>
      <c r="X153" s="176">
        <f>'2018'!X153+'2019'!X153+'2020'!X153+'2021'!X153+'2022'!X134</f>
        <v>0</v>
      </c>
      <c r="Y153" s="174">
        <f t="shared" si="23"/>
        <v>22</v>
      </c>
      <c r="Z153" s="174">
        <f>'2018'!Z153+'2019'!Z153+'2020'!Z153+'2021'!Z153+'2022'!Z134</f>
        <v>4</v>
      </c>
      <c r="AA153" s="174">
        <f>'2018'!AA153+'2019'!AA153+'2020'!AA153+'2021'!AA153+'2022'!AA134</f>
        <v>0</v>
      </c>
      <c r="AB153" s="174">
        <f>'2018'!AB153+'2019'!AB153+'2020'!AB153+'2021'!AB153+'2022'!AB134</f>
        <v>11</v>
      </c>
      <c r="AC153" s="174">
        <f>'2018'!AC153+'2019'!AC153+'2020'!AC153+'2021'!AC153+'2022'!AC134</f>
        <v>0</v>
      </c>
      <c r="AD153" s="174">
        <f>'2018'!AD153+'2019'!AD153+'2020'!AD153+'2021'!AD153+'2022'!AD134</f>
        <v>0</v>
      </c>
      <c r="AE153" s="174">
        <f>'2018'!AE153+'2019'!AE153+'2020'!AE153+'2021'!AE153+'2022'!AE134</f>
        <v>0</v>
      </c>
      <c r="AF153" s="174">
        <f>'2018'!AF153+'2019'!AF153+'2020'!AF153+'2021'!AF153+'2022'!AF134</f>
        <v>7</v>
      </c>
      <c r="AG153" s="174">
        <f>'2018'!AG153+'2019'!AG153+'2020'!AG153+'2021'!AG153+'2022'!AG134</f>
        <v>0</v>
      </c>
      <c r="AH153" s="174">
        <f>'2018'!AH153+'2019'!AH153+'2020'!AH153+'2021'!AH153+'2022'!AH134</f>
        <v>0</v>
      </c>
      <c r="AI153" s="174">
        <f>'2018'!AI153+'2019'!AI153+'2020'!AI153+'2021'!AI153+'2022'!AI134</f>
        <v>0</v>
      </c>
      <c r="AJ153" s="174">
        <f>'2018'!AJ153+'2019'!AJ153+'2020'!AJ153+'2021'!AJ153+'2022'!AJ134</f>
        <v>0</v>
      </c>
      <c r="AK153" s="174">
        <f>'2018'!AK153+'2019'!AK153+'2020'!AK153+'2021'!AK153+'2022'!AK134</f>
        <v>1</v>
      </c>
      <c r="AL153" s="174">
        <f>'2018'!AL153+'2019'!AL153+'2020'!AL153+'2021'!AL153+'2022'!AL134</f>
        <v>0</v>
      </c>
      <c r="AM153" s="174">
        <f>'2018'!AM153+'2019'!AM153+'2020'!AM153+'2021'!AM153+'2022'!AM134</f>
        <v>0</v>
      </c>
      <c r="AN153" s="174">
        <f>'2018'!AN153+'2019'!AN153+'2020'!AN153+'2021'!AN153+'2022'!AN134</f>
        <v>0</v>
      </c>
      <c r="AO153" s="174">
        <f>'2018'!AO153+'2019'!AO153+'2020'!AO153+'2021'!AO153+'2022'!AO134</f>
        <v>0</v>
      </c>
      <c r="AP153" s="174">
        <f>'2018'!AP153+'2019'!AP153+'2020'!AP153+'2021'!AP153+'2022'!AP134</f>
        <v>0</v>
      </c>
      <c r="AQ153" s="174">
        <f>'2018'!AQ153+'2019'!AQ153+'2020'!AQ153+'2021'!AQ153+'2022'!AQ134</f>
        <v>3</v>
      </c>
      <c r="AR153" s="174">
        <f>'2018'!AR153+'2019'!AR153+'2020'!AR153+'2021'!AR153+'2022'!AR134</f>
        <v>0</v>
      </c>
      <c r="AS153" s="174">
        <f>'2018'!AS153+'2019'!AS153+'2020'!AS153+'2021'!AS153+'2022'!AS134</f>
        <v>0</v>
      </c>
      <c r="AT153" s="174">
        <f>'2018'!AT153+'2019'!AT153+'2020'!AT153+'2021'!AT153+'2022'!AT134</f>
        <v>0</v>
      </c>
      <c r="AU153" s="174">
        <f>'2018'!AU153+'2019'!AU153+'2020'!AU153+'2021'!AU153+'2022'!AU134</f>
        <v>0</v>
      </c>
      <c r="AV153" s="174">
        <f>'2018'!AV153+'2019'!AV153+'2020'!AV153+'2021'!AV153+'2022'!AV134</f>
        <v>0</v>
      </c>
      <c r="AW153" s="174">
        <f t="shared" si="22"/>
        <v>11</v>
      </c>
      <c r="AX153" s="156">
        <f t="shared" si="24"/>
        <v>1461.2</v>
      </c>
      <c r="AY153" s="14">
        <f>'2018'!AX153+'2019'!AX153+'2020'!AX153+'2021'!AX153+'2022'!AX134</f>
        <v>7306</v>
      </c>
      <c r="AZ153" s="14">
        <f t="shared" si="21"/>
        <v>50</v>
      </c>
      <c r="BA153" s="142"/>
      <c r="BB153" s="144"/>
      <c r="BC153" s="142"/>
    </row>
    <row r="154" spans="1:55" x14ac:dyDescent="0.25">
      <c r="A154" s="175" t="s">
        <v>235</v>
      </c>
      <c r="B154" s="176">
        <f>'2018'!B154+'2019'!B154+'2020'!B154+'2021'!B154+'2022'!B135</f>
        <v>0</v>
      </c>
      <c r="C154" s="176">
        <f>'2018'!C154+'2019'!C154+'2020'!C154+'2021'!C154+'2022'!C135</f>
        <v>0</v>
      </c>
      <c r="D154" s="176">
        <f>'2018'!D154+'2019'!D154+'2020'!D154+'2021'!D154+'2022'!D135</f>
        <v>0</v>
      </c>
      <c r="E154" s="176">
        <f>'2018'!E154+'2019'!E154+'2020'!E154+'2021'!E154+'2022'!E135</f>
        <v>0</v>
      </c>
      <c r="F154" s="176">
        <f>'2018'!F154+'2019'!F154+'2020'!F154+'2021'!F154+'2022'!F135</f>
        <v>0</v>
      </c>
      <c r="G154" s="176">
        <f>'2018'!G154+'2019'!G154+'2020'!G154+'2021'!G154+'2022'!G135</f>
        <v>0</v>
      </c>
      <c r="H154" s="176">
        <f>'2018'!H154+'2019'!H154+'2020'!H154+'2021'!H154+'2022'!H135</f>
        <v>0</v>
      </c>
      <c r="I154" s="176">
        <f>'2018'!I154+'2019'!I154+'2020'!I154+'2021'!I154+'2022'!I135</f>
        <v>0</v>
      </c>
      <c r="J154" s="176">
        <f>'2018'!J154+'2019'!J154+'2020'!J154+'2021'!J154+'2022'!J135</f>
        <v>0</v>
      </c>
      <c r="K154" s="176">
        <f>'2018'!K154+'2019'!K154+'2020'!K154+'2021'!K154+'2022'!K135</f>
        <v>0</v>
      </c>
      <c r="L154" s="176">
        <f>'2018'!L154+'2019'!L154+'2020'!L154+'2021'!L154+'2022'!L135</f>
        <v>0</v>
      </c>
      <c r="M154" s="176">
        <f>'2018'!M154+'2019'!M154+'2020'!M154+'2021'!M154+'2022'!M135</f>
        <v>0</v>
      </c>
      <c r="N154" s="176">
        <f>'2018'!N154+'2019'!N154+'2020'!N154+'2021'!N154+'2022'!N135</f>
        <v>0</v>
      </c>
      <c r="O154" s="176">
        <f>'2018'!O154+'2019'!O154+'2020'!O154+'2021'!O154+'2022'!O135</f>
        <v>0</v>
      </c>
      <c r="P154" s="176">
        <f>'2018'!P154+'2019'!P154+'2020'!P154+'2021'!P154+'2022'!P135</f>
        <v>0</v>
      </c>
      <c r="Q154" s="176">
        <f>'2018'!Q154+'2019'!Q154+'2020'!Q154+'2021'!Q154+'2022'!Q135</f>
        <v>0</v>
      </c>
      <c r="R154" s="176">
        <f>'2018'!R154+'2019'!R154+'2020'!R154+'2021'!R154+'2022'!R135</f>
        <v>0</v>
      </c>
      <c r="S154" s="176">
        <f>'2018'!S154+'2019'!S154+'2020'!S154+'2021'!S154+'2022'!S135</f>
        <v>0</v>
      </c>
      <c r="T154" s="176">
        <f>'2018'!T154+'2019'!T154+'2020'!T154+'2021'!T154+'2022'!T135</f>
        <v>0</v>
      </c>
      <c r="U154" s="176">
        <f>'2018'!U154+'2019'!U154+'2020'!U154+'2021'!U154+'2022'!U135</f>
        <v>0</v>
      </c>
      <c r="V154" s="176">
        <f>'2018'!V154+'2019'!V154+'2020'!V154+'2021'!V154+'2022'!V135</f>
        <v>0</v>
      </c>
      <c r="W154" s="176">
        <f>'2018'!W154+'2019'!W154+'2020'!W154+'2021'!W154+'2022'!W135</f>
        <v>0</v>
      </c>
      <c r="X154" s="176">
        <f>'2018'!X154+'2019'!X154+'2020'!X154+'2021'!X154+'2022'!X135</f>
        <v>0</v>
      </c>
      <c r="Y154" s="174">
        <f t="shared" si="23"/>
        <v>0</v>
      </c>
      <c r="Z154" s="174">
        <f>'2018'!Z154+'2019'!Z154+'2020'!Z154+'2021'!Z154+'2022'!Z135</f>
        <v>0</v>
      </c>
      <c r="AA154" s="174">
        <f>'2018'!AA154+'2019'!AA154+'2020'!AA154+'2021'!AA154+'2022'!AA135</f>
        <v>0</v>
      </c>
      <c r="AB154" s="174">
        <f>'2018'!AB154+'2019'!AB154+'2020'!AB154+'2021'!AB154+'2022'!AB135</f>
        <v>0</v>
      </c>
      <c r="AC154" s="174">
        <f>'2018'!AC154+'2019'!AC154+'2020'!AC154+'2021'!AC154+'2022'!AC135</f>
        <v>0</v>
      </c>
      <c r="AD154" s="174">
        <f>'2018'!AD154+'2019'!AD154+'2020'!AD154+'2021'!AD154+'2022'!AD135</f>
        <v>0</v>
      </c>
      <c r="AE154" s="174">
        <f>'2018'!AE154+'2019'!AE154+'2020'!AE154+'2021'!AE154+'2022'!AE135</f>
        <v>0</v>
      </c>
      <c r="AF154" s="174">
        <f>'2018'!AF154+'2019'!AF154+'2020'!AF154+'2021'!AF154+'2022'!AF135</f>
        <v>0</v>
      </c>
      <c r="AG154" s="174">
        <f>'2018'!AG154+'2019'!AG154+'2020'!AG154+'2021'!AG154+'2022'!AG135</f>
        <v>0</v>
      </c>
      <c r="AH154" s="174">
        <f>'2018'!AH154+'2019'!AH154+'2020'!AH154+'2021'!AH154+'2022'!AH135</f>
        <v>0</v>
      </c>
      <c r="AI154" s="174">
        <f>'2018'!AI154+'2019'!AI154+'2020'!AI154+'2021'!AI154+'2022'!AI135</f>
        <v>0</v>
      </c>
      <c r="AJ154" s="174">
        <f>'2018'!AJ154+'2019'!AJ154+'2020'!AJ154+'2021'!AJ154+'2022'!AJ135</f>
        <v>0</v>
      </c>
      <c r="AK154" s="174">
        <f>'2018'!AK154+'2019'!AK154+'2020'!AK154+'2021'!AK154+'2022'!AK135</f>
        <v>0</v>
      </c>
      <c r="AL154" s="174">
        <f>'2018'!AL154+'2019'!AL154+'2020'!AL154+'2021'!AL154+'2022'!AL135</f>
        <v>0</v>
      </c>
      <c r="AM154" s="174">
        <f>'2018'!AM154+'2019'!AM154+'2020'!AM154+'2021'!AM154+'2022'!AM135</f>
        <v>0</v>
      </c>
      <c r="AN154" s="174">
        <f>'2018'!AN154+'2019'!AN154+'2020'!AN154+'2021'!AN154+'2022'!AN135</f>
        <v>0</v>
      </c>
      <c r="AO154" s="174">
        <f>'2018'!AO154+'2019'!AO154+'2020'!AO154+'2021'!AO154+'2022'!AO135</f>
        <v>0</v>
      </c>
      <c r="AP154" s="174">
        <f>'2018'!AP154+'2019'!AP154+'2020'!AP154+'2021'!AP154+'2022'!AP135</f>
        <v>0</v>
      </c>
      <c r="AQ154" s="174">
        <f>'2018'!AQ154+'2019'!AQ154+'2020'!AQ154+'2021'!AQ154+'2022'!AQ135</f>
        <v>0</v>
      </c>
      <c r="AR154" s="174">
        <f>'2018'!AR154+'2019'!AR154+'2020'!AR154+'2021'!AR154+'2022'!AR135</f>
        <v>0</v>
      </c>
      <c r="AS154" s="174">
        <f>'2018'!AS154+'2019'!AS154+'2020'!AS154+'2021'!AS154+'2022'!AS135</f>
        <v>0</v>
      </c>
      <c r="AT154" s="174">
        <f>'2018'!AT154+'2019'!AT154+'2020'!AT154+'2021'!AT154+'2022'!AT135</f>
        <v>0</v>
      </c>
      <c r="AU154" s="174">
        <f>'2018'!AU154+'2019'!AU154+'2020'!AU154+'2021'!AU154+'2022'!AU135</f>
        <v>0</v>
      </c>
      <c r="AV154" s="174">
        <f>'2018'!AV154+'2019'!AV154+'2020'!AV154+'2021'!AV154+'2022'!AV135</f>
        <v>0</v>
      </c>
      <c r="AW154" s="174"/>
      <c r="AX154" s="156"/>
      <c r="AY154" s="110"/>
      <c r="AZ154" s="110"/>
      <c r="BA154" s="142"/>
      <c r="BB154" s="142"/>
      <c r="BC154" s="142"/>
    </row>
    <row r="155" spans="1:55" x14ac:dyDescent="0.25">
      <c r="A155" s="175" t="s">
        <v>236</v>
      </c>
      <c r="B155" s="176">
        <f>'2018'!B155+'2019'!B155+'2020'!B155+'2021'!B155+'2022'!B136</f>
        <v>40</v>
      </c>
      <c r="C155" s="176">
        <f>'2018'!C155+'2019'!C155+'2020'!C155+'2021'!C155+'2022'!C136</f>
        <v>0</v>
      </c>
      <c r="D155" s="176">
        <f>'2018'!D155+'2019'!D155+'2020'!D155+'2021'!D155+'2022'!D136</f>
        <v>99</v>
      </c>
      <c r="E155" s="176">
        <f>'2018'!E155+'2019'!E155+'2020'!E155+'2021'!E155+'2022'!E136</f>
        <v>0</v>
      </c>
      <c r="F155" s="176">
        <f>'2018'!F155+'2019'!F155+'2020'!F155+'2021'!F155+'2022'!F136</f>
        <v>0</v>
      </c>
      <c r="G155" s="176">
        <f>'2018'!G155+'2019'!G155+'2020'!G155+'2021'!G155+'2022'!G136</f>
        <v>0</v>
      </c>
      <c r="H155" s="176">
        <f>'2018'!H155+'2019'!H155+'2020'!H155+'2021'!H155+'2022'!H136</f>
        <v>33</v>
      </c>
      <c r="I155" s="176">
        <f>'2018'!I155+'2019'!I155+'2020'!I155+'2021'!I155+'2022'!I136</f>
        <v>0</v>
      </c>
      <c r="J155" s="176">
        <f>'2018'!J155+'2019'!J155+'2020'!J155+'2021'!J155+'2022'!J136</f>
        <v>1</v>
      </c>
      <c r="K155" s="176">
        <f>'2018'!K155+'2019'!K155+'2020'!K155+'2021'!K155+'2022'!K136</f>
        <v>5</v>
      </c>
      <c r="L155" s="176">
        <f>'2018'!L155+'2019'!L155+'2020'!L155+'2021'!L155+'2022'!L136</f>
        <v>36</v>
      </c>
      <c r="M155" s="176">
        <f>'2018'!M155+'2019'!M155+'2020'!M155+'2021'!M155+'2022'!M136</f>
        <v>23</v>
      </c>
      <c r="N155" s="176">
        <f>'2018'!N155+'2019'!N155+'2020'!N155+'2021'!N155+'2022'!N136</f>
        <v>0</v>
      </c>
      <c r="O155" s="176">
        <f>'2018'!O155+'2019'!O155+'2020'!O155+'2021'!O155+'2022'!O136</f>
        <v>0</v>
      </c>
      <c r="P155" s="176">
        <f>'2018'!P155+'2019'!P155+'2020'!P155+'2021'!P155+'2022'!P136</f>
        <v>0</v>
      </c>
      <c r="Q155" s="176">
        <f>'2018'!Q155+'2019'!Q155+'2020'!Q155+'2021'!Q155+'2022'!Q136</f>
        <v>0</v>
      </c>
      <c r="R155" s="176">
        <f>'2018'!R155+'2019'!R155+'2020'!R155+'2021'!R155+'2022'!R136</f>
        <v>0</v>
      </c>
      <c r="S155" s="176">
        <f>'2018'!S155+'2019'!S155+'2020'!S155+'2021'!S155+'2022'!S136</f>
        <v>1</v>
      </c>
      <c r="T155" s="176">
        <f>'2018'!T155+'2019'!T155+'2020'!T155+'2021'!T155+'2022'!T136</f>
        <v>0</v>
      </c>
      <c r="U155" s="176">
        <f>'2018'!U155+'2019'!U155+'2020'!U155+'2021'!U155+'2022'!U136</f>
        <v>0</v>
      </c>
      <c r="V155" s="176">
        <f>'2018'!V155+'2019'!V155+'2020'!V155+'2021'!V155+'2022'!V136</f>
        <v>0</v>
      </c>
      <c r="W155" s="176">
        <f>'2018'!W155+'2019'!W155+'2020'!W155+'2021'!W155+'2022'!W136</f>
        <v>0</v>
      </c>
      <c r="X155" s="176">
        <f>'2018'!X155+'2019'!X155+'2020'!X155+'2021'!X155+'2022'!X136</f>
        <v>0</v>
      </c>
      <c r="Y155" s="174">
        <f t="shared" si="23"/>
        <v>99</v>
      </c>
      <c r="Z155" s="174">
        <f>'2018'!Z155+'2019'!Z155+'2020'!Z155+'2021'!Z155+'2022'!Z136</f>
        <v>32</v>
      </c>
      <c r="AA155" s="174">
        <f>'2018'!AA155+'2019'!AA155+'2020'!AA155+'2021'!AA155+'2022'!AA136</f>
        <v>0</v>
      </c>
      <c r="AB155" s="174">
        <f>'2018'!AB155+'2019'!AB155+'2020'!AB155+'2021'!AB155+'2022'!AB136</f>
        <v>81</v>
      </c>
      <c r="AC155" s="174">
        <f>'2018'!AC155+'2019'!AC155+'2020'!AC155+'2021'!AC155+'2022'!AC136</f>
        <v>0</v>
      </c>
      <c r="AD155" s="174">
        <f>'2018'!AD155+'2019'!AD155+'2020'!AD155+'2021'!AD155+'2022'!AD136</f>
        <v>0</v>
      </c>
      <c r="AE155" s="174">
        <f>'2018'!AE155+'2019'!AE155+'2020'!AE155+'2021'!AE155+'2022'!AE136</f>
        <v>0</v>
      </c>
      <c r="AF155" s="174">
        <f>'2018'!AF155+'2019'!AF155+'2020'!AF155+'2021'!AF155+'2022'!AF136</f>
        <v>26</v>
      </c>
      <c r="AG155" s="174">
        <f>'2018'!AG155+'2019'!AG155+'2020'!AG155+'2021'!AG155+'2022'!AG136</f>
        <v>0</v>
      </c>
      <c r="AH155" s="174">
        <f>'2018'!AH155+'2019'!AH155+'2020'!AH155+'2021'!AH155+'2022'!AH136</f>
        <v>1</v>
      </c>
      <c r="AI155" s="174">
        <f>'2018'!AI155+'2019'!AI155+'2020'!AI155+'2021'!AI155+'2022'!AI136</f>
        <v>5</v>
      </c>
      <c r="AJ155" s="174">
        <f>'2018'!AJ155+'2019'!AJ155+'2020'!AJ155+'2021'!AJ155+'2022'!AJ136</f>
        <v>31</v>
      </c>
      <c r="AK155" s="174">
        <f>'2018'!AK155+'2019'!AK155+'2020'!AK155+'2021'!AK155+'2022'!AK136</f>
        <v>17</v>
      </c>
      <c r="AL155" s="174">
        <f>'2018'!AL155+'2019'!AL155+'2020'!AL155+'2021'!AL155+'2022'!AL136</f>
        <v>0</v>
      </c>
      <c r="AM155" s="174">
        <f>'2018'!AM155+'2019'!AM155+'2020'!AM155+'2021'!AM155+'2022'!AM136</f>
        <v>0</v>
      </c>
      <c r="AN155" s="174">
        <f>'2018'!AN155+'2019'!AN155+'2020'!AN155+'2021'!AN155+'2022'!AN136</f>
        <v>0</v>
      </c>
      <c r="AO155" s="174">
        <f>'2018'!AO155+'2019'!AO155+'2020'!AO155+'2021'!AO155+'2022'!AO136</f>
        <v>0</v>
      </c>
      <c r="AP155" s="174">
        <f>'2018'!AP155+'2019'!AP155+'2020'!AP155+'2021'!AP155+'2022'!AP136</f>
        <v>0</v>
      </c>
      <c r="AQ155" s="174">
        <f>'2018'!AQ155+'2019'!AQ155+'2020'!AQ155+'2021'!AQ155+'2022'!AQ136</f>
        <v>1</v>
      </c>
      <c r="AR155" s="174">
        <f>'2018'!AR155+'2019'!AR155+'2020'!AR155+'2021'!AR155+'2022'!AR136</f>
        <v>0</v>
      </c>
      <c r="AS155" s="174">
        <f>'2018'!AS155+'2019'!AS155+'2020'!AS155+'2021'!AS155+'2022'!AS136</f>
        <v>0</v>
      </c>
      <c r="AT155" s="174">
        <f>'2018'!AT155+'2019'!AT155+'2020'!AT155+'2021'!AT155+'2022'!AT136</f>
        <v>0</v>
      </c>
      <c r="AU155" s="174">
        <f>'2018'!AU155+'2019'!AU155+'2020'!AU155+'2021'!AU155+'2022'!AU136</f>
        <v>0</v>
      </c>
      <c r="AV155" s="174">
        <f>'2018'!AV155+'2019'!AV155+'2020'!AV155+'2021'!AV155+'2022'!AV136</f>
        <v>0</v>
      </c>
      <c r="AW155" s="174">
        <f t="shared" si="22"/>
        <v>81</v>
      </c>
      <c r="AX155" s="156">
        <f t="shared" si="24"/>
        <v>1838.8448000000001</v>
      </c>
      <c r="AY155" s="14">
        <f>'2018'!AX155+'2019'!AX155+'2020'!AX155+'2021'!AX155+'2022'!AX136</f>
        <v>9194.2240000000002</v>
      </c>
      <c r="AZ155" s="14">
        <f t="shared" si="21"/>
        <v>81.818181818181813</v>
      </c>
      <c r="BA155" s="142"/>
      <c r="BB155" s="144"/>
      <c r="BC155" s="142"/>
    </row>
    <row r="156" spans="1:55" x14ac:dyDescent="0.25">
      <c r="A156" s="175" t="s">
        <v>237</v>
      </c>
      <c r="B156" s="176">
        <f>'2018'!B156+'2019'!B156+'2020'!B156+'2021'!B156+'2022'!B137</f>
        <v>8</v>
      </c>
      <c r="C156" s="176">
        <f>'2018'!C156+'2019'!C156+'2020'!C156+'2021'!C156+'2022'!C137</f>
        <v>0</v>
      </c>
      <c r="D156" s="176">
        <f>'2018'!D156+'2019'!D156+'2020'!D156+'2021'!D156+'2022'!D137</f>
        <v>23</v>
      </c>
      <c r="E156" s="176">
        <f>'2018'!E156+'2019'!E156+'2020'!E156+'2021'!E156+'2022'!E137</f>
        <v>0</v>
      </c>
      <c r="F156" s="176">
        <f>'2018'!F156+'2019'!F156+'2020'!F156+'2021'!F156+'2022'!F137</f>
        <v>0</v>
      </c>
      <c r="G156" s="176">
        <f>'2018'!G156+'2019'!G156+'2020'!G156+'2021'!G156+'2022'!G137</f>
        <v>0</v>
      </c>
      <c r="H156" s="176">
        <f>'2018'!H156+'2019'!H156+'2020'!H156+'2021'!H156+'2022'!H137</f>
        <v>17</v>
      </c>
      <c r="I156" s="176">
        <f>'2018'!I156+'2019'!I156+'2020'!I156+'2021'!I156+'2022'!I137</f>
        <v>0</v>
      </c>
      <c r="J156" s="176">
        <f>'2018'!J156+'2019'!J156+'2020'!J156+'2021'!J156+'2022'!J137</f>
        <v>0</v>
      </c>
      <c r="K156" s="176">
        <f>'2018'!K156+'2019'!K156+'2020'!K156+'2021'!K156+'2022'!K137</f>
        <v>1</v>
      </c>
      <c r="L156" s="176">
        <f>'2018'!L156+'2019'!L156+'2020'!L156+'2021'!L156+'2022'!L137</f>
        <v>1</v>
      </c>
      <c r="M156" s="176">
        <f>'2018'!M156+'2019'!M156+'2020'!M156+'2021'!M156+'2022'!M137</f>
        <v>1</v>
      </c>
      <c r="N156" s="176">
        <f>'2018'!N156+'2019'!N156+'2020'!N156+'2021'!N156+'2022'!N137</f>
        <v>0</v>
      </c>
      <c r="O156" s="176">
        <f>'2018'!O156+'2019'!O156+'2020'!O156+'2021'!O156+'2022'!O137</f>
        <v>0</v>
      </c>
      <c r="P156" s="176">
        <f>'2018'!P156+'2019'!P156+'2020'!P156+'2021'!P156+'2022'!P137</f>
        <v>0</v>
      </c>
      <c r="Q156" s="176">
        <f>'2018'!Q156+'2019'!Q156+'2020'!Q156+'2021'!Q156+'2022'!Q137</f>
        <v>0</v>
      </c>
      <c r="R156" s="176">
        <f>'2018'!R156+'2019'!R156+'2020'!R156+'2021'!R156+'2022'!R137</f>
        <v>0</v>
      </c>
      <c r="S156" s="176">
        <f>'2018'!S156+'2019'!S156+'2020'!S156+'2021'!S156+'2022'!S137</f>
        <v>0</v>
      </c>
      <c r="T156" s="176">
        <f>'2018'!T156+'2019'!T156+'2020'!T156+'2021'!T156+'2022'!T137</f>
        <v>0</v>
      </c>
      <c r="U156" s="176">
        <f>'2018'!U156+'2019'!U156+'2020'!U156+'2021'!U156+'2022'!U137</f>
        <v>3</v>
      </c>
      <c r="V156" s="176">
        <f>'2018'!V156+'2019'!V156+'2020'!V156+'2021'!V156+'2022'!V137</f>
        <v>0</v>
      </c>
      <c r="W156" s="176">
        <f>'2018'!W156+'2019'!W156+'2020'!W156+'2021'!W156+'2022'!W137</f>
        <v>0</v>
      </c>
      <c r="X156" s="176">
        <f>'2018'!X156+'2019'!X156+'2020'!X156+'2021'!X156+'2022'!X137</f>
        <v>0</v>
      </c>
      <c r="Y156" s="174">
        <f t="shared" si="23"/>
        <v>23</v>
      </c>
      <c r="Z156" s="174">
        <f>'2018'!Z156+'2019'!Z156+'2020'!Z156+'2021'!Z156+'2022'!Z137</f>
        <v>4</v>
      </c>
      <c r="AA156" s="174">
        <f>'2018'!AA156+'2019'!AA156+'2020'!AA156+'2021'!AA156+'2022'!AA137</f>
        <v>0</v>
      </c>
      <c r="AB156" s="174">
        <f>'2018'!AB156+'2019'!AB156+'2020'!AB156+'2021'!AB156+'2022'!AB137</f>
        <v>19</v>
      </c>
      <c r="AC156" s="174">
        <f>'2018'!AC156+'2019'!AC156+'2020'!AC156+'2021'!AC156+'2022'!AC137</f>
        <v>0</v>
      </c>
      <c r="AD156" s="174">
        <f>'2018'!AD156+'2019'!AD156+'2020'!AD156+'2021'!AD156+'2022'!AD137</f>
        <v>0</v>
      </c>
      <c r="AE156" s="174">
        <f>'2018'!AE156+'2019'!AE156+'2020'!AE156+'2021'!AE156+'2022'!AE137</f>
        <v>0</v>
      </c>
      <c r="AF156" s="174">
        <f>'2018'!AF156+'2019'!AF156+'2020'!AF156+'2021'!AF156+'2022'!AF137</f>
        <v>17</v>
      </c>
      <c r="AG156" s="174">
        <f>'2018'!AG156+'2019'!AG156+'2020'!AG156+'2021'!AG156+'2022'!AG137</f>
        <v>0</v>
      </c>
      <c r="AH156" s="174">
        <f>'2018'!AH156+'2019'!AH156+'2020'!AH156+'2021'!AH156+'2022'!AH137</f>
        <v>0</v>
      </c>
      <c r="AI156" s="174">
        <f>'2018'!AI156+'2019'!AI156+'2020'!AI156+'2021'!AI156+'2022'!AI137</f>
        <v>0</v>
      </c>
      <c r="AJ156" s="174">
        <f>'2018'!AJ156+'2019'!AJ156+'2020'!AJ156+'2021'!AJ156+'2022'!AJ137</f>
        <v>1</v>
      </c>
      <c r="AK156" s="174">
        <f>'2018'!AK156+'2019'!AK156+'2020'!AK156+'2021'!AK156+'2022'!AK137</f>
        <v>1</v>
      </c>
      <c r="AL156" s="174">
        <f>'2018'!AL156+'2019'!AL156+'2020'!AL156+'2021'!AL156+'2022'!AL137</f>
        <v>0</v>
      </c>
      <c r="AM156" s="174">
        <f>'2018'!AM156+'2019'!AM156+'2020'!AM156+'2021'!AM156+'2022'!AM137</f>
        <v>0</v>
      </c>
      <c r="AN156" s="174">
        <f>'2018'!AN156+'2019'!AN156+'2020'!AN156+'2021'!AN156+'2022'!AN137</f>
        <v>0</v>
      </c>
      <c r="AO156" s="174">
        <f>'2018'!AO156+'2019'!AO156+'2020'!AO156+'2021'!AO156+'2022'!AO137</f>
        <v>0</v>
      </c>
      <c r="AP156" s="174">
        <f>'2018'!AP156+'2019'!AP156+'2020'!AP156+'2021'!AP156+'2022'!AP137</f>
        <v>0</v>
      </c>
      <c r="AQ156" s="174">
        <f>'2018'!AQ156+'2019'!AQ156+'2020'!AQ156+'2021'!AQ156+'2022'!AQ137</f>
        <v>0</v>
      </c>
      <c r="AR156" s="174">
        <f>'2018'!AR156+'2019'!AR156+'2020'!AR156+'2021'!AR156+'2022'!AR137</f>
        <v>0</v>
      </c>
      <c r="AS156" s="174">
        <f>'2018'!AS156+'2019'!AS156+'2020'!AS156+'2021'!AS156+'2022'!AS137</f>
        <v>0</v>
      </c>
      <c r="AT156" s="174">
        <f>'2018'!AT156+'2019'!AT156+'2020'!AT156+'2021'!AT156+'2022'!AT137</f>
        <v>0</v>
      </c>
      <c r="AU156" s="174">
        <f>'2018'!AU156+'2019'!AU156+'2020'!AU156+'2021'!AU156+'2022'!AU137</f>
        <v>0</v>
      </c>
      <c r="AV156" s="174">
        <f>'2018'!AV156+'2019'!AV156+'2020'!AV156+'2021'!AV156+'2022'!AV137</f>
        <v>0</v>
      </c>
      <c r="AW156" s="174">
        <f t="shared" si="22"/>
        <v>19</v>
      </c>
      <c r="AX156" s="156">
        <f t="shared" si="24"/>
        <v>450</v>
      </c>
      <c r="AY156" s="14">
        <f>'2018'!AX156+'2019'!AX156+'2020'!AX156+'2021'!AX156+'2022'!AX137</f>
        <v>2250</v>
      </c>
      <c r="AZ156" s="14">
        <f t="shared" si="21"/>
        <v>82.608695652173907</v>
      </c>
      <c r="BA156" s="142"/>
      <c r="BB156" s="144"/>
      <c r="BC156" s="142"/>
    </row>
    <row r="157" spans="1:55" x14ac:dyDescent="0.25">
      <c r="A157" s="175" t="s">
        <v>238</v>
      </c>
      <c r="B157" s="176">
        <f>'2018'!B157+'2019'!B157+'2020'!B157+'2021'!B157+'2022'!B138</f>
        <v>24</v>
      </c>
      <c r="C157" s="176">
        <f>'2018'!C157+'2019'!C157+'2020'!C157+'2021'!C157+'2022'!C138</f>
        <v>0</v>
      </c>
      <c r="D157" s="176">
        <f>'2018'!D157+'2019'!D157+'2020'!D157+'2021'!D157+'2022'!D138</f>
        <v>89</v>
      </c>
      <c r="E157" s="176">
        <f>'2018'!E157+'2019'!E157+'2020'!E157+'2021'!E157+'2022'!E138</f>
        <v>0</v>
      </c>
      <c r="F157" s="176">
        <f>'2018'!F157+'2019'!F157+'2020'!F157+'2021'!F157+'2022'!F138</f>
        <v>0</v>
      </c>
      <c r="G157" s="176">
        <f>'2018'!G157+'2019'!G157+'2020'!G157+'2021'!G157+'2022'!G138</f>
        <v>0</v>
      </c>
      <c r="H157" s="176">
        <f>'2018'!H157+'2019'!H157+'2020'!H157+'2021'!H157+'2022'!H138</f>
        <v>47</v>
      </c>
      <c r="I157" s="176">
        <f>'2018'!I157+'2019'!I157+'2020'!I157+'2021'!I157+'2022'!I138</f>
        <v>0</v>
      </c>
      <c r="J157" s="176">
        <f>'2018'!J157+'2019'!J157+'2020'!J157+'2021'!J157+'2022'!J138</f>
        <v>0</v>
      </c>
      <c r="K157" s="176">
        <f>'2018'!K157+'2019'!K157+'2020'!K157+'2021'!K157+'2022'!K138</f>
        <v>17</v>
      </c>
      <c r="L157" s="176">
        <f>'2018'!L157+'2019'!L157+'2020'!L157+'2021'!L157+'2022'!L138</f>
        <v>1</v>
      </c>
      <c r="M157" s="176">
        <f>'2018'!M157+'2019'!M157+'2020'!M157+'2021'!M157+'2022'!M138</f>
        <v>24</v>
      </c>
      <c r="N157" s="176">
        <f>'2018'!N157+'2019'!N157+'2020'!N157+'2021'!N157+'2022'!N138</f>
        <v>0</v>
      </c>
      <c r="O157" s="176">
        <f>'2018'!O157+'2019'!O157+'2020'!O157+'2021'!O157+'2022'!O138</f>
        <v>0</v>
      </c>
      <c r="P157" s="176">
        <f>'2018'!P157+'2019'!P157+'2020'!P157+'2021'!P157+'2022'!P138</f>
        <v>0</v>
      </c>
      <c r="Q157" s="176">
        <f>'2018'!Q157+'2019'!Q157+'2020'!Q157+'2021'!Q157+'2022'!Q138</f>
        <v>0</v>
      </c>
      <c r="R157" s="176">
        <f>'2018'!R157+'2019'!R157+'2020'!R157+'2021'!R157+'2022'!R138</f>
        <v>0</v>
      </c>
      <c r="S157" s="176">
        <f>'2018'!S157+'2019'!S157+'2020'!S157+'2021'!S157+'2022'!S138</f>
        <v>0</v>
      </c>
      <c r="T157" s="176">
        <f>'2018'!T157+'2019'!T157+'2020'!T157+'2021'!T157+'2022'!T138</f>
        <v>0</v>
      </c>
      <c r="U157" s="176">
        <f>'2018'!U157+'2019'!U157+'2020'!U157+'2021'!U157+'2022'!U138</f>
        <v>0</v>
      </c>
      <c r="V157" s="176">
        <f>'2018'!V157+'2019'!V157+'2020'!V157+'2021'!V157+'2022'!V138</f>
        <v>0</v>
      </c>
      <c r="W157" s="176">
        <f>'2018'!W157+'2019'!W157+'2020'!W157+'2021'!W157+'2022'!W138</f>
        <v>0</v>
      </c>
      <c r="X157" s="176">
        <f>'2018'!X157+'2019'!X157+'2020'!X157+'2021'!X157+'2022'!X138</f>
        <v>0</v>
      </c>
      <c r="Y157" s="174">
        <f t="shared" si="23"/>
        <v>89</v>
      </c>
      <c r="Z157" s="174">
        <f>'2018'!Z157+'2019'!Z157+'2020'!Z157+'2021'!Z157+'2022'!Z138</f>
        <v>23</v>
      </c>
      <c r="AA157" s="174">
        <f>'2018'!AA157+'2019'!AA157+'2020'!AA157+'2021'!AA157+'2022'!AA138</f>
        <v>0</v>
      </c>
      <c r="AB157" s="174">
        <f>'2018'!AB157+'2019'!AB157+'2020'!AB157+'2021'!AB157+'2022'!AB138</f>
        <v>63</v>
      </c>
      <c r="AC157" s="174">
        <f>'2018'!AC157+'2019'!AC157+'2020'!AC157+'2021'!AC157+'2022'!AC138</f>
        <v>0</v>
      </c>
      <c r="AD157" s="174">
        <f>'2018'!AD157+'2019'!AD157+'2020'!AD157+'2021'!AD157+'2022'!AD138</f>
        <v>0</v>
      </c>
      <c r="AE157" s="174">
        <f>'2018'!AE157+'2019'!AE157+'2020'!AE157+'2021'!AE157+'2022'!AE138</f>
        <v>0</v>
      </c>
      <c r="AF157" s="174">
        <f>'2018'!AF157+'2019'!AF157+'2020'!AF157+'2021'!AF157+'2022'!AF138</f>
        <v>22</v>
      </c>
      <c r="AG157" s="174">
        <f>'2018'!AG157+'2019'!AG157+'2020'!AG157+'2021'!AG157+'2022'!AG138</f>
        <v>0</v>
      </c>
      <c r="AH157" s="174">
        <f>'2018'!AH157+'2019'!AH157+'2020'!AH157+'2021'!AH157+'2022'!AH138</f>
        <v>0</v>
      </c>
      <c r="AI157" s="174">
        <f>'2018'!AI157+'2019'!AI157+'2020'!AI157+'2021'!AI157+'2022'!AI138</f>
        <v>16</v>
      </c>
      <c r="AJ157" s="174">
        <f>'2018'!AJ157+'2019'!AJ157+'2020'!AJ157+'2021'!AJ157+'2022'!AJ138</f>
        <v>0</v>
      </c>
      <c r="AK157" s="174">
        <f>'2018'!AK157+'2019'!AK157+'2020'!AK157+'2021'!AK157+'2022'!AK138</f>
        <v>25</v>
      </c>
      <c r="AL157" s="174">
        <f>'2018'!AL157+'2019'!AL157+'2020'!AL157+'2021'!AL157+'2022'!AL138</f>
        <v>0</v>
      </c>
      <c r="AM157" s="174">
        <f>'2018'!AM157+'2019'!AM157+'2020'!AM157+'2021'!AM157+'2022'!AM138</f>
        <v>0</v>
      </c>
      <c r="AN157" s="174">
        <f>'2018'!AN157+'2019'!AN157+'2020'!AN157+'2021'!AN157+'2022'!AN138</f>
        <v>0</v>
      </c>
      <c r="AO157" s="174">
        <f>'2018'!AO157+'2019'!AO157+'2020'!AO157+'2021'!AO157+'2022'!AO138</f>
        <v>0</v>
      </c>
      <c r="AP157" s="174">
        <f>'2018'!AP157+'2019'!AP157+'2020'!AP157+'2021'!AP157+'2022'!AP138</f>
        <v>0</v>
      </c>
      <c r="AQ157" s="174">
        <f>'2018'!AQ157+'2019'!AQ157+'2020'!AQ157+'2021'!AQ157+'2022'!AQ138</f>
        <v>0</v>
      </c>
      <c r="AR157" s="174">
        <f>'2018'!AR157+'2019'!AR157+'2020'!AR157+'2021'!AR157+'2022'!AR138</f>
        <v>0</v>
      </c>
      <c r="AS157" s="174">
        <f>'2018'!AS157+'2019'!AS157+'2020'!AS157+'2021'!AS157+'2022'!AS138</f>
        <v>0</v>
      </c>
      <c r="AT157" s="174">
        <f>'2018'!AT157+'2019'!AT157+'2020'!AT157+'2021'!AT157+'2022'!AT138</f>
        <v>0</v>
      </c>
      <c r="AU157" s="174">
        <f>'2018'!AU157+'2019'!AU157+'2020'!AU157+'2021'!AU157+'2022'!AU138</f>
        <v>0</v>
      </c>
      <c r="AV157" s="174">
        <f>'2018'!AV157+'2019'!AV157+'2020'!AV157+'2021'!AV157+'2022'!AV138</f>
        <v>0</v>
      </c>
      <c r="AW157" s="174">
        <f t="shared" si="22"/>
        <v>63</v>
      </c>
      <c r="AX157" s="156">
        <f t="shared" si="24"/>
        <v>344.80893333333336</v>
      </c>
      <c r="AY157" s="14">
        <f>'2018'!AX157+'2019'!AX157+'2020'!AX157+'2021'!AX157+'2022'!AX138</f>
        <v>1724.0446666666667</v>
      </c>
      <c r="AZ157" s="14">
        <f t="shared" si="21"/>
        <v>70.786516853932582</v>
      </c>
      <c r="BA157" s="142"/>
      <c r="BB157" s="144"/>
      <c r="BC157" s="142"/>
    </row>
    <row r="158" spans="1:55" x14ac:dyDescent="0.25">
      <c r="A158" s="175" t="s">
        <v>239</v>
      </c>
      <c r="B158" s="176">
        <f>'2018'!B158+'2019'!B158+'2020'!B158+'2021'!B158+'2022'!B139</f>
        <v>42</v>
      </c>
      <c r="C158" s="176">
        <f>'2018'!C158+'2019'!C158+'2020'!C158+'2021'!C158+'2022'!C139</f>
        <v>4</v>
      </c>
      <c r="D158" s="176">
        <f>'2018'!D158+'2019'!D158+'2020'!D158+'2021'!D158+'2022'!D139</f>
        <v>581</v>
      </c>
      <c r="E158" s="176">
        <f>'2018'!E158+'2019'!E158+'2020'!E158+'2021'!E158+'2022'!E139</f>
        <v>15</v>
      </c>
      <c r="F158" s="176">
        <f>'2018'!F158+'2019'!F158+'2020'!F158+'2021'!F158+'2022'!F139</f>
        <v>0</v>
      </c>
      <c r="G158" s="176">
        <f>'2018'!G158+'2019'!G158+'2020'!G158+'2021'!G158+'2022'!G139</f>
        <v>0</v>
      </c>
      <c r="H158" s="176">
        <f>'2018'!H158+'2019'!H158+'2020'!H158+'2021'!H158+'2022'!H139</f>
        <v>492</v>
      </c>
      <c r="I158" s="176">
        <f>'2018'!I158+'2019'!I158+'2020'!I158+'2021'!I158+'2022'!I139</f>
        <v>0</v>
      </c>
      <c r="J158" s="176">
        <f>'2018'!J158+'2019'!J158+'2020'!J158+'2021'!J158+'2022'!J139</f>
        <v>15</v>
      </c>
      <c r="K158" s="176">
        <f>'2018'!K158+'2019'!K158+'2020'!K158+'2021'!K158+'2022'!K139</f>
        <v>65</v>
      </c>
      <c r="L158" s="176">
        <f>'2018'!L158+'2019'!L158+'2020'!L158+'2021'!L158+'2022'!L139</f>
        <v>3</v>
      </c>
      <c r="M158" s="176">
        <f>'2018'!M158+'2019'!M158+'2020'!M158+'2021'!M158+'2022'!M139</f>
        <v>0</v>
      </c>
      <c r="N158" s="176">
        <f>'2018'!N158+'2019'!N158+'2020'!N158+'2021'!N158+'2022'!N139</f>
        <v>0</v>
      </c>
      <c r="O158" s="176">
        <f>'2018'!O158+'2019'!O158+'2020'!O158+'2021'!O158+'2022'!O139</f>
        <v>0</v>
      </c>
      <c r="P158" s="176">
        <f>'2018'!P158+'2019'!P158+'2020'!P158+'2021'!P158+'2022'!P139</f>
        <v>0</v>
      </c>
      <c r="Q158" s="176">
        <f>'2018'!Q158+'2019'!Q158+'2020'!Q158+'2021'!Q158+'2022'!Q139</f>
        <v>6</v>
      </c>
      <c r="R158" s="176">
        <f>'2018'!R158+'2019'!R158+'2020'!R158+'2021'!R158+'2022'!R139</f>
        <v>0</v>
      </c>
      <c r="S158" s="176">
        <f>'2018'!S158+'2019'!S158+'2020'!S158+'2021'!S158+'2022'!S139</f>
        <v>0</v>
      </c>
      <c r="T158" s="176">
        <f>'2018'!T158+'2019'!T158+'2020'!T158+'2021'!T158+'2022'!T139</f>
        <v>0</v>
      </c>
      <c r="U158" s="176">
        <f>'2018'!U158+'2019'!U158+'2020'!U158+'2021'!U158+'2022'!U139</f>
        <v>0</v>
      </c>
      <c r="V158" s="176">
        <f>'2018'!V158+'2019'!V158+'2020'!V158+'2021'!V158+'2022'!V139</f>
        <v>0</v>
      </c>
      <c r="W158" s="176">
        <f>'2018'!W158+'2019'!W158+'2020'!W158+'2021'!W158+'2022'!W139</f>
        <v>0</v>
      </c>
      <c r="X158" s="176">
        <f>'2018'!X158+'2019'!X158+'2020'!X158+'2021'!X158+'2022'!X139</f>
        <v>0</v>
      </c>
      <c r="Y158" s="174">
        <f t="shared" si="23"/>
        <v>581</v>
      </c>
      <c r="Z158" s="174">
        <f>'2018'!Z158+'2019'!Z158+'2020'!Z158+'2021'!Z158+'2022'!Z139</f>
        <v>31</v>
      </c>
      <c r="AA158" s="174">
        <f>'2018'!AA158+'2019'!AA158+'2020'!AA158+'2021'!AA158+'2022'!AA139</f>
        <v>4</v>
      </c>
      <c r="AB158" s="174">
        <f>'2018'!AB158+'2019'!AB158+'2020'!AB158+'2021'!AB158+'2022'!AB139</f>
        <v>499</v>
      </c>
      <c r="AC158" s="174">
        <f>'2018'!AC158+'2019'!AC158+'2020'!AC158+'2021'!AC158+'2022'!AC139</f>
        <v>15</v>
      </c>
      <c r="AD158" s="174">
        <f>'2018'!AD158+'2019'!AD158+'2020'!AD158+'2021'!AD158+'2022'!AD139</f>
        <v>0</v>
      </c>
      <c r="AE158" s="174">
        <f>'2018'!AE158+'2019'!AE158+'2020'!AE158+'2021'!AE158+'2022'!AE139</f>
        <v>0</v>
      </c>
      <c r="AF158" s="174">
        <f>'2018'!AF158+'2019'!AF158+'2020'!AF158+'2021'!AF158+'2022'!AF139</f>
        <v>463</v>
      </c>
      <c r="AG158" s="174">
        <f>'2018'!AG158+'2019'!AG158+'2020'!AG158+'2021'!AG158+'2022'!AG139</f>
        <v>0</v>
      </c>
      <c r="AH158" s="174">
        <f>'2018'!AH158+'2019'!AH158+'2020'!AH158+'2021'!AH158+'2022'!AH139</f>
        <v>15</v>
      </c>
      <c r="AI158" s="174">
        <f>'2018'!AI158+'2019'!AI158+'2020'!AI158+'2021'!AI158+'2022'!AI139</f>
        <v>14</v>
      </c>
      <c r="AJ158" s="174">
        <f>'2018'!AJ158+'2019'!AJ158+'2020'!AJ158+'2021'!AJ158+'2022'!AJ139</f>
        <v>1</v>
      </c>
      <c r="AK158" s="174">
        <f>'2018'!AK158+'2019'!AK158+'2020'!AK158+'2021'!AK158+'2022'!AK139</f>
        <v>0</v>
      </c>
      <c r="AL158" s="174">
        <f>'2018'!AL158+'2019'!AL158+'2020'!AL158+'2021'!AL158+'2022'!AL139</f>
        <v>0</v>
      </c>
      <c r="AM158" s="174">
        <f>'2018'!AM158+'2019'!AM158+'2020'!AM158+'2021'!AM158+'2022'!AM139</f>
        <v>0</v>
      </c>
      <c r="AN158" s="174">
        <f>'2018'!AN158+'2019'!AN158+'2020'!AN158+'2021'!AN158+'2022'!AN139</f>
        <v>0</v>
      </c>
      <c r="AO158" s="174">
        <f>'2018'!AO158+'2019'!AO158+'2020'!AO158+'2021'!AO158+'2022'!AO139</f>
        <v>6</v>
      </c>
      <c r="AP158" s="174">
        <f>'2018'!AP158+'2019'!AP158+'2020'!AP158+'2021'!AP158+'2022'!AP139</f>
        <v>0</v>
      </c>
      <c r="AQ158" s="174">
        <f>'2018'!AQ158+'2019'!AQ158+'2020'!AQ158+'2021'!AQ158+'2022'!AQ139</f>
        <v>0</v>
      </c>
      <c r="AR158" s="174">
        <f>'2018'!AR158+'2019'!AR158+'2020'!AR158+'2021'!AR158+'2022'!AR139</f>
        <v>0</v>
      </c>
      <c r="AS158" s="174">
        <f>'2018'!AS158+'2019'!AS158+'2020'!AS158+'2021'!AS158+'2022'!AS139</f>
        <v>0</v>
      </c>
      <c r="AT158" s="174">
        <f>'2018'!AT158+'2019'!AT158+'2020'!AT158+'2021'!AT158+'2022'!AT139</f>
        <v>0</v>
      </c>
      <c r="AU158" s="174">
        <f>'2018'!AU158+'2019'!AU158+'2020'!AU158+'2021'!AU158+'2022'!AU139</f>
        <v>0</v>
      </c>
      <c r="AV158" s="174">
        <f>'2018'!AV158+'2019'!AV158+'2020'!AV158+'2021'!AV158+'2022'!AV139</f>
        <v>0</v>
      </c>
      <c r="AW158" s="174">
        <f t="shared" si="22"/>
        <v>499</v>
      </c>
      <c r="AX158" s="156">
        <f t="shared" si="24"/>
        <v>490.56466666666654</v>
      </c>
      <c r="AY158" s="14">
        <f>'2018'!AX158+'2019'!AX158+'2020'!AX158+'2021'!AX158+'2022'!AX139</f>
        <v>2452.8233333333328</v>
      </c>
      <c r="AZ158" s="14">
        <f t="shared" si="21"/>
        <v>85.88640275387263</v>
      </c>
      <c r="BA158" s="142"/>
      <c r="BB158" s="144"/>
      <c r="BC158" s="142"/>
    </row>
    <row r="159" spans="1:55" x14ac:dyDescent="0.25">
      <c r="A159" s="175" t="s">
        <v>240</v>
      </c>
      <c r="B159" s="176">
        <f>'2018'!B159+'2019'!B159+'2020'!B159+'2021'!B159+'2022'!B140</f>
        <v>13</v>
      </c>
      <c r="C159" s="176">
        <f>'2018'!C159+'2019'!C159+'2020'!C159+'2021'!C159+'2022'!C140</f>
        <v>0</v>
      </c>
      <c r="D159" s="176">
        <f>'2018'!D159+'2019'!D159+'2020'!D159+'2021'!D159+'2022'!D140</f>
        <v>26</v>
      </c>
      <c r="E159" s="176">
        <f>'2018'!E159+'2019'!E159+'2020'!E159+'2021'!E159+'2022'!E140</f>
        <v>0</v>
      </c>
      <c r="F159" s="176">
        <f>'2018'!F159+'2019'!F159+'2020'!F159+'2021'!F159+'2022'!F140</f>
        <v>0</v>
      </c>
      <c r="G159" s="176">
        <f>'2018'!G159+'2019'!G159+'2020'!G159+'2021'!G159+'2022'!G140</f>
        <v>0</v>
      </c>
      <c r="H159" s="176">
        <f>'2018'!H159+'2019'!H159+'2020'!H159+'2021'!H159+'2022'!H140</f>
        <v>7</v>
      </c>
      <c r="I159" s="176">
        <f>'2018'!I159+'2019'!I159+'2020'!I159+'2021'!I159+'2022'!I140</f>
        <v>0</v>
      </c>
      <c r="J159" s="176">
        <f>'2018'!J159+'2019'!J159+'2020'!J159+'2021'!J159+'2022'!J140</f>
        <v>0</v>
      </c>
      <c r="K159" s="176">
        <f>'2018'!K159+'2019'!K159+'2020'!K159+'2021'!K159+'2022'!K140</f>
        <v>10</v>
      </c>
      <c r="L159" s="176">
        <f>'2018'!L159+'2019'!L159+'2020'!L159+'2021'!L159+'2022'!L140</f>
        <v>0</v>
      </c>
      <c r="M159" s="176">
        <f>'2018'!M159+'2019'!M159+'2020'!M159+'2021'!M159+'2022'!M140</f>
        <v>0</v>
      </c>
      <c r="N159" s="176">
        <f>'2018'!N159+'2019'!N159+'2020'!N159+'2021'!N159+'2022'!N140</f>
        <v>0</v>
      </c>
      <c r="O159" s="176">
        <f>'2018'!O159+'2019'!O159+'2020'!O159+'2021'!O159+'2022'!O140</f>
        <v>0</v>
      </c>
      <c r="P159" s="176">
        <f>'2018'!P159+'2019'!P159+'2020'!P159+'2021'!P159+'2022'!P140</f>
        <v>0</v>
      </c>
      <c r="Q159" s="176">
        <f>'2018'!Q159+'2019'!Q159+'2020'!Q159+'2021'!Q159+'2022'!Q140</f>
        <v>0</v>
      </c>
      <c r="R159" s="176">
        <f>'2018'!R159+'2019'!R159+'2020'!R159+'2021'!R159+'2022'!R140</f>
        <v>6</v>
      </c>
      <c r="S159" s="176">
        <f>'2018'!S159+'2019'!S159+'2020'!S159+'2021'!S159+'2022'!S140</f>
        <v>0</v>
      </c>
      <c r="T159" s="176">
        <f>'2018'!T159+'2019'!T159+'2020'!T159+'2021'!T159+'2022'!T140</f>
        <v>0</v>
      </c>
      <c r="U159" s="176">
        <f>'2018'!U159+'2019'!U159+'2020'!U159+'2021'!U159+'2022'!U140</f>
        <v>0</v>
      </c>
      <c r="V159" s="176">
        <f>'2018'!V159+'2019'!V159+'2020'!V159+'2021'!V159+'2022'!V140</f>
        <v>0</v>
      </c>
      <c r="W159" s="176">
        <f>'2018'!W159+'2019'!W159+'2020'!W159+'2021'!W159+'2022'!W140</f>
        <v>0</v>
      </c>
      <c r="X159" s="176">
        <f>'2018'!X159+'2019'!X159+'2020'!X159+'2021'!X159+'2022'!X140</f>
        <v>3</v>
      </c>
      <c r="Y159" s="174">
        <f t="shared" si="23"/>
        <v>26</v>
      </c>
      <c r="Z159" s="174">
        <f>'2018'!Z159+'2019'!Z159+'2020'!Z159+'2021'!Z159+'2022'!Z140</f>
        <v>10</v>
      </c>
      <c r="AA159" s="174">
        <f>'2018'!AA159+'2019'!AA159+'2020'!AA159+'2021'!AA159+'2022'!AA140</f>
        <v>0</v>
      </c>
      <c r="AB159" s="174">
        <f>'2018'!AB159+'2019'!AB159+'2020'!AB159+'2021'!AB159+'2022'!AB140</f>
        <v>19</v>
      </c>
      <c r="AC159" s="174">
        <f>'2018'!AC159+'2019'!AC159+'2020'!AC159+'2021'!AC159+'2022'!AC140</f>
        <v>0</v>
      </c>
      <c r="AD159" s="174">
        <f>'2018'!AD159+'2019'!AD159+'2020'!AD159+'2021'!AD159+'2022'!AD140</f>
        <v>0</v>
      </c>
      <c r="AE159" s="174">
        <f>'2018'!AE159+'2019'!AE159+'2020'!AE159+'2021'!AE159+'2022'!AE140</f>
        <v>0</v>
      </c>
      <c r="AF159" s="174">
        <f>'2018'!AF159+'2019'!AF159+'2020'!AF159+'2021'!AF159+'2022'!AF140</f>
        <v>7</v>
      </c>
      <c r="AG159" s="174">
        <f>'2018'!AG159+'2019'!AG159+'2020'!AG159+'2021'!AG159+'2022'!AG140</f>
        <v>0</v>
      </c>
      <c r="AH159" s="174">
        <f>'2018'!AH159+'2019'!AH159+'2020'!AH159+'2021'!AH159+'2022'!AH140</f>
        <v>0</v>
      </c>
      <c r="AI159" s="174">
        <f>'2018'!AI159+'2019'!AI159+'2020'!AI159+'2021'!AI159+'2022'!AI140</f>
        <v>6</v>
      </c>
      <c r="AJ159" s="174">
        <f>'2018'!AJ159+'2019'!AJ159+'2020'!AJ159+'2021'!AJ159+'2022'!AJ140</f>
        <v>0</v>
      </c>
      <c r="AK159" s="174">
        <f>'2018'!AK159+'2019'!AK159+'2020'!AK159+'2021'!AK159+'2022'!AK140</f>
        <v>0</v>
      </c>
      <c r="AL159" s="174">
        <f>'2018'!AL159+'2019'!AL159+'2020'!AL159+'2021'!AL159+'2022'!AL140</f>
        <v>0</v>
      </c>
      <c r="AM159" s="174">
        <f>'2018'!AM159+'2019'!AM159+'2020'!AM159+'2021'!AM159+'2022'!AM140</f>
        <v>0</v>
      </c>
      <c r="AN159" s="174">
        <f>'2018'!AN159+'2019'!AN159+'2020'!AN159+'2021'!AN159+'2022'!AN140</f>
        <v>0</v>
      </c>
      <c r="AO159" s="174">
        <f>'2018'!AO159+'2019'!AO159+'2020'!AO159+'2021'!AO159+'2022'!AO140</f>
        <v>0</v>
      </c>
      <c r="AP159" s="174">
        <f>'2018'!AP159+'2019'!AP159+'2020'!AP159+'2021'!AP159+'2022'!AP140</f>
        <v>5</v>
      </c>
      <c r="AQ159" s="174">
        <f>'2018'!AQ159+'2019'!AQ159+'2020'!AQ159+'2021'!AQ159+'2022'!AQ140</f>
        <v>0</v>
      </c>
      <c r="AR159" s="174">
        <f>'2018'!AR159+'2019'!AR159+'2020'!AR159+'2021'!AR159+'2022'!AR140</f>
        <v>0</v>
      </c>
      <c r="AS159" s="174">
        <f>'2018'!AS159+'2019'!AS159+'2020'!AS159+'2021'!AS159+'2022'!AS140</f>
        <v>0</v>
      </c>
      <c r="AT159" s="174">
        <f>'2018'!AT159+'2019'!AT159+'2020'!AT159+'2021'!AT159+'2022'!AT140</f>
        <v>0</v>
      </c>
      <c r="AU159" s="174">
        <f>'2018'!AU159+'2019'!AU159+'2020'!AU159+'2021'!AU159+'2022'!AU140</f>
        <v>0</v>
      </c>
      <c r="AV159" s="174">
        <f>'2018'!AV159+'2019'!AV159+'2020'!AV159+'2021'!AV159+'2022'!AV140</f>
        <v>1</v>
      </c>
      <c r="AW159" s="174">
        <f t="shared" si="22"/>
        <v>19</v>
      </c>
      <c r="AX159" s="156">
        <f t="shared" si="24"/>
        <v>657.3073333333333</v>
      </c>
      <c r="AY159" s="14">
        <f>'2018'!AX159+'2019'!AX159+'2020'!AX159+'2021'!AX159+'2022'!AX140</f>
        <v>3286.5366666666664</v>
      </c>
      <c r="AZ159" s="14">
        <f t="shared" si="21"/>
        <v>73.07692307692308</v>
      </c>
      <c r="BA159" s="142"/>
      <c r="BB159" s="144"/>
      <c r="BC159" s="142"/>
    </row>
    <row r="160" spans="1:55" x14ac:dyDescent="0.25">
      <c r="A160" s="175" t="s">
        <v>241</v>
      </c>
      <c r="B160" s="176">
        <f>'2018'!B160+'2019'!B160+'2020'!B160+'2021'!B160+'2022'!B141</f>
        <v>23</v>
      </c>
      <c r="C160" s="176">
        <f>'2018'!C160+'2019'!C160+'2020'!C160+'2021'!C160+'2022'!C141</f>
        <v>0</v>
      </c>
      <c r="D160" s="176">
        <f>'2018'!D160+'2019'!D160+'2020'!D160+'2021'!D160+'2022'!D141</f>
        <v>54</v>
      </c>
      <c r="E160" s="176">
        <f>'2018'!E160+'2019'!E160+'2020'!E160+'2021'!E160+'2022'!E141</f>
        <v>0</v>
      </c>
      <c r="F160" s="176">
        <f>'2018'!F160+'2019'!F160+'2020'!F160+'2021'!F160+'2022'!F141</f>
        <v>0</v>
      </c>
      <c r="G160" s="176">
        <f>'2018'!G160+'2019'!G160+'2020'!G160+'2021'!G160+'2022'!G141</f>
        <v>0</v>
      </c>
      <c r="H160" s="176">
        <f>'2018'!H160+'2019'!H160+'2020'!H160+'2021'!H160+'2022'!H141</f>
        <v>4</v>
      </c>
      <c r="I160" s="176">
        <f>'2018'!I160+'2019'!I160+'2020'!I160+'2021'!I160+'2022'!I141</f>
        <v>0</v>
      </c>
      <c r="J160" s="176">
        <f>'2018'!J160+'2019'!J160+'2020'!J160+'2021'!J160+'2022'!J141</f>
        <v>0</v>
      </c>
      <c r="K160" s="176">
        <f>'2018'!K160+'2019'!K160+'2020'!K160+'2021'!K160+'2022'!K141</f>
        <v>7</v>
      </c>
      <c r="L160" s="176">
        <f>'2018'!L160+'2019'!L160+'2020'!L160+'2021'!L160+'2022'!L141</f>
        <v>2</v>
      </c>
      <c r="M160" s="176">
        <f>'2018'!M160+'2019'!M160+'2020'!M160+'2021'!M160+'2022'!M141</f>
        <v>0</v>
      </c>
      <c r="N160" s="176">
        <f>'2018'!N160+'2019'!N160+'2020'!N160+'2021'!N160+'2022'!N141</f>
        <v>0</v>
      </c>
      <c r="O160" s="176">
        <f>'2018'!O160+'2019'!O160+'2020'!O160+'2021'!O160+'2022'!O141</f>
        <v>3</v>
      </c>
      <c r="P160" s="176">
        <f>'2018'!P160+'2019'!P160+'2020'!P160+'2021'!P160+'2022'!P141</f>
        <v>1</v>
      </c>
      <c r="Q160" s="176">
        <f>'2018'!Q160+'2019'!Q160+'2020'!Q160+'2021'!Q160+'2022'!Q141</f>
        <v>0</v>
      </c>
      <c r="R160" s="176">
        <f>'2018'!R160+'2019'!R160+'2020'!R160+'2021'!R160+'2022'!R141</f>
        <v>35</v>
      </c>
      <c r="S160" s="176">
        <f>'2018'!S160+'2019'!S160+'2020'!S160+'2021'!S160+'2022'!S141</f>
        <v>0</v>
      </c>
      <c r="T160" s="176">
        <f>'2018'!T160+'2019'!T160+'2020'!T160+'2021'!T160+'2022'!T141</f>
        <v>2</v>
      </c>
      <c r="U160" s="176">
        <f>'2018'!U160+'2019'!U160+'2020'!U160+'2021'!U160+'2022'!U141</f>
        <v>0</v>
      </c>
      <c r="V160" s="176">
        <f>'2018'!V160+'2019'!V160+'2020'!V160+'2021'!V160+'2022'!V141</f>
        <v>0</v>
      </c>
      <c r="W160" s="176">
        <f>'2018'!W160+'2019'!W160+'2020'!W160+'2021'!W160+'2022'!W141</f>
        <v>0</v>
      </c>
      <c r="X160" s="176">
        <f>'2018'!X160+'2019'!X160+'2020'!X160+'2021'!X160+'2022'!X141</f>
        <v>0</v>
      </c>
      <c r="Y160" s="174">
        <f t="shared" si="23"/>
        <v>54</v>
      </c>
      <c r="Z160" s="174">
        <f>'2018'!Z160+'2019'!Z160+'2020'!Z160+'2021'!Z160+'2022'!Z141</f>
        <v>20</v>
      </c>
      <c r="AA160" s="174">
        <f>'2018'!AA160+'2019'!AA160+'2020'!AA160+'2021'!AA160+'2022'!AA141</f>
        <v>0</v>
      </c>
      <c r="AB160" s="174">
        <f>'2018'!AB160+'2019'!AB160+'2020'!AB160+'2021'!AB160+'2022'!AB141</f>
        <v>36</v>
      </c>
      <c r="AC160" s="174">
        <f>'2018'!AC160+'2019'!AC160+'2020'!AC160+'2021'!AC160+'2022'!AC141</f>
        <v>0</v>
      </c>
      <c r="AD160" s="174">
        <f>'2018'!AD160+'2019'!AD160+'2020'!AD160+'2021'!AD160+'2022'!AD141</f>
        <v>0</v>
      </c>
      <c r="AE160" s="174">
        <f>'2018'!AE160+'2019'!AE160+'2020'!AE160+'2021'!AE160+'2022'!AE141</f>
        <v>0</v>
      </c>
      <c r="AF160" s="174">
        <f>'2018'!AF160+'2019'!AF160+'2020'!AF160+'2021'!AF160+'2022'!AF141</f>
        <v>2</v>
      </c>
      <c r="AG160" s="174">
        <f>'2018'!AG160+'2019'!AG160+'2020'!AG160+'2021'!AG160+'2022'!AG141</f>
        <v>0</v>
      </c>
      <c r="AH160" s="174">
        <f>'2018'!AH160+'2019'!AH160+'2020'!AH160+'2021'!AH160+'2022'!AH141</f>
        <v>0</v>
      </c>
      <c r="AI160" s="174">
        <f>'2018'!AI160+'2019'!AI160+'2020'!AI160+'2021'!AI160+'2022'!AI141</f>
        <v>7</v>
      </c>
      <c r="AJ160" s="174">
        <f>'2018'!AJ160+'2019'!AJ160+'2020'!AJ160+'2021'!AJ160+'2022'!AJ141</f>
        <v>2</v>
      </c>
      <c r="AK160" s="174">
        <f>'2018'!AK160+'2019'!AK160+'2020'!AK160+'2021'!AK160+'2022'!AK141</f>
        <v>0</v>
      </c>
      <c r="AL160" s="174">
        <f>'2018'!AL160+'2019'!AL160+'2020'!AL160+'2021'!AL160+'2022'!AL141</f>
        <v>0</v>
      </c>
      <c r="AM160" s="174">
        <f>'2018'!AM160+'2019'!AM160+'2020'!AM160+'2021'!AM160+'2022'!AM141</f>
        <v>3</v>
      </c>
      <c r="AN160" s="174">
        <f>'2018'!AN160+'2019'!AN160+'2020'!AN160+'2021'!AN160+'2022'!AN141</f>
        <v>0</v>
      </c>
      <c r="AO160" s="174">
        <f>'2018'!AO160+'2019'!AO160+'2020'!AO160+'2021'!AO160+'2022'!AO141</f>
        <v>0</v>
      </c>
      <c r="AP160" s="174">
        <f>'2018'!AP160+'2019'!AP160+'2020'!AP160+'2021'!AP160+'2022'!AP141</f>
        <v>22</v>
      </c>
      <c r="AQ160" s="174">
        <f>'2018'!AQ160+'2019'!AQ160+'2020'!AQ160+'2021'!AQ160+'2022'!AQ141</f>
        <v>0</v>
      </c>
      <c r="AR160" s="174">
        <f>'2018'!AR160+'2019'!AR160+'2020'!AR160+'2021'!AR160+'2022'!AR141</f>
        <v>0</v>
      </c>
      <c r="AS160" s="174">
        <f>'2018'!AS160+'2019'!AS160+'2020'!AS160+'2021'!AS160+'2022'!AS141</f>
        <v>0</v>
      </c>
      <c r="AT160" s="174">
        <f>'2018'!AT160+'2019'!AT160+'2020'!AT160+'2021'!AT160+'2022'!AT141</f>
        <v>0</v>
      </c>
      <c r="AU160" s="174">
        <f>'2018'!AU160+'2019'!AU160+'2020'!AU160+'2021'!AU160+'2022'!AU141</f>
        <v>0</v>
      </c>
      <c r="AV160" s="174">
        <f>'2018'!AV160+'2019'!AV160+'2020'!AV160+'2021'!AV160+'2022'!AV141</f>
        <v>0</v>
      </c>
      <c r="AW160" s="174">
        <f t="shared" si="22"/>
        <v>36</v>
      </c>
      <c r="AX160" s="156">
        <f t="shared" si="24"/>
        <v>4622.0599999999995</v>
      </c>
      <c r="AY160" s="14">
        <f>'2018'!AX160+'2019'!AX160+'2020'!AX160+'2021'!AX160+'2022'!AX141</f>
        <v>23110.3</v>
      </c>
      <c r="AZ160" s="14">
        <f t="shared" si="21"/>
        <v>66.666666666666671</v>
      </c>
      <c r="BA160" s="142"/>
      <c r="BB160" s="144"/>
      <c r="BC160" s="142"/>
    </row>
    <row r="161" spans="1:136" x14ac:dyDescent="0.25">
      <c r="A161" s="175" t="s">
        <v>242</v>
      </c>
      <c r="B161" s="176">
        <f>'2018'!B161+'2019'!B161+'2020'!B161+'2021'!B161+'2022'!B142</f>
        <v>15</v>
      </c>
      <c r="C161" s="176">
        <f>'2018'!C161+'2019'!C161+'2020'!C161+'2021'!C161+'2022'!C142</f>
        <v>3</v>
      </c>
      <c r="D161" s="176">
        <f>'2018'!D161+'2019'!D161+'2020'!D161+'2021'!D161+'2022'!D142</f>
        <v>63</v>
      </c>
      <c r="E161" s="176">
        <f>'2018'!E161+'2019'!E161+'2020'!E161+'2021'!E161+'2022'!E142</f>
        <v>5</v>
      </c>
      <c r="F161" s="176">
        <f>'2018'!F161+'2019'!F161+'2020'!F161+'2021'!F161+'2022'!F142</f>
        <v>0</v>
      </c>
      <c r="G161" s="176">
        <f>'2018'!G161+'2019'!G161+'2020'!G161+'2021'!G161+'2022'!G142</f>
        <v>0</v>
      </c>
      <c r="H161" s="176">
        <f>'2018'!H161+'2019'!H161+'2020'!H161+'2021'!H161+'2022'!H142</f>
        <v>50</v>
      </c>
      <c r="I161" s="176">
        <f>'2018'!I161+'2019'!I161+'2020'!I161+'2021'!I161+'2022'!I142</f>
        <v>0</v>
      </c>
      <c r="J161" s="176">
        <f>'2018'!J161+'2019'!J161+'2020'!J161+'2021'!J161+'2022'!J142</f>
        <v>0</v>
      </c>
      <c r="K161" s="176">
        <f>'2018'!K161+'2019'!K161+'2020'!K161+'2021'!K161+'2022'!K142</f>
        <v>0</v>
      </c>
      <c r="L161" s="176">
        <f>'2018'!L161+'2019'!L161+'2020'!L161+'2021'!L161+'2022'!L142</f>
        <v>4</v>
      </c>
      <c r="M161" s="176">
        <f>'2018'!M161+'2019'!M161+'2020'!M161+'2021'!M161+'2022'!M142</f>
        <v>0</v>
      </c>
      <c r="N161" s="176">
        <f>'2018'!N161+'2019'!N161+'2020'!N161+'2021'!N161+'2022'!N142</f>
        <v>0</v>
      </c>
      <c r="O161" s="176">
        <f>'2018'!O161+'2019'!O161+'2020'!O161+'2021'!O161+'2022'!O142</f>
        <v>0</v>
      </c>
      <c r="P161" s="176">
        <f>'2018'!P161+'2019'!P161+'2020'!P161+'2021'!P161+'2022'!P142</f>
        <v>0</v>
      </c>
      <c r="Q161" s="176">
        <f>'2018'!Q161+'2019'!Q161+'2020'!Q161+'2021'!Q161+'2022'!Q142</f>
        <v>0</v>
      </c>
      <c r="R161" s="176">
        <f>'2018'!R161+'2019'!R161+'2020'!R161+'2021'!R161+'2022'!R142</f>
        <v>0</v>
      </c>
      <c r="S161" s="176">
        <f>'2018'!S161+'2019'!S161+'2020'!S161+'2021'!S161+'2022'!S142</f>
        <v>4</v>
      </c>
      <c r="T161" s="176">
        <f>'2018'!T161+'2019'!T161+'2020'!T161+'2021'!T161+'2022'!T142</f>
        <v>0</v>
      </c>
      <c r="U161" s="176">
        <f>'2018'!U161+'2019'!U161+'2020'!U161+'2021'!U161+'2022'!U142</f>
        <v>5</v>
      </c>
      <c r="V161" s="176">
        <f>'2018'!V161+'2019'!V161+'2020'!V161+'2021'!V161+'2022'!V142</f>
        <v>0</v>
      </c>
      <c r="W161" s="176">
        <f>'2018'!W161+'2019'!W161+'2020'!W161+'2021'!W161+'2022'!W142</f>
        <v>0</v>
      </c>
      <c r="X161" s="176">
        <f>'2018'!X161+'2019'!X161+'2020'!X161+'2021'!X161+'2022'!X142</f>
        <v>0</v>
      </c>
      <c r="Y161" s="174">
        <f t="shared" si="23"/>
        <v>63</v>
      </c>
      <c r="Z161" s="174">
        <f>'2018'!Z161+'2019'!Z161+'2020'!Z161+'2021'!Z161+'2022'!Z142</f>
        <v>10</v>
      </c>
      <c r="AA161" s="174">
        <f>'2018'!AA161+'2019'!AA161+'2020'!AA161+'2021'!AA161+'2022'!AA142</f>
        <v>2</v>
      </c>
      <c r="AB161" s="174">
        <f>'2018'!AB161+'2019'!AB161+'2020'!AB161+'2021'!AB161+'2022'!AB142</f>
        <v>44</v>
      </c>
      <c r="AC161" s="174">
        <f>'2018'!AC161+'2019'!AC161+'2020'!AC161+'2021'!AC161+'2022'!AC142</f>
        <v>4</v>
      </c>
      <c r="AD161" s="174">
        <f>'2018'!AD161+'2019'!AD161+'2020'!AD161+'2021'!AD161+'2022'!AD142</f>
        <v>0</v>
      </c>
      <c r="AE161" s="174">
        <f>'2018'!AE161+'2019'!AE161+'2020'!AE161+'2021'!AE161+'2022'!AE142</f>
        <v>0</v>
      </c>
      <c r="AF161" s="174">
        <f>'2018'!AF161+'2019'!AF161+'2020'!AF161+'2021'!AF161+'2022'!AF142</f>
        <v>35</v>
      </c>
      <c r="AG161" s="174">
        <f>'2018'!AG161+'2019'!AG161+'2020'!AG161+'2021'!AG161+'2022'!AG142</f>
        <v>0</v>
      </c>
      <c r="AH161" s="174">
        <f>'2018'!AH161+'2019'!AH161+'2020'!AH161+'2021'!AH161+'2022'!AH142</f>
        <v>0</v>
      </c>
      <c r="AI161" s="174">
        <f>'2018'!AI161+'2019'!AI161+'2020'!AI161+'2021'!AI161+'2022'!AI142</f>
        <v>0</v>
      </c>
      <c r="AJ161" s="174">
        <f>'2018'!AJ161+'2019'!AJ161+'2020'!AJ161+'2021'!AJ161+'2022'!AJ142</f>
        <v>1</v>
      </c>
      <c r="AK161" s="174">
        <f>'2018'!AK161+'2019'!AK161+'2020'!AK161+'2021'!AK161+'2022'!AK142</f>
        <v>0</v>
      </c>
      <c r="AL161" s="174">
        <f>'2018'!AL161+'2019'!AL161+'2020'!AL161+'2021'!AL161+'2022'!AL142</f>
        <v>0</v>
      </c>
      <c r="AM161" s="174">
        <f>'2018'!AM161+'2019'!AM161+'2020'!AM161+'2021'!AM161+'2022'!AM142</f>
        <v>0</v>
      </c>
      <c r="AN161" s="174">
        <f>'2018'!AN161+'2019'!AN161+'2020'!AN161+'2021'!AN161+'2022'!AN142</f>
        <v>0</v>
      </c>
      <c r="AO161" s="174">
        <f>'2018'!AO161+'2019'!AO161+'2020'!AO161+'2021'!AO161+'2022'!AO142</f>
        <v>0</v>
      </c>
      <c r="AP161" s="174">
        <f>'2018'!AP161+'2019'!AP161+'2020'!AP161+'2021'!AP161+'2022'!AP142</f>
        <v>0</v>
      </c>
      <c r="AQ161" s="174">
        <f>'2018'!AQ161+'2019'!AQ161+'2020'!AQ161+'2021'!AQ161+'2022'!AQ142</f>
        <v>4</v>
      </c>
      <c r="AR161" s="174">
        <f>'2018'!AR161+'2019'!AR161+'2020'!AR161+'2021'!AR161+'2022'!AR142</f>
        <v>0</v>
      </c>
      <c r="AS161" s="174">
        <f>'2018'!AS161+'2019'!AS161+'2020'!AS161+'2021'!AS161+'2022'!AS142</f>
        <v>4</v>
      </c>
      <c r="AT161" s="174">
        <f>'2018'!AT161+'2019'!AT161+'2020'!AT161+'2021'!AT161+'2022'!AT142</f>
        <v>0</v>
      </c>
      <c r="AU161" s="174">
        <f>'2018'!AU161+'2019'!AU161+'2020'!AU161+'2021'!AU161+'2022'!AU142</f>
        <v>0</v>
      </c>
      <c r="AV161" s="174">
        <f>'2018'!AV161+'2019'!AV161+'2020'!AV161+'2021'!AV161+'2022'!AV142</f>
        <v>0</v>
      </c>
      <c r="AW161" s="174">
        <f t="shared" si="22"/>
        <v>44</v>
      </c>
      <c r="AX161" s="156">
        <f t="shared" si="24"/>
        <v>1892.5066666666667</v>
      </c>
      <c r="AY161" s="14">
        <f>'2018'!AX161+'2019'!AX161+'2020'!AX161+'2021'!AX161+'2022'!AX142</f>
        <v>9462.5333333333328</v>
      </c>
      <c r="AZ161" s="14">
        <f t="shared" si="21"/>
        <v>69.841269841269835</v>
      </c>
      <c r="BA161" s="142"/>
      <c r="BB161" s="144"/>
      <c r="BC161" s="142"/>
    </row>
    <row r="162" spans="1:136" x14ac:dyDescent="0.25">
      <c r="A162" s="175" t="s">
        <v>243</v>
      </c>
      <c r="B162" s="176">
        <f>'2018'!B162+'2019'!B162+'2020'!B162+'2021'!B162+'2022'!B143</f>
        <v>20</v>
      </c>
      <c r="C162" s="176">
        <f>'2018'!C162+'2019'!C162+'2020'!C162+'2021'!C162+'2022'!C143</f>
        <v>1</v>
      </c>
      <c r="D162" s="176">
        <f>'2018'!D162+'2019'!D162+'2020'!D162+'2021'!D162+'2022'!D143</f>
        <v>71</v>
      </c>
      <c r="E162" s="176">
        <f>'2018'!E162+'2019'!E162+'2020'!E162+'2021'!E162+'2022'!E143</f>
        <v>1</v>
      </c>
      <c r="F162" s="176">
        <f>'2018'!F162+'2019'!F162+'2020'!F162+'2021'!F162+'2022'!F143</f>
        <v>0</v>
      </c>
      <c r="G162" s="176">
        <f>'2018'!G162+'2019'!G162+'2020'!G162+'2021'!G162+'2022'!G143</f>
        <v>0</v>
      </c>
      <c r="H162" s="176">
        <f>'2018'!H162+'2019'!H162+'2020'!H162+'2021'!H162+'2022'!H143</f>
        <v>56</v>
      </c>
      <c r="I162" s="176">
        <f>'2018'!I162+'2019'!I162+'2020'!I162+'2021'!I162+'2022'!I143</f>
        <v>3</v>
      </c>
      <c r="J162" s="176">
        <f>'2018'!J162+'2019'!J162+'2020'!J162+'2021'!J162+'2022'!J143</f>
        <v>1</v>
      </c>
      <c r="K162" s="176">
        <f>'2018'!K162+'2019'!K162+'2020'!K162+'2021'!K162+'2022'!K143</f>
        <v>0</v>
      </c>
      <c r="L162" s="176">
        <f>'2018'!L162+'2019'!L162+'2020'!L162+'2021'!L162+'2022'!L143</f>
        <v>0</v>
      </c>
      <c r="M162" s="176">
        <f>'2018'!M162+'2019'!M162+'2020'!M162+'2021'!M162+'2022'!M143</f>
        <v>0</v>
      </c>
      <c r="N162" s="176">
        <f>'2018'!N162+'2019'!N162+'2020'!N162+'2021'!N162+'2022'!N143</f>
        <v>0</v>
      </c>
      <c r="O162" s="176">
        <f>'2018'!O162+'2019'!O162+'2020'!O162+'2021'!O162+'2022'!O143</f>
        <v>0</v>
      </c>
      <c r="P162" s="176">
        <f>'2018'!P162+'2019'!P162+'2020'!P162+'2021'!P162+'2022'!P143</f>
        <v>0</v>
      </c>
      <c r="Q162" s="176">
        <f>'2018'!Q162+'2019'!Q162+'2020'!Q162+'2021'!Q162+'2022'!Q143</f>
        <v>0</v>
      </c>
      <c r="R162" s="176">
        <f>'2018'!R162+'2019'!R162+'2020'!R162+'2021'!R162+'2022'!R143</f>
        <v>11</v>
      </c>
      <c r="S162" s="176">
        <f>'2018'!S162+'2019'!S162+'2020'!S162+'2021'!S162+'2022'!S143</f>
        <v>0</v>
      </c>
      <c r="T162" s="176">
        <f>'2018'!T162+'2019'!T162+'2020'!T162+'2021'!T162+'2022'!T143</f>
        <v>0</v>
      </c>
      <c r="U162" s="176">
        <f>'2018'!U162+'2019'!U162+'2020'!U162+'2021'!U162+'2022'!U143</f>
        <v>0</v>
      </c>
      <c r="V162" s="176">
        <f>'2018'!V162+'2019'!V162+'2020'!V162+'2021'!V162+'2022'!V143</f>
        <v>0</v>
      </c>
      <c r="W162" s="176">
        <f>'2018'!W162+'2019'!W162+'2020'!W162+'2021'!W162+'2022'!W143</f>
        <v>0</v>
      </c>
      <c r="X162" s="176">
        <f>'2018'!X162+'2019'!X162+'2020'!X162+'2021'!X162+'2022'!X143</f>
        <v>0</v>
      </c>
      <c r="Y162" s="174">
        <f t="shared" si="23"/>
        <v>71</v>
      </c>
      <c r="Z162" s="174">
        <f>'2018'!Z162+'2019'!Z162+'2020'!Z162+'2021'!Z162+'2022'!Z143</f>
        <v>16</v>
      </c>
      <c r="AA162" s="174">
        <f>'2018'!AA162+'2019'!AA162+'2020'!AA162+'2021'!AA162+'2022'!AA143</f>
        <v>0</v>
      </c>
      <c r="AB162" s="174">
        <f>'2018'!AB162+'2019'!AB162+'2020'!AB162+'2021'!AB162+'2022'!AB143</f>
        <v>48</v>
      </c>
      <c r="AC162" s="174">
        <f>'2018'!AC162+'2019'!AC162+'2020'!AC162+'2021'!AC162+'2022'!AC143</f>
        <v>0</v>
      </c>
      <c r="AD162" s="174">
        <f>'2018'!AD162+'2019'!AD162+'2020'!AD162+'2021'!AD162+'2022'!AD143</f>
        <v>0</v>
      </c>
      <c r="AE162" s="174">
        <f>'2018'!AE162+'2019'!AE162+'2020'!AE162+'2021'!AE162+'2022'!AE143</f>
        <v>0</v>
      </c>
      <c r="AF162" s="174">
        <f>'2018'!AF162+'2019'!AF162+'2020'!AF162+'2021'!AF162+'2022'!AF143</f>
        <v>42</v>
      </c>
      <c r="AG162" s="174">
        <f>'2018'!AG162+'2019'!AG162+'2020'!AG162+'2021'!AG162+'2022'!AG143</f>
        <v>3</v>
      </c>
      <c r="AH162" s="174">
        <f>'2018'!AH162+'2019'!AH162+'2020'!AH162+'2021'!AH162+'2022'!AH143</f>
        <v>0</v>
      </c>
      <c r="AI162" s="174">
        <f>'2018'!AI162+'2019'!AI162+'2020'!AI162+'2021'!AI162+'2022'!AI143</f>
        <v>0</v>
      </c>
      <c r="AJ162" s="174">
        <f>'2018'!AJ162+'2019'!AJ162+'2020'!AJ162+'2021'!AJ162+'2022'!AJ143</f>
        <v>0</v>
      </c>
      <c r="AK162" s="174">
        <f>'2018'!AK162+'2019'!AK162+'2020'!AK162+'2021'!AK162+'2022'!AK143</f>
        <v>0</v>
      </c>
      <c r="AL162" s="174">
        <f>'2018'!AL162+'2019'!AL162+'2020'!AL162+'2021'!AL162+'2022'!AL143</f>
        <v>0</v>
      </c>
      <c r="AM162" s="174">
        <f>'2018'!AM162+'2019'!AM162+'2020'!AM162+'2021'!AM162+'2022'!AM143</f>
        <v>0</v>
      </c>
      <c r="AN162" s="174">
        <f>'2018'!AN162+'2019'!AN162+'2020'!AN162+'2021'!AN162+'2022'!AN143</f>
        <v>0</v>
      </c>
      <c r="AO162" s="174">
        <f>'2018'!AO162+'2019'!AO162+'2020'!AO162+'2021'!AO162+'2022'!AO143</f>
        <v>0</v>
      </c>
      <c r="AP162" s="174">
        <f>'2018'!AP162+'2019'!AP162+'2020'!AP162+'2021'!AP162+'2022'!AP143</f>
        <v>3</v>
      </c>
      <c r="AQ162" s="174">
        <f>'2018'!AQ162+'2019'!AQ162+'2020'!AQ162+'2021'!AQ162+'2022'!AQ143</f>
        <v>0</v>
      </c>
      <c r="AR162" s="174">
        <f>'2018'!AR162+'2019'!AR162+'2020'!AR162+'2021'!AR162+'2022'!AR143</f>
        <v>0</v>
      </c>
      <c r="AS162" s="174">
        <f>'2018'!AS162+'2019'!AS162+'2020'!AS162+'2021'!AS162+'2022'!AS143</f>
        <v>0</v>
      </c>
      <c r="AT162" s="174">
        <f>'2018'!AT162+'2019'!AT162+'2020'!AT162+'2021'!AT162+'2022'!AT143</f>
        <v>0</v>
      </c>
      <c r="AU162" s="174">
        <f>'2018'!AU162+'2019'!AU162+'2020'!AU162+'2021'!AU162+'2022'!AU143</f>
        <v>0</v>
      </c>
      <c r="AV162" s="174">
        <f>'2018'!AV162+'2019'!AV162+'2020'!AV162+'2021'!AV162+'2022'!AV143</f>
        <v>0</v>
      </c>
      <c r="AW162" s="174">
        <f t="shared" si="22"/>
        <v>48</v>
      </c>
      <c r="AX162" s="156">
        <f t="shared" si="24"/>
        <v>1929.7239999999997</v>
      </c>
      <c r="AY162" s="14">
        <f>'2018'!AX162+'2019'!AX162+'2020'!AX162+'2021'!AX162+'2022'!AX143</f>
        <v>9648.619999999999</v>
      </c>
      <c r="AZ162" s="14">
        <f t="shared" si="21"/>
        <v>67.605633802816897</v>
      </c>
      <c r="BA162" s="142"/>
      <c r="BB162" s="144"/>
      <c r="BC162" s="142"/>
    </row>
    <row r="163" spans="1:136" x14ac:dyDescent="0.25">
      <c r="A163" s="175" t="s">
        <v>244</v>
      </c>
      <c r="B163" s="176">
        <f>'2018'!B163+'2019'!B163+'2020'!B163+'2021'!B163+'2022'!B99</f>
        <v>4</v>
      </c>
      <c r="C163" s="176">
        <f>'2018'!C163+'2019'!C163+'2020'!C163+'2021'!C163+'2022'!C99</f>
        <v>0</v>
      </c>
      <c r="D163" s="176">
        <f>'2018'!D163+'2019'!D163+'2020'!D163+'2021'!D163+'2022'!D99</f>
        <v>6</v>
      </c>
      <c r="E163" s="176">
        <f>'2018'!E163+'2019'!E163+'2020'!E163+'2021'!E163+'2022'!E99</f>
        <v>0</v>
      </c>
      <c r="F163" s="176">
        <f>'2018'!F163+'2019'!F163+'2020'!F163+'2021'!F163+'2022'!F99</f>
        <v>0</v>
      </c>
      <c r="G163" s="176">
        <f>'2018'!G163+'2019'!G163+'2020'!G163+'2021'!G163+'2022'!G99</f>
        <v>0</v>
      </c>
      <c r="H163" s="176">
        <f>'2018'!H163+'2019'!H163+'2020'!H163+'2021'!H163+'2022'!H99</f>
        <v>5</v>
      </c>
      <c r="I163" s="176">
        <f>'2018'!I163+'2019'!I163+'2020'!I163+'2021'!I163+'2022'!I99</f>
        <v>0</v>
      </c>
      <c r="J163" s="176">
        <f>'2018'!J163+'2019'!J163+'2020'!J163+'2021'!J163+'2022'!J99</f>
        <v>0</v>
      </c>
      <c r="K163" s="176">
        <f>'2018'!K163+'2019'!K163+'2020'!K163+'2021'!K163+'2022'!K99</f>
        <v>1</v>
      </c>
      <c r="L163" s="176">
        <f>'2018'!L163+'2019'!L163+'2020'!L163+'2021'!L163+'2022'!L99</f>
        <v>0</v>
      </c>
      <c r="M163" s="176">
        <f>'2018'!M163+'2019'!M163+'2020'!M163+'2021'!M163+'2022'!M99</f>
        <v>0</v>
      </c>
      <c r="N163" s="176">
        <f>'2018'!N163+'2019'!N163+'2020'!N163+'2021'!N163+'2022'!N99</f>
        <v>0</v>
      </c>
      <c r="O163" s="176">
        <f>'2018'!O163+'2019'!O163+'2020'!O163+'2021'!O163+'2022'!O99</f>
        <v>0</v>
      </c>
      <c r="P163" s="176">
        <f>'2018'!P163+'2019'!P163+'2020'!P163+'2021'!P163+'2022'!P99</f>
        <v>0</v>
      </c>
      <c r="Q163" s="176">
        <f>'2018'!Q163+'2019'!Q163+'2020'!Q163+'2021'!Q163+'2022'!Q99</f>
        <v>0</v>
      </c>
      <c r="R163" s="176">
        <f>'2018'!R163+'2019'!R163+'2020'!R163+'2021'!R163+'2022'!R99</f>
        <v>0</v>
      </c>
      <c r="S163" s="176">
        <f>'2018'!S163+'2019'!S163+'2020'!S163+'2021'!S163+'2022'!S99</f>
        <v>0</v>
      </c>
      <c r="T163" s="176">
        <f>'2018'!T163+'2019'!T163+'2020'!T163+'2021'!T163+'2022'!T99</f>
        <v>0</v>
      </c>
      <c r="U163" s="176">
        <f>'2018'!U163+'2019'!U163+'2020'!U163+'2021'!U163+'2022'!U99</f>
        <v>0</v>
      </c>
      <c r="V163" s="176">
        <f>'2018'!V163+'2019'!V163+'2020'!V163+'2021'!V163+'2022'!V99</f>
        <v>0</v>
      </c>
      <c r="W163" s="176">
        <f>'2018'!W163+'2019'!W163+'2020'!W163+'2021'!W163+'2022'!W99</f>
        <v>0</v>
      </c>
      <c r="X163" s="176">
        <f>'2018'!X163+'2019'!X163+'2020'!X163+'2021'!X163+'2022'!X99</f>
        <v>0</v>
      </c>
      <c r="Y163" s="174">
        <f t="shared" si="23"/>
        <v>6</v>
      </c>
      <c r="Z163" s="174">
        <f>'2018'!Z163+'2019'!Z163+'2020'!Z163+'2021'!Z163+'2022'!Z99</f>
        <v>3</v>
      </c>
      <c r="AA163" s="174">
        <f>'2018'!AA163+'2019'!AA163+'2020'!AA163+'2021'!AA163+'2022'!AA99</f>
        <v>0</v>
      </c>
      <c r="AB163" s="174">
        <f>'2018'!AB163+'2019'!AB163+'2020'!AB163+'2021'!AB163+'2022'!AB99</f>
        <v>5</v>
      </c>
      <c r="AC163" s="174">
        <f>'2018'!AC163+'2019'!AC163+'2020'!AC163+'2021'!AC163+'2022'!AC99</f>
        <v>0</v>
      </c>
      <c r="AD163" s="174">
        <f>'2018'!AD163+'2019'!AD163+'2020'!AD163+'2021'!AD163+'2022'!AD99</f>
        <v>0</v>
      </c>
      <c r="AE163" s="174">
        <f>'2018'!AE163+'2019'!AE163+'2020'!AE163+'2021'!AE163+'2022'!AE99</f>
        <v>0</v>
      </c>
      <c r="AF163" s="174">
        <f>'2018'!AF163+'2019'!AF163+'2020'!AF163+'2021'!AF163+'2022'!AF99</f>
        <v>5</v>
      </c>
      <c r="AG163" s="174">
        <f>'2018'!AG163+'2019'!AG163+'2020'!AG163+'2021'!AG163+'2022'!AG99</f>
        <v>0</v>
      </c>
      <c r="AH163" s="174">
        <f>'2018'!AH163+'2019'!AH163+'2020'!AH163+'2021'!AH163+'2022'!AH99</f>
        <v>0</v>
      </c>
      <c r="AI163" s="174">
        <f>'2018'!AI163+'2019'!AI163+'2020'!AI163+'2021'!AI163+'2022'!AI99</f>
        <v>0</v>
      </c>
      <c r="AJ163" s="174">
        <f>'2018'!AJ163+'2019'!AJ163+'2020'!AJ163+'2021'!AJ163+'2022'!AJ99</f>
        <v>0</v>
      </c>
      <c r="AK163" s="174">
        <f>'2018'!AK163+'2019'!AK163+'2020'!AK163+'2021'!AK163+'2022'!AK99</f>
        <v>0</v>
      </c>
      <c r="AL163" s="174">
        <f>'2018'!AL163+'2019'!AL163+'2020'!AL163+'2021'!AL163+'2022'!AL99</f>
        <v>0</v>
      </c>
      <c r="AM163" s="174">
        <f>'2018'!AM163+'2019'!AM163+'2020'!AM163+'2021'!AM163+'2022'!AM99</f>
        <v>0</v>
      </c>
      <c r="AN163" s="174">
        <f>'2018'!AN163+'2019'!AN163+'2020'!AN163+'2021'!AN163+'2022'!AN99</f>
        <v>0</v>
      </c>
      <c r="AO163" s="174">
        <f>'2018'!AO163+'2019'!AO163+'2020'!AO163+'2021'!AO163+'2022'!AO99</f>
        <v>0</v>
      </c>
      <c r="AP163" s="174">
        <f>'2018'!AP163+'2019'!AP163+'2020'!AP163+'2021'!AP163+'2022'!AP99</f>
        <v>0</v>
      </c>
      <c r="AQ163" s="174">
        <f>'2018'!AQ163+'2019'!AQ163+'2020'!AQ163+'2021'!AQ163+'2022'!AQ99</f>
        <v>0</v>
      </c>
      <c r="AR163" s="174">
        <f>'2018'!AR163+'2019'!AR163+'2020'!AR163+'2021'!AR163+'2022'!AR99</f>
        <v>0</v>
      </c>
      <c r="AS163" s="174">
        <f>'2018'!AS163+'2019'!AS163+'2020'!AS163+'2021'!AS163+'2022'!AS99</f>
        <v>0</v>
      </c>
      <c r="AT163" s="174">
        <f>'2018'!AT163+'2019'!AT163+'2020'!AT163+'2021'!AT163+'2022'!AT99</f>
        <v>0</v>
      </c>
      <c r="AU163" s="174">
        <f>'2018'!AU163+'2019'!AU163+'2020'!AU163+'2021'!AU163+'2022'!AU99</f>
        <v>0</v>
      </c>
      <c r="AV163" s="174">
        <f>'2018'!AV163+'2019'!AV163+'2020'!AV163+'2021'!AV163+'2022'!AV99</f>
        <v>0</v>
      </c>
      <c r="AW163" s="174">
        <f t="shared" si="22"/>
        <v>5</v>
      </c>
      <c r="AX163" s="156">
        <f t="shared" si="24"/>
        <v>502.4</v>
      </c>
      <c r="AY163" s="14">
        <f>'2018'!AX163+'2019'!AX163+'2020'!AX163+'2021'!AX163+'2022'!AX99</f>
        <v>2512</v>
      </c>
      <c r="AZ163" s="14">
        <f t="shared" si="21"/>
        <v>83.333333333333329</v>
      </c>
      <c r="BA163" s="142"/>
      <c r="BB163" s="144"/>
      <c r="BC163" s="142"/>
    </row>
    <row r="164" spans="1:136" x14ac:dyDescent="0.25">
      <c r="A164" s="175" t="s">
        <v>245</v>
      </c>
      <c r="B164" s="176">
        <f>'2018'!B164+'2019'!B164+'2020'!B164+'2021'!B164+'2022'!B144</f>
        <v>10</v>
      </c>
      <c r="C164" s="176">
        <f>'2018'!C164+'2019'!C164+'2020'!C164+'2021'!C164+'2022'!C144</f>
        <v>0</v>
      </c>
      <c r="D164" s="176">
        <f>'2018'!D164+'2019'!D164+'2020'!D164+'2021'!D164+'2022'!D144</f>
        <v>84</v>
      </c>
      <c r="E164" s="176">
        <f>'2018'!E164+'2019'!E164+'2020'!E164+'2021'!E164+'2022'!E144</f>
        <v>0</v>
      </c>
      <c r="F164" s="176">
        <f>'2018'!F164+'2019'!F164+'2020'!F164+'2021'!F164+'2022'!F144</f>
        <v>0</v>
      </c>
      <c r="G164" s="176">
        <f>'2018'!G164+'2019'!G164+'2020'!G164+'2021'!G164+'2022'!G144</f>
        <v>0</v>
      </c>
      <c r="H164" s="176">
        <f>'2018'!H164+'2019'!H164+'2020'!H164+'2021'!H164+'2022'!H144</f>
        <v>66</v>
      </c>
      <c r="I164" s="176">
        <f>'2018'!I164+'2019'!I164+'2020'!I164+'2021'!I164+'2022'!I144</f>
        <v>0</v>
      </c>
      <c r="J164" s="176">
        <f>'2018'!J164+'2019'!J164+'2020'!J164+'2021'!J164+'2022'!J144</f>
        <v>0</v>
      </c>
      <c r="K164" s="176">
        <f>'2018'!K164+'2019'!K164+'2020'!K164+'2021'!K164+'2022'!K144</f>
        <v>0</v>
      </c>
      <c r="L164" s="176">
        <f>'2018'!L164+'2019'!L164+'2020'!L164+'2021'!L164+'2022'!L144</f>
        <v>0</v>
      </c>
      <c r="M164" s="176">
        <f>'2018'!M164+'2019'!M164+'2020'!M164+'2021'!M164+'2022'!M144</f>
        <v>0</v>
      </c>
      <c r="N164" s="176">
        <f>'2018'!N164+'2019'!N164+'2020'!N164+'2021'!N164+'2022'!N144</f>
        <v>18</v>
      </c>
      <c r="O164" s="176">
        <f>'2018'!O164+'2019'!O164+'2020'!O164+'2021'!O164+'2022'!O144</f>
        <v>0</v>
      </c>
      <c r="P164" s="176">
        <f>'2018'!P164+'2019'!P164+'2020'!P164+'2021'!P164+'2022'!P144</f>
        <v>0</v>
      </c>
      <c r="Q164" s="176">
        <f>'2018'!Q164+'2019'!Q164+'2020'!Q164+'2021'!Q164+'2022'!Q144</f>
        <v>0</v>
      </c>
      <c r="R164" s="176">
        <f>'2018'!R164+'2019'!R164+'2020'!R164+'2021'!R164+'2022'!R144</f>
        <v>0</v>
      </c>
      <c r="S164" s="176">
        <f>'2018'!S164+'2019'!S164+'2020'!S164+'2021'!S164+'2022'!S144</f>
        <v>0</v>
      </c>
      <c r="T164" s="176">
        <f>'2018'!T164+'2019'!T164+'2020'!T164+'2021'!T164+'2022'!T144</f>
        <v>0</v>
      </c>
      <c r="U164" s="176">
        <f>'2018'!U164+'2019'!U164+'2020'!U164+'2021'!U164+'2022'!U144</f>
        <v>0</v>
      </c>
      <c r="V164" s="176">
        <f>'2018'!V164+'2019'!V164+'2020'!V164+'2021'!V164+'2022'!V144</f>
        <v>0</v>
      </c>
      <c r="W164" s="176">
        <f>'2018'!W164+'2019'!W164+'2020'!W164+'2021'!W164+'2022'!W144</f>
        <v>0</v>
      </c>
      <c r="X164" s="176">
        <f>'2018'!X164+'2019'!X164+'2020'!X164+'2021'!X164+'2022'!X144</f>
        <v>0</v>
      </c>
      <c r="Y164" s="174">
        <f t="shared" si="23"/>
        <v>84</v>
      </c>
      <c r="Z164" s="174">
        <f>'2018'!Z164+'2019'!Z164+'2020'!Z164+'2021'!Z164+'2022'!Z144</f>
        <v>9</v>
      </c>
      <c r="AA164" s="174">
        <f>'2018'!AA164+'2019'!AA164+'2020'!AA164+'2021'!AA164+'2022'!AA144</f>
        <v>0</v>
      </c>
      <c r="AB164" s="174">
        <f>'2018'!AB164+'2019'!AB164+'2020'!AB164+'2021'!AB164+'2022'!AB144</f>
        <v>62</v>
      </c>
      <c r="AC164" s="174">
        <f>'2018'!AC164+'2019'!AC164+'2020'!AC164+'2021'!AC164+'2022'!AC144</f>
        <v>0</v>
      </c>
      <c r="AD164" s="174">
        <f>'2018'!AD164+'2019'!AD164+'2020'!AD164+'2021'!AD164+'2022'!AD144</f>
        <v>0</v>
      </c>
      <c r="AE164" s="174">
        <f>'2018'!AE164+'2019'!AE164+'2020'!AE164+'2021'!AE164+'2022'!AE144</f>
        <v>0</v>
      </c>
      <c r="AF164" s="174">
        <f>'2018'!AF164+'2019'!AF164+'2020'!AF164+'2021'!AF164+'2022'!AF144</f>
        <v>62</v>
      </c>
      <c r="AG164" s="174">
        <f>'2018'!AG164+'2019'!AG164+'2020'!AG164+'2021'!AG164+'2022'!AG144</f>
        <v>0</v>
      </c>
      <c r="AH164" s="174">
        <f>'2018'!AH164+'2019'!AH164+'2020'!AH164+'2021'!AH164+'2022'!AH144</f>
        <v>0</v>
      </c>
      <c r="AI164" s="174">
        <f>'2018'!AI164+'2019'!AI164+'2020'!AI164+'2021'!AI164+'2022'!AI144</f>
        <v>0</v>
      </c>
      <c r="AJ164" s="174">
        <f>'2018'!AJ164+'2019'!AJ164+'2020'!AJ164+'2021'!AJ164+'2022'!AJ144</f>
        <v>0</v>
      </c>
      <c r="AK164" s="174">
        <f>'2018'!AK164+'2019'!AK164+'2020'!AK164+'2021'!AK164+'2022'!AK144</f>
        <v>0</v>
      </c>
      <c r="AL164" s="174">
        <f>'2018'!AL164+'2019'!AL164+'2020'!AL164+'2021'!AL164+'2022'!AL144</f>
        <v>0</v>
      </c>
      <c r="AM164" s="174">
        <f>'2018'!AM164+'2019'!AM164+'2020'!AM164+'2021'!AM164+'2022'!AM144</f>
        <v>0</v>
      </c>
      <c r="AN164" s="174">
        <f>'2018'!AN164+'2019'!AN164+'2020'!AN164+'2021'!AN164+'2022'!AN144</f>
        <v>0</v>
      </c>
      <c r="AO164" s="174">
        <f>'2018'!AO164+'2019'!AO164+'2020'!AO164+'2021'!AO164+'2022'!AO144</f>
        <v>0</v>
      </c>
      <c r="AP164" s="174">
        <f>'2018'!AP164+'2019'!AP164+'2020'!AP164+'2021'!AP164+'2022'!AP144</f>
        <v>0</v>
      </c>
      <c r="AQ164" s="174">
        <f>'2018'!AQ164+'2019'!AQ164+'2020'!AQ164+'2021'!AQ164+'2022'!AQ144</f>
        <v>0</v>
      </c>
      <c r="AR164" s="174">
        <f>'2018'!AR164+'2019'!AR164+'2020'!AR164+'2021'!AR164+'2022'!AR144</f>
        <v>0</v>
      </c>
      <c r="AS164" s="174">
        <f>'2018'!AS164+'2019'!AS164+'2020'!AS164+'2021'!AS164+'2022'!AS144</f>
        <v>0</v>
      </c>
      <c r="AT164" s="174">
        <f>'2018'!AT164+'2019'!AT164+'2020'!AT164+'2021'!AT164+'2022'!AT144</f>
        <v>0</v>
      </c>
      <c r="AU164" s="174">
        <f>'2018'!AU164+'2019'!AU164+'2020'!AU164+'2021'!AU164+'2022'!AU144</f>
        <v>0</v>
      </c>
      <c r="AV164" s="174">
        <f>'2018'!AV164+'2019'!AV164+'2020'!AV164+'2021'!AV164+'2022'!AV144</f>
        <v>0</v>
      </c>
      <c r="AW164" s="174">
        <f t="shared" si="22"/>
        <v>62</v>
      </c>
      <c r="AX164" s="156">
        <f t="shared" si="24"/>
        <v>706.66666666666674</v>
      </c>
      <c r="AY164" s="14">
        <f>'2018'!AX164+'2019'!AX164+'2020'!AX164+'2021'!AX164+'2022'!AX144</f>
        <v>3533.3333333333335</v>
      </c>
      <c r="AZ164" s="14">
        <f t="shared" si="21"/>
        <v>73.80952380952381</v>
      </c>
      <c r="BA164" s="142"/>
      <c r="BB164" s="144"/>
      <c r="BC164" s="142"/>
    </row>
    <row r="165" spans="1:136" x14ac:dyDescent="0.25">
      <c r="A165" s="175" t="s">
        <v>246</v>
      </c>
      <c r="B165" s="176">
        <f>'2018'!B165+'2019'!B165+'2020'!B165+'2021'!B165+'2022'!B145</f>
        <v>4</v>
      </c>
      <c r="C165" s="176">
        <f>'2018'!C165+'2019'!C165+'2020'!C165+'2021'!C165+'2022'!C145</f>
        <v>0</v>
      </c>
      <c r="D165" s="176">
        <f>'2018'!D165+'2019'!D165+'2020'!D165+'2021'!D165+'2022'!D145</f>
        <v>138</v>
      </c>
      <c r="E165" s="176">
        <f>'2018'!E165+'2019'!E165+'2020'!E165+'2021'!E165+'2022'!E145</f>
        <v>0</v>
      </c>
      <c r="F165" s="176">
        <f>'2018'!F165+'2019'!F165+'2020'!F165+'2021'!F165+'2022'!F145</f>
        <v>0</v>
      </c>
      <c r="G165" s="176">
        <f>'2018'!G165+'2019'!G165+'2020'!G165+'2021'!G165+'2022'!G145</f>
        <v>0</v>
      </c>
      <c r="H165" s="176">
        <f>'2018'!H165+'2019'!H165+'2020'!H165+'2021'!H165+'2022'!H145</f>
        <v>138</v>
      </c>
      <c r="I165" s="176">
        <f>'2018'!I165+'2019'!I165+'2020'!I165+'2021'!I165+'2022'!I145</f>
        <v>0</v>
      </c>
      <c r="J165" s="176">
        <f>'2018'!J165+'2019'!J165+'2020'!J165+'2021'!J165+'2022'!J145</f>
        <v>0</v>
      </c>
      <c r="K165" s="176">
        <f>'2018'!K165+'2019'!K165+'2020'!K165+'2021'!K165+'2022'!K145</f>
        <v>0</v>
      </c>
      <c r="L165" s="176">
        <f>'2018'!L165+'2019'!L165+'2020'!L165+'2021'!L165+'2022'!L145</f>
        <v>0</v>
      </c>
      <c r="M165" s="176">
        <f>'2018'!M165+'2019'!M165+'2020'!M165+'2021'!M165+'2022'!M145</f>
        <v>0</v>
      </c>
      <c r="N165" s="176">
        <f>'2018'!N165+'2019'!N165+'2020'!N165+'2021'!N165+'2022'!N145</f>
        <v>0</v>
      </c>
      <c r="O165" s="176">
        <f>'2018'!O165+'2019'!O165+'2020'!O165+'2021'!O165+'2022'!O145</f>
        <v>0</v>
      </c>
      <c r="P165" s="176">
        <f>'2018'!P165+'2019'!P165+'2020'!P165+'2021'!P165+'2022'!P145</f>
        <v>0</v>
      </c>
      <c r="Q165" s="176">
        <f>'2018'!Q165+'2019'!Q165+'2020'!Q165+'2021'!Q165+'2022'!Q145</f>
        <v>0</v>
      </c>
      <c r="R165" s="176">
        <f>'2018'!R165+'2019'!R165+'2020'!R165+'2021'!R165+'2022'!R145</f>
        <v>0</v>
      </c>
      <c r="S165" s="176">
        <f>'2018'!S165+'2019'!S165+'2020'!S165+'2021'!S165+'2022'!S145</f>
        <v>0</v>
      </c>
      <c r="T165" s="176">
        <f>'2018'!T165+'2019'!T165+'2020'!T165+'2021'!T165+'2022'!T145</f>
        <v>0</v>
      </c>
      <c r="U165" s="176">
        <f>'2018'!U165+'2019'!U165+'2020'!U165+'2021'!U165+'2022'!U145</f>
        <v>0</v>
      </c>
      <c r="V165" s="176">
        <f>'2018'!V165+'2019'!V165+'2020'!V165+'2021'!V165+'2022'!V145</f>
        <v>0</v>
      </c>
      <c r="W165" s="176">
        <f>'2018'!W165+'2019'!W165+'2020'!W165+'2021'!W165+'2022'!W145</f>
        <v>0</v>
      </c>
      <c r="X165" s="176">
        <f>'2018'!X165+'2019'!X165+'2020'!X165+'2021'!X165+'2022'!X145</f>
        <v>0</v>
      </c>
      <c r="Y165" s="174">
        <f t="shared" si="23"/>
        <v>138</v>
      </c>
      <c r="Z165" s="174">
        <f>'2018'!Z165+'2019'!Z165+'2020'!Z165+'2021'!Z165+'2022'!Z145</f>
        <v>4</v>
      </c>
      <c r="AA165" s="174">
        <f>'2018'!AA165+'2019'!AA165+'2020'!AA165+'2021'!AA165+'2022'!AA145</f>
        <v>0</v>
      </c>
      <c r="AB165" s="174">
        <f>'2018'!AB165+'2019'!AB165+'2020'!AB165+'2021'!AB165+'2022'!AB145</f>
        <v>88</v>
      </c>
      <c r="AC165" s="174">
        <f>'2018'!AC165+'2019'!AC165+'2020'!AC165+'2021'!AC165+'2022'!AC145</f>
        <v>0</v>
      </c>
      <c r="AD165" s="174">
        <f>'2018'!AD165+'2019'!AD165+'2020'!AD165+'2021'!AD165+'2022'!AD145</f>
        <v>0</v>
      </c>
      <c r="AE165" s="174">
        <f>'2018'!AE165+'2019'!AE165+'2020'!AE165+'2021'!AE165+'2022'!AE145</f>
        <v>0</v>
      </c>
      <c r="AF165" s="174">
        <f>'2018'!AF165+'2019'!AF165+'2020'!AF165+'2021'!AF165+'2022'!AF145</f>
        <v>88</v>
      </c>
      <c r="AG165" s="174">
        <f>'2018'!AG165+'2019'!AG165+'2020'!AG165+'2021'!AG165+'2022'!AG145</f>
        <v>0</v>
      </c>
      <c r="AH165" s="174">
        <f>'2018'!AH165+'2019'!AH165+'2020'!AH165+'2021'!AH165+'2022'!AH145</f>
        <v>0</v>
      </c>
      <c r="AI165" s="174">
        <f>'2018'!AI165+'2019'!AI165+'2020'!AI165+'2021'!AI165+'2022'!AI145</f>
        <v>0</v>
      </c>
      <c r="AJ165" s="174">
        <f>'2018'!AJ165+'2019'!AJ165+'2020'!AJ165+'2021'!AJ165+'2022'!AJ145</f>
        <v>0</v>
      </c>
      <c r="AK165" s="174">
        <f>'2018'!AK165+'2019'!AK165+'2020'!AK165+'2021'!AK165+'2022'!AK145</f>
        <v>0</v>
      </c>
      <c r="AL165" s="174">
        <f>'2018'!AL165+'2019'!AL165+'2020'!AL165+'2021'!AL165+'2022'!AL145</f>
        <v>0</v>
      </c>
      <c r="AM165" s="174">
        <f>'2018'!AM165+'2019'!AM165+'2020'!AM165+'2021'!AM165+'2022'!AM145</f>
        <v>0</v>
      </c>
      <c r="AN165" s="174">
        <f>'2018'!AN165+'2019'!AN165+'2020'!AN165+'2021'!AN165+'2022'!AN145</f>
        <v>0</v>
      </c>
      <c r="AO165" s="174">
        <f>'2018'!AO165+'2019'!AO165+'2020'!AO165+'2021'!AO165+'2022'!AO145</f>
        <v>0</v>
      </c>
      <c r="AP165" s="174">
        <f>'2018'!AP165+'2019'!AP165+'2020'!AP165+'2021'!AP165+'2022'!AP145</f>
        <v>0</v>
      </c>
      <c r="AQ165" s="174">
        <f>'2018'!AQ165+'2019'!AQ165+'2020'!AQ165+'2021'!AQ165+'2022'!AQ145</f>
        <v>0</v>
      </c>
      <c r="AR165" s="174">
        <f>'2018'!AR165+'2019'!AR165+'2020'!AR165+'2021'!AR165+'2022'!AR145</f>
        <v>0</v>
      </c>
      <c r="AS165" s="174">
        <f>'2018'!AS165+'2019'!AS165+'2020'!AS165+'2021'!AS165+'2022'!AS145</f>
        <v>0</v>
      </c>
      <c r="AT165" s="174">
        <f>'2018'!AT165+'2019'!AT165+'2020'!AT165+'2021'!AT165+'2022'!AT145</f>
        <v>0</v>
      </c>
      <c r="AU165" s="174">
        <f>'2018'!AU165+'2019'!AU165+'2020'!AU165+'2021'!AU165+'2022'!AU145</f>
        <v>0</v>
      </c>
      <c r="AV165" s="174">
        <f>'2018'!AV165+'2019'!AV165+'2020'!AV165+'2021'!AV165+'2022'!AV145</f>
        <v>0</v>
      </c>
      <c r="AW165" s="174">
        <f t="shared" si="22"/>
        <v>88</v>
      </c>
      <c r="AX165" s="156">
        <f t="shared" si="24"/>
        <v>162.994</v>
      </c>
      <c r="AY165" s="14">
        <f>'2018'!AX165+'2019'!AX165+'2020'!AX165+'2021'!AX165+'2022'!AX145</f>
        <v>814.97</v>
      </c>
      <c r="AZ165" s="14">
        <f t="shared" si="21"/>
        <v>63.768115942028984</v>
      </c>
      <c r="BA165" s="142"/>
      <c r="BB165" s="144"/>
      <c r="BC165" s="142"/>
    </row>
    <row r="166" spans="1:136" x14ac:dyDescent="0.25">
      <c r="A166" s="175" t="s">
        <v>247</v>
      </c>
      <c r="B166" s="176">
        <f>'2018'!B166+'2019'!B166+'2020'!B166+'2021'!B166+'2022'!B146</f>
        <v>22</v>
      </c>
      <c r="C166" s="176">
        <f>'2018'!C166+'2019'!C166+'2020'!C166+'2021'!C166+'2022'!C146</f>
        <v>5</v>
      </c>
      <c r="D166" s="176">
        <f>'2018'!D166+'2019'!D166+'2020'!D166+'2021'!D166+'2022'!D146</f>
        <v>75</v>
      </c>
      <c r="E166" s="176">
        <f>'2018'!E166+'2019'!E166+'2020'!E166+'2021'!E166+'2022'!E146</f>
        <v>8</v>
      </c>
      <c r="F166" s="176">
        <f>'2018'!F166+'2019'!F166+'2020'!F166+'2021'!F166+'2022'!F146</f>
        <v>0</v>
      </c>
      <c r="G166" s="176">
        <f>'2018'!G166+'2019'!G166+'2020'!G166+'2021'!G166+'2022'!G146</f>
        <v>0</v>
      </c>
      <c r="H166" s="176">
        <f>'2018'!H166+'2019'!H166+'2020'!H166+'2021'!H166+'2022'!H146</f>
        <v>18</v>
      </c>
      <c r="I166" s="176">
        <f>'2018'!I166+'2019'!I166+'2020'!I166+'2021'!I166+'2022'!I146</f>
        <v>0</v>
      </c>
      <c r="J166" s="176">
        <f>'2018'!J166+'2019'!J166+'2020'!J166+'2021'!J166+'2022'!J146</f>
        <v>34</v>
      </c>
      <c r="K166" s="176">
        <f>'2018'!K166+'2019'!K166+'2020'!K166+'2021'!K166+'2022'!K146</f>
        <v>0</v>
      </c>
      <c r="L166" s="176">
        <f>'2018'!L166+'2019'!L166+'2020'!L166+'2021'!L166+'2022'!L146</f>
        <v>3</v>
      </c>
      <c r="M166" s="176">
        <f>'2018'!M166+'2019'!M166+'2020'!M166+'2021'!M166+'2022'!M146</f>
        <v>2</v>
      </c>
      <c r="N166" s="176">
        <f>'2018'!N166+'2019'!N166+'2020'!N166+'2021'!N166+'2022'!N146</f>
        <v>0</v>
      </c>
      <c r="O166" s="176">
        <f>'2018'!O166+'2019'!O166+'2020'!O166+'2021'!O166+'2022'!O146</f>
        <v>1</v>
      </c>
      <c r="P166" s="176">
        <f>'2018'!P166+'2019'!P166+'2020'!P166+'2021'!P166+'2022'!P146</f>
        <v>0</v>
      </c>
      <c r="Q166" s="176">
        <f>'2018'!Q166+'2019'!Q166+'2020'!Q166+'2021'!Q166+'2022'!Q146</f>
        <v>0</v>
      </c>
      <c r="R166" s="176">
        <f>'2018'!R166+'2019'!R166+'2020'!R166+'2021'!R166+'2022'!R146</f>
        <v>7</v>
      </c>
      <c r="S166" s="176">
        <f>'2018'!S166+'2019'!S166+'2020'!S166+'2021'!S166+'2022'!S146</f>
        <v>1</v>
      </c>
      <c r="T166" s="176">
        <f>'2018'!T166+'2019'!T166+'2020'!T166+'2021'!T166+'2022'!T146</f>
        <v>7</v>
      </c>
      <c r="U166" s="176">
        <f>'2018'!U166+'2019'!U166+'2020'!U166+'2021'!U166+'2022'!U146</f>
        <v>0</v>
      </c>
      <c r="V166" s="176">
        <f>'2018'!V166+'2019'!V166+'2020'!V166+'2021'!V166+'2022'!V146</f>
        <v>1</v>
      </c>
      <c r="W166" s="176">
        <f>'2018'!W166+'2019'!W166+'2020'!W166+'2021'!W166+'2022'!W146</f>
        <v>0</v>
      </c>
      <c r="X166" s="176">
        <f>'2018'!X166+'2019'!X166+'2020'!X166+'2021'!X166+'2022'!X146</f>
        <v>1</v>
      </c>
      <c r="Y166" s="174">
        <f t="shared" si="23"/>
        <v>75</v>
      </c>
      <c r="Z166" s="174">
        <f>'2018'!Z166+'2019'!Z166+'2020'!Z166+'2021'!Z166+'2022'!Z146</f>
        <v>16</v>
      </c>
      <c r="AA166" s="174">
        <f>'2018'!AA166+'2019'!AA166+'2020'!AA166+'2021'!AA166+'2022'!AA146</f>
        <v>5</v>
      </c>
      <c r="AB166" s="174">
        <f>'2018'!AB166+'2019'!AB166+'2020'!AB166+'2021'!AB166+'2022'!AB146</f>
        <v>58</v>
      </c>
      <c r="AC166" s="174">
        <f>'2018'!AC166+'2019'!AC166+'2020'!AC166+'2021'!AC166+'2022'!AC146</f>
        <v>4</v>
      </c>
      <c r="AD166" s="174">
        <f>'2018'!AD166+'2019'!AD166+'2020'!AD166+'2021'!AD166+'2022'!AD146</f>
        <v>0</v>
      </c>
      <c r="AE166" s="174">
        <f>'2018'!AE166+'2019'!AE166+'2020'!AE166+'2021'!AE166+'2022'!AE146</f>
        <v>0</v>
      </c>
      <c r="AF166" s="174">
        <f>'2018'!AF166+'2019'!AF166+'2020'!AF166+'2021'!AF166+'2022'!AF146</f>
        <v>25</v>
      </c>
      <c r="AG166" s="174">
        <f>'2018'!AG166+'2019'!AG166+'2020'!AG166+'2021'!AG166+'2022'!AG146</f>
        <v>0</v>
      </c>
      <c r="AH166" s="174">
        <f>'2018'!AH166+'2019'!AH166+'2020'!AH166+'2021'!AH166+'2022'!AH146</f>
        <v>23</v>
      </c>
      <c r="AI166" s="174">
        <f>'2018'!AI166+'2019'!AI166+'2020'!AI166+'2021'!AI166+'2022'!AI146</f>
        <v>0</v>
      </c>
      <c r="AJ166" s="174">
        <f>'2018'!AJ166+'2019'!AJ166+'2020'!AJ166+'2021'!AJ166+'2022'!AJ146</f>
        <v>2</v>
      </c>
      <c r="AK166" s="174">
        <f>'2018'!AK166+'2019'!AK166+'2020'!AK166+'2021'!AK166+'2022'!AK146</f>
        <v>0</v>
      </c>
      <c r="AL166" s="174">
        <f>'2018'!AL166+'2019'!AL166+'2020'!AL166+'2021'!AL166+'2022'!AL146</f>
        <v>0</v>
      </c>
      <c r="AM166" s="174">
        <f>'2018'!AM166+'2019'!AM166+'2020'!AM166+'2021'!AM166+'2022'!AM146</f>
        <v>0</v>
      </c>
      <c r="AN166" s="174">
        <f>'2018'!AN166+'2019'!AN166+'2020'!AN166+'2021'!AN166+'2022'!AN146</f>
        <v>0</v>
      </c>
      <c r="AO166" s="174">
        <f>'2018'!AO166+'2019'!AO166+'2020'!AO166+'2021'!AO166+'2022'!AO146</f>
        <v>0</v>
      </c>
      <c r="AP166" s="174">
        <f>'2018'!AP166+'2019'!AP166+'2020'!AP166+'2021'!AP166+'2022'!AP146</f>
        <v>2</v>
      </c>
      <c r="AQ166" s="174">
        <f>'2018'!AQ166+'2019'!AQ166+'2020'!AQ166+'2021'!AQ166+'2022'!AQ146</f>
        <v>0</v>
      </c>
      <c r="AR166" s="174">
        <f>'2018'!AR166+'2019'!AR166+'2020'!AR166+'2021'!AR166+'2022'!AR146</f>
        <v>4</v>
      </c>
      <c r="AS166" s="174">
        <f>'2018'!AS166+'2019'!AS166+'2020'!AS166+'2021'!AS166+'2022'!AS146</f>
        <v>0</v>
      </c>
      <c r="AT166" s="174">
        <f>'2018'!AT166+'2019'!AT166+'2020'!AT166+'2021'!AT166+'2022'!AT146</f>
        <v>1</v>
      </c>
      <c r="AU166" s="174">
        <f>'2018'!AU166+'2019'!AU166+'2020'!AU166+'2021'!AU166+'2022'!AU146</f>
        <v>0</v>
      </c>
      <c r="AV166" s="174">
        <f>'2018'!AV166+'2019'!AV166+'2020'!AV166+'2021'!AV166+'2022'!AV146</f>
        <v>1</v>
      </c>
      <c r="AW166" s="174">
        <f t="shared" si="22"/>
        <v>58</v>
      </c>
      <c r="AX166" s="156">
        <f t="shared" si="24"/>
        <v>6199.8266666666668</v>
      </c>
      <c r="AY166" s="14">
        <f>'2018'!AX166+'2019'!AX166+'2020'!AX166+'2021'!AX166+'2022'!AX146</f>
        <v>30999.133333333335</v>
      </c>
      <c r="AZ166" s="14">
        <f t="shared" si="21"/>
        <v>77.333333333333329</v>
      </c>
      <c r="BA166" s="142"/>
      <c r="BB166" s="144"/>
      <c r="BC166" s="142"/>
    </row>
    <row r="167" spans="1:136" x14ac:dyDescent="0.25">
      <c r="A167" s="175" t="s">
        <v>248</v>
      </c>
      <c r="B167" s="176">
        <f>'2018'!B167+'2019'!B167+'2020'!B167+'2021'!B167+'2022'!B147</f>
        <v>27</v>
      </c>
      <c r="C167" s="176">
        <f>'2018'!C167+'2019'!C167+'2020'!C167+'2021'!C167+'2022'!C147</f>
        <v>0</v>
      </c>
      <c r="D167" s="176">
        <f>'2018'!D167+'2019'!D167+'2020'!D167+'2021'!D167+'2022'!D147</f>
        <v>45</v>
      </c>
      <c r="E167" s="176">
        <f>'2018'!E167+'2019'!E167+'2020'!E167+'2021'!E167+'2022'!E147</f>
        <v>0</v>
      </c>
      <c r="F167" s="176">
        <f>'2018'!F167+'2019'!F167+'2020'!F167+'2021'!F167+'2022'!F147</f>
        <v>0</v>
      </c>
      <c r="G167" s="176">
        <f>'2018'!G167+'2019'!G167+'2020'!G167+'2021'!G167+'2022'!G147</f>
        <v>0</v>
      </c>
      <c r="H167" s="176">
        <f>'2018'!H167+'2019'!H167+'2020'!H167+'2021'!H167+'2022'!H147</f>
        <v>3</v>
      </c>
      <c r="I167" s="176">
        <f>'2018'!I167+'2019'!I167+'2020'!I167+'2021'!I167+'2022'!I147</f>
        <v>0</v>
      </c>
      <c r="J167" s="176">
        <f>'2018'!J167+'2019'!J167+'2020'!J167+'2021'!J167+'2022'!J147</f>
        <v>0</v>
      </c>
      <c r="K167" s="176">
        <f>'2018'!K167+'2019'!K167+'2020'!K167+'2021'!K167+'2022'!K147</f>
        <v>12</v>
      </c>
      <c r="L167" s="176">
        <f>'2018'!L167+'2019'!L167+'2020'!L167+'2021'!L167+'2022'!L147</f>
        <v>25</v>
      </c>
      <c r="M167" s="176">
        <f>'2018'!M167+'2019'!M167+'2020'!M167+'2021'!M167+'2022'!M147</f>
        <v>0</v>
      </c>
      <c r="N167" s="176">
        <f>'2018'!N167+'2019'!N167+'2020'!N167+'2021'!N167+'2022'!N147</f>
        <v>1</v>
      </c>
      <c r="O167" s="176">
        <f>'2018'!O167+'2019'!O167+'2020'!O167+'2021'!O167+'2022'!O147</f>
        <v>0</v>
      </c>
      <c r="P167" s="176">
        <f>'2018'!P167+'2019'!P167+'2020'!P167+'2021'!P167+'2022'!P147</f>
        <v>0</v>
      </c>
      <c r="Q167" s="176">
        <f>'2018'!Q167+'2019'!Q167+'2020'!Q167+'2021'!Q167+'2022'!Q147</f>
        <v>0</v>
      </c>
      <c r="R167" s="176">
        <f>'2018'!R167+'2019'!R167+'2020'!R167+'2021'!R167+'2022'!R147</f>
        <v>1</v>
      </c>
      <c r="S167" s="176">
        <f>'2018'!S167+'2019'!S167+'2020'!S167+'2021'!S167+'2022'!S147</f>
        <v>2</v>
      </c>
      <c r="T167" s="176">
        <f>'2018'!T167+'2019'!T167+'2020'!T167+'2021'!T167+'2022'!T147</f>
        <v>0</v>
      </c>
      <c r="U167" s="176">
        <f>'2018'!U167+'2019'!U167+'2020'!U167+'2021'!U167+'2022'!U147</f>
        <v>0</v>
      </c>
      <c r="V167" s="176">
        <f>'2018'!V167+'2019'!V167+'2020'!V167+'2021'!V167+'2022'!V147</f>
        <v>1</v>
      </c>
      <c r="W167" s="176">
        <f>'2018'!W167+'2019'!W167+'2020'!W167+'2021'!W167+'2022'!W147</f>
        <v>0</v>
      </c>
      <c r="X167" s="176">
        <f>'2018'!X167+'2019'!X167+'2020'!X167+'2021'!X167+'2022'!X147</f>
        <v>0</v>
      </c>
      <c r="Y167" s="174">
        <f t="shared" si="23"/>
        <v>45</v>
      </c>
      <c r="Z167" s="174">
        <f>'2018'!Z167+'2019'!Z167+'2020'!Z167+'2021'!Z167+'2022'!Z147</f>
        <v>15</v>
      </c>
      <c r="AA167" s="174">
        <f>'2018'!AA167+'2019'!AA167+'2020'!AA167+'2021'!AA167+'2022'!AA147</f>
        <v>0</v>
      </c>
      <c r="AB167" s="174">
        <f>'2018'!AB167+'2019'!AB167+'2020'!AB167+'2021'!AB167+'2022'!AB147</f>
        <v>22</v>
      </c>
      <c r="AC167" s="174">
        <f>'2018'!AC167+'2019'!AC167+'2020'!AC167+'2021'!AC167+'2022'!AC147</f>
        <v>0</v>
      </c>
      <c r="AD167" s="174">
        <f>'2018'!AD167+'2019'!AD167+'2020'!AD167+'2021'!AD167+'2022'!AD147</f>
        <v>0</v>
      </c>
      <c r="AE167" s="174">
        <f>'2018'!AE167+'2019'!AE167+'2020'!AE167+'2021'!AE167+'2022'!AE147</f>
        <v>0</v>
      </c>
      <c r="AF167" s="174">
        <f>'2018'!AF167+'2019'!AF167+'2020'!AF167+'2021'!AF167+'2022'!AF147</f>
        <v>3</v>
      </c>
      <c r="AG167" s="174">
        <f>'2018'!AG167+'2019'!AG167+'2020'!AG167+'2021'!AG167+'2022'!AG147</f>
        <v>0</v>
      </c>
      <c r="AH167" s="174">
        <f>'2018'!AH167+'2019'!AH167+'2020'!AH167+'2021'!AH167+'2022'!AH147</f>
        <v>0</v>
      </c>
      <c r="AI167" s="174">
        <f>'2018'!AI167+'2019'!AI167+'2020'!AI167+'2021'!AI167+'2022'!AI147</f>
        <v>5</v>
      </c>
      <c r="AJ167" s="174">
        <f>'2018'!AJ167+'2019'!AJ167+'2020'!AJ167+'2021'!AJ167+'2022'!AJ147</f>
        <v>11</v>
      </c>
      <c r="AK167" s="174">
        <f>'2018'!AK167+'2019'!AK167+'2020'!AK167+'2021'!AK167+'2022'!AK147</f>
        <v>0</v>
      </c>
      <c r="AL167" s="174">
        <f>'2018'!AL167+'2019'!AL167+'2020'!AL167+'2021'!AL167+'2022'!AL147</f>
        <v>0</v>
      </c>
      <c r="AM167" s="174">
        <f>'2018'!AM167+'2019'!AM167+'2020'!AM167+'2021'!AM167+'2022'!AM147</f>
        <v>0</v>
      </c>
      <c r="AN167" s="174">
        <f>'2018'!AN167+'2019'!AN167+'2020'!AN167+'2021'!AN167+'2022'!AN147</f>
        <v>0</v>
      </c>
      <c r="AO167" s="174">
        <f>'2018'!AO167+'2019'!AO167+'2020'!AO167+'2021'!AO167+'2022'!AO147</f>
        <v>0</v>
      </c>
      <c r="AP167" s="174">
        <f>'2018'!AP167+'2019'!AP167+'2020'!AP167+'2021'!AP167+'2022'!AP147</f>
        <v>1</v>
      </c>
      <c r="AQ167" s="174">
        <f>'2018'!AQ167+'2019'!AQ167+'2020'!AQ167+'2021'!AQ167+'2022'!AQ147</f>
        <v>1</v>
      </c>
      <c r="AR167" s="174">
        <f>'2018'!AR167+'2019'!AR167+'2020'!AR167+'2021'!AR167+'2022'!AR147</f>
        <v>0</v>
      </c>
      <c r="AS167" s="174">
        <f>'2018'!AS167+'2019'!AS167+'2020'!AS167+'2021'!AS167+'2022'!AS147</f>
        <v>0</v>
      </c>
      <c r="AT167" s="174">
        <f>'2018'!AT167+'2019'!AT167+'2020'!AT167+'2021'!AT167+'2022'!AT147</f>
        <v>1</v>
      </c>
      <c r="AU167" s="174">
        <f>'2018'!AU167+'2019'!AU167+'2020'!AU167+'2021'!AU167+'2022'!AU147</f>
        <v>0</v>
      </c>
      <c r="AV167" s="174">
        <f>'2018'!AV167+'2019'!AV167+'2020'!AV167+'2021'!AV167+'2022'!AV147</f>
        <v>0</v>
      </c>
      <c r="AW167" s="174">
        <f t="shared" si="22"/>
        <v>22</v>
      </c>
      <c r="AX167" s="156">
        <f t="shared" si="24"/>
        <v>1808.1</v>
      </c>
      <c r="AY167" s="14">
        <f>'2018'!AX167+'2019'!AX167+'2020'!AX167+'2021'!AX167+'2022'!AX147</f>
        <v>9040.5</v>
      </c>
      <c r="AZ167" s="14">
        <f t="shared" si="21"/>
        <v>48.888888888888886</v>
      </c>
      <c r="BA167" s="112"/>
      <c r="BB167" s="144"/>
      <c r="BC167" s="112"/>
      <c r="BD167" s="112"/>
      <c r="BE167" s="112"/>
      <c r="BF167" s="112"/>
      <c r="BG167" s="112"/>
      <c r="BH167" s="112"/>
      <c r="BI167" s="112"/>
    </row>
    <row r="168" spans="1:136" x14ac:dyDescent="0.25">
      <c r="A168" s="175" t="s">
        <v>249</v>
      </c>
      <c r="B168" s="176">
        <f>'2018'!B168+'2019'!B168+'2020'!B168+'2021'!B168+'2022'!B148</f>
        <v>5</v>
      </c>
      <c r="C168" s="176">
        <f>'2018'!C168+'2019'!C168+'2020'!C168+'2021'!C168+'2022'!C148</f>
        <v>3</v>
      </c>
      <c r="D168" s="176">
        <f>'2018'!D168+'2019'!D168+'2020'!D168+'2021'!D168+'2022'!D148</f>
        <v>11</v>
      </c>
      <c r="E168" s="176">
        <f>'2018'!E168+'2019'!E168+'2020'!E168+'2021'!E168+'2022'!E148</f>
        <v>9</v>
      </c>
      <c r="F168" s="176">
        <f>'2018'!F168+'2019'!F168+'2020'!F168+'2021'!F168+'2022'!F148</f>
        <v>0</v>
      </c>
      <c r="G168" s="176">
        <f>'2018'!G168+'2019'!G168+'2020'!G168+'2021'!G168+'2022'!G148</f>
        <v>0</v>
      </c>
      <c r="H168" s="176">
        <f>'2018'!H168+'2019'!H168+'2020'!H168+'2021'!H168+'2022'!H148</f>
        <v>2</v>
      </c>
      <c r="I168" s="176">
        <f>'2018'!I168+'2019'!I168+'2020'!I168+'2021'!I168+'2022'!I148</f>
        <v>0</v>
      </c>
      <c r="J168" s="176">
        <f>'2018'!J168+'2019'!J168+'2020'!J168+'2021'!J168+'2022'!J148</f>
        <v>9</v>
      </c>
      <c r="K168" s="176">
        <f>'2018'!K168+'2019'!K168+'2020'!K168+'2021'!K168+'2022'!K148</f>
        <v>0</v>
      </c>
      <c r="L168" s="176">
        <f>'2018'!L168+'2019'!L168+'2020'!L168+'2021'!L168+'2022'!L148</f>
        <v>0</v>
      </c>
      <c r="M168" s="176">
        <f>'2018'!M168+'2019'!M168+'2020'!M168+'2021'!M168+'2022'!M148</f>
        <v>0</v>
      </c>
      <c r="N168" s="176">
        <f>'2018'!N168+'2019'!N168+'2020'!N168+'2021'!N168+'2022'!N148</f>
        <v>0</v>
      </c>
      <c r="O168" s="176">
        <f>'2018'!O168+'2019'!O168+'2020'!O168+'2021'!O168+'2022'!O148</f>
        <v>0</v>
      </c>
      <c r="P168" s="176">
        <f>'2018'!P168+'2019'!P168+'2020'!P168+'2021'!P168+'2022'!P148</f>
        <v>0</v>
      </c>
      <c r="Q168" s="176">
        <f>'2018'!Q168+'2019'!Q168+'2020'!Q168+'2021'!Q168+'2022'!Q148</f>
        <v>0</v>
      </c>
      <c r="R168" s="176">
        <f>'2018'!R168+'2019'!R168+'2020'!R168+'2021'!R168+'2022'!R148</f>
        <v>0</v>
      </c>
      <c r="S168" s="176">
        <f>'2018'!S168+'2019'!S168+'2020'!S168+'2021'!S168+'2022'!S148</f>
        <v>0</v>
      </c>
      <c r="T168" s="176">
        <f>'2018'!T168+'2019'!T168+'2020'!T168+'2021'!T168+'2022'!T148</f>
        <v>0</v>
      </c>
      <c r="U168" s="176">
        <f>'2018'!U168+'2019'!U168+'2020'!U168+'2021'!U168+'2022'!U148</f>
        <v>0</v>
      </c>
      <c r="V168" s="176">
        <f>'2018'!V168+'2019'!V168+'2020'!V168+'2021'!V168+'2022'!V148</f>
        <v>0</v>
      </c>
      <c r="W168" s="176">
        <f>'2018'!W168+'2019'!W168+'2020'!W168+'2021'!W168+'2022'!W148</f>
        <v>0</v>
      </c>
      <c r="X168" s="176">
        <f>'2018'!X168+'2019'!X168+'2020'!X168+'2021'!X168+'2022'!X148</f>
        <v>0</v>
      </c>
      <c r="Y168" s="174">
        <f t="shared" si="23"/>
        <v>11</v>
      </c>
      <c r="Z168" s="174">
        <f>'2018'!Z168+'2019'!Z168+'2020'!Z168+'2021'!Z168+'2022'!Z148</f>
        <v>5</v>
      </c>
      <c r="AA168" s="174">
        <f>'2018'!AA168+'2019'!AA168+'2020'!AA168+'2021'!AA168+'2022'!AA148</f>
        <v>3</v>
      </c>
      <c r="AB168" s="174">
        <f>'2018'!AB168+'2019'!AB168+'2020'!AB168+'2021'!AB168+'2022'!AB148</f>
        <v>11</v>
      </c>
      <c r="AC168" s="174">
        <f>'2018'!AC168+'2019'!AC168+'2020'!AC168+'2021'!AC168+'2022'!AC148</f>
        <v>9</v>
      </c>
      <c r="AD168" s="174">
        <f>'2018'!AD168+'2019'!AD168+'2020'!AD168+'2021'!AD168+'2022'!AD148</f>
        <v>0</v>
      </c>
      <c r="AE168" s="174">
        <f>'2018'!AE168+'2019'!AE168+'2020'!AE168+'2021'!AE168+'2022'!AE148</f>
        <v>0</v>
      </c>
      <c r="AF168" s="174">
        <f>'2018'!AF168+'2019'!AF168+'2020'!AF168+'2021'!AF168+'2022'!AF148</f>
        <v>2</v>
      </c>
      <c r="AG168" s="174">
        <f>'2018'!AG168+'2019'!AG168+'2020'!AG168+'2021'!AG168+'2022'!AG148</f>
        <v>0</v>
      </c>
      <c r="AH168" s="174">
        <f>'2018'!AH168+'2019'!AH168+'2020'!AH168+'2021'!AH168+'2022'!AH148</f>
        <v>9</v>
      </c>
      <c r="AI168" s="174">
        <f>'2018'!AI168+'2019'!AI168+'2020'!AI168+'2021'!AI168+'2022'!AI148</f>
        <v>0</v>
      </c>
      <c r="AJ168" s="174">
        <f>'2018'!AJ168+'2019'!AJ168+'2020'!AJ168+'2021'!AJ168+'2022'!AJ148</f>
        <v>0</v>
      </c>
      <c r="AK168" s="174">
        <f>'2018'!AK168+'2019'!AK168+'2020'!AK168+'2021'!AK168+'2022'!AK148</f>
        <v>0</v>
      </c>
      <c r="AL168" s="174">
        <f>'2018'!AL168+'2019'!AL168+'2020'!AL168+'2021'!AL168+'2022'!AL148</f>
        <v>0</v>
      </c>
      <c r="AM168" s="174">
        <f>'2018'!AM168+'2019'!AM168+'2020'!AM168+'2021'!AM168+'2022'!AM148</f>
        <v>0</v>
      </c>
      <c r="AN168" s="174">
        <f>'2018'!AN168+'2019'!AN168+'2020'!AN168+'2021'!AN168+'2022'!AN148</f>
        <v>0</v>
      </c>
      <c r="AO168" s="174">
        <f>'2018'!AO168+'2019'!AO168+'2020'!AO168+'2021'!AO168+'2022'!AO148</f>
        <v>0</v>
      </c>
      <c r="AP168" s="174">
        <f>'2018'!AP168+'2019'!AP168+'2020'!AP168+'2021'!AP168+'2022'!AP148</f>
        <v>0</v>
      </c>
      <c r="AQ168" s="174">
        <f>'2018'!AQ168+'2019'!AQ168+'2020'!AQ168+'2021'!AQ168+'2022'!AQ148</f>
        <v>0</v>
      </c>
      <c r="AR168" s="174">
        <f>'2018'!AR168+'2019'!AR168+'2020'!AR168+'2021'!AR168+'2022'!AR148</f>
        <v>0</v>
      </c>
      <c r="AS168" s="174">
        <f>'2018'!AS168+'2019'!AS168+'2020'!AS168+'2021'!AS168+'2022'!AS148</f>
        <v>0</v>
      </c>
      <c r="AT168" s="174">
        <f>'2018'!AT168+'2019'!AT168+'2020'!AT168+'2021'!AT168+'2022'!AT148</f>
        <v>0</v>
      </c>
      <c r="AU168" s="174">
        <f>'2018'!AU168+'2019'!AU168+'2020'!AU168+'2021'!AU168+'2022'!AU148</f>
        <v>0</v>
      </c>
      <c r="AV168" s="174">
        <f>'2018'!AV168+'2019'!AV168+'2020'!AV168+'2021'!AV168+'2022'!AV148</f>
        <v>0</v>
      </c>
      <c r="AW168" s="174">
        <f t="shared" si="22"/>
        <v>11</v>
      </c>
      <c r="AX168" s="156">
        <f t="shared" si="24"/>
        <v>1095.5700000000002</v>
      </c>
      <c r="AY168" s="14">
        <f>'2018'!AX168+'2019'!AX168+'2020'!AX168+'2021'!AX168+'2022'!AX148</f>
        <v>5477.85</v>
      </c>
      <c r="AZ168" s="14">
        <f t="shared" si="21"/>
        <v>100</v>
      </c>
      <c r="BA168" s="112"/>
      <c r="BB168" s="144"/>
      <c r="BC168" s="112"/>
      <c r="BD168" s="112"/>
      <c r="BE168" s="112"/>
      <c r="BF168" s="112"/>
      <c r="BG168" s="112"/>
      <c r="BH168" s="112"/>
      <c r="BI168" s="112"/>
    </row>
    <row r="169" spans="1:136" x14ac:dyDescent="0.25">
      <c r="A169" s="175" t="s">
        <v>250</v>
      </c>
      <c r="B169" s="176">
        <f>'2018'!B169+'2019'!B169+'2020'!B169+'2021'!B169+'2022'!B149</f>
        <v>16</v>
      </c>
      <c r="C169" s="176">
        <f>'2018'!C169+'2019'!C169+'2020'!C169+'2021'!C169+'2022'!C149</f>
        <v>0</v>
      </c>
      <c r="D169" s="176">
        <f>'2018'!D169+'2019'!D169+'2020'!D169+'2021'!D169+'2022'!D149</f>
        <v>42</v>
      </c>
      <c r="E169" s="176">
        <f>'2018'!E169+'2019'!E169+'2020'!E169+'2021'!E169+'2022'!E149</f>
        <v>0</v>
      </c>
      <c r="F169" s="176">
        <f>'2018'!F169+'2019'!F169+'2020'!F169+'2021'!F169+'2022'!F149</f>
        <v>0</v>
      </c>
      <c r="G169" s="176">
        <f>'2018'!G169+'2019'!G169+'2020'!G169+'2021'!G169+'2022'!G149</f>
        <v>0</v>
      </c>
      <c r="H169" s="176">
        <f>'2018'!H169+'2019'!H169+'2020'!H169+'2021'!H169+'2022'!H149</f>
        <v>31</v>
      </c>
      <c r="I169" s="176">
        <f>'2018'!I169+'2019'!I169+'2020'!I169+'2021'!I169+'2022'!I149</f>
        <v>0</v>
      </c>
      <c r="J169" s="176">
        <f>'2018'!J169+'2019'!J169+'2020'!J169+'2021'!J169+'2022'!J149</f>
        <v>0</v>
      </c>
      <c r="K169" s="176">
        <f>'2018'!K169+'2019'!K169+'2020'!K169+'2021'!K169+'2022'!K149</f>
        <v>0</v>
      </c>
      <c r="L169" s="176">
        <f>'2018'!L169+'2019'!L169+'2020'!L169+'2021'!L169+'2022'!L149</f>
        <v>2</v>
      </c>
      <c r="M169" s="176">
        <f>'2018'!M169+'2019'!M169+'2020'!M169+'2021'!M169+'2022'!M149</f>
        <v>0</v>
      </c>
      <c r="N169" s="176">
        <f>'2018'!N169+'2019'!N169+'2020'!N169+'2021'!N169+'2022'!N149</f>
        <v>7</v>
      </c>
      <c r="O169" s="176">
        <f>'2018'!O169+'2019'!O169+'2020'!O169+'2021'!O169+'2022'!O149</f>
        <v>2</v>
      </c>
      <c r="P169" s="176">
        <f>'2018'!P169+'2019'!P169+'2020'!P169+'2021'!P169+'2022'!P149</f>
        <v>0</v>
      </c>
      <c r="Q169" s="176">
        <f>'2018'!Q169+'2019'!Q169+'2020'!Q169+'2021'!Q169+'2022'!Q149</f>
        <v>0</v>
      </c>
      <c r="R169" s="176">
        <f>'2018'!R169+'2019'!R169+'2020'!R169+'2021'!R169+'2022'!R149</f>
        <v>0</v>
      </c>
      <c r="S169" s="176">
        <f>'2018'!S169+'2019'!S169+'2020'!S169+'2021'!S169+'2022'!S149</f>
        <v>0</v>
      </c>
      <c r="T169" s="176">
        <f>'2018'!T169+'2019'!T169+'2020'!T169+'2021'!T169+'2022'!T149</f>
        <v>0</v>
      </c>
      <c r="U169" s="176">
        <f>'2018'!U169+'2019'!U169+'2020'!U169+'2021'!U169+'2022'!U149</f>
        <v>0</v>
      </c>
      <c r="V169" s="176">
        <f>'2018'!V169+'2019'!V169+'2020'!V169+'2021'!V169+'2022'!V149</f>
        <v>0</v>
      </c>
      <c r="W169" s="176">
        <f>'2018'!W169+'2019'!W169+'2020'!W169+'2021'!W169+'2022'!W149</f>
        <v>0</v>
      </c>
      <c r="X169" s="176">
        <f>'2018'!X169+'2019'!X169+'2020'!X169+'2021'!X169+'2022'!X149</f>
        <v>0</v>
      </c>
      <c r="Y169" s="174">
        <f t="shared" si="23"/>
        <v>42</v>
      </c>
      <c r="Z169" s="174">
        <f>'2018'!Z169+'2019'!Z169+'2020'!Z169+'2021'!Z169+'2022'!Z149</f>
        <v>14</v>
      </c>
      <c r="AA169" s="174">
        <f>'2018'!AA169+'2019'!AA169+'2020'!AA169+'2021'!AA169+'2022'!AA149</f>
        <v>0</v>
      </c>
      <c r="AB169" s="174">
        <f>'2018'!AB169+'2019'!AB169+'2020'!AB169+'2021'!AB169+'2022'!AB149</f>
        <v>39</v>
      </c>
      <c r="AC169" s="174">
        <f>'2018'!AC169+'2019'!AC169+'2020'!AC169+'2021'!AC169+'2022'!AC149</f>
        <v>0</v>
      </c>
      <c r="AD169" s="174">
        <f>'2018'!AD169+'2019'!AD169+'2020'!AD169+'2021'!AD169+'2022'!AD149</f>
        <v>0</v>
      </c>
      <c r="AE169" s="174">
        <f>'2018'!AE169+'2019'!AE169+'2020'!AE169+'2021'!AE169+'2022'!AE149</f>
        <v>0</v>
      </c>
      <c r="AF169" s="174">
        <f>'2018'!AF169+'2019'!AF169+'2020'!AF169+'2021'!AF169+'2022'!AF149</f>
        <v>31</v>
      </c>
      <c r="AG169" s="174">
        <f>'2018'!AG169+'2019'!AG169+'2020'!AG169+'2021'!AG169+'2022'!AG149</f>
        <v>0</v>
      </c>
      <c r="AH169" s="174">
        <f>'2018'!AH169+'2019'!AH169+'2020'!AH169+'2021'!AH169+'2022'!AH149</f>
        <v>0</v>
      </c>
      <c r="AI169" s="174">
        <f>'2018'!AI169+'2019'!AI169+'2020'!AI169+'2021'!AI169+'2022'!AI149</f>
        <v>0</v>
      </c>
      <c r="AJ169" s="174">
        <f>'2018'!AJ169+'2019'!AJ169+'2020'!AJ169+'2021'!AJ169+'2022'!AJ149</f>
        <v>1</v>
      </c>
      <c r="AK169" s="174">
        <f>'2018'!AK169+'2019'!AK169+'2020'!AK169+'2021'!AK169+'2022'!AK149</f>
        <v>0</v>
      </c>
      <c r="AL169" s="174">
        <f>'2018'!AL169+'2019'!AL169+'2020'!AL169+'2021'!AL169+'2022'!AL149</f>
        <v>7</v>
      </c>
      <c r="AM169" s="174">
        <f>'2018'!AM169+'2019'!AM169+'2020'!AM169+'2021'!AM169+'2022'!AM149</f>
        <v>0</v>
      </c>
      <c r="AN169" s="174">
        <f>'2018'!AN169+'2019'!AN169+'2020'!AN169+'2021'!AN169+'2022'!AN149</f>
        <v>0</v>
      </c>
      <c r="AO169" s="174">
        <f>'2018'!AO169+'2019'!AO169+'2020'!AO169+'2021'!AO169+'2022'!AO149</f>
        <v>0</v>
      </c>
      <c r="AP169" s="174">
        <f>'2018'!AP169+'2019'!AP169+'2020'!AP169+'2021'!AP169+'2022'!AP149</f>
        <v>0</v>
      </c>
      <c r="AQ169" s="174">
        <f>'2018'!AQ169+'2019'!AQ169+'2020'!AQ169+'2021'!AQ169+'2022'!AQ149</f>
        <v>0</v>
      </c>
      <c r="AR169" s="174">
        <f>'2018'!AR169+'2019'!AR169+'2020'!AR169+'2021'!AR169+'2022'!AR149</f>
        <v>0</v>
      </c>
      <c r="AS169" s="174">
        <f>'2018'!AS169+'2019'!AS169+'2020'!AS169+'2021'!AS169+'2022'!AS149</f>
        <v>0</v>
      </c>
      <c r="AT169" s="174">
        <f>'2018'!AT169+'2019'!AT169+'2020'!AT169+'2021'!AT169+'2022'!AT149</f>
        <v>0</v>
      </c>
      <c r="AU169" s="174">
        <f>'2018'!AU169+'2019'!AU169+'2020'!AU169+'2021'!AU169+'2022'!AU149</f>
        <v>0</v>
      </c>
      <c r="AV169" s="174">
        <f>'2018'!AV169+'2019'!AV169+'2020'!AV169+'2021'!AV169+'2022'!AV149</f>
        <v>0</v>
      </c>
      <c r="AW169" s="174">
        <f t="shared" si="22"/>
        <v>39</v>
      </c>
      <c r="AX169" s="156">
        <f t="shared" si="24"/>
        <v>1444.65</v>
      </c>
      <c r="AY169" s="14">
        <f>'2018'!AX169+'2019'!AX169+'2020'!AX169+'2021'!AX169+'2022'!AX149</f>
        <v>7223.25</v>
      </c>
      <c r="AZ169" s="14">
        <f t="shared" si="21"/>
        <v>92.857142857142861</v>
      </c>
      <c r="BA169" s="112"/>
      <c r="BB169" s="144"/>
      <c r="BC169" s="112"/>
      <c r="BD169" s="112"/>
      <c r="BE169" s="112"/>
      <c r="BF169" s="112"/>
      <c r="BG169" s="112"/>
      <c r="BH169" s="112"/>
      <c r="BI169" s="112"/>
    </row>
    <row r="170" spans="1:136" x14ac:dyDescent="0.25">
      <c r="A170" s="175" t="s">
        <v>251</v>
      </c>
      <c r="B170" s="176">
        <f>'2018'!B170+'2019'!B170+'2020'!B170+'2021'!B170+'2022'!B150</f>
        <v>4</v>
      </c>
      <c r="C170" s="176">
        <f>'2018'!C170+'2019'!C170+'2020'!C170+'2021'!C170+'2022'!C150</f>
        <v>2</v>
      </c>
      <c r="D170" s="176">
        <f>'2018'!D170+'2019'!D170+'2020'!D170+'2021'!D170+'2022'!D150</f>
        <v>5</v>
      </c>
      <c r="E170" s="176">
        <f>'2018'!E170+'2019'!E170+'2020'!E170+'2021'!E170+'2022'!E150</f>
        <v>2</v>
      </c>
      <c r="F170" s="176">
        <f>'2018'!F170+'2019'!F170+'2020'!F170+'2021'!F170+'2022'!F150</f>
        <v>0</v>
      </c>
      <c r="G170" s="176">
        <f>'2018'!G170+'2019'!G170+'2020'!G170+'2021'!G170+'2022'!G150</f>
        <v>0</v>
      </c>
      <c r="H170" s="176">
        <f>'2018'!H170+'2019'!H170+'2020'!H170+'2021'!H170+'2022'!H150</f>
        <v>2</v>
      </c>
      <c r="I170" s="176">
        <f>'2018'!I170+'2019'!I170+'2020'!I170+'2021'!I170+'2022'!I150</f>
        <v>0</v>
      </c>
      <c r="J170" s="176">
        <f>'2018'!J170+'2019'!J170+'2020'!J170+'2021'!J170+'2022'!J150</f>
        <v>0</v>
      </c>
      <c r="K170" s="176">
        <f>'2018'!K170+'2019'!K170+'2020'!K170+'2021'!K170+'2022'!K150</f>
        <v>0</v>
      </c>
      <c r="L170" s="176">
        <f>'2018'!L170+'2019'!L170+'2020'!L170+'2021'!L170+'2022'!L150</f>
        <v>0</v>
      </c>
      <c r="M170" s="176">
        <f>'2018'!M170+'2019'!M170+'2020'!M170+'2021'!M170+'2022'!M150</f>
        <v>3</v>
      </c>
      <c r="N170" s="176">
        <f>'2018'!N170+'2019'!N170+'2020'!N170+'2021'!N170+'2022'!N150</f>
        <v>0</v>
      </c>
      <c r="O170" s="176">
        <f>'2018'!O170+'2019'!O170+'2020'!O170+'2021'!O170+'2022'!O150</f>
        <v>0</v>
      </c>
      <c r="P170" s="176">
        <f>'2018'!P170+'2019'!P170+'2020'!P170+'2021'!P170+'2022'!P150</f>
        <v>0</v>
      </c>
      <c r="Q170" s="176">
        <f>'2018'!Q170+'2019'!Q170+'2020'!Q170+'2021'!Q170+'2022'!Q150</f>
        <v>0</v>
      </c>
      <c r="R170" s="176">
        <f>'2018'!R170+'2019'!R170+'2020'!R170+'2021'!R170+'2022'!R150</f>
        <v>0</v>
      </c>
      <c r="S170" s="176">
        <f>'2018'!S170+'2019'!S170+'2020'!S170+'2021'!S170+'2022'!S150</f>
        <v>0</v>
      </c>
      <c r="T170" s="176">
        <f>'2018'!T170+'2019'!T170+'2020'!T170+'2021'!T170+'2022'!T150</f>
        <v>0</v>
      </c>
      <c r="U170" s="176">
        <f>'2018'!U170+'2019'!U170+'2020'!U170+'2021'!U170+'2022'!U150</f>
        <v>0</v>
      </c>
      <c r="V170" s="176">
        <f>'2018'!V170+'2019'!V170+'2020'!V170+'2021'!V170+'2022'!V150</f>
        <v>0</v>
      </c>
      <c r="W170" s="176">
        <f>'2018'!W170+'2019'!W170+'2020'!W170+'2021'!W170+'2022'!W150</f>
        <v>0</v>
      </c>
      <c r="X170" s="176">
        <f>'2018'!X170+'2019'!X170+'2020'!X170+'2021'!X170+'2022'!X150</f>
        <v>0</v>
      </c>
      <c r="Y170" s="174">
        <f t="shared" si="23"/>
        <v>5</v>
      </c>
      <c r="Z170" s="174">
        <f>'2018'!Z170+'2019'!Z170+'2020'!Z170+'2021'!Z170+'2022'!Z150</f>
        <v>3</v>
      </c>
      <c r="AA170" s="174">
        <f>'2018'!AA170+'2019'!AA170+'2020'!AA170+'2021'!AA170+'2022'!AA150</f>
        <v>2</v>
      </c>
      <c r="AB170" s="174">
        <f>'2018'!AB170+'2019'!AB170+'2020'!AB170+'2021'!AB170+'2022'!AB150</f>
        <v>3</v>
      </c>
      <c r="AC170" s="174">
        <f>'2018'!AC170+'2019'!AC170+'2020'!AC170+'2021'!AC170+'2022'!AC150</f>
        <v>2</v>
      </c>
      <c r="AD170" s="174">
        <f>'2018'!AD170+'2019'!AD170+'2020'!AD170+'2021'!AD170+'2022'!AD150</f>
        <v>0</v>
      </c>
      <c r="AE170" s="174">
        <f>'2018'!AE170+'2019'!AE170+'2020'!AE170+'2021'!AE170+'2022'!AE150</f>
        <v>0</v>
      </c>
      <c r="AF170" s="174">
        <f>'2018'!AF170+'2019'!AF170+'2020'!AF170+'2021'!AF170+'2022'!AF150</f>
        <v>0</v>
      </c>
      <c r="AG170" s="174">
        <f>'2018'!AG170+'2019'!AG170+'2020'!AG170+'2021'!AG170+'2022'!AG150</f>
        <v>0</v>
      </c>
      <c r="AH170" s="174">
        <f>'2018'!AH170+'2019'!AH170+'2020'!AH170+'2021'!AH170+'2022'!AH150</f>
        <v>0</v>
      </c>
      <c r="AI170" s="174">
        <f>'2018'!AI170+'2019'!AI170+'2020'!AI170+'2021'!AI170+'2022'!AI150</f>
        <v>0</v>
      </c>
      <c r="AJ170" s="174">
        <f>'2018'!AJ170+'2019'!AJ170+'2020'!AJ170+'2021'!AJ170+'2022'!AJ150</f>
        <v>0</v>
      </c>
      <c r="AK170" s="174">
        <f>'2018'!AK170+'2019'!AK170+'2020'!AK170+'2021'!AK170+'2022'!AK150</f>
        <v>3</v>
      </c>
      <c r="AL170" s="174">
        <f>'2018'!AL170+'2019'!AL170+'2020'!AL170+'2021'!AL170+'2022'!AL150</f>
        <v>0</v>
      </c>
      <c r="AM170" s="174">
        <f>'2018'!AM170+'2019'!AM170+'2020'!AM170+'2021'!AM170+'2022'!AM150</f>
        <v>0</v>
      </c>
      <c r="AN170" s="174">
        <f>'2018'!AN170+'2019'!AN170+'2020'!AN170+'2021'!AN170+'2022'!AN150</f>
        <v>0</v>
      </c>
      <c r="AO170" s="174">
        <f>'2018'!AO170+'2019'!AO170+'2020'!AO170+'2021'!AO170+'2022'!AO150</f>
        <v>0</v>
      </c>
      <c r="AP170" s="174">
        <f>'2018'!AP170+'2019'!AP170+'2020'!AP170+'2021'!AP170+'2022'!AP150</f>
        <v>0</v>
      </c>
      <c r="AQ170" s="174">
        <f>'2018'!AQ170+'2019'!AQ170+'2020'!AQ170+'2021'!AQ170+'2022'!AQ150</f>
        <v>0</v>
      </c>
      <c r="AR170" s="174">
        <f>'2018'!AR170+'2019'!AR170+'2020'!AR170+'2021'!AR170+'2022'!AR150</f>
        <v>0</v>
      </c>
      <c r="AS170" s="174">
        <f>'2018'!AS170+'2019'!AS170+'2020'!AS170+'2021'!AS170+'2022'!AS150</f>
        <v>0</v>
      </c>
      <c r="AT170" s="174">
        <f>'2018'!AT170+'2019'!AT170+'2020'!AT170+'2021'!AT170+'2022'!AT150</f>
        <v>0</v>
      </c>
      <c r="AU170" s="174">
        <f>'2018'!AU170+'2019'!AU170+'2020'!AU170+'2021'!AU170+'2022'!AU150</f>
        <v>0</v>
      </c>
      <c r="AV170" s="174">
        <f>'2018'!AV170+'2019'!AV170+'2020'!AV170+'2021'!AV170+'2022'!AV150</f>
        <v>0</v>
      </c>
      <c r="AW170" s="174">
        <f t="shared" si="22"/>
        <v>3</v>
      </c>
      <c r="AX170" s="156">
        <f t="shared" si="24"/>
        <v>974.24</v>
      </c>
      <c r="AY170" s="14">
        <f>'2018'!AX170+'2019'!AX170+'2020'!AX170+'2021'!AX170+'2022'!AX150</f>
        <v>4871.2</v>
      </c>
      <c r="AZ170" s="14">
        <f t="shared" si="21"/>
        <v>60</v>
      </c>
      <c r="BA170" s="112"/>
      <c r="BB170" s="144"/>
      <c r="BC170" s="112"/>
      <c r="BD170" s="112"/>
      <c r="BE170" s="112"/>
      <c r="BF170" s="112"/>
      <c r="BG170" s="112"/>
      <c r="BH170" s="112"/>
      <c r="BI170" s="112"/>
    </row>
    <row r="171" spans="1:136" s="186" customFormat="1" x14ac:dyDescent="0.25">
      <c r="A171" s="175" t="s">
        <v>252</v>
      </c>
      <c r="B171" s="176">
        <f>'2018'!B171+'2019'!B171+'2020'!B171+'2021'!B171+'2022'!B151</f>
        <v>10</v>
      </c>
      <c r="C171" s="176">
        <f>'2018'!C171+'2019'!C171+'2020'!C171+'2021'!C171+'2022'!C151</f>
        <v>2</v>
      </c>
      <c r="D171" s="176">
        <f>'2018'!D171+'2019'!D171+'2020'!D171+'2021'!D171+'2022'!D151</f>
        <v>36</v>
      </c>
      <c r="E171" s="176">
        <f>'2018'!E171+'2019'!E171+'2020'!E171+'2021'!E171+'2022'!E151</f>
        <v>12</v>
      </c>
      <c r="F171" s="176">
        <f>'2018'!F171+'2019'!F171+'2020'!F171+'2021'!F171+'2022'!F151</f>
        <v>0</v>
      </c>
      <c r="G171" s="176">
        <f>'2018'!G171+'2019'!G171+'2020'!G171+'2021'!G171+'2022'!G151</f>
        <v>0</v>
      </c>
      <c r="H171" s="176">
        <f>'2018'!H171+'2019'!H171+'2020'!H171+'2021'!H171+'2022'!H151</f>
        <v>11</v>
      </c>
      <c r="I171" s="176">
        <f>'2018'!I171+'2019'!I171+'2020'!I171+'2021'!I171+'2022'!I151</f>
        <v>0</v>
      </c>
      <c r="J171" s="176">
        <f>'2018'!J171+'2019'!J171+'2020'!J171+'2021'!J171+'2022'!J151</f>
        <v>0</v>
      </c>
      <c r="K171" s="176">
        <f>'2018'!K171+'2019'!K171+'2020'!K171+'2021'!K171+'2022'!K151</f>
        <v>0</v>
      </c>
      <c r="L171" s="176">
        <f>'2018'!L171+'2019'!L171+'2020'!L171+'2021'!L171+'2022'!L151</f>
        <v>3</v>
      </c>
      <c r="M171" s="176">
        <f>'2018'!M171+'2019'!M171+'2020'!M171+'2021'!M171+'2022'!M151</f>
        <v>0</v>
      </c>
      <c r="N171" s="176">
        <f>'2018'!N171+'2019'!N171+'2020'!N171+'2021'!N171+'2022'!N151</f>
        <v>6</v>
      </c>
      <c r="O171" s="176">
        <f>'2018'!O171+'2019'!O171+'2020'!O171+'2021'!O171+'2022'!O151</f>
        <v>0</v>
      </c>
      <c r="P171" s="176">
        <f>'2018'!P171+'2019'!P171+'2020'!P171+'2021'!P171+'2022'!P151</f>
        <v>0</v>
      </c>
      <c r="Q171" s="176">
        <f>'2018'!Q171+'2019'!Q171+'2020'!Q171+'2021'!Q171+'2022'!Q151</f>
        <v>0</v>
      </c>
      <c r="R171" s="176">
        <f>'2018'!R171+'2019'!R171+'2020'!R171+'2021'!R171+'2022'!R151</f>
        <v>0</v>
      </c>
      <c r="S171" s="176">
        <f>'2018'!S171+'2019'!S171+'2020'!S171+'2021'!S171+'2022'!S151</f>
        <v>1</v>
      </c>
      <c r="T171" s="176">
        <f>'2018'!T171+'2019'!T171+'2020'!T171+'2021'!T171+'2022'!T151</f>
        <v>0</v>
      </c>
      <c r="U171" s="176">
        <f>'2018'!U171+'2019'!U171+'2020'!U171+'2021'!U171+'2022'!U151</f>
        <v>0</v>
      </c>
      <c r="V171" s="176">
        <f>'2018'!V171+'2019'!V171+'2020'!V171+'2021'!V171+'2022'!V151</f>
        <v>12</v>
      </c>
      <c r="W171" s="176">
        <f>'2018'!W171+'2019'!W171+'2020'!W171+'2021'!W171+'2022'!W151</f>
        <v>0</v>
      </c>
      <c r="X171" s="176">
        <f>'2018'!X171+'2019'!X171+'2020'!X171+'2021'!X171+'2022'!X151</f>
        <v>3</v>
      </c>
      <c r="Y171" s="174">
        <f t="shared" si="23"/>
        <v>36</v>
      </c>
      <c r="Z171" s="174">
        <f>'2018'!Z171+'2019'!Z171+'2020'!Z171+'2021'!Z171+'2022'!Z151</f>
        <v>3</v>
      </c>
      <c r="AA171" s="174">
        <f>'2018'!AA171+'2019'!AA171+'2020'!AA171+'2021'!AA171+'2022'!AA151</f>
        <v>1</v>
      </c>
      <c r="AB171" s="174">
        <f>'2018'!AB171+'2019'!AB171+'2020'!AB171+'2021'!AB171+'2022'!AB151</f>
        <v>5</v>
      </c>
      <c r="AC171" s="174">
        <f>'2018'!AC171+'2019'!AC171+'2020'!AC171+'2021'!AC171+'2022'!AC151</f>
        <v>1</v>
      </c>
      <c r="AD171" s="174">
        <f>'2018'!AD171+'2019'!AD171+'2020'!AD171+'2021'!AD171+'2022'!AD151</f>
        <v>0</v>
      </c>
      <c r="AE171" s="174">
        <f>'2018'!AE171+'2019'!AE171+'2020'!AE171+'2021'!AE171+'2022'!AE151</f>
        <v>0</v>
      </c>
      <c r="AF171" s="174">
        <f>'2018'!AF171+'2019'!AF171+'2020'!AF171+'2021'!AF171+'2022'!AF151</f>
        <v>0</v>
      </c>
      <c r="AG171" s="174">
        <f>'2018'!AG171+'2019'!AG171+'2020'!AG171+'2021'!AG171+'2022'!AG151</f>
        <v>0</v>
      </c>
      <c r="AH171" s="174">
        <f>'2018'!AH171+'2019'!AH171+'2020'!AH171+'2021'!AH171+'2022'!AH151</f>
        <v>0</v>
      </c>
      <c r="AI171" s="174">
        <f>'2018'!AI171+'2019'!AI171+'2020'!AI171+'2021'!AI171+'2022'!AI151</f>
        <v>0</v>
      </c>
      <c r="AJ171" s="174">
        <f>'2018'!AJ171+'2019'!AJ171+'2020'!AJ171+'2021'!AJ171+'2022'!AJ151</f>
        <v>0</v>
      </c>
      <c r="AK171" s="174">
        <f>'2018'!AK171+'2019'!AK171+'2020'!AK171+'2021'!AK171+'2022'!AK151</f>
        <v>0</v>
      </c>
      <c r="AL171" s="174">
        <f>'2018'!AL171+'2019'!AL171+'2020'!AL171+'2021'!AL171+'2022'!AL151</f>
        <v>0</v>
      </c>
      <c r="AM171" s="174">
        <f>'2018'!AM171+'2019'!AM171+'2020'!AM171+'2021'!AM171+'2022'!AM151</f>
        <v>0</v>
      </c>
      <c r="AN171" s="174">
        <f>'2018'!AN171+'2019'!AN171+'2020'!AN171+'2021'!AN171+'2022'!AN151</f>
        <v>0</v>
      </c>
      <c r="AO171" s="174">
        <f>'2018'!AO171+'2019'!AO171+'2020'!AO171+'2021'!AO171+'2022'!AO151</f>
        <v>0</v>
      </c>
      <c r="AP171" s="174">
        <f>'2018'!AP171+'2019'!AP171+'2020'!AP171+'2021'!AP171+'2022'!AP151</f>
        <v>0</v>
      </c>
      <c r="AQ171" s="174">
        <f>'2018'!AQ171+'2019'!AQ171+'2020'!AQ171+'2021'!AQ171+'2022'!AQ151</f>
        <v>1</v>
      </c>
      <c r="AR171" s="174">
        <f>'2018'!AR171+'2019'!AR171+'2020'!AR171+'2021'!AR171+'2022'!AR151</f>
        <v>0</v>
      </c>
      <c r="AS171" s="174">
        <f>'2018'!AS171+'2019'!AS171+'2020'!AS171+'2021'!AS171+'2022'!AS151</f>
        <v>0</v>
      </c>
      <c r="AT171" s="174">
        <f>'2018'!AT171+'2019'!AT171+'2020'!AT171+'2021'!AT171+'2022'!AT151</f>
        <v>1</v>
      </c>
      <c r="AU171" s="174">
        <f>'2018'!AU171+'2019'!AU171+'2020'!AU171+'2021'!AU171+'2022'!AU151</f>
        <v>0</v>
      </c>
      <c r="AV171" s="174">
        <f>'2018'!AV171+'2019'!AV171+'2020'!AV171+'2021'!AV171+'2022'!AV151</f>
        <v>3</v>
      </c>
      <c r="AW171" s="174">
        <f t="shared" si="22"/>
        <v>5</v>
      </c>
      <c r="AX171" s="156">
        <f t="shared" si="24"/>
        <v>1038</v>
      </c>
      <c r="AY171" s="14">
        <f>'2018'!AX171+'2019'!AX171+'2020'!AX171+'2021'!AX171+'2022'!AX151</f>
        <v>5190</v>
      </c>
      <c r="AZ171" s="14">
        <f t="shared" si="21"/>
        <v>13.888888888888889</v>
      </c>
      <c r="BA171" s="112"/>
      <c r="BB171" s="144"/>
      <c r="BC171" s="112"/>
      <c r="BD171" s="112"/>
      <c r="BE171" s="112"/>
      <c r="BF171" s="112"/>
      <c r="BG171" s="112"/>
      <c r="BH171" s="112"/>
      <c r="BI171" s="11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</row>
    <row r="172" spans="1:136" x14ac:dyDescent="0.25">
      <c r="A172" s="175" t="s">
        <v>253</v>
      </c>
      <c r="B172" s="176">
        <f>'2018'!B172+'2019'!B172+'2020'!B172+'2021'!B172+'2022'!B152</f>
        <v>6</v>
      </c>
      <c r="C172" s="176">
        <f>'2018'!C172+'2019'!C172+'2020'!C172+'2021'!C172+'2022'!C152</f>
        <v>4</v>
      </c>
      <c r="D172" s="176">
        <f>'2018'!D172+'2019'!D172+'2020'!D172+'2021'!D172+'2022'!D152</f>
        <v>9</v>
      </c>
      <c r="E172" s="176">
        <f>'2018'!E172+'2019'!E172+'2020'!E172+'2021'!E172+'2022'!E152</f>
        <v>4</v>
      </c>
      <c r="F172" s="176">
        <f>'2018'!F172+'2019'!F172+'2020'!F172+'2021'!F172+'2022'!F152</f>
        <v>0</v>
      </c>
      <c r="G172" s="176">
        <f>'2018'!G172+'2019'!G172+'2020'!G172+'2021'!G172+'2022'!G152</f>
        <v>0</v>
      </c>
      <c r="H172" s="176">
        <f>'2018'!H172+'2019'!H172+'2020'!H172+'2021'!H172+'2022'!H152</f>
        <v>5</v>
      </c>
      <c r="I172" s="176">
        <f>'2018'!I172+'2019'!I172+'2020'!I172+'2021'!I172+'2022'!I152</f>
        <v>0</v>
      </c>
      <c r="J172" s="176">
        <f>'2018'!J172+'2019'!J172+'2020'!J172+'2021'!J172+'2022'!J152</f>
        <v>0</v>
      </c>
      <c r="K172" s="176">
        <f>'2018'!K172+'2019'!K172+'2020'!K172+'2021'!K172+'2022'!K152</f>
        <v>0</v>
      </c>
      <c r="L172" s="176">
        <f>'2018'!L172+'2019'!L172+'2020'!L172+'2021'!L172+'2022'!L152</f>
        <v>0</v>
      </c>
      <c r="M172" s="176">
        <f>'2018'!M172+'2019'!M172+'2020'!M172+'2021'!M172+'2022'!M152</f>
        <v>0</v>
      </c>
      <c r="N172" s="176">
        <f>'2018'!N172+'2019'!N172+'2020'!N172+'2021'!N172+'2022'!N152</f>
        <v>0</v>
      </c>
      <c r="O172" s="176">
        <f>'2018'!O172+'2019'!O172+'2020'!O172+'2021'!O172+'2022'!O152</f>
        <v>0</v>
      </c>
      <c r="P172" s="176">
        <f>'2018'!P172+'2019'!P172+'2020'!P172+'2021'!P172+'2022'!P152</f>
        <v>0</v>
      </c>
      <c r="Q172" s="176">
        <f>'2018'!Q172+'2019'!Q172+'2020'!Q172+'2021'!Q172+'2022'!Q152</f>
        <v>0</v>
      </c>
      <c r="R172" s="176">
        <f>'2018'!R172+'2019'!R172+'2020'!R172+'2021'!R172+'2022'!R152</f>
        <v>0</v>
      </c>
      <c r="S172" s="176">
        <f>'2018'!S172+'2019'!S172+'2020'!S172+'2021'!S172+'2022'!S152</f>
        <v>0</v>
      </c>
      <c r="T172" s="176">
        <f>'2018'!T172+'2019'!T172+'2020'!T172+'2021'!T172+'2022'!T152</f>
        <v>0</v>
      </c>
      <c r="U172" s="176">
        <f>'2018'!U172+'2019'!U172+'2020'!U172+'2021'!U172+'2022'!U152</f>
        <v>4</v>
      </c>
      <c r="V172" s="176">
        <f>'2018'!V172+'2019'!V172+'2020'!V172+'2021'!V172+'2022'!V152</f>
        <v>0</v>
      </c>
      <c r="W172" s="176">
        <f>'2018'!W172+'2019'!W172+'2020'!W172+'2021'!W172+'2022'!W152</f>
        <v>0</v>
      </c>
      <c r="X172" s="176">
        <f>'2018'!X172+'2019'!X172+'2020'!X172+'2021'!X172+'2022'!X152</f>
        <v>0</v>
      </c>
      <c r="Y172" s="174">
        <f t="shared" si="23"/>
        <v>9</v>
      </c>
      <c r="Z172" s="174">
        <f>'2018'!Z172+'2019'!Z172+'2020'!Z172+'2021'!Z172+'2022'!Z152</f>
        <v>6</v>
      </c>
      <c r="AA172" s="174">
        <f>'2018'!AA172+'2019'!AA172+'2020'!AA172+'2021'!AA172+'2022'!AA152</f>
        <v>4</v>
      </c>
      <c r="AB172" s="174">
        <f>'2018'!AB172+'2019'!AB172+'2020'!AB172+'2021'!AB172+'2022'!AB152</f>
        <v>9</v>
      </c>
      <c r="AC172" s="174">
        <f>'2018'!AC172+'2019'!AC172+'2020'!AC172+'2021'!AC172+'2022'!AC152</f>
        <v>4</v>
      </c>
      <c r="AD172" s="174">
        <f>'2018'!AD172+'2019'!AD172+'2020'!AD172+'2021'!AD172+'2022'!AD152</f>
        <v>0</v>
      </c>
      <c r="AE172" s="174">
        <f>'2018'!AE172+'2019'!AE172+'2020'!AE172+'2021'!AE172+'2022'!AE152</f>
        <v>0</v>
      </c>
      <c r="AF172" s="174">
        <f>'2018'!AF172+'2019'!AF172+'2020'!AF172+'2021'!AF172+'2022'!AF152</f>
        <v>6</v>
      </c>
      <c r="AG172" s="174">
        <f>'2018'!AG172+'2019'!AG172+'2020'!AG172+'2021'!AG172+'2022'!AG152</f>
        <v>0</v>
      </c>
      <c r="AH172" s="174">
        <f>'2018'!AH172+'2019'!AH172+'2020'!AH172+'2021'!AH172+'2022'!AH152</f>
        <v>0</v>
      </c>
      <c r="AI172" s="174">
        <f>'2018'!AI172+'2019'!AI172+'2020'!AI172+'2021'!AI172+'2022'!AI152</f>
        <v>0</v>
      </c>
      <c r="AJ172" s="174">
        <f>'2018'!AJ172+'2019'!AJ172+'2020'!AJ172+'2021'!AJ172+'2022'!AJ152</f>
        <v>0</v>
      </c>
      <c r="AK172" s="174">
        <f>'2018'!AK172+'2019'!AK172+'2020'!AK172+'2021'!AK172+'2022'!AK152</f>
        <v>0</v>
      </c>
      <c r="AL172" s="174">
        <f>'2018'!AL172+'2019'!AL172+'2020'!AL172+'2021'!AL172+'2022'!AL152</f>
        <v>0</v>
      </c>
      <c r="AM172" s="174">
        <f>'2018'!AM172+'2019'!AM172+'2020'!AM172+'2021'!AM172+'2022'!AM152</f>
        <v>0</v>
      </c>
      <c r="AN172" s="174">
        <f>'2018'!AN172+'2019'!AN172+'2020'!AN172+'2021'!AN172+'2022'!AN152</f>
        <v>0</v>
      </c>
      <c r="AO172" s="174">
        <f>'2018'!AO172+'2019'!AO172+'2020'!AO172+'2021'!AO172+'2022'!AO152</f>
        <v>0</v>
      </c>
      <c r="AP172" s="174">
        <f>'2018'!AP172+'2019'!AP172+'2020'!AP172+'2021'!AP172+'2022'!AP152</f>
        <v>0</v>
      </c>
      <c r="AQ172" s="174">
        <f>'2018'!AQ172+'2019'!AQ172+'2020'!AQ172+'2021'!AQ172+'2022'!AQ152</f>
        <v>0</v>
      </c>
      <c r="AR172" s="174">
        <f>'2018'!AR172+'2019'!AR172+'2020'!AR172+'2021'!AR172+'2022'!AR152</f>
        <v>0</v>
      </c>
      <c r="AS172" s="174">
        <f>'2018'!AS172+'2019'!AS172+'2020'!AS172+'2021'!AS172+'2022'!AS152</f>
        <v>3</v>
      </c>
      <c r="AT172" s="174">
        <f>'2018'!AT172+'2019'!AT172+'2020'!AT172+'2021'!AT172+'2022'!AT152</f>
        <v>0</v>
      </c>
      <c r="AU172" s="174">
        <f>'2018'!AU172+'2019'!AU172+'2020'!AU172+'2021'!AU172+'2022'!AU152</f>
        <v>0</v>
      </c>
      <c r="AV172" s="174">
        <f>'2018'!AV172+'2019'!AV172+'2020'!AV172+'2021'!AV172+'2022'!AV152</f>
        <v>0</v>
      </c>
      <c r="AW172" s="174">
        <f t="shared" si="22"/>
        <v>9</v>
      </c>
      <c r="AX172" s="156">
        <f t="shared" si="24"/>
        <v>741.2</v>
      </c>
      <c r="AY172" s="14">
        <f>'2018'!AX172+'2019'!AX172+'2020'!AX172+'2021'!AX172+'2022'!AX152</f>
        <v>3706</v>
      </c>
      <c r="AZ172" s="14">
        <f t="shared" si="21"/>
        <v>100</v>
      </c>
      <c r="BA172" s="112"/>
      <c r="BB172" s="144"/>
      <c r="BC172" s="112"/>
      <c r="BD172" s="112"/>
      <c r="BE172" s="112"/>
      <c r="BF172" s="112"/>
      <c r="BG172" s="112"/>
      <c r="BH172" s="112"/>
      <c r="BI172" s="112"/>
    </row>
    <row r="173" spans="1:136" x14ac:dyDescent="0.25">
      <c r="A173" s="175" t="s">
        <v>254</v>
      </c>
      <c r="B173" s="176">
        <f>'2018'!B173+'2019'!B173+'2020'!B173+'2021'!B173+'2022'!B153</f>
        <v>9</v>
      </c>
      <c r="C173" s="176">
        <f>'2018'!C173+'2019'!C173+'2020'!C173+'2021'!C173+'2022'!C153</f>
        <v>0</v>
      </c>
      <c r="D173" s="176">
        <f>'2018'!D173+'2019'!D173+'2020'!D173+'2021'!D173+'2022'!D153</f>
        <v>10</v>
      </c>
      <c r="E173" s="176">
        <f>'2018'!E173+'2019'!E173+'2020'!E173+'2021'!E173+'2022'!E153</f>
        <v>0</v>
      </c>
      <c r="F173" s="176">
        <f>'2018'!F173+'2019'!F173+'2020'!F173+'2021'!F173+'2022'!F153</f>
        <v>0</v>
      </c>
      <c r="G173" s="176">
        <f>'2018'!G173+'2019'!G173+'2020'!G173+'2021'!G173+'2022'!G153</f>
        <v>0</v>
      </c>
      <c r="H173" s="176">
        <f>'2018'!H173+'2019'!H173+'2020'!H173+'2021'!H173+'2022'!H153</f>
        <v>1</v>
      </c>
      <c r="I173" s="176">
        <f>'2018'!I173+'2019'!I173+'2020'!I173+'2021'!I173+'2022'!I153</f>
        <v>0</v>
      </c>
      <c r="J173" s="176">
        <f>'2018'!J173+'2019'!J173+'2020'!J173+'2021'!J173+'2022'!J153</f>
        <v>0</v>
      </c>
      <c r="K173" s="176">
        <f>'2018'!K173+'2019'!K173+'2020'!K173+'2021'!K173+'2022'!K153</f>
        <v>0</v>
      </c>
      <c r="L173" s="176">
        <f>'2018'!L173+'2019'!L173+'2020'!L173+'2021'!L173+'2022'!L153</f>
        <v>8</v>
      </c>
      <c r="M173" s="176">
        <f>'2018'!M173+'2019'!M173+'2020'!M173+'2021'!M173+'2022'!M153</f>
        <v>1</v>
      </c>
      <c r="N173" s="176">
        <f>'2018'!N173+'2019'!N173+'2020'!N173+'2021'!N173+'2022'!N153</f>
        <v>0</v>
      </c>
      <c r="O173" s="176">
        <f>'2018'!O173+'2019'!O173+'2020'!O173+'2021'!O173+'2022'!O153</f>
        <v>0</v>
      </c>
      <c r="P173" s="176">
        <f>'2018'!P173+'2019'!P173+'2020'!P173+'2021'!P173+'2022'!P153</f>
        <v>0</v>
      </c>
      <c r="Q173" s="176">
        <f>'2018'!Q173+'2019'!Q173+'2020'!Q173+'2021'!Q173+'2022'!Q153</f>
        <v>0</v>
      </c>
      <c r="R173" s="176">
        <f>'2018'!R173+'2019'!R173+'2020'!R173+'2021'!R173+'2022'!R153</f>
        <v>0</v>
      </c>
      <c r="S173" s="176">
        <f>'2018'!S173+'2019'!S173+'2020'!S173+'2021'!S173+'2022'!S153</f>
        <v>0</v>
      </c>
      <c r="T173" s="176">
        <f>'2018'!T173+'2019'!T173+'2020'!T173+'2021'!T173+'2022'!T153</f>
        <v>0</v>
      </c>
      <c r="U173" s="176">
        <f>'2018'!U173+'2019'!U173+'2020'!U173+'2021'!U173+'2022'!U153</f>
        <v>0</v>
      </c>
      <c r="V173" s="176">
        <f>'2018'!V173+'2019'!V173+'2020'!V173+'2021'!V173+'2022'!V153</f>
        <v>0</v>
      </c>
      <c r="W173" s="176">
        <f>'2018'!W173+'2019'!W173+'2020'!W173+'2021'!W173+'2022'!W153</f>
        <v>0</v>
      </c>
      <c r="X173" s="176">
        <f>'2018'!X173+'2019'!X173+'2020'!X173+'2021'!X173+'2022'!X153</f>
        <v>0</v>
      </c>
      <c r="Y173" s="174">
        <f t="shared" si="23"/>
        <v>10</v>
      </c>
      <c r="Z173" s="174">
        <f>'2018'!Z173+'2019'!Z173+'2020'!Z173+'2021'!Z173+'2022'!Z153</f>
        <v>8</v>
      </c>
      <c r="AA173" s="174">
        <f>'2018'!AA173+'2019'!AA173+'2020'!AA173+'2021'!AA173+'2022'!AA153</f>
        <v>0</v>
      </c>
      <c r="AB173" s="174">
        <f>'2018'!AB173+'2019'!AB173+'2020'!AB173+'2021'!AB173+'2022'!AB153</f>
        <v>10</v>
      </c>
      <c r="AC173" s="174">
        <f>'2018'!AC173+'2019'!AC173+'2020'!AC173+'2021'!AC173+'2022'!AC153</f>
        <v>0</v>
      </c>
      <c r="AD173" s="174">
        <f>'2018'!AD173+'2019'!AD173+'2020'!AD173+'2021'!AD173+'2022'!AD153</f>
        <v>0</v>
      </c>
      <c r="AE173" s="174">
        <f>'2018'!AE173+'2019'!AE173+'2020'!AE173+'2021'!AE173+'2022'!AE153</f>
        <v>0</v>
      </c>
      <c r="AF173" s="174">
        <f>'2018'!AF173+'2019'!AF173+'2020'!AF173+'2021'!AF173+'2022'!AF153</f>
        <v>1</v>
      </c>
      <c r="AG173" s="174">
        <f>'2018'!AG173+'2019'!AG173+'2020'!AG173+'2021'!AG173+'2022'!AG153</f>
        <v>0</v>
      </c>
      <c r="AH173" s="174">
        <f>'2018'!AH173+'2019'!AH173+'2020'!AH173+'2021'!AH173+'2022'!AH153</f>
        <v>0</v>
      </c>
      <c r="AI173" s="174">
        <f>'2018'!AI173+'2019'!AI173+'2020'!AI173+'2021'!AI173+'2022'!AI153</f>
        <v>0</v>
      </c>
      <c r="AJ173" s="174">
        <f>'2018'!AJ173+'2019'!AJ173+'2020'!AJ173+'2021'!AJ173+'2022'!AJ153</f>
        <v>8</v>
      </c>
      <c r="AK173" s="174">
        <f>'2018'!AK173+'2019'!AK173+'2020'!AK173+'2021'!AK173+'2022'!AK153</f>
        <v>1</v>
      </c>
      <c r="AL173" s="174">
        <f>'2018'!AL173+'2019'!AL173+'2020'!AL173+'2021'!AL173+'2022'!AL153</f>
        <v>0</v>
      </c>
      <c r="AM173" s="174">
        <f>'2018'!AM173+'2019'!AM173+'2020'!AM173+'2021'!AM173+'2022'!AM153</f>
        <v>0</v>
      </c>
      <c r="AN173" s="174">
        <f>'2018'!AN173+'2019'!AN173+'2020'!AN173+'2021'!AN173+'2022'!AN153</f>
        <v>0</v>
      </c>
      <c r="AO173" s="174">
        <f>'2018'!AO173+'2019'!AO173+'2020'!AO173+'2021'!AO173+'2022'!AO153</f>
        <v>0</v>
      </c>
      <c r="AP173" s="174">
        <f>'2018'!AP173+'2019'!AP173+'2020'!AP173+'2021'!AP173+'2022'!AP153</f>
        <v>0</v>
      </c>
      <c r="AQ173" s="174">
        <f>'2018'!AQ173+'2019'!AQ173+'2020'!AQ173+'2021'!AQ173+'2022'!AQ153</f>
        <v>0</v>
      </c>
      <c r="AR173" s="174">
        <f>'2018'!AR173+'2019'!AR173+'2020'!AR173+'2021'!AR173+'2022'!AR153</f>
        <v>0</v>
      </c>
      <c r="AS173" s="174">
        <f>'2018'!AS173+'2019'!AS173+'2020'!AS173+'2021'!AS173+'2022'!AS153</f>
        <v>0</v>
      </c>
      <c r="AT173" s="174">
        <f>'2018'!AT173+'2019'!AT173+'2020'!AT173+'2021'!AT173+'2022'!AT153</f>
        <v>0</v>
      </c>
      <c r="AU173" s="174">
        <f>'2018'!AU173+'2019'!AU173+'2020'!AU173+'2021'!AU173+'2022'!AU153</f>
        <v>0</v>
      </c>
      <c r="AV173" s="174">
        <f>'2018'!AV173+'2019'!AV173+'2020'!AV173+'2021'!AV173+'2022'!AV153</f>
        <v>0</v>
      </c>
      <c r="AW173" s="174">
        <f t="shared" si="22"/>
        <v>10</v>
      </c>
      <c r="AX173" s="156">
        <f t="shared" si="24"/>
        <v>3158.212</v>
      </c>
      <c r="AY173" s="14">
        <f>'2018'!AX173+'2019'!AX173+'2020'!AX173+'2021'!AX173+'2022'!AX153</f>
        <v>15791.06</v>
      </c>
      <c r="AZ173" s="14">
        <f t="shared" ref="AZ173:AZ177" si="25">AB173*100/D173</f>
        <v>100</v>
      </c>
      <c r="BA173" s="112"/>
      <c r="BB173" s="144"/>
      <c r="BC173" s="112"/>
      <c r="BD173" s="112"/>
      <c r="BE173" s="112"/>
      <c r="BF173" s="112"/>
      <c r="BG173" s="112"/>
      <c r="BH173" s="112"/>
      <c r="BI173" s="112"/>
    </row>
    <row r="174" spans="1:136" x14ac:dyDescent="0.25">
      <c r="A174" s="175" t="s">
        <v>255</v>
      </c>
      <c r="B174" s="176">
        <f>'2018'!B174+'2019'!B174+'2020'!B174+'2021'!B174+'2022'!B100</f>
        <v>133</v>
      </c>
      <c r="C174" s="176">
        <f>'2018'!C174+'2019'!C174+'2020'!C174+'2021'!C174+'2022'!C100</f>
        <v>1</v>
      </c>
      <c r="D174" s="176">
        <f>'2018'!D174+'2019'!D174+'2020'!D174+'2021'!D174+'2022'!D100</f>
        <v>297</v>
      </c>
      <c r="E174" s="176">
        <f>'2018'!E174+'2019'!E174+'2020'!E174+'2021'!E174+'2022'!E100</f>
        <v>2</v>
      </c>
      <c r="F174" s="176">
        <f>'2018'!F174+'2019'!F174+'2020'!F174+'2021'!F174+'2022'!F100</f>
        <v>0</v>
      </c>
      <c r="G174" s="176">
        <f>'2018'!G174+'2019'!G174+'2020'!G174+'2021'!G174+'2022'!G100</f>
        <v>0</v>
      </c>
      <c r="H174" s="176">
        <f>'2018'!H174+'2019'!H174+'2020'!H174+'2021'!H174+'2022'!H100</f>
        <v>22</v>
      </c>
      <c r="I174" s="176">
        <f>'2018'!I174+'2019'!I174+'2020'!I174+'2021'!I174+'2022'!I100</f>
        <v>0</v>
      </c>
      <c r="J174" s="176">
        <f>'2018'!J174+'2019'!J174+'2020'!J174+'2021'!J174+'2022'!J100</f>
        <v>0</v>
      </c>
      <c r="K174" s="176">
        <f>'2018'!K174+'2019'!K174+'2020'!K174+'2021'!K174+'2022'!K100</f>
        <v>134</v>
      </c>
      <c r="L174" s="176">
        <f>'2018'!L174+'2019'!L174+'2020'!L174+'2021'!L174+'2022'!L100</f>
        <v>39</v>
      </c>
      <c r="M174" s="176">
        <f>'2018'!M174+'2019'!M174+'2020'!M174+'2021'!M174+'2022'!M100</f>
        <v>3</v>
      </c>
      <c r="N174" s="176">
        <f>'2018'!N174+'2019'!N174+'2020'!N174+'2021'!N174+'2022'!N100</f>
        <v>5</v>
      </c>
      <c r="O174" s="176">
        <f>'2018'!O174+'2019'!O174+'2020'!O174+'2021'!O174+'2022'!O100</f>
        <v>2</v>
      </c>
      <c r="P174" s="176">
        <f>'2018'!P174+'2019'!P174+'2020'!P174+'2021'!P174+'2022'!P100</f>
        <v>4</v>
      </c>
      <c r="Q174" s="176">
        <f>'2018'!Q174+'2019'!Q174+'2020'!Q174+'2021'!Q174+'2022'!Q100</f>
        <v>61</v>
      </c>
      <c r="R174" s="176">
        <f>'2018'!R174+'2019'!R174+'2020'!R174+'2021'!R174+'2022'!R100</f>
        <v>12</v>
      </c>
      <c r="S174" s="176">
        <f>'2018'!S174+'2019'!S174+'2020'!S174+'2021'!S174+'2022'!S100</f>
        <v>0</v>
      </c>
      <c r="T174" s="176">
        <f>'2018'!T174+'2019'!T174+'2020'!T174+'2021'!T174+'2022'!T100</f>
        <v>2</v>
      </c>
      <c r="U174" s="176">
        <f>'2018'!U174+'2019'!U174+'2020'!U174+'2021'!U174+'2022'!U100</f>
        <v>2</v>
      </c>
      <c r="V174" s="176">
        <f>'2018'!V174+'2019'!V174+'2020'!V174+'2021'!V174+'2022'!V100</f>
        <v>9</v>
      </c>
      <c r="W174" s="176">
        <f>'2018'!W174+'2019'!W174+'2020'!W174+'2021'!W174+'2022'!W100</f>
        <v>0</v>
      </c>
      <c r="X174" s="176">
        <f>'2018'!X174+'2019'!X174+'2020'!X174+'2021'!X174+'2022'!X100</f>
        <v>2</v>
      </c>
      <c r="Y174" s="174">
        <f t="shared" si="23"/>
        <v>297</v>
      </c>
      <c r="Z174" s="174">
        <f>'2018'!Z174+'2019'!Z174+'2020'!Z174+'2021'!Z174+'2022'!Z100</f>
        <v>115</v>
      </c>
      <c r="AA174" s="174">
        <f>'2018'!AA174+'2019'!AA174+'2020'!AA174+'2021'!AA174+'2022'!AA100</f>
        <v>1</v>
      </c>
      <c r="AB174" s="174">
        <f>'2018'!AB174+'2019'!AB174+'2020'!AB174+'2021'!AB174+'2022'!AB100</f>
        <v>212</v>
      </c>
      <c r="AC174" s="174">
        <f>'2018'!AC174+'2019'!AC174+'2020'!AC174+'2021'!AC174+'2022'!AC100</f>
        <v>2</v>
      </c>
      <c r="AD174" s="174">
        <f>'2018'!AD174+'2019'!AD174+'2020'!AD174+'2021'!AD174+'2022'!AD100</f>
        <v>0</v>
      </c>
      <c r="AE174" s="174">
        <f>'2018'!AE174+'2019'!AE174+'2020'!AE174+'2021'!AE174+'2022'!AE100</f>
        <v>0</v>
      </c>
      <c r="AF174" s="174">
        <f>'2018'!AF174+'2019'!AF174+'2020'!AF174+'2021'!AF174+'2022'!AF100</f>
        <v>24</v>
      </c>
      <c r="AG174" s="174">
        <f>'2018'!AG174+'2019'!AG174+'2020'!AG174+'2021'!AG174+'2022'!AG100</f>
        <v>0</v>
      </c>
      <c r="AH174" s="174">
        <f>'2018'!AH174+'2019'!AH174+'2020'!AH174+'2021'!AH174+'2022'!AH100</f>
        <v>6</v>
      </c>
      <c r="AI174" s="174">
        <f>'2018'!AI174+'2019'!AI174+'2020'!AI174+'2021'!AI174+'2022'!AI100</f>
        <v>106</v>
      </c>
      <c r="AJ174" s="174">
        <f>'2018'!AJ174+'2019'!AJ174+'2020'!AJ174+'2021'!AJ174+'2022'!AJ100</f>
        <v>20</v>
      </c>
      <c r="AK174" s="174">
        <f>'2018'!AK174+'2019'!AK174+'2020'!AK174+'2021'!AK174+'2022'!AK100</f>
        <v>0</v>
      </c>
      <c r="AL174" s="174">
        <f>'2018'!AL174+'2019'!AL174+'2020'!AL174+'2021'!AL174+'2022'!AL100</f>
        <v>3</v>
      </c>
      <c r="AM174" s="174">
        <f>'2018'!AM174+'2019'!AM174+'2020'!AM174+'2021'!AM174+'2022'!AM100</f>
        <v>1</v>
      </c>
      <c r="AN174" s="174">
        <f>'2018'!AN174+'2019'!AN174+'2020'!AN174+'2021'!AN174+'2022'!AN100</f>
        <v>3</v>
      </c>
      <c r="AO174" s="174">
        <f>'2018'!AO174+'2019'!AO174+'2020'!AO174+'2021'!AO174+'2022'!AO100</f>
        <v>43</v>
      </c>
      <c r="AP174" s="174">
        <f>'2018'!AP174+'2019'!AP174+'2020'!AP174+'2021'!AP174+'2022'!AP100</f>
        <v>2</v>
      </c>
      <c r="AQ174" s="174">
        <f>'2018'!AQ174+'2019'!AQ174+'2020'!AQ174+'2021'!AQ174+'2022'!AQ100</f>
        <v>0</v>
      </c>
      <c r="AR174" s="174">
        <f>'2018'!AR174+'2019'!AR174+'2020'!AR174+'2021'!AR174+'2022'!AR100</f>
        <v>0</v>
      </c>
      <c r="AS174" s="174">
        <f>'2018'!AS174+'2019'!AS174+'2020'!AS174+'2021'!AS174+'2022'!AS100</f>
        <v>2</v>
      </c>
      <c r="AT174" s="174">
        <f>'2018'!AT174+'2019'!AT174+'2020'!AT174+'2021'!AT174+'2022'!AT100</f>
        <v>1</v>
      </c>
      <c r="AU174" s="174">
        <f>'2018'!AU174+'2019'!AU174+'2020'!AU174+'2021'!AU174+'2022'!AU100</f>
        <v>0</v>
      </c>
      <c r="AV174" s="174">
        <f>'2018'!AV174+'2019'!AV174+'2020'!AV174+'2021'!AV174+'2022'!AV100</f>
        <v>1</v>
      </c>
      <c r="AW174" s="174">
        <f t="shared" si="22"/>
        <v>212</v>
      </c>
      <c r="AX174" s="156">
        <f t="shared" si="24"/>
        <v>2552.4051823498139</v>
      </c>
      <c r="AY174" s="14">
        <f>'2018'!AX174+'2019'!AX174+'2020'!AX174+'2021'!AX174+'2022'!AX100</f>
        <v>12762.02591174907</v>
      </c>
      <c r="AZ174" s="14">
        <f t="shared" si="25"/>
        <v>71.380471380471377</v>
      </c>
      <c r="BA174" s="112"/>
      <c r="BB174" s="144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</row>
    <row r="175" spans="1:136" x14ac:dyDescent="0.25">
      <c r="A175" s="175" t="s">
        <v>256</v>
      </c>
      <c r="B175" s="176">
        <f>'2018'!B175+'2019'!B175+'2020'!B175+'2021'!B175+'2022'!B154</f>
        <v>1</v>
      </c>
      <c r="C175" s="176">
        <f>'2018'!C175+'2019'!C175+'2020'!C175+'2021'!C175+'2022'!C154</f>
        <v>0</v>
      </c>
      <c r="D175" s="176">
        <f>'2018'!D175+'2019'!D175+'2020'!D175+'2021'!D175+'2022'!D154</f>
        <v>5</v>
      </c>
      <c r="E175" s="176">
        <f>'2018'!E175+'2019'!E175+'2020'!E175+'2021'!E175+'2022'!E154</f>
        <v>0</v>
      </c>
      <c r="F175" s="176">
        <f>'2018'!F175+'2019'!F175+'2020'!F175+'2021'!F175+'2022'!F154</f>
        <v>0</v>
      </c>
      <c r="G175" s="176">
        <f>'2018'!G175+'2019'!G175+'2020'!G175+'2021'!G175+'2022'!G154</f>
        <v>0</v>
      </c>
      <c r="H175" s="176">
        <f>'2018'!H175+'2019'!H175+'2020'!H175+'2021'!H175+'2022'!H154</f>
        <v>0</v>
      </c>
      <c r="I175" s="176">
        <f>'2018'!I175+'2019'!I175+'2020'!I175+'2021'!I175+'2022'!I154</f>
        <v>0</v>
      </c>
      <c r="J175" s="176">
        <f>'2018'!J175+'2019'!J175+'2020'!J175+'2021'!J175+'2022'!J154</f>
        <v>0</v>
      </c>
      <c r="K175" s="176">
        <f>'2018'!K175+'2019'!K175+'2020'!K175+'2021'!K175+'2022'!K154</f>
        <v>0</v>
      </c>
      <c r="L175" s="176">
        <f>'2018'!L175+'2019'!L175+'2020'!L175+'2021'!L175+'2022'!L154</f>
        <v>0</v>
      </c>
      <c r="M175" s="176">
        <f>'2018'!M175+'2019'!M175+'2020'!M175+'2021'!M175+'2022'!M154</f>
        <v>0</v>
      </c>
      <c r="N175" s="176">
        <f>'2018'!N175+'2019'!N175+'2020'!N175+'2021'!N175+'2022'!N154</f>
        <v>0</v>
      </c>
      <c r="O175" s="176">
        <f>'2018'!O175+'2019'!O175+'2020'!O175+'2021'!O175+'2022'!O154</f>
        <v>0</v>
      </c>
      <c r="P175" s="176">
        <f>'2018'!P175+'2019'!P175+'2020'!P175+'2021'!P175+'2022'!P154</f>
        <v>0</v>
      </c>
      <c r="Q175" s="176">
        <f>'2018'!Q175+'2019'!Q175+'2020'!Q175+'2021'!Q175+'2022'!Q154</f>
        <v>0</v>
      </c>
      <c r="R175" s="176">
        <f>'2018'!R175+'2019'!R175+'2020'!R175+'2021'!R175+'2022'!R154</f>
        <v>0</v>
      </c>
      <c r="S175" s="176">
        <f>'2018'!S175+'2019'!S175+'2020'!S175+'2021'!S175+'2022'!S154</f>
        <v>5</v>
      </c>
      <c r="T175" s="176">
        <f>'2018'!T175+'2019'!T175+'2020'!T175+'2021'!T175+'2022'!T154</f>
        <v>0</v>
      </c>
      <c r="U175" s="176">
        <f>'2018'!U175+'2019'!U175+'2020'!U175+'2021'!U175+'2022'!U154</f>
        <v>0</v>
      </c>
      <c r="V175" s="176">
        <f>'2018'!V175+'2019'!V175+'2020'!V175+'2021'!V175+'2022'!V154</f>
        <v>0</v>
      </c>
      <c r="W175" s="176">
        <f>'2018'!W175+'2019'!W175+'2020'!W175+'2021'!W175+'2022'!W154</f>
        <v>0</v>
      </c>
      <c r="X175" s="176">
        <f>'2018'!X175+'2019'!X175+'2020'!X175+'2021'!X175+'2022'!X154</f>
        <v>0</v>
      </c>
      <c r="Y175" s="174">
        <f t="shared" si="23"/>
        <v>5</v>
      </c>
      <c r="Z175" s="174">
        <f>'2018'!Z175+'2019'!Z175+'2020'!Z175+'2021'!Z175+'2022'!Z154</f>
        <v>1</v>
      </c>
      <c r="AA175" s="174">
        <f>'2018'!AA175+'2019'!AA175+'2020'!AA175+'2021'!AA175+'2022'!AA154</f>
        <v>0</v>
      </c>
      <c r="AB175" s="174">
        <f>'2018'!AB175+'2019'!AB175+'2020'!AB175+'2021'!AB175+'2022'!AB154</f>
        <v>4</v>
      </c>
      <c r="AC175" s="174">
        <f>'2018'!AC175+'2019'!AC175+'2020'!AC175+'2021'!AC175+'2022'!AC154</f>
        <v>0</v>
      </c>
      <c r="AD175" s="174">
        <f>'2018'!AD175+'2019'!AD175+'2020'!AD175+'2021'!AD175+'2022'!AD154</f>
        <v>0</v>
      </c>
      <c r="AE175" s="174">
        <f>'2018'!AE175+'2019'!AE175+'2020'!AE175+'2021'!AE175+'2022'!AE154</f>
        <v>0</v>
      </c>
      <c r="AF175" s="174">
        <f>'2018'!AF175+'2019'!AF175+'2020'!AF175+'2021'!AF175+'2022'!AF154</f>
        <v>0</v>
      </c>
      <c r="AG175" s="174">
        <f>'2018'!AG175+'2019'!AG175+'2020'!AG175+'2021'!AG175+'2022'!AG154</f>
        <v>0</v>
      </c>
      <c r="AH175" s="174">
        <f>'2018'!AH175+'2019'!AH175+'2020'!AH175+'2021'!AH175+'2022'!AH154</f>
        <v>0</v>
      </c>
      <c r="AI175" s="174">
        <f>'2018'!AI175+'2019'!AI175+'2020'!AI175+'2021'!AI175+'2022'!AI154</f>
        <v>0</v>
      </c>
      <c r="AJ175" s="174">
        <f>'2018'!AJ175+'2019'!AJ175+'2020'!AJ175+'2021'!AJ175+'2022'!AJ154</f>
        <v>0</v>
      </c>
      <c r="AK175" s="174">
        <f>'2018'!AK175+'2019'!AK175+'2020'!AK175+'2021'!AK175+'2022'!AK154</f>
        <v>0</v>
      </c>
      <c r="AL175" s="174">
        <f>'2018'!AL175+'2019'!AL175+'2020'!AL175+'2021'!AL175+'2022'!AL154</f>
        <v>0</v>
      </c>
      <c r="AM175" s="174">
        <f>'2018'!AM175+'2019'!AM175+'2020'!AM175+'2021'!AM175+'2022'!AM154</f>
        <v>0</v>
      </c>
      <c r="AN175" s="174">
        <f>'2018'!AN175+'2019'!AN175+'2020'!AN175+'2021'!AN175+'2022'!AN154</f>
        <v>0</v>
      </c>
      <c r="AO175" s="174">
        <f>'2018'!AO175+'2019'!AO175+'2020'!AO175+'2021'!AO175+'2022'!AO154</f>
        <v>0</v>
      </c>
      <c r="AP175" s="174">
        <f>'2018'!AP175+'2019'!AP175+'2020'!AP175+'2021'!AP175+'2022'!AP154</f>
        <v>0</v>
      </c>
      <c r="AQ175" s="174">
        <f>'2018'!AQ175+'2019'!AQ175+'2020'!AQ175+'2021'!AQ175+'2022'!AQ154</f>
        <v>4</v>
      </c>
      <c r="AR175" s="174">
        <f>'2018'!AR175+'2019'!AR175+'2020'!AR175+'2021'!AR175+'2022'!AR154</f>
        <v>0</v>
      </c>
      <c r="AS175" s="174">
        <f>'2018'!AS175+'2019'!AS175+'2020'!AS175+'2021'!AS175+'2022'!AS154</f>
        <v>0</v>
      </c>
      <c r="AT175" s="174">
        <f>'2018'!AT175+'2019'!AT175+'2020'!AT175+'2021'!AT175+'2022'!AT154</f>
        <v>0</v>
      </c>
      <c r="AU175" s="174">
        <f>'2018'!AU175+'2019'!AU175+'2020'!AU175+'2021'!AU175+'2022'!AU154</f>
        <v>0</v>
      </c>
      <c r="AV175" s="174">
        <f>'2018'!AV175+'2019'!AV175+'2020'!AV175+'2021'!AV175+'2022'!AV154</f>
        <v>0</v>
      </c>
      <c r="AW175" s="174">
        <f t="shared" si="22"/>
        <v>4</v>
      </c>
      <c r="AX175" s="156">
        <f t="shared" si="24"/>
        <v>420</v>
      </c>
      <c r="AY175" s="14">
        <f>'2018'!AX175+'2019'!AX175+'2020'!AX175+'2021'!AX175+'2022'!AX154</f>
        <v>2100</v>
      </c>
      <c r="AZ175" s="14">
        <f t="shared" si="25"/>
        <v>80</v>
      </c>
      <c r="BA175" s="112"/>
      <c r="BB175" s="144"/>
      <c r="BC175" s="112"/>
      <c r="BD175" s="112"/>
      <c r="BE175" s="112"/>
      <c r="BF175" s="112"/>
      <c r="BG175" s="112"/>
      <c r="BH175" s="112"/>
      <c r="BI175" s="112"/>
    </row>
    <row r="176" spans="1:136" x14ac:dyDescent="0.25">
      <c r="A176" s="175" t="s">
        <v>257</v>
      </c>
      <c r="B176" s="176">
        <f>'2018'!B176+'2019'!B176+'2020'!B176+'2021'!B176+'2022'!B155</f>
        <v>6</v>
      </c>
      <c r="C176" s="176">
        <f>'2018'!C176+'2019'!C176+'2020'!C176+'2021'!C176+'2022'!C155</f>
        <v>1</v>
      </c>
      <c r="D176" s="176">
        <f>'2018'!D176+'2019'!D176+'2020'!D176+'2021'!D176+'2022'!D155</f>
        <v>23</v>
      </c>
      <c r="E176" s="176">
        <f>'2018'!E176+'2019'!E176+'2020'!E176+'2021'!E176+'2022'!E155</f>
        <v>1</v>
      </c>
      <c r="F176" s="176">
        <f>'2018'!F176+'2019'!F176+'2020'!F176+'2021'!F176+'2022'!F155</f>
        <v>0</v>
      </c>
      <c r="G176" s="176">
        <f>'2018'!G176+'2019'!G176+'2020'!G176+'2021'!G176+'2022'!G155</f>
        <v>0</v>
      </c>
      <c r="H176" s="176">
        <f>'2018'!H176+'2019'!H176+'2020'!H176+'2021'!H176+'2022'!H155</f>
        <v>19</v>
      </c>
      <c r="I176" s="176">
        <f>'2018'!I176+'2019'!I176+'2020'!I176+'2021'!I176+'2022'!I155</f>
        <v>0</v>
      </c>
      <c r="J176" s="176">
        <f>'2018'!J176+'2019'!J176+'2020'!J176+'2021'!J176+'2022'!J155</f>
        <v>0</v>
      </c>
      <c r="K176" s="176">
        <f>'2018'!K176+'2019'!K176+'2020'!K176+'2021'!K176+'2022'!K155</f>
        <v>0</v>
      </c>
      <c r="L176" s="176">
        <f>'2018'!L176+'2019'!L176+'2020'!L176+'2021'!L176+'2022'!L155</f>
        <v>0</v>
      </c>
      <c r="M176" s="176">
        <f>'2018'!M176+'2019'!M176+'2020'!M176+'2021'!M176+'2022'!M155</f>
        <v>0</v>
      </c>
      <c r="N176" s="176">
        <f>'2018'!N176+'2019'!N176+'2020'!N176+'2021'!N176+'2022'!N155</f>
        <v>1</v>
      </c>
      <c r="O176" s="176">
        <f>'2018'!O176+'2019'!O176+'2020'!O176+'2021'!O176+'2022'!O155</f>
        <v>0</v>
      </c>
      <c r="P176" s="176">
        <f>'2018'!P176+'2019'!P176+'2020'!P176+'2021'!P176+'2022'!P155</f>
        <v>0</v>
      </c>
      <c r="Q176" s="176">
        <f>'2018'!Q176+'2019'!Q176+'2020'!Q176+'2021'!Q176+'2022'!Q155</f>
        <v>0</v>
      </c>
      <c r="R176" s="176">
        <f>'2018'!R176+'2019'!R176+'2020'!R176+'2021'!R176+'2022'!R155</f>
        <v>1</v>
      </c>
      <c r="S176" s="176">
        <f>'2018'!S176+'2019'!S176+'2020'!S176+'2021'!S176+'2022'!S155</f>
        <v>0</v>
      </c>
      <c r="T176" s="176">
        <f>'2018'!T176+'2019'!T176+'2020'!T176+'2021'!T176+'2022'!T155</f>
        <v>0</v>
      </c>
      <c r="U176" s="176">
        <f>'2018'!U176+'2019'!U176+'2020'!U176+'2021'!U176+'2022'!U155</f>
        <v>0</v>
      </c>
      <c r="V176" s="176">
        <f>'2018'!V176+'2019'!V176+'2020'!V176+'2021'!V176+'2022'!V155</f>
        <v>1</v>
      </c>
      <c r="W176" s="176">
        <f>'2018'!W176+'2019'!W176+'2020'!W176+'2021'!W176+'2022'!W155</f>
        <v>0</v>
      </c>
      <c r="X176" s="176">
        <f>'2018'!X176+'2019'!X176+'2020'!X176+'2021'!X176+'2022'!X155</f>
        <v>1</v>
      </c>
      <c r="Y176" s="174">
        <f t="shared" si="23"/>
        <v>23</v>
      </c>
      <c r="Z176" s="174">
        <f>'2018'!Z176+'2019'!Z176+'2020'!Z176+'2021'!Z176+'2022'!Z155</f>
        <v>5</v>
      </c>
      <c r="AA176" s="174">
        <f>'2018'!AA176+'2019'!AA176+'2020'!AA176+'2021'!AA176+'2022'!AA155</f>
        <v>1</v>
      </c>
      <c r="AB176" s="174">
        <f>'2018'!AB176+'2019'!AB176+'2020'!AB176+'2021'!AB176+'2022'!AB155</f>
        <v>15</v>
      </c>
      <c r="AC176" s="174">
        <f>'2018'!AC176+'2019'!AC176+'2020'!AC176+'2021'!AC176+'2022'!AC155</f>
        <v>1</v>
      </c>
      <c r="AD176" s="174">
        <f>'2018'!AD176+'2019'!AD176+'2020'!AD176+'2021'!AD176+'2022'!AD155</f>
        <v>0</v>
      </c>
      <c r="AE176" s="174">
        <f>'2018'!AE176+'2019'!AE176+'2020'!AE176+'2021'!AE176+'2022'!AE155</f>
        <v>0</v>
      </c>
      <c r="AF176" s="174">
        <f>'2018'!AF176+'2019'!AF176+'2020'!AF176+'2021'!AF176+'2022'!AF155</f>
        <v>12</v>
      </c>
      <c r="AG176" s="174">
        <f>'2018'!AG176+'2019'!AG176+'2020'!AG176+'2021'!AG176+'2022'!AG155</f>
        <v>0</v>
      </c>
      <c r="AH176" s="174">
        <f>'2018'!AH176+'2019'!AH176+'2020'!AH176+'2021'!AH176+'2022'!AH155</f>
        <v>0</v>
      </c>
      <c r="AI176" s="174">
        <f>'2018'!AI176+'2019'!AI176+'2020'!AI176+'2021'!AI176+'2022'!AI155</f>
        <v>0</v>
      </c>
      <c r="AJ176" s="174">
        <f>'2018'!AJ176+'2019'!AJ176+'2020'!AJ176+'2021'!AJ176+'2022'!AJ155</f>
        <v>0</v>
      </c>
      <c r="AK176" s="174">
        <f>'2018'!AK176+'2019'!AK176+'2020'!AK176+'2021'!AK176+'2022'!AK155</f>
        <v>0</v>
      </c>
      <c r="AL176" s="174">
        <f>'2018'!AL176+'2019'!AL176+'2020'!AL176+'2021'!AL176+'2022'!AL155</f>
        <v>1</v>
      </c>
      <c r="AM176" s="174">
        <f>'2018'!AM176+'2019'!AM176+'2020'!AM176+'2021'!AM176+'2022'!AM155</f>
        <v>0</v>
      </c>
      <c r="AN176" s="174">
        <f>'2018'!AN176+'2019'!AN176+'2020'!AN176+'2021'!AN176+'2022'!AN155</f>
        <v>0</v>
      </c>
      <c r="AO176" s="174">
        <f>'2018'!AO176+'2019'!AO176+'2020'!AO176+'2021'!AO176+'2022'!AO155</f>
        <v>0</v>
      </c>
      <c r="AP176" s="174">
        <f>'2018'!AP176+'2019'!AP176+'2020'!AP176+'2021'!AP176+'2022'!AP155</f>
        <v>0</v>
      </c>
      <c r="AQ176" s="174">
        <f>'2018'!AQ176+'2019'!AQ176+'2020'!AQ176+'2021'!AQ176+'2022'!AQ155</f>
        <v>0</v>
      </c>
      <c r="AR176" s="174">
        <f>'2018'!AR176+'2019'!AR176+'2020'!AR176+'2021'!AR176+'2022'!AR155</f>
        <v>0</v>
      </c>
      <c r="AS176" s="174">
        <f>'2018'!AS176+'2019'!AS176+'2020'!AS176+'2021'!AS176+'2022'!AS155</f>
        <v>0</v>
      </c>
      <c r="AT176" s="174">
        <f>'2018'!AT176+'2019'!AT176+'2020'!AT176+'2021'!AT176+'2022'!AT155</f>
        <v>1</v>
      </c>
      <c r="AU176" s="174">
        <f>'2018'!AU176+'2019'!AU176+'2020'!AU176+'2021'!AU176+'2022'!AU155</f>
        <v>0</v>
      </c>
      <c r="AV176" s="174">
        <f>'2018'!AV176+'2019'!AV176+'2020'!AV176+'2021'!AV176+'2022'!AV155</f>
        <v>1</v>
      </c>
      <c r="AW176" s="174">
        <f t="shared" si="22"/>
        <v>15</v>
      </c>
      <c r="AX176" s="156">
        <f t="shared" si="24"/>
        <v>4266.1333333333332</v>
      </c>
      <c r="AY176" s="14">
        <f>'2018'!AX176+'2019'!AX176+'2020'!AX176+'2021'!AX176+'2022'!AX155</f>
        <v>21330.666666666668</v>
      </c>
      <c r="AZ176" s="14">
        <f t="shared" si="25"/>
        <v>65.217391304347828</v>
      </c>
      <c r="BA176" s="112"/>
      <c r="BB176" s="144"/>
      <c r="BC176" s="112"/>
      <c r="BD176" s="112"/>
      <c r="BE176" s="112"/>
      <c r="BF176" s="112"/>
      <c r="BG176" s="112"/>
      <c r="BH176" s="112"/>
      <c r="BI176" s="112"/>
    </row>
    <row r="177" spans="1:61" x14ac:dyDescent="0.25">
      <c r="A177" s="175" t="s">
        <v>258</v>
      </c>
      <c r="B177" s="176">
        <f>'2018'!B177+'2019'!B177+'2020'!B177+'2021'!B177+'2022'!B156</f>
        <v>11</v>
      </c>
      <c r="C177" s="176">
        <f>'2018'!C177+'2019'!C177+'2020'!C177+'2021'!C177+'2022'!C156</f>
        <v>0</v>
      </c>
      <c r="D177" s="176">
        <f>'2018'!D177+'2019'!D177+'2020'!D177+'2021'!D177+'2022'!D156</f>
        <v>61</v>
      </c>
      <c r="E177" s="176">
        <f>'2018'!E177+'2019'!E177+'2020'!E177+'2021'!E177+'2022'!E156</f>
        <v>0</v>
      </c>
      <c r="F177" s="176">
        <f>'2018'!F177+'2019'!F177+'2020'!F177+'2021'!F177+'2022'!F156</f>
        <v>0</v>
      </c>
      <c r="G177" s="176">
        <f>'2018'!G177+'2019'!G177+'2020'!G177+'2021'!G177+'2022'!G156</f>
        <v>0</v>
      </c>
      <c r="H177" s="176">
        <f>'2018'!H177+'2019'!H177+'2020'!H177+'2021'!H177+'2022'!H156</f>
        <v>5</v>
      </c>
      <c r="I177" s="176">
        <f>'2018'!I177+'2019'!I177+'2020'!I177+'2021'!I177+'2022'!I156</f>
        <v>0</v>
      </c>
      <c r="J177" s="176">
        <f>'2018'!J177+'2019'!J177+'2020'!J177+'2021'!J177+'2022'!J156</f>
        <v>56</v>
      </c>
      <c r="K177" s="176">
        <f>'2018'!K177+'2019'!K177+'2020'!K177+'2021'!K177+'2022'!K156</f>
        <v>0</v>
      </c>
      <c r="L177" s="176">
        <f>'2018'!L177+'2019'!L177+'2020'!L177+'2021'!L177+'2022'!L156</f>
        <v>0</v>
      </c>
      <c r="M177" s="176">
        <f>'2018'!M177+'2019'!M177+'2020'!M177+'2021'!M177+'2022'!M156</f>
        <v>0</v>
      </c>
      <c r="N177" s="176">
        <f>'2018'!N177+'2019'!N177+'2020'!N177+'2021'!N177+'2022'!N156</f>
        <v>0</v>
      </c>
      <c r="O177" s="176">
        <f>'2018'!O177+'2019'!O177+'2020'!O177+'2021'!O177+'2022'!O156</f>
        <v>0</v>
      </c>
      <c r="P177" s="176">
        <f>'2018'!P177+'2019'!P177+'2020'!P177+'2021'!P177+'2022'!P156</f>
        <v>0</v>
      </c>
      <c r="Q177" s="176">
        <f>'2018'!Q177+'2019'!Q177+'2020'!Q177+'2021'!Q177+'2022'!Q156</f>
        <v>0</v>
      </c>
      <c r="R177" s="176">
        <f>'2018'!R177+'2019'!R177+'2020'!R177+'2021'!R177+'2022'!R156</f>
        <v>0</v>
      </c>
      <c r="S177" s="176">
        <f>'2018'!S177+'2019'!S177+'2020'!S177+'2021'!S177+'2022'!S156</f>
        <v>0</v>
      </c>
      <c r="T177" s="176">
        <f>'2018'!T177+'2019'!T177+'2020'!T177+'2021'!T177+'2022'!T156</f>
        <v>0</v>
      </c>
      <c r="U177" s="176">
        <f>'2018'!U177+'2019'!U177+'2020'!U177+'2021'!U177+'2022'!U156</f>
        <v>0</v>
      </c>
      <c r="V177" s="176">
        <f>'2018'!V177+'2019'!V177+'2020'!V177+'2021'!V177+'2022'!V156</f>
        <v>0</v>
      </c>
      <c r="W177" s="176">
        <f>'2018'!W177+'2019'!W177+'2020'!W177+'2021'!W177+'2022'!W156</f>
        <v>0</v>
      </c>
      <c r="X177" s="176">
        <f>'2018'!X177+'2019'!X177+'2020'!X177+'2021'!X177+'2022'!X156</f>
        <v>0</v>
      </c>
      <c r="Y177" s="174">
        <f t="shared" si="23"/>
        <v>61</v>
      </c>
      <c r="Z177" s="174">
        <f>'2018'!Z177+'2019'!Z177+'2020'!Z177+'2021'!Z177+'2022'!Z156</f>
        <v>9</v>
      </c>
      <c r="AA177" s="174">
        <f>'2018'!AA177+'2019'!AA177+'2020'!AA177+'2021'!AA177+'2022'!AA156</f>
        <v>0</v>
      </c>
      <c r="AB177" s="174">
        <f>'2018'!AB177+'2019'!AB177+'2020'!AB177+'2021'!AB177+'2022'!AB156</f>
        <v>40</v>
      </c>
      <c r="AC177" s="174">
        <f>'2018'!AC177+'2019'!AC177+'2020'!AC177+'2021'!AC177+'2022'!AC156</f>
        <v>0</v>
      </c>
      <c r="AD177" s="174">
        <f>'2018'!AD177+'2019'!AD177+'2020'!AD177+'2021'!AD177+'2022'!AD156</f>
        <v>0</v>
      </c>
      <c r="AE177" s="174">
        <f>'2018'!AE177+'2019'!AE177+'2020'!AE177+'2021'!AE177+'2022'!AE156</f>
        <v>0</v>
      </c>
      <c r="AF177" s="174">
        <f>'2018'!AF177+'2019'!AF177+'2020'!AF177+'2021'!AF177+'2022'!AF156</f>
        <v>3</v>
      </c>
      <c r="AG177" s="174">
        <f>'2018'!AG177+'2019'!AG177+'2020'!AG177+'2021'!AG177+'2022'!AG156</f>
        <v>0</v>
      </c>
      <c r="AH177" s="174">
        <f>'2018'!AH177+'2019'!AH177+'2020'!AH177+'2021'!AH177+'2022'!AH156</f>
        <v>37</v>
      </c>
      <c r="AI177" s="174">
        <f>'2018'!AI177+'2019'!AI177+'2020'!AI177+'2021'!AI177+'2022'!AI156</f>
        <v>0</v>
      </c>
      <c r="AJ177" s="174">
        <f>'2018'!AJ177+'2019'!AJ177+'2020'!AJ177+'2021'!AJ177+'2022'!AJ156</f>
        <v>0</v>
      </c>
      <c r="AK177" s="174">
        <f>'2018'!AK177+'2019'!AK177+'2020'!AK177+'2021'!AK177+'2022'!AK156</f>
        <v>0</v>
      </c>
      <c r="AL177" s="174">
        <f>'2018'!AL177+'2019'!AL177+'2020'!AL177+'2021'!AL177+'2022'!AL156</f>
        <v>0</v>
      </c>
      <c r="AM177" s="174">
        <f>'2018'!AM177+'2019'!AM177+'2020'!AM177+'2021'!AM177+'2022'!AM156</f>
        <v>0</v>
      </c>
      <c r="AN177" s="174">
        <f>'2018'!AN177+'2019'!AN177+'2020'!AN177+'2021'!AN177+'2022'!AN156</f>
        <v>0</v>
      </c>
      <c r="AO177" s="174">
        <f>'2018'!AO177+'2019'!AO177+'2020'!AO177+'2021'!AO177+'2022'!AO156</f>
        <v>0</v>
      </c>
      <c r="AP177" s="174">
        <f>'2018'!AP177+'2019'!AP177+'2020'!AP177+'2021'!AP177+'2022'!AP156</f>
        <v>0</v>
      </c>
      <c r="AQ177" s="174">
        <f>'2018'!AQ177+'2019'!AQ177+'2020'!AQ177+'2021'!AQ177+'2022'!AQ156</f>
        <v>0</v>
      </c>
      <c r="AR177" s="174">
        <f>'2018'!AR177+'2019'!AR177+'2020'!AR177+'2021'!AR177+'2022'!AR156</f>
        <v>0</v>
      </c>
      <c r="AS177" s="174">
        <f>'2018'!AS177+'2019'!AS177+'2020'!AS177+'2021'!AS177+'2022'!AS156</f>
        <v>0</v>
      </c>
      <c r="AT177" s="174">
        <f>'2018'!AT177+'2019'!AT177+'2020'!AT177+'2021'!AT177+'2022'!AT156</f>
        <v>0</v>
      </c>
      <c r="AU177" s="174">
        <f>'2018'!AU177+'2019'!AU177+'2020'!AU177+'2021'!AU177+'2022'!AU156</f>
        <v>0</v>
      </c>
      <c r="AV177" s="174">
        <f>'2018'!AV177+'2019'!AV177+'2020'!AV177+'2021'!AV177+'2022'!AV156</f>
        <v>0</v>
      </c>
      <c r="AW177" s="174">
        <f t="shared" si="22"/>
        <v>40</v>
      </c>
      <c r="AX177" s="156">
        <f t="shared" si="24"/>
        <v>935.9</v>
      </c>
      <c r="AY177" s="14">
        <f>'2018'!AX177+'2019'!AX177+'2020'!AX177+'2021'!AX177+'2022'!AX156</f>
        <v>4679.5</v>
      </c>
      <c r="AZ177" s="14">
        <f t="shared" si="25"/>
        <v>65.573770491803273</v>
      </c>
      <c r="BA177" s="112"/>
      <c r="BB177" s="144"/>
      <c r="BC177" s="112"/>
      <c r="BD177" s="112"/>
      <c r="BE177" s="112"/>
      <c r="BF177" s="112"/>
      <c r="BG177" s="112"/>
      <c r="BH177" s="112"/>
      <c r="BI177" s="112"/>
    </row>
    <row r="178" spans="1:61" x14ac:dyDescent="0.25">
      <c r="A178" s="173" t="s">
        <v>44</v>
      </c>
      <c r="B178" s="176">
        <f t="shared" ref="B178:X178" si="26">SUM(B179:B180)</f>
        <v>33</v>
      </c>
      <c r="C178" s="176">
        <f t="shared" si="26"/>
        <v>6</v>
      </c>
      <c r="D178" s="176">
        <f t="shared" si="26"/>
        <v>62</v>
      </c>
      <c r="E178" s="176">
        <f t="shared" si="26"/>
        <v>8</v>
      </c>
      <c r="F178" s="176">
        <f t="shared" si="26"/>
        <v>0</v>
      </c>
      <c r="G178" s="176">
        <f t="shared" si="26"/>
        <v>0</v>
      </c>
      <c r="H178" s="176">
        <f t="shared" si="26"/>
        <v>11</v>
      </c>
      <c r="I178" s="176">
        <f t="shared" si="26"/>
        <v>0</v>
      </c>
      <c r="J178" s="176">
        <f t="shared" si="26"/>
        <v>0</v>
      </c>
      <c r="K178" s="176">
        <f t="shared" si="26"/>
        <v>7</v>
      </c>
      <c r="L178" s="176">
        <f t="shared" si="26"/>
        <v>2</v>
      </c>
      <c r="M178" s="176">
        <f t="shared" si="26"/>
        <v>5</v>
      </c>
      <c r="N178" s="176">
        <f t="shared" si="26"/>
        <v>1</v>
      </c>
      <c r="O178" s="176">
        <f t="shared" si="26"/>
        <v>2</v>
      </c>
      <c r="P178" s="176">
        <f t="shared" si="26"/>
        <v>0</v>
      </c>
      <c r="Q178" s="176">
        <f t="shared" si="26"/>
        <v>1</v>
      </c>
      <c r="R178" s="176">
        <f t="shared" si="26"/>
        <v>8</v>
      </c>
      <c r="S178" s="176">
        <f t="shared" si="26"/>
        <v>10</v>
      </c>
      <c r="T178" s="176">
        <f t="shared" si="26"/>
        <v>1</v>
      </c>
      <c r="U178" s="176">
        <f t="shared" si="26"/>
        <v>3</v>
      </c>
      <c r="V178" s="176">
        <f t="shared" si="26"/>
        <v>5</v>
      </c>
      <c r="W178" s="176">
        <f t="shared" si="26"/>
        <v>5</v>
      </c>
      <c r="X178" s="176">
        <f t="shared" si="26"/>
        <v>1</v>
      </c>
      <c r="Y178" s="174">
        <f t="shared" ref="Y178:Y196" si="27">SUM(F178:X178)</f>
        <v>62</v>
      </c>
      <c r="Z178" s="174">
        <f t="shared" ref="Z178:AV178" si="28">Z179+Z180</f>
        <v>19</v>
      </c>
      <c r="AA178" s="174"/>
      <c r="AB178" s="174">
        <f t="shared" si="28"/>
        <v>34</v>
      </c>
      <c r="AC178" s="174"/>
      <c r="AD178" s="174">
        <f t="shared" si="28"/>
        <v>0</v>
      </c>
      <c r="AE178" s="174">
        <f t="shared" si="28"/>
        <v>0</v>
      </c>
      <c r="AF178" s="174">
        <f t="shared" si="28"/>
        <v>8</v>
      </c>
      <c r="AG178" s="174">
        <f t="shared" si="28"/>
        <v>0</v>
      </c>
      <c r="AH178" s="174">
        <f t="shared" si="28"/>
        <v>0</v>
      </c>
      <c r="AI178" s="174">
        <f t="shared" si="28"/>
        <v>0</v>
      </c>
      <c r="AJ178" s="174">
        <f t="shared" si="28"/>
        <v>1</v>
      </c>
      <c r="AK178" s="174">
        <f t="shared" si="28"/>
        <v>5</v>
      </c>
      <c r="AL178" s="174">
        <f t="shared" si="28"/>
        <v>2</v>
      </c>
      <c r="AM178" s="174">
        <f t="shared" si="28"/>
        <v>3</v>
      </c>
      <c r="AN178" s="174">
        <f t="shared" si="28"/>
        <v>0</v>
      </c>
      <c r="AO178" s="174">
        <f t="shared" si="28"/>
        <v>0</v>
      </c>
      <c r="AP178" s="174">
        <f t="shared" si="28"/>
        <v>4</v>
      </c>
      <c r="AQ178" s="174">
        <f t="shared" si="28"/>
        <v>5</v>
      </c>
      <c r="AR178" s="174">
        <f t="shared" si="28"/>
        <v>0</v>
      </c>
      <c r="AS178" s="174">
        <f t="shared" si="28"/>
        <v>2</v>
      </c>
      <c r="AT178" s="174">
        <f t="shared" si="28"/>
        <v>2</v>
      </c>
      <c r="AU178" s="174">
        <f t="shared" si="28"/>
        <v>2</v>
      </c>
      <c r="AV178" s="174">
        <f t="shared" si="28"/>
        <v>0</v>
      </c>
      <c r="AW178" s="174">
        <f t="shared" si="22"/>
        <v>34</v>
      </c>
      <c r="AX178" s="156">
        <v>2108.7399999999998</v>
      </c>
      <c r="AY178" s="63"/>
      <c r="AZ178" s="63"/>
      <c r="BA178" s="184">
        <f>Z178*100/B178</f>
        <v>57.575757575757578</v>
      </c>
      <c r="BB178" s="185">
        <f>B178-Z178</f>
        <v>14</v>
      </c>
      <c r="BC178" s="184">
        <f>BB178*100/B178</f>
        <v>42.424242424242422</v>
      </c>
    </row>
    <row r="179" spans="1:61" x14ac:dyDescent="0.25">
      <c r="A179" s="175" t="s">
        <v>128</v>
      </c>
      <c r="B179" s="176">
        <f>'2018'!B179+'2019'!B179+'2020'!B179+'2021'!B179+'2022'!B158</f>
        <v>30</v>
      </c>
      <c r="C179" s="176">
        <f>'2018'!C179+'2019'!C179+'2020'!C179+'2021'!C179+'2022'!C158</f>
        <v>5</v>
      </c>
      <c r="D179" s="176">
        <f>'2018'!D179+'2019'!D179+'2020'!D179+'2021'!D179+'2022'!D158</f>
        <v>58</v>
      </c>
      <c r="E179" s="176">
        <f>'2018'!E179+'2019'!E179+'2020'!E179+'2021'!E179+'2022'!E158</f>
        <v>7</v>
      </c>
      <c r="F179" s="176">
        <f>'2018'!F179+'2019'!F179+'2020'!F179+'2021'!F179+'2022'!F158</f>
        <v>0</v>
      </c>
      <c r="G179" s="176">
        <f>'2018'!G179+'2019'!G179+'2020'!G179+'2021'!G179+'2022'!G158</f>
        <v>0</v>
      </c>
      <c r="H179" s="176">
        <f>'2018'!H179+'2019'!H179+'2020'!H179+'2021'!H179+'2022'!H158</f>
        <v>11</v>
      </c>
      <c r="I179" s="176">
        <f>'2018'!I179+'2019'!I179+'2020'!I179+'2021'!I179+'2022'!I158</f>
        <v>0</v>
      </c>
      <c r="J179" s="176">
        <f>'2018'!J179+'2019'!J179+'2020'!J179+'2021'!J179+'2022'!J158</f>
        <v>0</v>
      </c>
      <c r="K179" s="176">
        <f>'2018'!K179+'2019'!K179+'2020'!K179+'2021'!K179+'2022'!K158</f>
        <v>5</v>
      </c>
      <c r="L179" s="176">
        <f>'2018'!L179+'2019'!L179+'2020'!L179+'2021'!L179+'2022'!L158</f>
        <v>2</v>
      </c>
      <c r="M179" s="176">
        <f>'2018'!M179+'2019'!M179+'2020'!M179+'2021'!M179+'2022'!M158</f>
        <v>5</v>
      </c>
      <c r="N179" s="176">
        <f>'2018'!N179+'2019'!N179+'2020'!N179+'2021'!N179+'2022'!N158</f>
        <v>1</v>
      </c>
      <c r="O179" s="176">
        <f>'2018'!O179+'2019'!O179+'2020'!O179+'2021'!O179+'2022'!O158</f>
        <v>2</v>
      </c>
      <c r="P179" s="176">
        <f>'2018'!P179+'2019'!P179+'2020'!P179+'2021'!P179+'2022'!P158</f>
        <v>0</v>
      </c>
      <c r="Q179" s="176">
        <f>'2018'!Q179+'2019'!Q179+'2020'!Q179+'2021'!Q179+'2022'!Q158</f>
        <v>1</v>
      </c>
      <c r="R179" s="176">
        <f>'2018'!R179+'2019'!R179+'2020'!R179+'2021'!R179+'2022'!R158</f>
        <v>8</v>
      </c>
      <c r="S179" s="176">
        <f>'2018'!S179+'2019'!S179+'2020'!S179+'2021'!S179+'2022'!S158</f>
        <v>10</v>
      </c>
      <c r="T179" s="176">
        <f>'2018'!T179+'2019'!T179+'2020'!T179+'2021'!T179+'2022'!T158</f>
        <v>1</v>
      </c>
      <c r="U179" s="176">
        <f>'2018'!U179+'2019'!U179+'2020'!U179+'2021'!U179+'2022'!U158</f>
        <v>3</v>
      </c>
      <c r="V179" s="176">
        <f>'2018'!V179+'2019'!V179+'2020'!V179+'2021'!V179+'2022'!V158</f>
        <v>4</v>
      </c>
      <c r="W179" s="176">
        <f>'2018'!W179+'2019'!W179+'2020'!W179+'2021'!W179+'2022'!W158</f>
        <v>4</v>
      </c>
      <c r="X179" s="176">
        <f>'2018'!X179+'2019'!X179+'2020'!X179+'2021'!X179+'2022'!X158</f>
        <v>1</v>
      </c>
      <c r="Y179" s="174">
        <f t="shared" si="27"/>
        <v>58</v>
      </c>
      <c r="Z179" s="174">
        <f>'2018'!Z179+'2019'!Z179+'2020'!Z179+'2021'!Z179+'2022'!Z158</f>
        <v>19</v>
      </c>
      <c r="AA179" s="174">
        <f>'2018'!AA179+'2019'!AA179+'2020'!AA179+'2021'!AA179+'2022'!AA158</f>
        <v>1</v>
      </c>
      <c r="AB179" s="174">
        <f>'2018'!AB179+'2019'!AB179+'2020'!AB179+'2021'!AB179+'2022'!AB158</f>
        <v>34</v>
      </c>
      <c r="AC179" s="174">
        <f>'2018'!AC179+'2019'!AC179+'2020'!AC179+'2021'!AC179+'2022'!AC158</f>
        <v>2</v>
      </c>
      <c r="AD179" s="174">
        <f>'2018'!AD179+'2019'!AD179+'2020'!AD179+'2021'!AD179+'2022'!AD158</f>
        <v>0</v>
      </c>
      <c r="AE179" s="174">
        <f>'2018'!AE179+'2019'!AE179+'2020'!AE179+'2021'!AE179+'2022'!AE158</f>
        <v>0</v>
      </c>
      <c r="AF179" s="174">
        <f>'2018'!AF179+'2019'!AF179+'2020'!AF179+'2021'!AF179+'2022'!AF158</f>
        <v>8</v>
      </c>
      <c r="AG179" s="174">
        <f>'2018'!AG179+'2019'!AG179+'2020'!AG179+'2021'!AG179+'2022'!AG158</f>
        <v>0</v>
      </c>
      <c r="AH179" s="174">
        <f>'2018'!AH179+'2019'!AH179+'2020'!AH179+'2021'!AH179+'2022'!AH158</f>
        <v>0</v>
      </c>
      <c r="AI179" s="174">
        <f>'2018'!AI179+'2019'!AI179+'2020'!AI179+'2021'!AI179+'2022'!AI158</f>
        <v>0</v>
      </c>
      <c r="AJ179" s="174">
        <f>'2018'!AJ179+'2019'!AJ179+'2020'!AJ179+'2021'!AJ179+'2022'!AJ158</f>
        <v>1</v>
      </c>
      <c r="AK179" s="174">
        <f>'2018'!AK179+'2019'!AK179+'2020'!AK179+'2021'!AK179+'2022'!AK158</f>
        <v>5</v>
      </c>
      <c r="AL179" s="174">
        <f>'2018'!AL179+'2019'!AL179+'2020'!AL179+'2021'!AL179+'2022'!AL158</f>
        <v>2</v>
      </c>
      <c r="AM179" s="174">
        <f>'2018'!AM179+'2019'!AM179+'2020'!AM179+'2021'!AM179+'2022'!AM158</f>
        <v>3</v>
      </c>
      <c r="AN179" s="174">
        <f>'2018'!AN179+'2019'!AN179+'2020'!AN179+'2021'!AN179+'2022'!AN158</f>
        <v>0</v>
      </c>
      <c r="AO179" s="174">
        <f>'2018'!AO179+'2019'!AO179+'2020'!AO179+'2021'!AO179+'2022'!AO158</f>
        <v>0</v>
      </c>
      <c r="AP179" s="174">
        <f>'2018'!AP179+'2019'!AP179+'2020'!AP179+'2021'!AP179+'2022'!AP158</f>
        <v>4</v>
      </c>
      <c r="AQ179" s="174">
        <f>'2018'!AQ179+'2019'!AQ179+'2020'!AQ179+'2021'!AQ179+'2022'!AQ158</f>
        <v>5</v>
      </c>
      <c r="AR179" s="174">
        <f>'2018'!AR179+'2019'!AR179+'2020'!AR179+'2021'!AR179+'2022'!AR158</f>
        <v>0</v>
      </c>
      <c r="AS179" s="174">
        <f>'2018'!AS179+'2019'!AS179+'2020'!AS179+'2021'!AS179+'2022'!AS158</f>
        <v>2</v>
      </c>
      <c r="AT179" s="174">
        <f>'2018'!AT179+'2019'!AT179+'2020'!AT179+'2021'!AT179+'2022'!AT158</f>
        <v>2</v>
      </c>
      <c r="AU179" s="174">
        <f>'2018'!AU179+'2019'!AU179+'2020'!AU179+'2021'!AU179+'2022'!AU158</f>
        <v>2</v>
      </c>
      <c r="AV179" s="174">
        <f>'2018'!AV179+'2019'!AV179+'2020'!AV179+'2021'!AV179+'2022'!AV158</f>
        <v>0</v>
      </c>
      <c r="AW179" s="174">
        <f t="shared" si="22"/>
        <v>34</v>
      </c>
      <c r="AX179" s="156">
        <f t="shared" si="24"/>
        <v>2891.9373333333333</v>
      </c>
      <c r="AY179" s="14">
        <f>'2018'!AX179+'2019'!AX179+'2020'!AX179+'2021'!AX179+'2022'!AX158</f>
        <v>14459.686666666666</v>
      </c>
      <c r="AZ179" s="14">
        <f t="shared" ref="AZ179:AZ236" si="29">AB179*100/D179</f>
        <v>58.620689655172413</v>
      </c>
      <c r="BA179" s="142"/>
      <c r="BB179" s="144"/>
      <c r="BC179" s="142"/>
    </row>
    <row r="180" spans="1:61" x14ac:dyDescent="0.25">
      <c r="A180" s="175" t="s">
        <v>129</v>
      </c>
      <c r="B180" s="176">
        <f>'2018'!B180+'2019'!B180+'2020'!B180+'2021'!B180+'2022'!B159</f>
        <v>3</v>
      </c>
      <c r="C180" s="176">
        <f>'2018'!C180+'2019'!C180+'2020'!C180+'2021'!C180+'2022'!C159</f>
        <v>1</v>
      </c>
      <c r="D180" s="176">
        <f>'2018'!D180+'2019'!D180+'2020'!D180+'2021'!D180+'2022'!D159</f>
        <v>4</v>
      </c>
      <c r="E180" s="176">
        <f>'2018'!E180+'2019'!E180+'2020'!E180+'2021'!E180+'2022'!E159</f>
        <v>1</v>
      </c>
      <c r="F180" s="176">
        <f>'2018'!F180+'2019'!F180+'2020'!F180+'2021'!F180+'2022'!F159</f>
        <v>0</v>
      </c>
      <c r="G180" s="176">
        <f>'2018'!G180+'2019'!G180+'2020'!G180+'2021'!G180+'2022'!G159</f>
        <v>0</v>
      </c>
      <c r="H180" s="176">
        <f>'2018'!H180+'2019'!H180+'2020'!H180+'2021'!H180+'2022'!H159</f>
        <v>0</v>
      </c>
      <c r="I180" s="176">
        <f>'2018'!I180+'2019'!I180+'2020'!I180+'2021'!I180+'2022'!I159</f>
        <v>0</v>
      </c>
      <c r="J180" s="176">
        <f>'2018'!J180+'2019'!J180+'2020'!J180+'2021'!J180+'2022'!J159</f>
        <v>0</v>
      </c>
      <c r="K180" s="176">
        <f>'2018'!K180+'2019'!K180+'2020'!K180+'2021'!K180+'2022'!K159</f>
        <v>2</v>
      </c>
      <c r="L180" s="176">
        <f>'2018'!L180+'2019'!L180+'2020'!L180+'2021'!L180+'2022'!L159</f>
        <v>0</v>
      </c>
      <c r="M180" s="176">
        <f>'2018'!M180+'2019'!M180+'2020'!M180+'2021'!M180+'2022'!M159</f>
        <v>0</v>
      </c>
      <c r="N180" s="176">
        <f>'2018'!N180+'2019'!N180+'2020'!N180+'2021'!N180+'2022'!N159</f>
        <v>0</v>
      </c>
      <c r="O180" s="176">
        <f>'2018'!O180+'2019'!O180+'2020'!O180+'2021'!O180+'2022'!O159</f>
        <v>0</v>
      </c>
      <c r="P180" s="176">
        <f>'2018'!P180+'2019'!P180+'2020'!P180+'2021'!P180+'2022'!P159</f>
        <v>0</v>
      </c>
      <c r="Q180" s="176">
        <f>'2018'!Q180+'2019'!Q180+'2020'!Q180+'2021'!Q180+'2022'!Q159</f>
        <v>0</v>
      </c>
      <c r="R180" s="176">
        <f>'2018'!R180+'2019'!R180+'2020'!R180+'2021'!R180+'2022'!R159</f>
        <v>0</v>
      </c>
      <c r="S180" s="176">
        <f>'2018'!S180+'2019'!S180+'2020'!S180+'2021'!S180+'2022'!S159</f>
        <v>0</v>
      </c>
      <c r="T180" s="176">
        <f>'2018'!T180+'2019'!T180+'2020'!T180+'2021'!T180+'2022'!T159</f>
        <v>0</v>
      </c>
      <c r="U180" s="176">
        <f>'2018'!U180+'2019'!U180+'2020'!U180+'2021'!U180+'2022'!U159</f>
        <v>0</v>
      </c>
      <c r="V180" s="176">
        <f>'2018'!V180+'2019'!V180+'2020'!V180+'2021'!V180+'2022'!V159</f>
        <v>1</v>
      </c>
      <c r="W180" s="176">
        <f>'2018'!W180+'2019'!W180+'2020'!W180+'2021'!W180+'2022'!W159</f>
        <v>1</v>
      </c>
      <c r="X180" s="176">
        <f>'2018'!X180+'2019'!X180+'2020'!X180+'2021'!X180+'2022'!X159</f>
        <v>0</v>
      </c>
      <c r="Y180" s="174">
        <f t="shared" si="27"/>
        <v>4</v>
      </c>
      <c r="Z180" s="174">
        <f>'2018'!Z180+'2019'!Z180+'2020'!Z180+'2021'!Z180+'2022'!Z159</f>
        <v>0</v>
      </c>
      <c r="AA180" s="174">
        <f>'2018'!AA180+'2019'!AA180+'2020'!AA180+'2021'!AA180+'2022'!AA159</f>
        <v>0</v>
      </c>
      <c r="AB180" s="174">
        <f>'2018'!AB180+'2019'!AB180+'2020'!AB180+'2021'!AB180+'2022'!AB159</f>
        <v>0</v>
      </c>
      <c r="AC180" s="174">
        <f>'2018'!AC180+'2019'!AC180+'2020'!AC180+'2021'!AC180+'2022'!AC159</f>
        <v>0</v>
      </c>
      <c r="AD180" s="174">
        <f>'2018'!AD180+'2019'!AD180+'2020'!AD180+'2021'!AD180+'2022'!AD159</f>
        <v>0</v>
      </c>
      <c r="AE180" s="174">
        <f>'2018'!AE180+'2019'!AE180+'2020'!AE180+'2021'!AE180+'2022'!AE159</f>
        <v>0</v>
      </c>
      <c r="AF180" s="174">
        <f>'2018'!AF180+'2019'!AF180+'2020'!AF180+'2021'!AF180+'2022'!AF159</f>
        <v>0</v>
      </c>
      <c r="AG180" s="174">
        <f>'2018'!AG180+'2019'!AG180+'2020'!AG180+'2021'!AG180+'2022'!AG159</f>
        <v>0</v>
      </c>
      <c r="AH180" s="174">
        <f>'2018'!AH180+'2019'!AH180+'2020'!AH180+'2021'!AH180+'2022'!AH159</f>
        <v>0</v>
      </c>
      <c r="AI180" s="174">
        <f>'2018'!AI180+'2019'!AI180+'2020'!AI180+'2021'!AI180+'2022'!AI159</f>
        <v>0</v>
      </c>
      <c r="AJ180" s="174">
        <f>'2018'!AJ180+'2019'!AJ180+'2020'!AJ180+'2021'!AJ180+'2022'!AJ159</f>
        <v>0</v>
      </c>
      <c r="AK180" s="174">
        <f>'2018'!AK180+'2019'!AK180+'2020'!AK180+'2021'!AK180+'2022'!AK159</f>
        <v>0</v>
      </c>
      <c r="AL180" s="174">
        <f>'2018'!AL180+'2019'!AL180+'2020'!AL180+'2021'!AL180+'2022'!AL159</f>
        <v>0</v>
      </c>
      <c r="AM180" s="174">
        <f>'2018'!AM180+'2019'!AM180+'2020'!AM180+'2021'!AM180+'2022'!AM159</f>
        <v>0</v>
      </c>
      <c r="AN180" s="174">
        <f>'2018'!AN180+'2019'!AN180+'2020'!AN180+'2021'!AN180+'2022'!AN159</f>
        <v>0</v>
      </c>
      <c r="AO180" s="174">
        <f>'2018'!AO180+'2019'!AO180+'2020'!AO180+'2021'!AO180+'2022'!AO159</f>
        <v>0</v>
      </c>
      <c r="AP180" s="174">
        <f>'2018'!AP180+'2019'!AP180+'2020'!AP180+'2021'!AP180+'2022'!AP159</f>
        <v>0</v>
      </c>
      <c r="AQ180" s="174">
        <f>'2018'!AQ180+'2019'!AQ180+'2020'!AQ180+'2021'!AQ180+'2022'!AQ159</f>
        <v>0</v>
      </c>
      <c r="AR180" s="174">
        <f>'2018'!AR180+'2019'!AR180+'2020'!AR180+'2021'!AR180+'2022'!AR159</f>
        <v>0</v>
      </c>
      <c r="AS180" s="174">
        <f>'2018'!AS180+'2019'!AS180+'2020'!AS180+'2021'!AS180+'2022'!AS159</f>
        <v>0</v>
      </c>
      <c r="AT180" s="174">
        <f>'2018'!AT180+'2019'!AT180+'2020'!AT180+'2021'!AT180+'2022'!AT159</f>
        <v>0</v>
      </c>
      <c r="AU180" s="174">
        <f>'2018'!AU180+'2019'!AU180+'2020'!AU180+'2021'!AU180+'2022'!AU159</f>
        <v>0</v>
      </c>
      <c r="AV180" s="174">
        <f>'2018'!AV180+'2019'!AV180+'2020'!AV180+'2021'!AV180+'2022'!AV159</f>
        <v>0</v>
      </c>
      <c r="AW180" s="174">
        <f t="shared" si="22"/>
        <v>0</v>
      </c>
      <c r="AX180" s="156">
        <f t="shared" si="24"/>
        <v>0</v>
      </c>
      <c r="AY180" s="14">
        <f>'2018'!AX180+'2019'!AX180+'2020'!AX180+'2021'!AX180+'2022'!AX159</f>
        <v>0</v>
      </c>
      <c r="AZ180" s="14">
        <f t="shared" si="29"/>
        <v>0</v>
      </c>
      <c r="BA180" s="142"/>
      <c r="BB180" s="142"/>
      <c r="BC180" s="142"/>
    </row>
    <row r="181" spans="1:61" x14ac:dyDescent="0.25">
      <c r="A181" s="173" t="s">
        <v>45</v>
      </c>
      <c r="B181" s="176">
        <f t="shared" ref="B181:X181" si="30">SUM(B182:B194)</f>
        <v>632</v>
      </c>
      <c r="C181" s="176">
        <f t="shared" si="30"/>
        <v>399</v>
      </c>
      <c r="D181" s="176">
        <f t="shared" si="30"/>
        <v>2677</v>
      </c>
      <c r="E181" s="176">
        <f t="shared" si="30"/>
        <v>1887</v>
      </c>
      <c r="F181" s="176">
        <f t="shared" si="30"/>
        <v>0</v>
      </c>
      <c r="G181" s="176">
        <f t="shared" si="30"/>
        <v>0</v>
      </c>
      <c r="H181" s="176">
        <f t="shared" si="30"/>
        <v>41</v>
      </c>
      <c r="I181" s="176">
        <f t="shared" si="30"/>
        <v>0</v>
      </c>
      <c r="J181" s="176">
        <f t="shared" si="30"/>
        <v>0</v>
      </c>
      <c r="K181" s="176">
        <f t="shared" si="30"/>
        <v>2</v>
      </c>
      <c r="L181" s="176">
        <f t="shared" si="30"/>
        <v>17</v>
      </c>
      <c r="M181" s="176">
        <f t="shared" si="30"/>
        <v>1</v>
      </c>
      <c r="N181" s="176">
        <f t="shared" si="30"/>
        <v>0</v>
      </c>
      <c r="O181" s="176">
        <f t="shared" si="30"/>
        <v>2</v>
      </c>
      <c r="P181" s="176">
        <f t="shared" si="30"/>
        <v>20</v>
      </c>
      <c r="Q181" s="176">
        <f t="shared" si="30"/>
        <v>0</v>
      </c>
      <c r="R181" s="176">
        <f t="shared" si="30"/>
        <v>26</v>
      </c>
      <c r="S181" s="176">
        <f t="shared" si="30"/>
        <v>6</v>
      </c>
      <c r="T181" s="176">
        <f t="shared" si="30"/>
        <v>26</v>
      </c>
      <c r="U181" s="176">
        <f t="shared" si="30"/>
        <v>660</v>
      </c>
      <c r="V181" s="176">
        <f t="shared" si="30"/>
        <v>1470</v>
      </c>
      <c r="W181" s="176">
        <f t="shared" si="30"/>
        <v>20</v>
      </c>
      <c r="X181" s="176">
        <f t="shared" si="30"/>
        <v>386</v>
      </c>
      <c r="Y181" s="174">
        <f t="shared" si="27"/>
        <v>2677</v>
      </c>
      <c r="Z181" s="174">
        <f t="shared" ref="Z181:AV181" si="31">SUM(Z182:Z194)</f>
        <v>446</v>
      </c>
      <c r="AA181" s="174">
        <f t="shared" si="31"/>
        <v>297</v>
      </c>
      <c r="AB181" s="174">
        <f t="shared" si="31"/>
        <v>2110</v>
      </c>
      <c r="AC181" s="174">
        <f t="shared" si="31"/>
        <v>1694</v>
      </c>
      <c r="AD181" s="174">
        <f t="shared" si="31"/>
        <v>0</v>
      </c>
      <c r="AE181" s="174">
        <f t="shared" si="31"/>
        <v>0</v>
      </c>
      <c r="AF181" s="174">
        <f t="shared" si="31"/>
        <v>19</v>
      </c>
      <c r="AG181" s="174">
        <f t="shared" si="31"/>
        <v>0</v>
      </c>
      <c r="AH181" s="174">
        <f t="shared" si="31"/>
        <v>0</v>
      </c>
      <c r="AI181" s="174">
        <f t="shared" si="31"/>
        <v>2</v>
      </c>
      <c r="AJ181" s="174">
        <f t="shared" si="31"/>
        <v>6</v>
      </c>
      <c r="AK181" s="174">
        <f t="shared" si="31"/>
        <v>1</v>
      </c>
      <c r="AL181" s="174">
        <f t="shared" si="31"/>
        <v>0</v>
      </c>
      <c r="AM181" s="174">
        <f t="shared" si="31"/>
        <v>2</v>
      </c>
      <c r="AN181" s="174">
        <f t="shared" si="31"/>
        <v>2</v>
      </c>
      <c r="AO181" s="174">
        <f t="shared" si="31"/>
        <v>0</v>
      </c>
      <c r="AP181" s="174">
        <f t="shared" si="31"/>
        <v>30</v>
      </c>
      <c r="AQ181" s="174">
        <f t="shared" si="31"/>
        <v>1</v>
      </c>
      <c r="AR181" s="174">
        <f t="shared" si="31"/>
        <v>21</v>
      </c>
      <c r="AS181" s="174">
        <f t="shared" si="31"/>
        <v>598</v>
      </c>
      <c r="AT181" s="174">
        <f t="shared" si="31"/>
        <v>1212</v>
      </c>
      <c r="AU181" s="174">
        <f t="shared" si="31"/>
        <v>20</v>
      </c>
      <c r="AV181" s="174">
        <f t="shared" si="31"/>
        <v>196</v>
      </c>
      <c r="AW181" s="174">
        <f t="shared" si="22"/>
        <v>2110</v>
      </c>
      <c r="AX181" s="156">
        <v>1914.09</v>
      </c>
      <c r="AY181" s="63"/>
      <c r="AZ181" s="63"/>
      <c r="BA181" s="184">
        <f>Z181*100/B181</f>
        <v>70.569620253164558</v>
      </c>
      <c r="BB181" s="185">
        <f>B181-Z181</f>
        <v>186</v>
      </c>
      <c r="BC181" s="184">
        <f>BB181*100/B181</f>
        <v>29.430379746835442</v>
      </c>
    </row>
    <row r="182" spans="1:61" x14ac:dyDescent="0.25">
      <c r="A182" s="175" t="s">
        <v>259</v>
      </c>
      <c r="B182" s="176">
        <f>'2018'!B182+'2019'!B182+'2020'!B182+'2021'!B182+'2022'!B161</f>
        <v>355</v>
      </c>
      <c r="C182" s="176">
        <f>'2018'!C182+'2019'!C182+'2020'!C182+'2021'!C182+'2022'!C161</f>
        <v>235</v>
      </c>
      <c r="D182" s="176">
        <f>'2018'!D182+'2019'!D182+'2020'!D182+'2021'!D182+'2022'!D161</f>
        <v>1809</v>
      </c>
      <c r="E182" s="176">
        <f>'2018'!E182+'2019'!E182+'2020'!E182+'2021'!E182+'2022'!E161</f>
        <v>1380</v>
      </c>
      <c r="F182" s="176">
        <f>'2018'!F182+'2019'!F182+'2020'!F182+'2021'!F182+'2022'!F161</f>
        <v>0</v>
      </c>
      <c r="G182" s="176">
        <f>'2018'!G182+'2019'!G182+'2020'!G182+'2021'!G182+'2022'!G161</f>
        <v>0</v>
      </c>
      <c r="H182" s="176">
        <f>'2018'!H182+'2019'!H182+'2020'!H182+'2021'!H182+'2022'!H161</f>
        <v>10</v>
      </c>
      <c r="I182" s="176">
        <f>'2018'!I182+'2019'!I182+'2020'!I182+'2021'!I182+'2022'!I161</f>
        <v>0</v>
      </c>
      <c r="J182" s="176">
        <f>'2018'!J182+'2019'!J182+'2020'!J182+'2021'!J182+'2022'!J161</f>
        <v>0</v>
      </c>
      <c r="K182" s="176">
        <f>'2018'!K182+'2019'!K182+'2020'!K182+'2021'!K182+'2022'!K161</f>
        <v>0</v>
      </c>
      <c r="L182" s="176">
        <f>'2018'!L182+'2019'!L182+'2020'!L182+'2021'!L182+'2022'!L161</f>
        <v>1</v>
      </c>
      <c r="M182" s="176">
        <f>'2018'!M182+'2019'!M182+'2020'!M182+'2021'!M182+'2022'!M161</f>
        <v>0</v>
      </c>
      <c r="N182" s="176">
        <f>'2018'!N182+'2019'!N182+'2020'!N182+'2021'!N182+'2022'!N161</f>
        <v>0</v>
      </c>
      <c r="O182" s="176">
        <f>'2018'!O182+'2019'!O182+'2020'!O182+'2021'!O182+'2022'!O161</f>
        <v>2</v>
      </c>
      <c r="P182" s="176">
        <f>'2018'!P182+'2019'!P182+'2020'!P182+'2021'!P182+'2022'!P161</f>
        <v>18</v>
      </c>
      <c r="Q182" s="176">
        <f>'2018'!Q182+'2019'!Q182+'2020'!Q182+'2021'!Q182+'2022'!Q161</f>
        <v>0</v>
      </c>
      <c r="R182" s="176">
        <f>'2018'!R182+'2019'!R182+'2020'!R182+'2021'!R182+'2022'!R161</f>
        <v>19</v>
      </c>
      <c r="S182" s="176">
        <f>'2018'!S182+'2019'!S182+'2020'!S182+'2021'!S182+'2022'!S161</f>
        <v>1</v>
      </c>
      <c r="T182" s="176">
        <f>'2018'!T182+'2019'!T182+'2020'!T182+'2021'!T182+'2022'!T161</f>
        <v>3</v>
      </c>
      <c r="U182" s="176">
        <f>'2018'!U182+'2019'!U182+'2020'!U182+'2021'!U182+'2022'!U161</f>
        <v>354</v>
      </c>
      <c r="V182" s="176">
        <f>'2018'!V182+'2019'!V182+'2020'!V182+'2021'!V182+'2022'!V161</f>
        <v>1164</v>
      </c>
      <c r="W182" s="176">
        <f>'2018'!W182+'2019'!W182+'2020'!W182+'2021'!W182+'2022'!W161</f>
        <v>0</v>
      </c>
      <c r="X182" s="176">
        <f>'2018'!X182+'2019'!X182+'2020'!X182+'2021'!X182+'2022'!X161</f>
        <v>237</v>
      </c>
      <c r="Y182" s="174">
        <f t="shared" si="27"/>
        <v>1809</v>
      </c>
      <c r="Z182" s="174">
        <f>'2018'!Z182+'2019'!Z182+'2020'!Z182+'2021'!Z182+'2022'!Z161</f>
        <v>245</v>
      </c>
      <c r="AA182" s="174">
        <f>'2018'!AA182+'2019'!AA182+'2020'!AA182+'2021'!AA182+'2022'!AA161</f>
        <v>174</v>
      </c>
      <c r="AB182" s="174">
        <f>'2018'!AB182+'2019'!AB182+'2020'!AB182+'2021'!AB182+'2022'!AB161</f>
        <v>1504</v>
      </c>
      <c r="AC182" s="174">
        <f>'2018'!AC182+'2019'!AC182+'2020'!AC182+'2021'!AC182+'2022'!AC161</f>
        <v>1278</v>
      </c>
      <c r="AD182" s="174">
        <f>'2018'!AD182+'2019'!AD182+'2020'!AD182+'2021'!AD182+'2022'!AD161</f>
        <v>0</v>
      </c>
      <c r="AE182" s="174">
        <f>'2018'!AE182+'2019'!AE182+'2020'!AE182+'2021'!AE182+'2022'!AE161</f>
        <v>0</v>
      </c>
      <c r="AF182" s="174">
        <f>'2018'!AF182+'2019'!AF182+'2020'!AF182+'2021'!AF182+'2022'!AF161</f>
        <v>6</v>
      </c>
      <c r="AG182" s="174">
        <f>'2018'!AG182+'2019'!AG182+'2020'!AG182+'2021'!AG182+'2022'!AG161</f>
        <v>0</v>
      </c>
      <c r="AH182" s="174">
        <f>'2018'!AH182+'2019'!AH182+'2020'!AH182+'2021'!AH182+'2022'!AH161</f>
        <v>0</v>
      </c>
      <c r="AI182" s="174">
        <f>'2018'!AI182+'2019'!AI182+'2020'!AI182+'2021'!AI182+'2022'!AI161</f>
        <v>0</v>
      </c>
      <c r="AJ182" s="174">
        <f>'2018'!AJ182+'2019'!AJ182+'2020'!AJ182+'2021'!AJ182+'2022'!AJ161</f>
        <v>1</v>
      </c>
      <c r="AK182" s="174">
        <f>'2018'!AK182+'2019'!AK182+'2020'!AK182+'2021'!AK182+'2022'!AK161</f>
        <v>0</v>
      </c>
      <c r="AL182" s="174">
        <f>'2018'!AL182+'2019'!AL182+'2020'!AL182+'2021'!AL182+'2022'!AL161</f>
        <v>0</v>
      </c>
      <c r="AM182" s="174">
        <f>'2018'!AM182+'2019'!AM182+'2020'!AM182+'2021'!AM182+'2022'!AM161</f>
        <v>2</v>
      </c>
      <c r="AN182" s="174">
        <f>'2018'!AN182+'2019'!AN182+'2020'!AN182+'2021'!AN182+'2022'!AN161</f>
        <v>0</v>
      </c>
      <c r="AO182" s="174">
        <f>'2018'!AO182+'2019'!AO182+'2020'!AO182+'2021'!AO182+'2022'!AO161</f>
        <v>0</v>
      </c>
      <c r="AP182" s="174">
        <f>'2018'!AP182+'2019'!AP182+'2020'!AP182+'2021'!AP182+'2022'!AP161</f>
        <v>28</v>
      </c>
      <c r="AQ182" s="174">
        <f>'2018'!AQ182+'2019'!AQ182+'2020'!AQ182+'2021'!AQ182+'2022'!AQ161</f>
        <v>1</v>
      </c>
      <c r="AR182" s="174">
        <f>'2018'!AR182+'2019'!AR182+'2020'!AR182+'2021'!AR182+'2022'!AR161</f>
        <v>0</v>
      </c>
      <c r="AS182" s="174">
        <f>'2018'!AS182+'2019'!AS182+'2020'!AS182+'2021'!AS182+'2022'!AS161</f>
        <v>374</v>
      </c>
      <c r="AT182" s="174">
        <f>'2018'!AT182+'2019'!AT182+'2020'!AT182+'2021'!AT182+'2022'!AT161</f>
        <v>964</v>
      </c>
      <c r="AU182" s="174">
        <f>'2018'!AU182+'2019'!AU182+'2020'!AU182+'2021'!AU182+'2022'!AU161</f>
        <v>0</v>
      </c>
      <c r="AV182" s="174">
        <f>'2018'!AV182+'2019'!AV182+'2020'!AV182+'2021'!AV182+'2022'!AV161</f>
        <v>128</v>
      </c>
      <c r="AW182" s="174">
        <f t="shared" si="22"/>
        <v>1504</v>
      </c>
      <c r="AX182" s="156">
        <f t="shared" si="24"/>
        <v>2113.1196827697268</v>
      </c>
      <c r="AY182" s="14">
        <f>'2018'!AX182+'2019'!AX182+'2020'!AX182+'2021'!AX182+'2022'!AX161</f>
        <v>10565.598413848633</v>
      </c>
      <c r="AZ182" s="14">
        <f t="shared" si="29"/>
        <v>83.139856274184638</v>
      </c>
      <c r="BA182" s="142"/>
      <c r="BB182" s="144"/>
      <c r="BC182" s="142"/>
    </row>
    <row r="183" spans="1:61" x14ac:dyDescent="0.25">
      <c r="A183" s="175" t="s">
        <v>260</v>
      </c>
      <c r="B183" s="176">
        <f>'2018'!B183+'2019'!B183+'2020'!B183+'2021'!B183+'2022'!B162</f>
        <v>101</v>
      </c>
      <c r="C183" s="176">
        <f>'2018'!C183+'2019'!C183+'2020'!C183+'2021'!C183+'2022'!C162</f>
        <v>43</v>
      </c>
      <c r="D183" s="176">
        <f>'2018'!D183+'2019'!D183+'2020'!D183+'2021'!D183+'2022'!D162</f>
        <v>356</v>
      </c>
      <c r="E183" s="176">
        <f>'2018'!E183+'2019'!E183+'2020'!E183+'2021'!E183+'2022'!E162</f>
        <v>196</v>
      </c>
      <c r="F183" s="176">
        <f>'2018'!F183+'2019'!F183+'2020'!F183+'2021'!F183+'2022'!F162</f>
        <v>0</v>
      </c>
      <c r="G183" s="176">
        <f>'2018'!G183+'2019'!G183+'2020'!G183+'2021'!G183+'2022'!G162</f>
        <v>0</v>
      </c>
      <c r="H183" s="176">
        <f>'2018'!H183+'2019'!H183+'2020'!H183+'2021'!H183+'2022'!H162</f>
        <v>14</v>
      </c>
      <c r="I183" s="176">
        <f>'2018'!I183+'2019'!I183+'2020'!I183+'2021'!I183+'2022'!I162</f>
        <v>0</v>
      </c>
      <c r="J183" s="176">
        <f>'2018'!J183+'2019'!J183+'2020'!J183+'2021'!J183+'2022'!J162</f>
        <v>0</v>
      </c>
      <c r="K183" s="176">
        <f>'2018'!K183+'2019'!K183+'2020'!K183+'2021'!K183+'2022'!K162</f>
        <v>2</v>
      </c>
      <c r="L183" s="176">
        <f>'2018'!L183+'2019'!L183+'2020'!L183+'2021'!L183+'2022'!L162</f>
        <v>2</v>
      </c>
      <c r="M183" s="176">
        <f>'2018'!M183+'2019'!M183+'2020'!M183+'2021'!M183+'2022'!M162</f>
        <v>0</v>
      </c>
      <c r="N183" s="176">
        <f>'2018'!N183+'2019'!N183+'2020'!N183+'2021'!N183+'2022'!N162</f>
        <v>0</v>
      </c>
      <c r="O183" s="176">
        <f>'2018'!O183+'2019'!O183+'2020'!O183+'2021'!O183+'2022'!O162</f>
        <v>0</v>
      </c>
      <c r="P183" s="176">
        <f>'2018'!P183+'2019'!P183+'2020'!P183+'2021'!P183+'2022'!P162</f>
        <v>0</v>
      </c>
      <c r="Q183" s="176">
        <f>'2018'!Q183+'2019'!Q183+'2020'!Q183+'2021'!Q183+'2022'!Q162</f>
        <v>0</v>
      </c>
      <c r="R183" s="176">
        <f>'2018'!R183+'2019'!R183+'2020'!R183+'2021'!R183+'2022'!R162</f>
        <v>6</v>
      </c>
      <c r="S183" s="176">
        <f>'2018'!S183+'2019'!S183+'2020'!S183+'2021'!S183+'2022'!S162</f>
        <v>0</v>
      </c>
      <c r="T183" s="176">
        <f>'2018'!T183+'2019'!T183+'2020'!T183+'2021'!T183+'2022'!T162</f>
        <v>0</v>
      </c>
      <c r="U183" s="176">
        <f>'2018'!U183+'2019'!U183+'2020'!U183+'2021'!U183+'2022'!U162</f>
        <v>134</v>
      </c>
      <c r="V183" s="176">
        <f>'2018'!V183+'2019'!V183+'2020'!V183+'2021'!V183+'2022'!V162</f>
        <v>143</v>
      </c>
      <c r="W183" s="176">
        <f>'2018'!W183+'2019'!W183+'2020'!W183+'2021'!W183+'2022'!W162</f>
        <v>10</v>
      </c>
      <c r="X183" s="176">
        <f>'2018'!X183+'2019'!X183+'2020'!X183+'2021'!X183+'2022'!X162</f>
        <v>45</v>
      </c>
      <c r="Y183" s="174">
        <f t="shared" si="27"/>
        <v>356</v>
      </c>
      <c r="Z183" s="174">
        <f>'2018'!Z183+'2019'!Z183+'2020'!Z183+'2021'!Z183+'2022'!Z162</f>
        <v>78</v>
      </c>
      <c r="AA183" s="174">
        <f>'2018'!AA183+'2019'!AA183+'2020'!AA183+'2021'!AA183+'2022'!AA162</f>
        <v>38</v>
      </c>
      <c r="AB183" s="174">
        <f>'2018'!AB183+'2019'!AB183+'2020'!AB183+'2021'!AB183+'2022'!AB162</f>
        <v>247</v>
      </c>
      <c r="AC183" s="174">
        <f>'2018'!AC183+'2019'!AC183+'2020'!AC183+'2021'!AC183+'2022'!AC162</f>
        <v>167</v>
      </c>
      <c r="AD183" s="174">
        <f>'2018'!AD183+'2019'!AD183+'2020'!AD183+'2021'!AD183+'2022'!AD162</f>
        <v>0</v>
      </c>
      <c r="AE183" s="174">
        <f>'2018'!AE183+'2019'!AE183+'2020'!AE183+'2021'!AE183+'2022'!AE162</f>
        <v>0</v>
      </c>
      <c r="AF183" s="174">
        <f>'2018'!AF183+'2019'!AF183+'2020'!AF183+'2021'!AF183+'2022'!AF162</f>
        <v>3</v>
      </c>
      <c r="AG183" s="174">
        <f>'2018'!AG183+'2019'!AG183+'2020'!AG183+'2021'!AG183+'2022'!AG162</f>
        <v>0</v>
      </c>
      <c r="AH183" s="174">
        <f>'2018'!AH183+'2019'!AH183+'2020'!AH183+'2021'!AH183+'2022'!AH162</f>
        <v>0</v>
      </c>
      <c r="AI183" s="174">
        <f>'2018'!AI183+'2019'!AI183+'2020'!AI183+'2021'!AI183+'2022'!AI162</f>
        <v>2</v>
      </c>
      <c r="AJ183" s="174">
        <f>'2018'!AJ183+'2019'!AJ183+'2020'!AJ183+'2021'!AJ183+'2022'!AJ162</f>
        <v>2</v>
      </c>
      <c r="AK183" s="174">
        <f>'2018'!AK183+'2019'!AK183+'2020'!AK183+'2021'!AK183+'2022'!AK162</f>
        <v>0</v>
      </c>
      <c r="AL183" s="174">
        <f>'2018'!AL183+'2019'!AL183+'2020'!AL183+'2021'!AL183+'2022'!AL162</f>
        <v>0</v>
      </c>
      <c r="AM183" s="174">
        <f>'2018'!AM183+'2019'!AM183+'2020'!AM183+'2021'!AM183+'2022'!AM162</f>
        <v>0</v>
      </c>
      <c r="AN183" s="174">
        <f>'2018'!AN183+'2019'!AN183+'2020'!AN183+'2021'!AN183+'2022'!AN162</f>
        <v>0</v>
      </c>
      <c r="AO183" s="174">
        <f>'2018'!AO183+'2019'!AO183+'2020'!AO183+'2021'!AO183+'2022'!AO162</f>
        <v>0</v>
      </c>
      <c r="AP183" s="174">
        <f>'2018'!AP183+'2019'!AP183+'2020'!AP183+'2021'!AP183+'2022'!AP162</f>
        <v>2</v>
      </c>
      <c r="AQ183" s="174">
        <f>'2018'!AQ183+'2019'!AQ183+'2020'!AQ183+'2021'!AQ183+'2022'!AQ162</f>
        <v>0</v>
      </c>
      <c r="AR183" s="174">
        <f>'2018'!AR183+'2019'!AR183+'2020'!AR183+'2021'!AR183+'2022'!AR162</f>
        <v>0</v>
      </c>
      <c r="AS183" s="174">
        <f>'2018'!AS183+'2019'!AS183+'2020'!AS183+'2021'!AS183+'2022'!AS162</f>
        <v>93</v>
      </c>
      <c r="AT183" s="174">
        <f>'2018'!AT183+'2019'!AT183+'2020'!AT183+'2021'!AT183+'2022'!AT162</f>
        <v>114</v>
      </c>
      <c r="AU183" s="174">
        <f>'2018'!AU183+'2019'!AU183+'2020'!AU183+'2021'!AU183+'2022'!AU162</f>
        <v>10</v>
      </c>
      <c r="AV183" s="174">
        <f>'2018'!AV183+'2019'!AV183+'2020'!AV183+'2021'!AV183+'2022'!AV162</f>
        <v>21</v>
      </c>
      <c r="AW183" s="174">
        <f t="shared" si="22"/>
        <v>247</v>
      </c>
      <c r="AX183" s="156">
        <f t="shared" si="24"/>
        <v>2392.6990222222221</v>
      </c>
      <c r="AY183" s="14">
        <f>'2018'!AX183+'2019'!AX183+'2020'!AX183+'2021'!AX183+'2022'!AX162</f>
        <v>11963.495111111111</v>
      </c>
      <c r="AZ183" s="14">
        <f t="shared" si="29"/>
        <v>69.382022471910119</v>
      </c>
      <c r="BA183" s="142"/>
      <c r="BB183" s="144"/>
      <c r="BC183" s="142"/>
    </row>
    <row r="184" spans="1:61" x14ac:dyDescent="0.25">
      <c r="A184" s="175" t="s">
        <v>261</v>
      </c>
      <c r="B184" s="176">
        <f>'2018'!B184+'2019'!B184+'2020'!B184+'2021'!B184+'2022'!B163</f>
        <v>32</v>
      </c>
      <c r="C184" s="176">
        <f>'2018'!C184+'2019'!C184+'2020'!C184+'2021'!C184+'2022'!C163</f>
        <v>24</v>
      </c>
      <c r="D184" s="176">
        <f>'2018'!D184+'2019'!D184+'2020'!D184+'2021'!D184+'2022'!D163</f>
        <v>62</v>
      </c>
      <c r="E184" s="176">
        <f>'2018'!E184+'2019'!E184+'2020'!E184+'2021'!E184+'2022'!E163</f>
        <v>31</v>
      </c>
      <c r="F184" s="176">
        <f>'2018'!F184+'2019'!F184+'2020'!F184+'2021'!F184+'2022'!F163</f>
        <v>0</v>
      </c>
      <c r="G184" s="176">
        <f>'2018'!G184+'2019'!G184+'2020'!G184+'2021'!G184+'2022'!G163</f>
        <v>0</v>
      </c>
      <c r="H184" s="176">
        <f>'2018'!H184+'2019'!H184+'2020'!H184+'2021'!H184+'2022'!H163</f>
        <v>6</v>
      </c>
      <c r="I184" s="176">
        <f>'2018'!I184+'2019'!I184+'2020'!I184+'2021'!I184+'2022'!I163</f>
        <v>0</v>
      </c>
      <c r="J184" s="176">
        <f>'2018'!J184+'2019'!J184+'2020'!J184+'2021'!J184+'2022'!J163</f>
        <v>0</v>
      </c>
      <c r="K184" s="176">
        <f>'2018'!K184+'2019'!K184+'2020'!K184+'2021'!K184+'2022'!K163</f>
        <v>0</v>
      </c>
      <c r="L184" s="176">
        <f>'2018'!L184+'2019'!L184+'2020'!L184+'2021'!L184+'2022'!L163</f>
        <v>0</v>
      </c>
      <c r="M184" s="176">
        <f>'2018'!M184+'2019'!M184+'2020'!M184+'2021'!M184+'2022'!M163</f>
        <v>0</v>
      </c>
      <c r="N184" s="176">
        <f>'2018'!N184+'2019'!N184+'2020'!N184+'2021'!N184+'2022'!N163</f>
        <v>0</v>
      </c>
      <c r="O184" s="176">
        <f>'2018'!O184+'2019'!O184+'2020'!O184+'2021'!O184+'2022'!O163</f>
        <v>0</v>
      </c>
      <c r="P184" s="176">
        <f>'2018'!P184+'2019'!P184+'2020'!P184+'2021'!P184+'2022'!P163</f>
        <v>0</v>
      </c>
      <c r="Q184" s="176">
        <f>'2018'!Q184+'2019'!Q184+'2020'!Q184+'2021'!Q184+'2022'!Q163</f>
        <v>0</v>
      </c>
      <c r="R184" s="176">
        <f>'2018'!R184+'2019'!R184+'2020'!R184+'2021'!R184+'2022'!R163</f>
        <v>0</v>
      </c>
      <c r="S184" s="176">
        <f>'2018'!S184+'2019'!S184+'2020'!S184+'2021'!S184+'2022'!S163</f>
        <v>0</v>
      </c>
      <c r="T184" s="176">
        <f>'2018'!T184+'2019'!T184+'2020'!T184+'2021'!T184+'2022'!T163</f>
        <v>1</v>
      </c>
      <c r="U184" s="176">
        <f>'2018'!U184+'2019'!U184+'2020'!U184+'2021'!U184+'2022'!U163</f>
        <v>30</v>
      </c>
      <c r="V184" s="176">
        <f>'2018'!V184+'2019'!V184+'2020'!V184+'2021'!V184+'2022'!V163</f>
        <v>4</v>
      </c>
      <c r="W184" s="176">
        <f>'2018'!W184+'2019'!W184+'2020'!W184+'2021'!W184+'2022'!W163</f>
        <v>0</v>
      </c>
      <c r="X184" s="176">
        <f>'2018'!X184+'2019'!X184+'2020'!X184+'2021'!X184+'2022'!X163</f>
        <v>21</v>
      </c>
      <c r="Y184" s="174">
        <f t="shared" si="27"/>
        <v>62</v>
      </c>
      <c r="Z184" s="174">
        <f>'2018'!Z184+'2019'!Z184+'2020'!Z184+'2021'!Z184+'2022'!Z163</f>
        <v>24</v>
      </c>
      <c r="AA184" s="174">
        <f>'2018'!AA184+'2019'!AA184+'2020'!AA184+'2021'!AA184+'2022'!AA163</f>
        <v>18</v>
      </c>
      <c r="AB184" s="174">
        <f>'2018'!AB184+'2019'!AB184+'2020'!AB184+'2021'!AB184+'2022'!AB163</f>
        <v>34</v>
      </c>
      <c r="AC184" s="174">
        <f>'2018'!AC184+'2019'!AC184+'2020'!AC184+'2021'!AC184+'2022'!AC163</f>
        <v>23</v>
      </c>
      <c r="AD184" s="174">
        <f>'2018'!AD184+'2019'!AD184+'2020'!AD184+'2021'!AD184+'2022'!AD163</f>
        <v>0</v>
      </c>
      <c r="AE184" s="174">
        <f>'2018'!AE184+'2019'!AE184+'2020'!AE184+'2021'!AE184+'2022'!AE163</f>
        <v>0</v>
      </c>
      <c r="AF184" s="174">
        <f>'2018'!AF184+'2019'!AF184+'2020'!AF184+'2021'!AF184+'2022'!AF163</f>
        <v>6</v>
      </c>
      <c r="AG184" s="174">
        <f>'2018'!AG184+'2019'!AG184+'2020'!AG184+'2021'!AG184+'2022'!AG163</f>
        <v>0</v>
      </c>
      <c r="AH184" s="174">
        <f>'2018'!AH184+'2019'!AH184+'2020'!AH184+'2021'!AH184+'2022'!AH163</f>
        <v>0</v>
      </c>
      <c r="AI184" s="174">
        <f>'2018'!AI184+'2019'!AI184+'2020'!AI184+'2021'!AI184+'2022'!AI163</f>
        <v>0</v>
      </c>
      <c r="AJ184" s="174">
        <f>'2018'!AJ184+'2019'!AJ184+'2020'!AJ184+'2021'!AJ184+'2022'!AJ163</f>
        <v>0</v>
      </c>
      <c r="AK184" s="174">
        <f>'2018'!AK184+'2019'!AK184+'2020'!AK184+'2021'!AK184+'2022'!AK163</f>
        <v>0</v>
      </c>
      <c r="AL184" s="174">
        <f>'2018'!AL184+'2019'!AL184+'2020'!AL184+'2021'!AL184+'2022'!AL163</f>
        <v>0</v>
      </c>
      <c r="AM184" s="174">
        <f>'2018'!AM184+'2019'!AM184+'2020'!AM184+'2021'!AM184+'2022'!AM163</f>
        <v>0</v>
      </c>
      <c r="AN184" s="174">
        <f>'2018'!AN184+'2019'!AN184+'2020'!AN184+'2021'!AN184+'2022'!AN163</f>
        <v>0</v>
      </c>
      <c r="AO184" s="174">
        <f>'2018'!AO184+'2019'!AO184+'2020'!AO184+'2021'!AO184+'2022'!AO163</f>
        <v>0</v>
      </c>
      <c r="AP184" s="174">
        <f>'2018'!AP184+'2019'!AP184+'2020'!AP184+'2021'!AP184+'2022'!AP163</f>
        <v>0</v>
      </c>
      <c r="AQ184" s="174">
        <f>'2018'!AQ184+'2019'!AQ184+'2020'!AQ184+'2021'!AQ184+'2022'!AQ163</f>
        <v>0</v>
      </c>
      <c r="AR184" s="174">
        <f>'2018'!AR184+'2019'!AR184+'2020'!AR184+'2021'!AR184+'2022'!AR163</f>
        <v>1</v>
      </c>
      <c r="AS184" s="174">
        <f>'2018'!AS184+'2019'!AS184+'2020'!AS184+'2021'!AS184+'2022'!AS163</f>
        <v>23</v>
      </c>
      <c r="AT184" s="174">
        <f>'2018'!AT184+'2019'!AT184+'2020'!AT184+'2021'!AT184+'2022'!AT163</f>
        <v>3</v>
      </c>
      <c r="AU184" s="174">
        <f>'2018'!AU184+'2019'!AU184+'2020'!AU184+'2021'!AU184+'2022'!AU163</f>
        <v>0</v>
      </c>
      <c r="AV184" s="174">
        <f>'2018'!AV184+'2019'!AV184+'2020'!AV184+'2021'!AV184+'2022'!AV163</f>
        <v>1</v>
      </c>
      <c r="AW184" s="174">
        <f t="shared" si="22"/>
        <v>34</v>
      </c>
      <c r="AX184" s="156">
        <f t="shared" si="24"/>
        <v>1300.9199999999998</v>
      </c>
      <c r="AY184" s="14">
        <f>'2018'!AX184+'2019'!AX184+'2020'!AX184+'2021'!AX184+'2022'!AX163</f>
        <v>6504.5999999999995</v>
      </c>
      <c r="AZ184" s="14">
        <f t="shared" si="29"/>
        <v>54.838709677419352</v>
      </c>
      <c r="BA184" s="142"/>
      <c r="BB184" s="144"/>
      <c r="BC184" s="142"/>
    </row>
    <row r="185" spans="1:61" x14ac:dyDescent="0.25">
      <c r="A185" s="175" t="s">
        <v>262</v>
      </c>
      <c r="B185" s="176">
        <f>'2018'!B185+'2019'!B185+'2020'!B185+'2021'!B185+'2022'!B101</f>
        <v>11</v>
      </c>
      <c r="C185" s="176">
        <f>'2018'!C185+'2019'!C185+'2020'!C185+'2021'!C185+'2022'!C101</f>
        <v>9</v>
      </c>
      <c r="D185" s="176">
        <f>'2018'!D185+'2019'!D185+'2020'!D185+'2021'!D185+'2022'!D101</f>
        <v>42</v>
      </c>
      <c r="E185" s="176">
        <f>'2018'!E185+'2019'!E185+'2020'!E185+'2021'!E185+'2022'!E101</f>
        <v>35</v>
      </c>
      <c r="F185" s="176">
        <f>'2018'!F185+'2019'!F185+'2020'!F185+'2021'!F185+'2022'!F101</f>
        <v>0</v>
      </c>
      <c r="G185" s="176">
        <f>'2018'!G185+'2019'!G185+'2020'!G185+'2021'!G185+'2022'!G101</f>
        <v>0</v>
      </c>
      <c r="H185" s="176">
        <f>'2018'!H185+'2019'!H185+'2020'!H185+'2021'!H185+'2022'!H101</f>
        <v>0</v>
      </c>
      <c r="I185" s="176">
        <f>'2018'!I185+'2019'!I185+'2020'!I185+'2021'!I185+'2022'!I101</f>
        <v>0</v>
      </c>
      <c r="J185" s="176">
        <f>'2018'!J185+'2019'!J185+'2020'!J185+'2021'!J185+'2022'!J101</f>
        <v>0</v>
      </c>
      <c r="K185" s="176">
        <f>'2018'!K185+'2019'!K185+'2020'!K185+'2021'!K185+'2022'!K101</f>
        <v>0</v>
      </c>
      <c r="L185" s="176">
        <f>'2018'!L185+'2019'!L185+'2020'!L185+'2021'!L185+'2022'!L101</f>
        <v>0</v>
      </c>
      <c r="M185" s="176">
        <f>'2018'!M185+'2019'!M185+'2020'!M185+'2021'!M185+'2022'!M101</f>
        <v>0</v>
      </c>
      <c r="N185" s="176">
        <f>'2018'!N185+'2019'!N185+'2020'!N185+'2021'!N185+'2022'!N101</f>
        <v>0</v>
      </c>
      <c r="O185" s="176">
        <f>'2018'!O185+'2019'!O185+'2020'!O185+'2021'!O185+'2022'!O101</f>
        <v>0</v>
      </c>
      <c r="P185" s="176">
        <f>'2018'!P185+'2019'!P185+'2020'!P185+'2021'!P185+'2022'!P101</f>
        <v>0</v>
      </c>
      <c r="Q185" s="176">
        <f>'2018'!Q185+'2019'!Q185+'2020'!Q185+'2021'!Q185+'2022'!Q101</f>
        <v>0</v>
      </c>
      <c r="R185" s="176">
        <f>'2018'!R185+'2019'!R185+'2020'!R185+'2021'!R185+'2022'!R101</f>
        <v>0</v>
      </c>
      <c r="S185" s="176">
        <f>'2018'!S185+'2019'!S185+'2020'!S185+'2021'!S185+'2022'!S101</f>
        <v>0</v>
      </c>
      <c r="T185" s="176">
        <f>'2018'!T185+'2019'!T185+'2020'!T185+'2021'!T185+'2022'!T101</f>
        <v>22</v>
      </c>
      <c r="U185" s="176">
        <f>'2018'!U185+'2019'!U185+'2020'!U185+'2021'!U185+'2022'!U101</f>
        <v>3</v>
      </c>
      <c r="V185" s="176">
        <f>'2018'!V185+'2019'!V185+'2020'!V185+'2021'!V185+'2022'!V101</f>
        <v>13</v>
      </c>
      <c r="W185" s="176">
        <f>'2018'!W185+'2019'!W185+'2020'!W185+'2021'!W185+'2022'!W101</f>
        <v>0</v>
      </c>
      <c r="X185" s="176">
        <f>'2018'!X185+'2019'!X185+'2020'!X185+'2021'!X185+'2022'!X101</f>
        <v>4</v>
      </c>
      <c r="Y185" s="174">
        <f t="shared" si="27"/>
        <v>42</v>
      </c>
      <c r="Z185" s="174">
        <f>'2018'!Z185+'2019'!Z185+'2020'!Z185+'2021'!Z185+'2022'!Z101</f>
        <v>9</v>
      </c>
      <c r="AA185" s="174">
        <f>'2018'!AA185+'2019'!AA185+'2020'!AA185+'2021'!AA185+'2022'!AA101</f>
        <v>7</v>
      </c>
      <c r="AB185" s="174">
        <f>'2018'!AB185+'2019'!AB185+'2020'!AB185+'2021'!AB185+'2022'!AB101</f>
        <v>36</v>
      </c>
      <c r="AC185" s="174">
        <f>'2018'!AC185+'2019'!AC185+'2020'!AC185+'2021'!AC185+'2022'!AC101</f>
        <v>29</v>
      </c>
      <c r="AD185" s="174">
        <f>'2018'!AD185+'2019'!AD185+'2020'!AD185+'2021'!AD185+'2022'!AD101</f>
        <v>0</v>
      </c>
      <c r="AE185" s="174">
        <f>'2018'!AE185+'2019'!AE185+'2020'!AE185+'2021'!AE185+'2022'!AE101</f>
        <v>0</v>
      </c>
      <c r="AF185" s="174">
        <f>'2018'!AF185+'2019'!AF185+'2020'!AF185+'2021'!AF185+'2022'!AF101</f>
        <v>0</v>
      </c>
      <c r="AG185" s="174">
        <f>'2018'!AG185+'2019'!AG185+'2020'!AG185+'2021'!AG185+'2022'!AG101</f>
        <v>0</v>
      </c>
      <c r="AH185" s="174">
        <f>'2018'!AH185+'2019'!AH185+'2020'!AH185+'2021'!AH185+'2022'!AH101</f>
        <v>0</v>
      </c>
      <c r="AI185" s="174">
        <f>'2018'!AI185+'2019'!AI185+'2020'!AI185+'2021'!AI185+'2022'!AI101</f>
        <v>0</v>
      </c>
      <c r="AJ185" s="174">
        <f>'2018'!AJ185+'2019'!AJ185+'2020'!AJ185+'2021'!AJ185+'2022'!AJ101</f>
        <v>0</v>
      </c>
      <c r="AK185" s="174">
        <f>'2018'!AK185+'2019'!AK185+'2020'!AK185+'2021'!AK185+'2022'!AK101</f>
        <v>0</v>
      </c>
      <c r="AL185" s="174">
        <f>'2018'!AL185+'2019'!AL185+'2020'!AL185+'2021'!AL185+'2022'!AL101</f>
        <v>0</v>
      </c>
      <c r="AM185" s="174">
        <f>'2018'!AM185+'2019'!AM185+'2020'!AM185+'2021'!AM185+'2022'!AM101</f>
        <v>0</v>
      </c>
      <c r="AN185" s="174">
        <f>'2018'!AN185+'2019'!AN185+'2020'!AN185+'2021'!AN185+'2022'!AN101</f>
        <v>0</v>
      </c>
      <c r="AO185" s="174">
        <f>'2018'!AO185+'2019'!AO185+'2020'!AO185+'2021'!AO185+'2022'!AO101</f>
        <v>0</v>
      </c>
      <c r="AP185" s="174">
        <f>'2018'!AP185+'2019'!AP185+'2020'!AP185+'2021'!AP185+'2022'!AP101</f>
        <v>0</v>
      </c>
      <c r="AQ185" s="174">
        <f>'2018'!AQ185+'2019'!AQ185+'2020'!AQ185+'2021'!AQ185+'2022'!AQ101</f>
        <v>0</v>
      </c>
      <c r="AR185" s="174">
        <f>'2018'!AR185+'2019'!AR185+'2020'!AR185+'2021'!AR185+'2022'!AR101</f>
        <v>20</v>
      </c>
      <c r="AS185" s="174">
        <f>'2018'!AS185+'2019'!AS185+'2020'!AS185+'2021'!AS185+'2022'!AS101</f>
        <v>3</v>
      </c>
      <c r="AT185" s="174">
        <f>'2018'!AT185+'2019'!AT185+'2020'!AT185+'2021'!AT185+'2022'!AT101</f>
        <v>9</v>
      </c>
      <c r="AU185" s="174">
        <f>'2018'!AU185+'2019'!AU185+'2020'!AU185+'2021'!AU185+'2022'!AU101</f>
        <v>0</v>
      </c>
      <c r="AV185" s="174">
        <f>'2018'!AV185+'2019'!AV185+'2020'!AV185+'2021'!AV185+'2022'!AV101</f>
        <v>4</v>
      </c>
      <c r="AW185" s="174">
        <f t="shared" si="22"/>
        <v>36</v>
      </c>
      <c r="AX185" s="156">
        <f t="shared" si="24"/>
        <v>1480.86</v>
      </c>
      <c r="AY185" s="14">
        <f>'2018'!AX185+'2019'!AX185+'2020'!AX185+'2021'!AX185+'2022'!AX101</f>
        <v>7404.2999999999993</v>
      </c>
      <c r="AZ185" s="14">
        <f t="shared" si="29"/>
        <v>85.714285714285708</v>
      </c>
      <c r="BA185" s="142"/>
      <c r="BB185" s="144"/>
      <c r="BC185" s="142"/>
    </row>
    <row r="186" spans="1:61" x14ac:dyDescent="0.25">
      <c r="A186" s="175" t="s">
        <v>263</v>
      </c>
      <c r="B186" s="176">
        <f>'2018'!B186+'2019'!B186+'2020'!B186+'2021'!B186+'2022'!B164</f>
        <v>6</v>
      </c>
      <c r="C186" s="176">
        <f>'2018'!C186+'2019'!C186+'2020'!C186+'2021'!C186+'2022'!C164</f>
        <v>5</v>
      </c>
      <c r="D186" s="176">
        <f>'2018'!D186+'2019'!D186+'2020'!D186+'2021'!D186+'2022'!D164</f>
        <v>14</v>
      </c>
      <c r="E186" s="176">
        <f>'2018'!E186+'2019'!E186+'2020'!E186+'2021'!E186+'2022'!E164</f>
        <v>13</v>
      </c>
      <c r="F186" s="176">
        <f>'2018'!F186+'2019'!F186+'2020'!F186+'2021'!F186+'2022'!F164</f>
        <v>0</v>
      </c>
      <c r="G186" s="176">
        <f>'2018'!G186+'2019'!G186+'2020'!G186+'2021'!G186+'2022'!G164</f>
        <v>0</v>
      </c>
      <c r="H186" s="176">
        <f>'2018'!H186+'2019'!H186+'2020'!H186+'2021'!H186+'2022'!H164</f>
        <v>0</v>
      </c>
      <c r="I186" s="176">
        <f>'2018'!I186+'2019'!I186+'2020'!I186+'2021'!I186+'2022'!I164</f>
        <v>0</v>
      </c>
      <c r="J186" s="176">
        <f>'2018'!J186+'2019'!J186+'2020'!J186+'2021'!J186+'2022'!J164</f>
        <v>0</v>
      </c>
      <c r="K186" s="176">
        <f>'2018'!K186+'2019'!K186+'2020'!K186+'2021'!K186+'2022'!K164</f>
        <v>0</v>
      </c>
      <c r="L186" s="176">
        <f>'2018'!L186+'2019'!L186+'2020'!L186+'2021'!L186+'2022'!L164</f>
        <v>0</v>
      </c>
      <c r="M186" s="176">
        <f>'2018'!M186+'2019'!M186+'2020'!M186+'2021'!M186+'2022'!M164</f>
        <v>0</v>
      </c>
      <c r="N186" s="176">
        <f>'2018'!N186+'2019'!N186+'2020'!N186+'2021'!N186+'2022'!N164</f>
        <v>0</v>
      </c>
      <c r="O186" s="176">
        <f>'2018'!O186+'2019'!O186+'2020'!O186+'2021'!O186+'2022'!O164</f>
        <v>0</v>
      </c>
      <c r="P186" s="176">
        <f>'2018'!P186+'2019'!P186+'2020'!P186+'2021'!P186+'2022'!P164</f>
        <v>0</v>
      </c>
      <c r="Q186" s="176">
        <f>'2018'!Q186+'2019'!Q186+'2020'!Q186+'2021'!Q186+'2022'!Q164</f>
        <v>0</v>
      </c>
      <c r="R186" s="176">
        <f>'2018'!R186+'2019'!R186+'2020'!R186+'2021'!R186+'2022'!R164</f>
        <v>0</v>
      </c>
      <c r="S186" s="176">
        <f>'2018'!S186+'2019'!S186+'2020'!S186+'2021'!S186+'2022'!S164</f>
        <v>0</v>
      </c>
      <c r="T186" s="176">
        <f>'2018'!T186+'2019'!T186+'2020'!T186+'2021'!T186+'2022'!T164</f>
        <v>0</v>
      </c>
      <c r="U186" s="176">
        <f>'2018'!U186+'2019'!U186+'2020'!U186+'2021'!U186+'2022'!U164</f>
        <v>10</v>
      </c>
      <c r="V186" s="176">
        <f>'2018'!V186+'2019'!V186+'2020'!V186+'2021'!V186+'2022'!V164</f>
        <v>4</v>
      </c>
      <c r="W186" s="176">
        <f>'2018'!W186+'2019'!W186+'2020'!W186+'2021'!W186+'2022'!W164</f>
        <v>0</v>
      </c>
      <c r="X186" s="176">
        <f>'2018'!X186+'2019'!X186+'2020'!X186+'2021'!X186+'2022'!X164</f>
        <v>0</v>
      </c>
      <c r="Y186" s="174">
        <f t="shared" si="27"/>
        <v>14</v>
      </c>
      <c r="Z186" s="174">
        <f>'2018'!Z186+'2019'!Z186+'2020'!Z186+'2021'!Z186+'2022'!Z164</f>
        <v>4</v>
      </c>
      <c r="AA186" s="174">
        <f>'2018'!AA186+'2019'!AA186+'2020'!AA186+'2021'!AA186+'2022'!AA164</f>
        <v>3</v>
      </c>
      <c r="AB186" s="174">
        <f>'2018'!AB186+'2019'!AB186+'2020'!AB186+'2021'!AB186+'2022'!AB164</f>
        <v>8</v>
      </c>
      <c r="AC186" s="174">
        <f>'2018'!AC186+'2019'!AC186+'2020'!AC186+'2021'!AC186+'2022'!AC164</f>
        <v>7</v>
      </c>
      <c r="AD186" s="174">
        <f>'2018'!AD186+'2019'!AD186+'2020'!AD186+'2021'!AD186+'2022'!AD164</f>
        <v>0</v>
      </c>
      <c r="AE186" s="174">
        <f>'2018'!AE186+'2019'!AE186+'2020'!AE186+'2021'!AE186+'2022'!AE164</f>
        <v>0</v>
      </c>
      <c r="AF186" s="174">
        <f>'2018'!AF186+'2019'!AF186+'2020'!AF186+'2021'!AF186+'2022'!AF164</f>
        <v>0</v>
      </c>
      <c r="AG186" s="174">
        <f>'2018'!AG186+'2019'!AG186+'2020'!AG186+'2021'!AG186+'2022'!AG164</f>
        <v>0</v>
      </c>
      <c r="AH186" s="174">
        <f>'2018'!AH186+'2019'!AH186+'2020'!AH186+'2021'!AH186+'2022'!AH164</f>
        <v>0</v>
      </c>
      <c r="AI186" s="174">
        <f>'2018'!AI186+'2019'!AI186+'2020'!AI186+'2021'!AI186+'2022'!AI164</f>
        <v>0</v>
      </c>
      <c r="AJ186" s="174">
        <f>'2018'!AJ186+'2019'!AJ186+'2020'!AJ186+'2021'!AJ186+'2022'!AJ164</f>
        <v>0</v>
      </c>
      <c r="AK186" s="174">
        <f>'2018'!AK186+'2019'!AK186+'2020'!AK186+'2021'!AK186+'2022'!AK164</f>
        <v>0</v>
      </c>
      <c r="AL186" s="174">
        <f>'2018'!AL186+'2019'!AL186+'2020'!AL186+'2021'!AL186+'2022'!AL164</f>
        <v>0</v>
      </c>
      <c r="AM186" s="174">
        <f>'2018'!AM186+'2019'!AM186+'2020'!AM186+'2021'!AM186+'2022'!AM164</f>
        <v>0</v>
      </c>
      <c r="AN186" s="174">
        <f>'2018'!AN186+'2019'!AN186+'2020'!AN186+'2021'!AN186+'2022'!AN164</f>
        <v>0</v>
      </c>
      <c r="AO186" s="174">
        <f>'2018'!AO186+'2019'!AO186+'2020'!AO186+'2021'!AO186+'2022'!AO164</f>
        <v>0</v>
      </c>
      <c r="AP186" s="174">
        <f>'2018'!AP186+'2019'!AP186+'2020'!AP186+'2021'!AP186+'2022'!AP164</f>
        <v>0</v>
      </c>
      <c r="AQ186" s="174">
        <f>'2018'!AQ186+'2019'!AQ186+'2020'!AQ186+'2021'!AQ186+'2022'!AQ164</f>
        <v>0</v>
      </c>
      <c r="AR186" s="174">
        <f>'2018'!AR186+'2019'!AR186+'2020'!AR186+'2021'!AR186+'2022'!AR164</f>
        <v>0</v>
      </c>
      <c r="AS186" s="174">
        <f>'2018'!AS186+'2019'!AS186+'2020'!AS186+'2021'!AS186+'2022'!AS164</f>
        <v>5</v>
      </c>
      <c r="AT186" s="174">
        <f>'2018'!AT186+'2019'!AT186+'2020'!AT186+'2021'!AT186+'2022'!AT164</f>
        <v>3</v>
      </c>
      <c r="AU186" s="174">
        <f>'2018'!AU186+'2019'!AU186+'2020'!AU186+'2021'!AU186+'2022'!AU164</f>
        <v>0</v>
      </c>
      <c r="AV186" s="174">
        <f>'2018'!AV186+'2019'!AV186+'2020'!AV186+'2021'!AV186+'2022'!AV164</f>
        <v>0</v>
      </c>
      <c r="AW186" s="174">
        <f t="shared" si="22"/>
        <v>8</v>
      </c>
      <c r="AX186" s="156">
        <f t="shared" si="24"/>
        <v>1775</v>
      </c>
      <c r="AY186" s="14">
        <f>'2018'!AX186+'2019'!AX186+'2020'!AX186+'2021'!AX186+'2022'!AX164</f>
        <v>8875</v>
      </c>
      <c r="AZ186" s="14">
        <f t="shared" si="29"/>
        <v>57.142857142857146</v>
      </c>
      <c r="BA186" s="142"/>
      <c r="BB186" s="144"/>
      <c r="BC186" s="142"/>
    </row>
    <row r="187" spans="1:61" x14ac:dyDescent="0.25">
      <c r="A187" s="175" t="s">
        <v>264</v>
      </c>
      <c r="B187" s="176">
        <f>'2018'!B187+'2019'!B187+'2020'!B187+'2021'!B187+'2022'!B165</f>
        <v>14</v>
      </c>
      <c r="C187" s="176">
        <f>'2018'!C187+'2019'!C187+'2020'!C187+'2021'!C187+'2022'!C165</f>
        <v>3</v>
      </c>
      <c r="D187" s="176">
        <f>'2018'!D187+'2019'!D187+'2020'!D187+'2021'!D187+'2022'!D165</f>
        <v>90</v>
      </c>
      <c r="E187" s="176">
        <f>'2018'!E187+'2019'!E187+'2020'!E187+'2021'!E187+'2022'!E165</f>
        <v>11</v>
      </c>
      <c r="F187" s="176">
        <f>'2018'!F187+'2019'!F187+'2020'!F187+'2021'!F187+'2022'!F165</f>
        <v>0</v>
      </c>
      <c r="G187" s="176">
        <f>'2018'!G187+'2019'!G187+'2020'!G187+'2021'!G187+'2022'!G165</f>
        <v>0</v>
      </c>
      <c r="H187" s="176">
        <f>'2018'!H187+'2019'!H187+'2020'!H187+'2021'!H187+'2022'!H165</f>
        <v>0</v>
      </c>
      <c r="I187" s="176">
        <f>'2018'!I187+'2019'!I187+'2020'!I187+'2021'!I187+'2022'!I165</f>
        <v>0</v>
      </c>
      <c r="J187" s="176">
        <f>'2018'!J187+'2019'!J187+'2020'!J187+'2021'!J187+'2022'!J165</f>
        <v>0</v>
      </c>
      <c r="K187" s="176">
        <f>'2018'!K187+'2019'!K187+'2020'!K187+'2021'!K187+'2022'!K165</f>
        <v>0</v>
      </c>
      <c r="L187" s="176">
        <f>'2018'!L187+'2019'!L187+'2020'!L187+'2021'!L187+'2022'!L165</f>
        <v>10</v>
      </c>
      <c r="M187" s="176">
        <f>'2018'!M187+'2019'!M187+'2020'!M187+'2021'!M187+'2022'!M165</f>
        <v>0</v>
      </c>
      <c r="N187" s="176">
        <f>'2018'!N187+'2019'!N187+'2020'!N187+'2021'!N187+'2022'!N165</f>
        <v>0</v>
      </c>
      <c r="O187" s="176">
        <f>'2018'!O187+'2019'!O187+'2020'!O187+'2021'!O187+'2022'!O165</f>
        <v>0</v>
      </c>
      <c r="P187" s="176">
        <f>'2018'!P187+'2019'!P187+'2020'!P187+'2021'!P187+'2022'!P165</f>
        <v>0</v>
      </c>
      <c r="Q187" s="176">
        <f>'2018'!Q187+'2019'!Q187+'2020'!Q187+'2021'!Q187+'2022'!Q165</f>
        <v>0</v>
      </c>
      <c r="R187" s="176">
        <f>'2018'!R187+'2019'!R187+'2020'!R187+'2021'!R187+'2022'!R165</f>
        <v>0</v>
      </c>
      <c r="S187" s="176">
        <f>'2018'!S187+'2019'!S187+'2020'!S187+'2021'!S187+'2022'!S165</f>
        <v>0</v>
      </c>
      <c r="T187" s="176">
        <f>'2018'!T187+'2019'!T187+'2020'!T187+'2021'!T187+'2022'!T165</f>
        <v>0</v>
      </c>
      <c r="U187" s="176">
        <f>'2018'!U187+'2019'!U187+'2020'!U187+'2021'!U187+'2022'!U165</f>
        <v>8</v>
      </c>
      <c r="V187" s="176">
        <f>'2018'!V187+'2019'!V187+'2020'!V187+'2021'!V187+'2022'!V165</f>
        <v>15</v>
      </c>
      <c r="W187" s="176">
        <f>'2018'!W187+'2019'!W187+'2020'!W187+'2021'!W187+'2022'!W165</f>
        <v>10</v>
      </c>
      <c r="X187" s="176">
        <f>'2018'!X187+'2019'!X187+'2020'!X187+'2021'!X187+'2022'!X165</f>
        <v>47</v>
      </c>
      <c r="Y187" s="174">
        <f t="shared" si="27"/>
        <v>90</v>
      </c>
      <c r="Z187" s="174">
        <f>'2018'!Z187+'2019'!Z187+'2020'!Z187+'2021'!Z187+'2022'!Z165</f>
        <v>8</v>
      </c>
      <c r="AA187" s="174">
        <f>'2018'!AA187+'2019'!AA187+'2020'!AA187+'2021'!AA187+'2022'!AA165</f>
        <v>2</v>
      </c>
      <c r="AB187" s="174">
        <f>'2018'!AB187+'2019'!AB187+'2020'!AB187+'2021'!AB187+'2022'!AB165</f>
        <v>47</v>
      </c>
      <c r="AC187" s="174">
        <f>'2018'!AC187+'2019'!AC187+'2020'!AC187+'2021'!AC187+'2022'!AC165</f>
        <v>3</v>
      </c>
      <c r="AD187" s="174">
        <f>'2018'!AD187+'2019'!AD187+'2020'!AD187+'2021'!AD187+'2022'!AD165</f>
        <v>0</v>
      </c>
      <c r="AE187" s="174">
        <f>'2018'!AE187+'2019'!AE187+'2020'!AE187+'2021'!AE187+'2022'!AE165</f>
        <v>0</v>
      </c>
      <c r="AF187" s="174">
        <f>'2018'!AF187+'2019'!AF187+'2020'!AF187+'2021'!AF187+'2022'!AF165</f>
        <v>0</v>
      </c>
      <c r="AG187" s="174">
        <f>'2018'!AG187+'2019'!AG187+'2020'!AG187+'2021'!AG187+'2022'!AG165</f>
        <v>0</v>
      </c>
      <c r="AH187" s="174">
        <f>'2018'!AH187+'2019'!AH187+'2020'!AH187+'2021'!AH187+'2022'!AH165</f>
        <v>0</v>
      </c>
      <c r="AI187" s="174">
        <f>'2018'!AI187+'2019'!AI187+'2020'!AI187+'2021'!AI187+'2022'!AI165</f>
        <v>0</v>
      </c>
      <c r="AJ187" s="174">
        <f>'2018'!AJ187+'2019'!AJ187+'2020'!AJ187+'2021'!AJ187+'2022'!AJ165</f>
        <v>0</v>
      </c>
      <c r="AK187" s="174">
        <f>'2018'!AK187+'2019'!AK187+'2020'!AK187+'2021'!AK187+'2022'!AK165</f>
        <v>0</v>
      </c>
      <c r="AL187" s="174">
        <f>'2018'!AL187+'2019'!AL187+'2020'!AL187+'2021'!AL187+'2022'!AL165</f>
        <v>0</v>
      </c>
      <c r="AM187" s="174">
        <f>'2018'!AM187+'2019'!AM187+'2020'!AM187+'2021'!AM187+'2022'!AM165</f>
        <v>0</v>
      </c>
      <c r="AN187" s="174">
        <f>'2018'!AN187+'2019'!AN187+'2020'!AN187+'2021'!AN187+'2022'!AN165</f>
        <v>0</v>
      </c>
      <c r="AO187" s="174">
        <f>'2018'!AO187+'2019'!AO187+'2020'!AO187+'2021'!AO187+'2022'!AO165</f>
        <v>0</v>
      </c>
      <c r="AP187" s="174">
        <f>'2018'!AP187+'2019'!AP187+'2020'!AP187+'2021'!AP187+'2022'!AP165</f>
        <v>0</v>
      </c>
      <c r="AQ187" s="174">
        <f>'2018'!AQ187+'2019'!AQ187+'2020'!AQ187+'2021'!AQ187+'2022'!AQ165</f>
        <v>0</v>
      </c>
      <c r="AR187" s="174">
        <f>'2018'!AR187+'2019'!AR187+'2020'!AR187+'2021'!AR187+'2022'!AR165</f>
        <v>0</v>
      </c>
      <c r="AS187" s="174">
        <f>'2018'!AS187+'2019'!AS187+'2020'!AS187+'2021'!AS187+'2022'!AS165</f>
        <v>0</v>
      </c>
      <c r="AT187" s="174">
        <f>'2018'!AT187+'2019'!AT187+'2020'!AT187+'2021'!AT187+'2022'!AT165</f>
        <v>4</v>
      </c>
      <c r="AU187" s="174">
        <f>'2018'!AU187+'2019'!AU187+'2020'!AU187+'2021'!AU187+'2022'!AU165</f>
        <v>10</v>
      </c>
      <c r="AV187" s="174">
        <f>'2018'!AV187+'2019'!AV187+'2020'!AV187+'2021'!AV187+'2022'!AV165</f>
        <v>33</v>
      </c>
      <c r="AW187" s="174">
        <f t="shared" si="22"/>
        <v>47</v>
      </c>
      <c r="AX187" s="156">
        <f t="shared" si="24"/>
        <v>1553.64</v>
      </c>
      <c r="AY187" s="14">
        <f>'2018'!AX187+'2019'!AX187+'2020'!AX187+'2021'!AX187+'2022'!AX165</f>
        <v>7768.2000000000007</v>
      </c>
      <c r="AZ187" s="14">
        <f t="shared" si="29"/>
        <v>52.222222222222221</v>
      </c>
      <c r="BA187" s="142"/>
      <c r="BB187" s="144"/>
      <c r="BC187" s="142"/>
    </row>
    <row r="188" spans="1:61" x14ac:dyDescent="0.25">
      <c r="A188" s="175" t="s">
        <v>265</v>
      </c>
      <c r="B188" s="176">
        <f>'2018'!B188+'2019'!B188+'2020'!B188+'2021'!B188+'2022'!B166</f>
        <v>31</v>
      </c>
      <c r="C188" s="176">
        <f>'2018'!C188+'2019'!C188+'2020'!C188+'2021'!C188+'2022'!C166</f>
        <v>21</v>
      </c>
      <c r="D188" s="176">
        <f>'2018'!D188+'2019'!D188+'2020'!D188+'2021'!D188+'2022'!D166</f>
        <v>45</v>
      </c>
      <c r="E188" s="176">
        <f>'2018'!E188+'2019'!E188+'2020'!E188+'2021'!E188+'2022'!E166</f>
        <v>28</v>
      </c>
      <c r="F188" s="176">
        <f>'2018'!F188+'2019'!F188+'2020'!F188+'2021'!F188+'2022'!F166</f>
        <v>0</v>
      </c>
      <c r="G188" s="176">
        <f>'2018'!G188+'2019'!G188+'2020'!G188+'2021'!G188+'2022'!G166</f>
        <v>0</v>
      </c>
      <c r="H188" s="176">
        <f>'2018'!H188+'2019'!H188+'2020'!H188+'2021'!H188+'2022'!H166</f>
        <v>1</v>
      </c>
      <c r="I188" s="176">
        <f>'2018'!I188+'2019'!I188+'2020'!I188+'2021'!I188+'2022'!I166</f>
        <v>0</v>
      </c>
      <c r="J188" s="176">
        <f>'2018'!J188+'2019'!J188+'2020'!J188+'2021'!J188+'2022'!J166</f>
        <v>0</v>
      </c>
      <c r="K188" s="176">
        <f>'2018'!K188+'2019'!K188+'2020'!K188+'2021'!K188+'2022'!K166</f>
        <v>0</v>
      </c>
      <c r="L188" s="176">
        <f>'2018'!L188+'2019'!L188+'2020'!L188+'2021'!L188+'2022'!L166</f>
        <v>2</v>
      </c>
      <c r="M188" s="176">
        <f>'2018'!M188+'2019'!M188+'2020'!M188+'2021'!M188+'2022'!M166</f>
        <v>1</v>
      </c>
      <c r="N188" s="176">
        <f>'2018'!N188+'2019'!N188+'2020'!N188+'2021'!N188+'2022'!N166</f>
        <v>0</v>
      </c>
      <c r="O188" s="176">
        <f>'2018'!O188+'2019'!O188+'2020'!O188+'2021'!O188+'2022'!O166</f>
        <v>0</v>
      </c>
      <c r="P188" s="176">
        <f>'2018'!P188+'2019'!P188+'2020'!P188+'2021'!P188+'2022'!P166</f>
        <v>2</v>
      </c>
      <c r="Q188" s="176">
        <f>'2018'!Q188+'2019'!Q188+'2020'!Q188+'2021'!Q188+'2022'!Q166</f>
        <v>0</v>
      </c>
      <c r="R188" s="176">
        <f>'2018'!R188+'2019'!R188+'2020'!R188+'2021'!R188+'2022'!R166</f>
        <v>0</v>
      </c>
      <c r="S188" s="176">
        <f>'2018'!S188+'2019'!S188+'2020'!S188+'2021'!S188+'2022'!S166</f>
        <v>0</v>
      </c>
      <c r="T188" s="176">
        <f>'2018'!T188+'2019'!T188+'2020'!T188+'2021'!T188+'2022'!T166</f>
        <v>0</v>
      </c>
      <c r="U188" s="176">
        <f>'2018'!U188+'2019'!U188+'2020'!U188+'2021'!U188+'2022'!U166</f>
        <v>24</v>
      </c>
      <c r="V188" s="176">
        <f>'2018'!V188+'2019'!V188+'2020'!V188+'2021'!V188+'2022'!V166</f>
        <v>10</v>
      </c>
      <c r="W188" s="176">
        <f>'2018'!W188+'2019'!W188+'2020'!W188+'2021'!W188+'2022'!W166</f>
        <v>0</v>
      </c>
      <c r="X188" s="176">
        <f>'2018'!X188+'2019'!X188+'2020'!X188+'2021'!X188+'2022'!X166</f>
        <v>5</v>
      </c>
      <c r="Y188" s="174">
        <f t="shared" si="27"/>
        <v>45</v>
      </c>
      <c r="Z188" s="174">
        <f>'2018'!Z188+'2019'!Z188+'2020'!Z188+'2021'!Z188+'2022'!Z166</f>
        <v>23</v>
      </c>
      <c r="AA188" s="174">
        <f>'2018'!AA188+'2019'!AA188+'2020'!AA188+'2021'!AA188+'2022'!AA166</f>
        <v>14</v>
      </c>
      <c r="AB188" s="174">
        <f>'2018'!AB188+'2019'!AB188+'2020'!AB188+'2021'!AB188+'2022'!AB166</f>
        <v>36</v>
      </c>
      <c r="AC188" s="174">
        <f>'2018'!AC188+'2019'!AC188+'2020'!AC188+'2021'!AC188+'2022'!AC166</f>
        <v>25</v>
      </c>
      <c r="AD188" s="174">
        <f>'2018'!AD188+'2019'!AD188+'2020'!AD188+'2021'!AD188+'2022'!AD166</f>
        <v>0</v>
      </c>
      <c r="AE188" s="174">
        <f>'2018'!AE188+'2019'!AE188+'2020'!AE188+'2021'!AE188+'2022'!AE166</f>
        <v>0</v>
      </c>
      <c r="AF188" s="174">
        <f>'2018'!AF188+'2019'!AF188+'2020'!AF188+'2021'!AF188+'2022'!AF166</f>
        <v>0</v>
      </c>
      <c r="AG188" s="174">
        <f>'2018'!AG188+'2019'!AG188+'2020'!AG188+'2021'!AG188+'2022'!AG166</f>
        <v>0</v>
      </c>
      <c r="AH188" s="174">
        <f>'2018'!AH188+'2019'!AH188+'2020'!AH188+'2021'!AH188+'2022'!AH166</f>
        <v>0</v>
      </c>
      <c r="AI188" s="174">
        <f>'2018'!AI188+'2019'!AI188+'2020'!AI188+'2021'!AI188+'2022'!AI166</f>
        <v>0</v>
      </c>
      <c r="AJ188" s="174">
        <f>'2018'!AJ188+'2019'!AJ188+'2020'!AJ188+'2021'!AJ188+'2022'!AJ166</f>
        <v>1</v>
      </c>
      <c r="AK188" s="174">
        <f>'2018'!AK188+'2019'!AK188+'2020'!AK188+'2021'!AK188+'2022'!AK166</f>
        <v>1</v>
      </c>
      <c r="AL188" s="174">
        <f>'2018'!AL188+'2019'!AL188+'2020'!AL188+'2021'!AL188+'2022'!AL166</f>
        <v>0</v>
      </c>
      <c r="AM188" s="174">
        <f>'2018'!AM188+'2019'!AM188+'2020'!AM188+'2021'!AM188+'2022'!AM166</f>
        <v>0</v>
      </c>
      <c r="AN188" s="174">
        <f>'2018'!AN188+'2019'!AN188+'2020'!AN188+'2021'!AN188+'2022'!AN166</f>
        <v>2</v>
      </c>
      <c r="AO188" s="174">
        <f>'2018'!AO188+'2019'!AO188+'2020'!AO188+'2021'!AO188+'2022'!AO166</f>
        <v>0</v>
      </c>
      <c r="AP188" s="174">
        <f>'2018'!AP188+'2019'!AP188+'2020'!AP188+'2021'!AP188+'2022'!AP166</f>
        <v>0</v>
      </c>
      <c r="AQ188" s="174">
        <f>'2018'!AQ188+'2019'!AQ188+'2020'!AQ188+'2021'!AQ188+'2022'!AQ166</f>
        <v>0</v>
      </c>
      <c r="AR188" s="174">
        <f>'2018'!AR188+'2019'!AR188+'2020'!AR188+'2021'!AR188+'2022'!AR166</f>
        <v>0</v>
      </c>
      <c r="AS188" s="174">
        <f>'2018'!AS188+'2019'!AS188+'2020'!AS188+'2021'!AS188+'2022'!AS166</f>
        <v>19</v>
      </c>
      <c r="AT188" s="174">
        <f>'2018'!AT188+'2019'!AT188+'2020'!AT188+'2021'!AT188+'2022'!AT166</f>
        <v>10</v>
      </c>
      <c r="AU188" s="174">
        <f>'2018'!AU188+'2019'!AU188+'2020'!AU188+'2021'!AU188+'2022'!AU166</f>
        <v>0</v>
      </c>
      <c r="AV188" s="174">
        <f>'2018'!AV188+'2019'!AV188+'2020'!AV188+'2021'!AV188+'2022'!AV166</f>
        <v>3</v>
      </c>
      <c r="AW188" s="174">
        <f t="shared" si="22"/>
        <v>36</v>
      </c>
      <c r="AX188" s="156">
        <f t="shared" si="24"/>
        <v>3318.5333333333328</v>
      </c>
      <c r="AY188" s="14">
        <f>'2018'!AX188+'2019'!AX188+'2020'!AX188+'2021'!AX188+'2022'!AX166</f>
        <v>16592.666666666664</v>
      </c>
      <c r="AZ188" s="14">
        <f t="shared" si="29"/>
        <v>80</v>
      </c>
      <c r="BA188" s="142"/>
      <c r="BB188" s="144"/>
      <c r="BC188" s="142"/>
    </row>
    <row r="189" spans="1:61" x14ac:dyDescent="0.25">
      <c r="A189" s="175" t="s">
        <v>266</v>
      </c>
      <c r="B189" s="176">
        <f>'2018'!B189+'2019'!B189+'2020'!B189+'2021'!B189+'2022'!B167</f>
        <v>34</v>
      </c>
      <c r="C189" s="176">
        <f>'2018'!C189+'2019'!C189+'2020'!C189+'2021'!C189+'2022'!C167</f>
        <v>20</v>
      </c>
      <c r="D189" s="176">
        <f>'2018'!D189+'2019'!D189+'2020'!D189+'2021'!D189+'2022'!D167</f>
        <v>79</v>
      </c>
      <c r="E189" s="176">
        <f>'2018'!E189+'2019'!E189+'2020'!E189+'2021'!E189+'2022'!E167</f>
        <v>30</v>
      </c>
      <c r="F189" s="176">
        <f>'2018'!F189+'2019'!F189+'2020'!F189+'2021'!F189+'2022'!F167</f>
        <v>0</v>
      </c>
      <c r="G189" s="176">
        <f>'2018'!G189+'2019'!G189+'2020'!G189+'2021'!G189+'2022'!G167</f>
        <v>0</v>
      </c>
      <c r="H189" s="176">
        <f>'2018'!H189+'2019'!H189+'2020'!H189+'2021'!H189+'2022'!H167</f>
        <v>0</v>
      </c>
      <c r="I189" s="176">
        <f>'2018'!I189+'2019'!I189+'2020'!I189+'2021'!I189+'2022'!I167</f>
        <v>0</v>
      </c>
      <c r="J189" s="176">
        <f>'2018'!J189+'2019'!J189+'2020'!J189+'2021'!J189+'2022'!J167</f>
        <v>0</v>
      </c>
      <c r="K189" s="176">
        <f>'2018'!K189+'2019'!K189+'2020'!K189+'2021'!K189+'2022'!K167</f>
        <v>0</v>
      </c>
      <c r="L189" s="176">
        <f>'2018'!L189+'2019'!L189+'2020'!L189+'2021'!L189+'2022'!L167</f>
        <v>2</v>
      </c>
      <c r="M189" s="176">
        <f>'2018'!M189+'2019'!M189+'2020'!M189+'2021'!M189+'2022'!M167</f>
        <v>0</v>
      </c>
      <c r="N189" s="176">
        <f>'2018'!N189+'2019'!N189+'2020'!N189+'2021'!N189+'2022'!N167</f>
        <v>0</v>
      </c>
      <c r="O189" s="176">
        <f>'2018'!O189+'2019'!O189+'2020'!O189+'2021'!O189+'2022'!O167</f>
        <v>0</v>
      </c>
      <c r="P189" s="176">
        <f>'2018'!P189+'2019'!P189+'2020'!P189+'2021'!P189+'2022'!P167</f>
        <v>0</v>
      </c>
      <c r="Q189" s="176">
        <f>'2018'!Q189+'2019'!Q189+'2020'!Q189+'2021'!Q189+'2022'!Q167</f>
        <v>0</v>
      </c>
      <c r="R189" s="176">
        <f>'2018'!R189+'2019'!R189+'2020'!R189+'2021'!R189+'2022'!R167</f>
        <v>1</v>
      </c>
      <c r="S189" s="176">
        <f>'2018'!S189+'2019'!S189+'2020'!S189+'2021'!S189+'2022'!S167</f>
        <v>0</v>
      </c>
      <c r="T189" s="176">
        <f>'2018'!T189+'2019'!T189+'2020'!T189+'2021'!T189+'2022'!T167</f>
        <v>0</v>
      </c>
      <c r="U189" s="176">
        <f>'2018'!U189+'2019'!U189+'2020'!U189+'2021'!U189+'2022'!U167</f>
        <v>30</v>
      </c>
      <c r="V189" s="176">
        <f>'2018'!V189+'2019'!V189+'2020'!V189+'2021'!V189+'2022'!V167</f>
        <v>21</v>
      </c>
      <c r="W189" s="176">
        <f>'2018'!W189+'2019'!W189+'2020'!W189+'2021'!W189+'2022'!W167</f>
        <v>0</v>
      </c>
      <c r="X189" s="176">
        <f>'2018'!X189+'2019'!X189+'2020'!X189+'2021'!X189+'2022'!X167</f>
        <v>25</v>
      </c>
      <c r="Y189" s="174">
        <f t="shared" si="27"/>
        <v>79</v>
      </c>
      <c r="Z189" s="174">
        <f>'2018'!Z189+'2019'!Z189+'2020'!Z189+'2021'!Z189+'2022'!Z167</f>
        <v>25</v>
      </c>
      <c r="AA189" s="174">
        <f>'2018'!AA189+'2019'!AA189+'2020'!AA189+'2021'!AA189+'2022'!AA167</f>
        <v>17</v>
      </c>
      <c r="AB189" s="174">
        <f>'2018'!AB189+'2019'!AB189+'2020'!AB189+'2021'!AB189+'2022'!AB167</f>
        <v>45</v>
      </c>
      <c r="AC189" s="174">
        <f>'2018'!AC189+'2019'!AC189+'2020'!AC189+'2021'!AC189+'2022'!AC167</f>
        <v>23</v>
      </c>
      <c r="AD189" s="174">
        <f>'2018'!AD189+'2019'!AD189+'2020'!AD189+'2021'!AD189+'2022'!AD167</f>
        <v>0</v>
      </c>
      <c r="AE189" s="174">
        <f>'2018'!AE189+'2019'!AE189+'2020'!AE189+'2021'!AE189+'2022'!AE167</f>
        <v>0</v>
      </c>
      <c r="AF189" s="174">
        <f>'2018'!AF189+'2019'!AF189+'2020'!AF189+'2021'!AF189+'2022'!AF167</f>
        <v>0</v>
      </c>
      <c r="AG189" s="174">
        <f>'2018'!AG189+'2019'!AG189+'2020'!AG189+'2021'!AG189+'2022'!AG167</f>
        <v>0</v>
      </c>
      <c r="AH189" s="174">
        <f>'2018'!AH189+'2019'!AH189+'2020'!AH189+'2021'!AH189+'2022'!AH167</f>
        <v>0</v>
      </c>
      <c r="AI189" s="174">
        <f>'2018'!AI189+'2019'!AI189+'2020'!AI189+'2021'!AI189+'2022'!AI167</f>
        <v>0</v>
      </c>
      <c r="AJ189" s="174">
        <f>'2018'!AJ189+'2019'!AJ189+'2020'!AJ189+'2021'!AJ189+'2022'!AJ167</f>
        <v>2</v>
      </c>
      <c r="AK189" s="174">
        <f>'2018'!AK189+'2019'!AK189+'2020'!AK189+'2021'!AK189+'2022'!AK167</f>
        <v>0</v>
      </c>
      <c r="AL189" s="174">
        <f>'2018'!AL189+'2019'!AL189+'2020'!AL189+'2021'!AL189+'2022'!AL167</f>
        <v>0</v>
      </c>
      <c r="AM189" s="174">
        <f>'2018'!AM189+'2019'!AM189+'2020'!AM189+'2021'!AM189+'2022'!AM167</f>
        <v>0</v>
      </c>
      <c r="AN189" s="174">
        <f>'2018'!AN189+'2019'!AN189+'2020'!AN189+'2021'!AN189+'2022'!AN167</f>
        <v>0</v>
      </c>
      <c r="AO189" s="174">
        <f>'2018'!AO189+'2019'!AO189+'2020'!AO189+'2021'!AO189+'2022'!AO167</f>
        <v>0</v>
      </c>
      <c r="AP189" s="174">
        <f>'2018'!AP189+'2019'!AP189+'2020'!AP189+'2021'!AP189+'2022'!AP167</f>
        <v>0</v>
      </c>
      <c r="AQ189" s="174">
        <f>'2018'!AQ189+'2019'!AQ189+'2020'!AQ189+'2021'!AQ189+'2022'!AQ167</f>
        <v>0</v>
      </c>
      <c r="AR189" s="174">
        <f>'2018'!AR189+'2019'!AR189+'2020'!AR189+'2021'!AR189+'2022'!AR167</f>
        <v>0</v>
      </c>
      <c r="AS189" s="174">
        <f>'2018'!AS189+'2019'!AS189+'2020'!AS189+'2021'!AS189+'2022'!AS167</f>
        <v>22</v>
      </c>
      <c r="AT189" s="174">
        <f>'2018'!AT189+'2019'!AT189+'2020'!AT189+'2021'!AT189+'2022'!AT167</f>
        <v>17</v>
      </c>
      <c r="AU189" s="174">
        <f>'2018'!AU189+'2019'!AU189+'2020'!AU189+'2021'!AU189+'2022'!AU167</f>
        <v>0</v>
      </c>
      <c r="AV189" s="174">
        <f>'2018'!AV189+'2019'!AV189+'2020'!AV189+'2021'!AV189+'2022'!AV167</f>
        <v>4</v>
      </c>
      <c r="AW189" s="174">
        <f t="shared" si="22"/>
        <v>45</v>
      </c>
      <c r="AX189" s="156">
        <f t="shared" si="24"/>
        <v>3658.4809999999998</v>
      </c>
      <c r="AY189" s="14">
        <f>'2018'!AX189+'2019'!AX189+'2020'!AX189+'2021'!AX189+'2022'!AX167</f>
        <v>18292.404999999999</v>
      </c>
      <c r="AZ189" s="14">
        <f t="shared" si="29"/>
        <v>56.962025316455694</v>
      </c>
      <c r="BA189" s="142"/>
      <c r="BB189" s="144"/>
      <c r="BC189" s="142"/>
    </row>
    <row r="190" spans="1:61" x14ac:dyDescent="0.25">
      <c r="A190" s="175" t="s">
        <v>267</v>
      </c>
      <c r="B190" s="176">
        <f>'2018'!B190+'2019'!B190+'2020'!B190+'2021'!B190+'2022'!B168</f>
        <v>13</v>
      </c>
      <c r="C190" s="176">
        <f>'2018'!C190+'2019'!C190+'2020'!C190+'2021'!C190+'2022'!C168</f>
        <v>9</v>
      </c>
      <c r="D190" s="176">
        <f>'2018'!D190+'2019'!D190+'2020'!D190+'2021'!D190+'2022'!D168</f>
        <v>23</v>
      </c>
      <c r="E190" s="176">
        <f>'2018'!E190+'2019'!E190+'2020'!E190+'2021'!E190+'2022'!E168</f>
        <v>16</v>
      </c>
      <c r="F190" s="176">
        <f>'2018'!F190+'2019'!F190+'2020'!F190+'2021'!F190+'2022'!F168</f>
        <v>0</v>
      </c>
      <c r="G190" s="176">
        <f>'2018'!G190+'2019'!G190+'2020'!G190+'2021'!G190+'2022'!G168</f>
        <v>0</v>
      </c>
      <c r="H190" s="176">
        <f>'2018'!H190+'2019'!H190+'2020'!H190+'2021'!H190+'2022'!H168</f>
        <v>6</v>
      </c>
      <c r="I190" s="176">
        <f>'2018'!I190+'2019'!I190+'2020'!I190+'2021'!I190+'2022'!I168</f>
        <v>0</v>
      </c>
      <c r="J190" s="176">
        <f>'2018'!J190+'2019'!J190+'2020'!J190+'2021'!J190+'2022'!J168</f>
        <v>0</v>
      </c>
      <c r="K190" s="176">
        <f>'2018'!K190+'2019'!K190+'2020'!K190+'2021'!K190+'2022'!K168</f>
        <v>0</v>
      </c>
      <c r="L190" s="176">
        <f>'2018'!L190+'2019'!L190+'2020'!L190+'2021'!L190+'2022'!L168</f>
        <v>0</v>
      </c>
      <c r="M190" s="176">
        <f>'2018'!M190+'2019'!M190+'2020'!M190+'2021'!M190+'2022'!M168</f>
        <v>0</v>
      </c>
      <c r="N190" s="176">
        <f>'2018'!N190+'2019'!N190+'2020'!N190+'2021'!N190+'2022'!N168</f>
        <v>0</v>
      </c>
      <c r="O190" s="176">
        <f>'2018'!O190+'2019'!O190+'2020'!O190+'2021'!O190+'2022'!O168</f>
        <v>0</v>
      </c>
      <c r="P190" s="176">
        <f>'2018'!P190+'2019'!P190+'2020'!P190+'2021'!P190+'2022'!P168</f>
        <v>0</v>
      </c>
      <c r="Q190" s="176">
        <f>'2018'!Q190+'2019'!Q190+'2020'!Q190+'2021'!Q190+'2022'!Q168</f>
        <v>0</v>
      </c>
      <c r="R190" s="176">
        <f>'2018'!R190+'2019'!R190+'2020'!R190+'2021'!R190+'2022'!R168</f>
        <v>0</v>
      </c>
      <c r="S190" s="176">
        <f>'2018'!S190+'2019'!S190+'2020'!S190+'2021'!S190+'2022'!S168</f>
        <v>0</v>
      </c>
      <c r="T190" s="176">
        <f>'2018'!T190+'2019'!T190+'2020'!T190+'2021'!T190+'2022'!T168</f>
        <v>0</v>
      </c>
      <c r="U190" s="176">
        <f>'2018'!U190+'2019'!U190+'2020'!U190+'2021'!U190+'2022'!U168</f>
        <v>13</v>
      </c>
      <c r="V190" s="176">
        <f>'2018'!V190+'2019'!V190+'2020'!V190+'2021'!V190+'2022'!V168</f>
        <v>4</v>
      </c>
      <c r="W190" s="176">
        <f>'2018'!W190+'2019'!W190+'2020'!W190+'2021'!W190+'2022'!W168</f>
        <v>0</v>
      </c>
      <c r="X190" s="176">
        <f>'2018'!X190+'2019'!X190+'2020'!X190+'2021'!X190+'2022'!X168</f>
        <v>0</v>
      </c>
      <c r="Y190" s="174">
        <f t="shared" si="27"/>
        <v>23</v>
      </c>
      <c r="Z190" s="174">
        <f>'2018'!Z190+'2019'!Z190+'2020'!Z190+'2021'!Z190+'2022'!Z168</f>
        <v>5</v>
      </c>
      <c r="AA190" s="174">
        <f>'2018'!AA190+'2019'!AA190+'2020'!AA190+'2021'!AA190+'2022'!AA168</f>
        <v>5</v>
      </c>
      <c r="AB190" s="174">
        <f>'2018'!AB190+'2019'!AB190+'2020'!AB190+'2021'!AB190+'2022'!AB168</f>
        <v>10</v>
      </c>
      <c r="AC190" s="174">
        <f>'2018'!AC190+'2019'!AC190+'2020'!AC190+'2021'!AC190+'2022'!AC168</f>
        <v>10</v>
      </c>
      <c r="AD190" s="174">
        <f>'2018'!AD190+'2019'!AD190+'2020'!AD190+'2021'!AD190+'2022'!AD168</f>
        <v>0</v>
      </c>
      <c r="AE190" s="174">
        <f>'2018'!AE190+'2019'!AE190+'2020'!AE190+'2021'!AE190+'2022'!AE168</f>
        <v>0</v>
      </c>
      <c r="AF190" s="174">
        <f>'2018'!AF190+'2019'!AF190+'2020'!AF190+'2021'!AF190+'2022'!AF168</f>
        <v>0</v>
      </c>
      <c r="AG190" s="174">
        <f>'2018'!AG190+'2019'!AG190+'2020'!AG190+'2021'!AG190+'2022'!AG168</f>
        <v>0</v>
      </c>
      <c r="AH190" s="174">
        <f>'2018'!AH190+'2019'!AH190+'2020'!AH190+'2021'!AH190+'2022'!AH168</f>
        <v>0</v>
      </c>
      <c r="AI190" s="174">
        <f>'2018'!AI190+'2019'!AI190+'2020'!AI190+'2021'!AI190+'2022'!AI168</f>
        <v>0</v>
      </c>
      <c r="AJ190" s="174">
        <f>'2018'!AJ190+'2019'!AJ190+'2020'!AJ190+'2021'!AJ190+'2022'!AJ168</f>
        <v>0</v>
      </c>
      <c r="AK190" s="174">
        <f>'2018'!AK190+'2019'!AK190+'2020'!AK190+'2021'!AK190+'2022'!AK168</f>
        <v>0</v>
      </c>
      <c r="AL190" s="174">
        <f>'2018'!AL190+'2019'!AL190+'2020'!AL190+'2021'!AL190+'2022'!AL168</f>
        <v>0</v>
      </c>
      <c r="AM190" s="174">
        <f>'2018'!AM190+'2019'!AM190+'2020'!AM190+'2021'!AM190+'2022'!AM168</f>
        <v>0</v>
      </c>
      <c r="AN190" s="174">
        <f>'2018'!AN190+'2019'!AN190+'2020'!AN190+'2021'!AN190+'2022'!AN168</f>
        <v>0</v>
      </c>
      <c r="AO190" s="174">
        <f>'2018'!AO190+'2019'!AO190+'2020'!AO190+'2021'!AO190+'2022'!AO168</f>
        <v>0</v>
      </c>
      <c r="AP190" s="174">
        <f>'2018'!AP190+'2019'!AP190+'2020'!AP190+'2021'!AP190+'2022'!AP168</f>
        <v>0</v>
      </c>
      <c r="AQ190" s="174">
        <f>'2018'!AQ190+'2019'!AQ190+'2020'!AQ190+'2021'!AQ190+'2022'!AQ168</f>
        <v>0</v>
      </c>
      <c r="AR190" s="174">
        <f>'2018'!AR190+'2019'!AR190+'2020'!AR190+'2021'!AR190+'2022'!AR168</f>
        <v>0</v>
      </c>
      <c r="AS190" s="174">
        <f>'2018'!AS190+'2019'!AS190+'2020'!AS190+'2021'!AS190+'2022'!AS168</f>
        <v>8</v>
      </c>
      <c r="AT190" s="174">
        <f>'2018'!AT190+'2019'!AT190+'2020'!AT190+'2021'!AT190+'2022'!AT168</f>
        <v>2</v>
      </c>
      <c r="AU190" s="174">
        <f>'2018'!AU190+'2019'!AU190+'2020'!AU190+'2021'!AU190+'2022'!AU168</f>
        <v>0</v>
      </c>
      <c r="AV190" s="174">
        <f>'2018'!AV190+'2019'!AV190+'2020'!AV190+'2021'!AV190+'2022'!AV168</f>
        <v>0</v>
      </c>
      <c r="AW190" s="174">
        <f t="shared" si="22"/>
        <v>10</v>
      </c>
      <c r="AX190" s="156">
        <f t="shared" si="24"/>
        <v>1049.0666666666668</v>
      </c>
      <c r="AY190" s="14">
        <f>'2018'!AX190+'2019'!AX190+'2020'!AX190+'2021'!AX190+'2022'!AX168</f>
        <v>5245.3333333333339</v>
      </c>
      <c r="AZ190" s="14">
        <f t="shared" si="29"/>
        <v>43.478260869565219</v>
      </c>
      <c r="BA190" s="142"/>
      <c r="BB190" s="144"/>
      <c r="BC190" s="142"/>
    </row>
    <row r="191" spans="1:61" x14ac:dyDescent="0.25">
      <c r="A191" s="175" t="s">
        <v>268</v>
      </c>
      <c r="B191" s="176">
        <f>'2018'!B191+'2019'!B191+'2020'!B191+'2021'!B191+'2022'!B169</f>
        <v>10</v>
      </c>
      <c r="C191" s="176">
        <f>'2018'!C191+'2019'!C191+'2020'!C191+'2021'!C191+'2022'!C169</f>
        <v>9</v>
      </c>
      <c r="D191" s="176">
        <f>'2018'!D191+'2019'!D191+'2020'!D191+'2021'!D191+'2022'!D169</f>
        <v>18</v>
      </c>
      <c r="E191" s="176">
        <f>'2018'!E191+'2019'!E191+'2020'!E191+'2021'!E191+'2022'!E169</f>
        <v>17</v>
      </c>
      <c r="F191" s="176">
        <f>'2018'!F191+'2019'!F191+'2020'!F191+'2021'!F191+'2022'!F169</f>
        <v>0</v>
      </c>
      <c r="G191" s="176">
        <f>'2018'!G191+'2019'!G191+'2020'!G191+'2021'!G191+'2022'!G169</f>
        <v>0</v>
      </c>
      <c r="H191" s="176">
        <f>'2018'!H191+'2019'!H191+'2020'!H191+'2021'!H191+'2022'!H169</f>
        <v>0</v>
      </c>
      <c r="I191" s="176">
        <f>'2018'!I191+'2019'!I191+'2020'!I191+'2021'!I191+'2022'!I169</f>
        <v>0</v>
      </c>
      <c r="J191" s="176">
        <f>'2018'!J191+'2019'!J191+'2020'!J191+'2021'!J191+'2022'!J169</f>
        <v>0</v>
      </c>
      <c r="K191" s="176">
        <f>'2018'!K191+'2019'!K191+'2020'!K191+'2021'!K191+'2022'!K169</f>
        <v>0</v>
      </c>
      <c r="L191" s="176">
        <f>'2018'!L191+'2019'!L191+'2020'!L191+'2021'!L191+'2022'!L169</f>
        <v>0</v>
      </c>
      <c r="M191" s="176">
        <f>'2018'!M191+'2019'!M191+'2020'!M191+'2021'!M191+'2022'!M169</f>
        <v>0</v>
      </c>
      <c r="N191" s="176">
        <f>'2018'!N191+'2019'!N191+'2020'!N191+'2021'!N191+'2022'!N169</f>
        <v>0</v>
      </c>
      <c r="O191" s="176">
        <f>'2018'!O191+'2019'!O191+'2020'!O191+'2021'!O191+'2022'!O169</f>
        <v>0</v>
      </c>
      <c r="P191" s="176">
        <f>'2018'!P191+'2019'!P191+'2020'!P191+'2021'!P191+'2022'!P169</f>
        <v>0</v>
      </c>
      <c r="Q191" s="176">
        <f>'2018'!Q191+'2019'!Q191+'2020'!Q191+'2021'!Q191+'2022'!Q169</f>
        <v>0</v>
      </c>
      <c r="R191" s="176">
        <f>'2018'!R191+'2019'!R191+'2020'!R191+'2021'!R191+'2022'!R169</f>
        <v>0</v>
      </c>
      <c r="S191" s="176">
        <f>'2018'!S191+'2019'!S191+'2020'!S191+'2021'!S191+'2022'!S169</f>
        <v>0</v>
      </c>
      <c r="T191" s="176">
        <f>'2018'!T191+'2019'!T191+'2020'!T191+'2021'!T191+'2022'!T169</f>
        <v>0</v>
      </c>
      <c r="U191" s="176">
        <f>'2018'!U191+'2019'!U191+'2020'!U191+'2021'!U191+'2022'!U169</f>
        <v>14</v>
      </c>
      <c r="V191" s="176">
        <f>'2018'!V191+'2019'!V191+'2020'!V191+'2021'!V191+'2022'!V169</f>
        <v>4</v>
      </c>
      <c r="W191" s="176">
        <f>'2018'!W191+'2019'!W191+'2020'!W191+'2021'!W191+'2022'!W169</f>
        <v>0</v>
      </c>
      <c r="X191" s="176">
        <f>'2018'!X191+'2019'!X191+'2020'!X191+'2021'!X191+'2022'!X169</f>
        <v>0</v>
      </c>
      <c r="Y191" s="174">
        <f t="shared" si="27"/>
        <v>18</v>
      </c>
      <c r="Z191" s="174">
        <f>'2018'!Z191+'2019'!Z191+'2020'!Z191+'2021'!Z191+'2022'!Z169</f>
        <v>5</v>
      </c>
      <c r="AA191" s="174">
        <f>'2018'!AA191+'2019'!AA191+'2020'!AA191+'2021'!AA191+'2022'!AA169</f>
        <v>5</v>
      </c>
      <c r="AB191" s="174">
        <f>'2018'!AB191+'2019'!AB191+'2020'!AB191+'2021'!AB191+'2022'!AB169</f>
        <v>12</v>
      </c>
      <c r="AC191" s="174">
        <f>'2018'!AC191+'2019'!AC191+'2020'!AC191+'2021'!AC191+'2022'!AC169</f>
        <v>12</v>
      </c>
      <c r="AD191" s="174">
        <f>'2018'!AD191+'2019'!AD191+'2020'!AD191+'2021'!AD191+'2022'!AD169</f>
        <v>0</v>
      </c>
      <c r="AE191" s="174">
        <f>'2018'!AE191+'2019'!AE191+'2020'!AE191+'2021'!AE191+'2022'!AE169</f>
        <v>0</v>
      </c>
      <c r="AF191" s="174">
        <f>'2018'!AF191+'2019'!AF191+'2020'!AF191+'2021'!AF191+'2022'!AF169</f>
        <v>0</v>
      </c>
      <c r="AG191" s="174">
        <f>'2018'!AG191+'2019'!AG191+'2020'!AG191+'2021'!AG191+'2022'!AG169</f>
        <v>0</v>
      </c>
      <c r="AH191" s="174">
        <f>'2018'!AH191+'2019'!AH191+'2020'!AH191+'2021'!AH191+'2022'!AH169</f>
        <v>0</v>
      </c>
      <c r="AI191" s="174">
        <f>'2018'!AI191+'2019'!AI191+'2020'!AI191+'2021'!AI191+'2022'!AI169</f>
        <v>0</v>
      </c>
      <c r="AJ191" s="174">
        <f>'2018'!AJ191+'2019'!AJ191+'2020'!AJ191+'2021'!AJ191+'2022'!AJ169</f>
        <v>0</v>
      </c>
      <c r="AK191" s="174">
        <f>'2018'!AK191+'2019'!AK191+'2020'!AK191+'2021'!AK191+'2022'!AK169</f>
        <v>0</v>
      </c>
      <c r="AL191" s="174">
        <f>'2018'!AL191+'2019'!AL191+'2020'!AL191+'2021'!AL191+'2022'!AL169</f>
        <v>0</v>
      </c>
      <c r="AM191" s="174">
        <f>'2018'!AM191+'2019'!AM191+'2020'!AM191+'2021'!AM191+'2022'!AM169</f>
        <v>0</v>
      </c>
      <c r="AN191" s="174">
        <f>'2018'!AN191+'2019'!AN191+'2020'!AN191+'2021'!AN191+'2022'!AN169</f>
        <v>0</v>
      </c>
      <c r="AO191" s="174">
        <f>'2018'!AO191+'2019'!AO191+'2020'!AO191+'2021'!AO191+'2022'!AO169</f>
        <v>0</v>
      </c>
      <c r="AP191" s="174">
        <f>'2018'!AP191+'2019'!AP191+'2020'!AP191+'2021'!AP191+'2022'!AP169</f>
        <v>0</v>
      </c>
      <c r="AQ191" s="174">
        <f>'2018'!AQ191+'2019'!AQ191+'2020'!AQ191+'2021'!AQ191+'2022'!AQ169</f>
        <v>0</v>
      </c>
      <c r="AR191" s="174">
        <f>'2018'!AR191+'2019'!AR191+'2020'!AR191+'2021'!AR191+'2022'!AR169</f>
        <v>0</v>
      </c>
      <c r="AS191" s="174">
        <f>'2018'!AS191+'2019'!AS191+'2020'!AS191+'2021'!AS191+'2022'!AS169</f>
        <v>11</v>
      </c>
      <c r="AT191" s="174">
        <f>'2018'!AT191+'2019'!AT191+'2020'!AT191+'2021'!AT191+'2022'!AT169</f>
        <v>1</v>
      </c>
      <c r="AU191" s="174">
        <f>'2018'!AU191+'2019'!AU191+'2020'!AU191+'2021'!AU191+'2022'!AU169</f>
        <v>0</v>
      </c>
      <c r="AV191" s="174">
        <f>'2018'!AV191+'2019'!AV191+'2020'!AV191+'2021'!AV191+'2022'!AV169</f>
        <v>0</v>
      </c>
      <c r="AW191" s="174">
        <f t="shared" si="22"/>
        <v>12</v>
      </c>
      <c r="AX191" s="156">
        <f t="shared" si="24"/>
        <v>1662.4</v>
      </c>
      <c r="AY191" s="14">
        <f>'2018'!AX191+'2019'!AX191+'2020'!AX191+'2021'!AX191+'2022'!AX169</f>
        <v>8312</v>
      </c>
      <c r="AZ191" s="14">
        <f t="shared" si="29"/>
        <v>66.666666666666671</v>
      </c>
      <c r="BA191" s="142"/>
      <c r="BB191" s="144"/>
      <c r="BC191" s="142"/>
    </row>
    <row r="192" spans="1:61" x14ac:dyDescent="0.25">
      <c r="A192" s="175" t="s">
        <v>269</v>
      </c>
      <c r="B192" s="176">
        <f>'2018'!B192+'2019'!B192+'2020'!B192+'2021'!B192+'2022'!B170</f>
        <v>3</v>
      </c>
      <c r="C192" s="176">
        <f>'2018'!C192+'2019'!C192+'2020'!C192+'2021'!C192+'2022'!C170</f>
        <v>3</v>
      </c>
      <c r="D192" s="176">
        <f>'2018'!D192+'2019'!D192+'2020'!D192+'2021'!D192+'2022'!D170</f>
        <v>31</v>
      </c>
      <c r="E192" s="176">
        <f>'2018'!E192+'2019'!E192+'2020'!E192+'2021'!E192+'2022'!E170</f>
        <v>31</v>
      </c>
      <c r="F192" s="176">
        <f>'2018'!F192+'2019'!F192+'2020'!F192+'2021'!F192+'2022'!F170</f>
        <v>0</v>
      </c>
      <c r="G192" s="176">
        <f>'2018'!G192+'2019'!G192+'2020'!G192+'2021'!G192+'2022'!G170</f>
        <v>0</v>
      </c>
      <c r="H192" s="176">
        <f>'2018'!H192+'2019'!H192+'2020'!H192+'2021'!H192+'2022'!H170</f>
        <v>0</v>
      </c>
      <c r="I192" s="176">
        <f>'2018'!I192+'2019'!I192+'2020'!I192+'2021'!I192+'2022'!I170</f>
        <v>0</v>
      </c>
      <c r="J192" s="176">
        <f>'2018'!J192+'2019'!J192+'2020'!J192+'2021'!J192+'2022'!J170</f>
        <v>0</v>
      </c>
      <c r="K192" s="176">
        <f>'2018'!K192+'2019'!K192+'2020'!K192+'2021'!K192+'2022'!K170</f>
        <v>0</v>
      </c>
      <c r="L192" s="176">
        <f>'2018'!L192+'2019'!L192+'2020'!L192+'2021'!L192+'2022'!L170</f>
        <v>0</v>
      </c>
      <c r="M192" s="176">
        <f>'2018'!M192+'2019'!M192+'2020'!M192+'2021'!M192+'2022'!M170</f>
        <v>0</v>
      </c>
      <c r="N192" s="176">
        <f>'2018'!N192+'2019'!N192+'2020'!N192+'2021'!N192+'2022'!N170</f>
        <v>0</v>
      </c>
      <c r="O192" s="176">
        <f>'2018'!O192+'2019'!O192+'2020'!O192+'2021'!O192+'2022'!O170</f>
        <v>0</v>
      </c>
      <c r="P192" s="176">
        <f>'2018'!P192+'2019'!P192+'2020'!P192+'2021'!P192+'2022'!P170</f>
        <v>0</v>
      </c>
      <c r="Q192" s="176">
        <f>'2018'!Q192+'2019'!Q192+'2020'!Q192+'2021'!Q192+'2022'!Q170</f>
        <v>0</v>
      </c>
      <c r="R192" s="176">
        <f>'2018'!R192+'2019'!R192+'2020'!R192+'2021'!R192+'2022'!R170</f>
        <v>0</v>
      </c>
      <c r="S192" s="176">
        <f>'2018'!S192+'2019'!S192+'2020'!S192+'2021'!S192+'2022'!S170</f>
        <v>0</v>
      </c>
      <c r="T192" s="176">
        <f>'2018'!T192+'2019'!T192+'2020'!T192+'2021'!T192+'2022'!T170</f>
        <v>0</v>
      </c>
      <c r="U192" s="176">
        <f>'2018'!U192+'2019'!U192+'2020'!U192+'2021'!U192+'2022'!U170</f>
        <v>27</v>
      </c>
      <c r="V192" s="176">
        <f>'2018'!V192+'2019'!V192+'2020'!V192+'2021'!V192+'2022'!V170</f>
        <v>4</v>
      </c>
      <c r="W192" s="176">
        <f>'2018'!W192+'2019'!W192+'2020'!W192+'2021'!W192+'2022'!W170</f>
        <v>0</v>
      </c>
      <c r="X192" s="176">
        <f>'2018'!X192+'2019'!X192+'2020'!X192+'2021'!X192+'2022'!X170</f>
        <v>0</v>
      </c>
      <c r="Y192" s="174">
        <f t="shared" si="27"/>
        <v>31</v>
      </c>
      <c r="Z192" s="174">
        <f>'2018'!Z192+'2019'!Z192+'2020'!Z192+'2021'!Z192+'2022'!Z170</f>
        <v>3</v>
      </c>
      <c r="AA192" s="174">
        <f>'2018'!AA192+'2019'!AA192+'2020'!AA192+'2021'!AA192+'2022'!AA170</f>
        <v>3</v>
      </c>
      <c r="AB192" s="174">
        <f>'2018'!AB192+'2019'!AB192+'2020'!AB192+'2021'!AB192+'2022'!AB170</f>
        <v>31</v>
      </c>
      <c r="AC192" s="174">
        <f>'2018'!AC192+'2019'!AC192+'2020'!AC192+'2021'!AC192+'2022'!AC170</f>
        <v>31</v>
      </c>
      <c r="AD192" s="174">
        <f>'2018'!AD192+'2019'!AD192+'2020'!AD192+'2021'!AD192+'2022'!AD170</f>
        <v>0</v>
      </c>
      <c r="AE192" s="174">
        <f>'2018'!AE192+'2019'!AE192+'2020'!AE192+'2021'!AE192+'2022'!AE170</f>
        <v>0</v>
      </c>
      <c r="AF192" s="174">
        <f>'2018'!AF192+'2019'!AF192+'2020'!AF192+'2021'!AF192+'2022'!AF170</f>
        <v>0</v>
      </c>
      <c r="AG192" s="174">
        <f>'2018'!AG192+'2019'!AG192+'2020'!AG192+'2021'!AG192+'2022'!AG170</f>
        <v>0</v>
      </c>
      <c r="AH192" s="174">
        <f>'2018'!AH192+'2019'!AH192+'2020'!AH192+'2021'!AH192+'2022'!AH170</f>
        <v>0</v>
      </c>
      <c r="AI192" s="174">
        <f>'2018'!AI192+'2019'!AI192+'2020'!AI192+'2021'!AI192+'2022'!AI170</f>
        <v>0</v>
      </c>
      <c r="AJ192" s="174">
        <f>'2018'!AJ192+'2019'!AJ192+'2020'!AJ192+'2021'!AJ192+'2022'!AJ170</f>
        <v>0</v>
      </c>
      <c r="AK192" s="174">
        <f>'2018'!AK192+'2019'!AK192+'2020'!AK192+'2021'!AK192+'2022'!AK170</f>
        <v>0</v>
      </c>
      <c r="AL192" s="174">
        <f>'2018'!AL192+'2019'!AL192+'2020'!AL192+'2021'!AL192+'2022'!AL170</f>
        <v>0</v>
      </c>
      <c r="AM192" s="174">
        <f>'2018'!AM192+'2019'!AM192+'2020'!AM192+'2021'!AM192+'2022'!AM170</f>
        <v>0</v>
      </c>
      <c r="AN192" s="174">
        <f>'2018'!AN192+'2019'!AN192+'2020'!AN192+'2021'!AN192+'2022'!AN170</f>
        <v>0</v>
      </c>
      <c r="AO192" s="174">
        <f>'2018'!AO192+'2019'!AO192+'2020'!AO192+'2021'!AO192+'2022'!AO170</f>
        <v>0</v>
      </c>
      <c r="AP192" s="174">
        <f>'2018'!AP192+'2019'!AP192+'2020'!AP192+'2021'!AP192+'2022'!AP170</f>
        <v>0</v>
      </c>
      <c r="AQ192" s="174">
        <f>'2018'!AQ192+'2019'!AQ192+'2020'!AQ192+'2021'!AQ192+'2022'!AQ170</f>
        <v>0</v>
      </c>
      <c r="AR192" s="174">
        <f>'2018'!AR192+'2019'!AR192+'2020'!AR192+'2021'!AR192+'2022'!AR170</f>
        <v>0</v>
      </c>
      <c r="AS192" s="174">
        <f>'2018'!AS192+'2019'!AS192+'2020'!AS192+'2021'!AS192+'2022'!AS170</f>
        <v>27</v>
      </c>
      <c r="AT192" s="174">
        <f>'2018'!AT192+'2019'!AT192+'2020'!AT192+'2021'!AT192+'2022'!AT170</f>
        <v>4</v>
      </c>
      <c r="AU192" s="174">
        <f>'2018'!AU192+'2019'!AU192+'2020'!AU192+'2021'!AU192+'2022'!AU170</f>
        <v>0</v>
      </c>
      <c r="AV192" s="174">
        <f>'2018'!AV192+'2019'!AV192+'2020'!AV192+'2021'!AV192+'2022'!AV170</f>
        <v>0</v>
      </c>
      <c r="AW192" s="174">
        <f t="shared" si="22"/>
        <v>31</v>
      </c>
      <c r="AX192" s="156">
        <f t="shared" si="24"/>
        <v>110.22200000000001</v>
      </c>
      <c r="AY192" s="14">
        <f>'2018'!AX192+'2019'!AX192+'2020'!AX192+'2021'!AX192+'2022'!AX170</f>
        <v>551.11</v>
      </c>
      <c r="AZ192" s="14">
        <f t="shared" si="29"/>
        <v>100</v>
      </c>
      <c r="BA192" s="142"/>
      <c r="BB192" s="144"/>
      <c r="BC192" s="142"/>
    </row>
    <row r="193" spans="1:136" x14ac:dyDescent="0.25">
      <c r="A193" s="175" t="s">
        <v>270</v>
      </c>
      <c r="B193" s="176">
        <f>'2018'!B193+'2019'!B193+'2020'!B193+'2021'!B193+'2022'!B171</f>
        <v>11</v>
      </c>
      <c r="C193" s="176">
        <f>'2018'!C193+'2019'!C193+'2020'!C193+'2021'!C193+'2022'!C171</f>
        <v>9</v>
      </c>
      <c r="D193" s="176">
        <f>'2018'!D193+'2019'!D193+'2020'!D193+'2021'!D193+'2022'!D171</f>
        <v>22</v>
      </c>
      <c r="E193" s="176">
        <f>'2018'!E193+'2019'!E193+'2020'!E193+'2021'!E193+'2022'!E171</f>
        <v>20</v>
      </c>
      <c r="F193" s="176">
        <f>'2018'!F193+'2019'!F193+'2020'!F193+'2021'!F193+'2022'!F171</f>
        <v>0</v>
      </c>
      <c r="G193" s="176">
        <f>'2018'!G193+'2019'!G193+'2020'!G193+'2021'!G193+'2022'!G171</f>
        <v>0</v>
      </c>
      <c r="H193" s="176">
        <f>'2018'!H193+'2019'!H193+'2020'!H193+'2021'!H193+'2022'!H171</f>
        <v>0</v>
      </c>
      <c r="I193" s="176">
        <f>'2018'!I193+'2019'!I193+'2020'!I193+'2021'!I193+'2022'!I171</f>
        <v>0</v>
      </c>
      <c r="J193" s="176">
        <f>'2018'!J193+'2019'!J193+'2020'!J193+'2021'!J193+'2022'!J171</f>
        <v>0</v>
      </c>
      <c r="K193" s="176">
        <f>'2018'!K193+'2019'!K193+'2020'!K193+'2021'!K193+'2022'!K171</f>
        <v>0</v>
      </c>
      <c r="L193" s="176">
        <f>'2018'!L193+'2019'!L193+'2020'!L193+'2021'!L193+'2022'!L171</f>
        <v>0</v>
      </c>
      <c r="M193" s="176">
        <f>'2018'!M193+'2019'!M193+'2020'!M193+'2021'!M193+'2022'!M171</f>
        <v>0</v>
      </c>
      <c r="N193" s="176">
        <f>'2018'!N193+'2019'!N193+'2020'!N193+'2021'!N193+'2022'!N171</f>
        <v>0</v>
      </c>
      <c r="O193" s="176">
        <f>'2018'!O193+'2019'!O193+'2020'!O193+'2021'!O193+'2022'!O171</f>
        <v>0</v>
      </c>
      <c r="P193" s="176">
        <f>'2018'!P193+'2019'!P193+'2020'!P193+'2021'!P193+'2022'!P171</f>
        <v>0</v>
      </c>
      <c r="Q193" s="176">
        <f>'2018'!Q193+'2019'!Q193+'2020'!Q193+'2021'!Q193+'2022'!Q171</f>
        <v>0</v>
      </c>
      <c r="R193" s="176">
        <f>'2018'!R193+'2019'!R193+'2020'!R193+'2021'!R193+'2022'!R171</f>
        <v>0</v>
      </c>
      <c r="S193" s="176">
        <f>'2018'!S193+'2019'!S193+'2020'!S193+'2021'!S193+'2022'!S171</f>
        <v>0</v>
      </c>
      <c r="T193" s="176">
        <f>'2018'!T193+'2019'!T193+'2020'!T193+'2021'!T193+'2022'!T171</f>
        <v>0</v>
      </c>
      <c r="U193" s="176">
        <f>'2018'!U193+'2019'!U193+'2020'!U193+'2021'!U193+'2022'!U171</f>
        <v>3</v>
      </c>
      <c r="V193" s="176">
        <f>'2018'!V193+'2019'!V193+'2020'!V193+'2021'!V193+'2022'!V171</f>
        <v>17</v>
      </c>
      <c r="W193" s="176">
        <f>'2018'!W193+'2019'!W193+'2020'!W193+'2021'!W193+'2022'!W171</f>
        <v>0</v>
      </c>
      <c r="X193" s="176">
        <f>'2018'!X193+'2019'!X193+'2020'!X193+'2021'!X193+'2022'!X171</f>
        <v>2</v>
      </c>
      <c r="Y193" s="174">
        <f t="shared" si="27"/>
        <v>22</v>
      </c>
      <c r="Z193" s="174">
        <f>'2018'!Z193+'2019'!Z193+'2020'!Z193+'2021'!Z193+'2022'!Z171</f>
        <v>7</v>
      </c>
      <c r="AA193" s="174">
        <f>'2018'!AA193+'2019'!AA193+'2020'!AA193+'2021'!AA193+'2022'!AA171</f>
        <v>5</v>
      </c>
      <c r="AB193" s="174">
        <f>'2018'!AB193+'2019'!AB193+'2020'!AB193+'2021'!AB193+'2022'!AB171</f>
        <v>20</v>
      </c>
      <c r="AC193" s="174">
        <f>'2018'!AC193+'2019'!AC193+'2020'!AC193+'2021'!AC193+'2022'!AC171</f>
        <v>12</v>
      </c>
      <c r="AD193" s="174">
        <f>'2018'!AD193+'2019'!AD193+'2020'!AD193+'2021'!AD193+'2022'!AD171</f>
        <v>0</v>
      </c>
      <c r="AE193" s="174">
        <f>'2018'!AE193+'2019'!AE193+'2020'!AE193+'2021'!AE193+'2022'!AE171</f>
        <v>0</v>
      </c>
      <c r="AF193" s="174">
        <f>'2018'!AF193+'2019'!AF193+'2020'!AF193+'2021'!AF193+'2022'!AF171</f>
        <v>0</v>
      </c>
      <c r="AG193" s="174">
        <f>'2018'!AG193+'2019'!AG193+'2020'!AG193+'2021'!AG193+'2022'!AG171</f>
        <v>0</v>
      </c>
      <c r="AH193" s="174">
        <f>'2018'!AH193+'2019'!AH193+'2020'!AH193+'2021'!AH193+'2022'!AH171</f>
        <v>0</v>
      </c>
      <c r="AI193" s="174">
        <f>'2018'!AI193+'2019'!AI193+'2020'!AI193+'2021'!AI193+'2022'!AI171</f>
        <v>0</v>
      </c>
      <c r="AJ193" s="174">
        <f>'2018'!AJ193+'2019'!AJ193+'2020'!AJ193+'2021'!AJ193+'2022'!AJ171</f>
        <v>0</v>
      </c>
      <c r="AK193" s="174">
        <f>'2018'!AK193+'2019'!AK193+'2020'!AK193+'2021'!AK193+'2022'!AK171</f>
        <v>0</v>
      </c>
      <c r="AL193" s="174">
        <f>'2018'!AL193+'2019'!AL193+'2020'!AL193+'2021'!AL193+'2022'!AL171</f>
        <v>0</v>
      </c>
      <c r="AM193" s="174">
        <f>'2018'!AM193+'2019'!AM193+'2020'!AM193+'2021'!AM193+'2022'!AM171</f>
        <v>0</v>
      </c>
      <c r="AN193" s="174">
        <f>'2018'!AN193+'2019'!AN193+'2020'!AN193+'2021'!AN193+'2022'!AN171</f>
        <v>0</v>
      </c>
      <c r="AO193" s="174">
        <f>'2018'!AO193+'2019'!AO193+'2020'!AO193+'2021'!AO193+'2022'!AO171</f>
        <v>0</v>
      </c>
      <c r="AP193" s="174">
        <f>'2018'!AP193+'2019'!AP193+'2020'!AP193+'2021'!AP193+'2022'!AP171</f>
        <v>0</v>
      </c>
      <c r="AQ193" s="174">
        <f>'2018'!AQ193+'2019'!AQ193+'2020'!AQ193+'2021'!AQ193+'2022'!AQ171</f>
        <v>0</v>
      </c>
      <c r="AR193" s="174">
        <f>'2018'!AR193+'2019'!AR193+'2020'!AR193+'2021'!AR193+'2022'!AR171</f>
        <v>0</v>
      </c>
      <c r="AS193" s="174">
        <f>'2018'!AS193+'2019'!AS193+'2020'!AS193+'2021'!AS193+'2022'!AS171</f>
        <v>4</v>
      </c>
      <c r="AT193" s="174">
        <f>'2018'!AT193+'2019'!AT193+'2020'!AT193+'2021'!AT193+'2022'!AT171</f>
        <v>14</v>
      </c>
      <c r="AU193" s="174">
        <f>'2018'!AU193+'2019'!AU193+'2020'!AU193+'2021'!AU193+'2022'!AU171</f>
        <v>0</v>
      </c>
      <c r="AV193" s="174">
        <f>'2018'!AV193+'2019'!AV193+'2020'!AV193+'2021'!AV193+'2022'!AV171</f>
        <v>2</v>
      </c>
      <c r="AW193" s="174">
        <f t="shared" si="22"/>
        <v>20</v>
      </c>
      <c r="AX193" s="156">
        <f t="shared" si="24"/>
        <v>2255.3333333333335</v>
      </c>
      <c r="AY193" s="14">
        <f>'2018'!AX193+'2019'!AX193+'2020'!AX193+'2021'!AX193+'2022'!AX171</f>
        <v>11276.666666666668</v>
      </c>
      <c r="AZ193" s="14">
        <f t="shared" si="29"/>
        <v>90.909090909090907</v>
      </c>
      <c r="BA193" s="142"/>
      <c r="BB193" s="144"/>
      <c r="BC193" s="142"/>
    </row>
    <row r="194" spans="1:136" x14ac:dyDescent="0.25">
      <c r="A194" s="175" t="s">
        <v>271</v>
      </c>
      <c r="B194" s="176">
        <f>'2018'!B194+'2019'!B194+'2020'!B194+'2021'!B194+'2022'!B172</f>
        <v>11</v>
      </c>
      <c r="C194" s="176">
        <f>'2018'!C194+'2019'!C194+'2020'!C194+'2021'!C194+'2022'!C172</f>
        <v>9</v>
      </c>
      <c r="D194" s="176">
        <f>'2018'!D194+'2019'!D194+'2020'!D194+'2021'!D194+'2022'!D172</f>
        <v>86</v>
      </c>
      <c r="E194" s="176">
        <f>'2018'!E194+'2019'!E194+'2020'!E194+'2021'!E194+'2022'!E172</f>
        <v>79</v>
      </c>
      <c r="F194" s="176">
        <f>'2018'!F194+'2019'!F194+'2020'!F194+'2021'!F194+'2022'!F172</f>
        <v>0</v>
      </c>
      <c r="G194" s="176">
        <f>'2018'!G194+'2019'!G194+'2020'!G194+'2021'!G194+'2022'!G172</f>
        <v>0</v>
      </c>
      <c r="H194" s="176">
        <f>'2018'!H194+'2019'!H194+'2020'!H194+'2021'!H194+'2022'!H172</f>
        <v>4</v>
      </c>
      <c r="I194" s="176">
        <f>'2018'!I194+'2019'!I194+'2020'!I194+'2021'!I194+'2022'!I172</f>
        <v>0</v>
      </c>
      <c r="J194" s="176">
        <f>'2018'!J194+'2019'!J194+'2020'!J194+'2021'!J194+'2022'!J172</f>
        <v>0</v>
      </c>
      <c r="K194" s="176">
        <f>'2018'!K194+'2019'!K194+'2020'!K194+'2021'!K194+'2022'!K172</f>
        <v>0</v>
      </c>
      <c r="L194" s="176">
        <f>'2018'!L194+'2019'!L194+'2020'!L194+'2021'!L194+'2022'!L172</f>
        <v>0</v>
      </c>
      <c r="M194" s="176">
        <f>'2018'!M194+'2019'!M194+'2020'!M194+'2021'!M194+'2022'!M172</f>
        <v>0</v>
      </c>
      <c r="N194" s="176">
        <f>'2018'!N194+'2019'!N194+'2020'!N194+'2021'!N194+'2022'!N172</f>
        <v>0</v>
      </c>
      <c r="O194" s="176">
        <f>'2018'!O194+'2019'!O194+'2020'!O194+'2021'!O194+'2022'!O172</f>
        <v>0</v>
      </c>
      <c r="P194" s="176">
        <f>'2018'!P194+'2019'!P194+'2020'!P194+'2021'!P194+'2022'!P172</f>
        <v>0</v>
      </c>
      <c r="Q194" s="176">
        <f>'2018'!Q194+'2019'!Q194+'2020'!Q194+'2021'!Q194+'2022'!Q172</f>
        <v>0</v>
      </c>
      <c r="R194" s="176">
        <f>'2018'!R194+'2019'!R194+'2020'!R194+'2021'!R194+'2022'!R172</f>
        <v>0</v>
      </c>
      <c r="S194" s="176">
        <f>'2018'!S194+'2019'!S194+'2020'!S194+'2021'!S194+'2022'!S172</f>
        <v>5</v>
      </c>
      <c r="T194" s="176">
        <f>'2018'!T194+'2019'!T194+'2020'!T194+'2021'!T194+'2022'!T172</f>
        <v>0</v>
      </c>
      <c r="U194" s="176">
        <f>'2018'!U194+'2019'!U194+'2020'!U194+'2021'!U194+'2022'!U172</f>
        <v>10</v>
      </c>
      <c r="V194" s="176">
        <f>'2018'!V194+'2019'!V194+'2020'!V194+'2021'!V194+'2022'!V172</f>
        <v>67</v>
      </c>
      <c r="W194" s="176">
        <f>'2018'!W194+'2019'!W194+'2020'!W194+'2021'!W194+'2022'!W172</f>
        <v>0</v>
      </c>
      <c r="X194" s="176">
        <f>'2018'!X194+'2019'!X194+'2020'!X194+'2021'!X194+'2022'!X172</f>
        <v>0</v>
      </c>
      <c r="Y194" s="174">
        <f t="shared" si="27"/>
        <v>86</v>
      </c>
      <c r="Z194" s="174">
        <f>'2018'!Z194+'2019'!Z194+'2020'!Z194+'2021'!Z194+'2022'!Z172</f>
        <v>10</v>
      </c>
      <c r="AA194" s="174">
        <f>'2018'!AA194+'2019'!AA194+'2020'!AA194+'2021'!AA194+'2022'!AA172</f>
        <v>6</v>
      </c>
      <c r="AB194" s="174">
        <f>'2018'!AB194+'2019'!AB194+'2020'!AB194+'2021'!AB194+'2022'!AB172</f>
        <v>80</v>
      </c>
      <c r="AC194" s="174">
        <f>'2018'!AC194+'2019'!AC194+'2020'!AC194+'2021'!AC194+'2022'!AC172</f>
        <v>74</v>
      </c>
      <c r="AD194" s="174">
        <f>'2018'!AD194+'2019'!AD194+'2020'!AD194+'2021'!AD194+'2022'!AD172</f>
        <v>0</v>
      </c>
      <c r="AE194" s="174">
        <f>'2018'!AE194+'2019'!AE194+'2020'!AE194+'2021'!AE194+'2022'!AE172</f>
        <v>0</v>
      </c>
      <c r="AF194" s="174">
        <f>'2018'!AF194+'2019'!AF194+'2020'!AF194+'2021'!AF194+'2022'!AF172</f>
        <v>4</v>
      </c>
      <c r="AG194" s="174">
        <f>'2018'!AG194+'2019'!AG194+'2020'!AG194+'2021'!AG194+'2022'!AG172</f>
        <v>0</v>
      </c>
      <c r="AH194" s="174">
        <f>'2018'!AH194+'2019'!AH194+'2020'!AH194+'2021'!AH194+'2022'!AH172</f>
        <v>0</v>
      </c>
      <c r="AI194" s="174">
        <f>'2018'!AI194+'2019'!AI194+'2020'!AI194+'2021'!AI194+'2022'!AI172</f>
        <v>0</v>
      </c>
      <c r="AJ194" s="174">
        <f>'2018'!AJ194+'2019'!AJ194+'2020'!AJ194+'2021'!AJ194+'2022'!AJ172</f>
        <v>0</v>
      </c>
      <c r="AK194" s="174">
        <f>'2018'!AK194+'2019'!AK194+'2020'!AK194+'2021'!AK194+'2022'!AK172</f>
        <v>0</v>
      </c>
      <c r="AL194" s="174">
        <f>'2018'!AL194+'2019'!AL194+'2020'!AL194+'2021'!AL194+'2022'!AL172</f>
        <v>0</v>
      </c>
      <c r="AM194" s="174">
        <f>'2018'!AM194+'2019'!AM194+'2020'!AM194+'2021'!AM194+'2022'!AM172</f>
        <v>0</v>
      </c>
      <c r="AN194" s="174">
        <f>'2018'!AN194+'2019'!AN194+'2020'!AN194+'2021'!AN194+'2022'!AN172</f>
        <v>0</v>
      </c>
      <c r="AO194" s="174">
        <f>'2018'!AO194+'2019'!AO194+'2020'!AO194+'2021'!AO194+'2022'!AO172</f>
        <v>0</v>
      </c>
      <c r="AP194" s="174">
        <f>'2018'!AP194+'2019'!AP194+'2020'!AP194+'2021'!AP194+'2022'!AP172</f>
        <v>0</v>
      </c>
      <c r="AQ194" s="174">
        <f>'2018'!AQ194+'2019'!AQ194+'2020'!AQ194+'2021'!AQ194+'2022'!AQ172</f>
        <v>0</v>
      </c>
      <c r="AR194" s="174">
        <f>'2018'!AR194+'2019'!AR194+'2020'!AR194+'2021'!AR194+'2022'!AR172</f>
        <v>0</v>
      </c>
      <c r="AS194" s="174">
        <f>'2018'!AS194+'2019'!AS194+'2020'!AS194+'2021'!AS194+'2022'!AS172</f>
        <v>9</v>
      </c>
      <c r="AT194" s="174">
        <f>'2018'!AT194+'2019'!AT194+'2020'!AT194+'2021'!AT194+'2022'!AT172</f>
        <v>67</v>
      </c>
      <c r="AU194" s="174">
        <f>'2018'!AU194+'2019'!AU194+'2020'!AU194+'2021'!AU194+'2022'!AU172</f>
        <v>0</v>
      </c>
      <c r="AV194" s="174">
        <f>'2018'!AV194+'2019'!AV194+'2020'!AV194+'2021'!AV194+'2022'!AV172</f>
        <v>0</v>
      </c>
      <c r="AW194" s="174">
        <f t="shared" si="22"/>
        <v>80</v>
      </c>
      <c r="AX194" s="156">
        <f t="shared" si="24"/>
        <v>1373.4666666666667</v>
      </c>
      <c r="AY194" s="14">
        <f>'2018'!AX194+'2019'!AX194+'2020'!AX194+'2021'!AX194+'2022'!AX172</f>
        <v>6867.333333333333</v>
      </c>
      <c r="AZ194" s="14">
        <f t="shared" si="29"/>
        <v>93.023255813953483</v>
      </c>
      <c r="BA194" s="142"/>
      <c r="BB194" s="144"/>
      <c r="BC194" s="142"/>
    </row>
    <row r="195" spans="1:136" x14ac:dyDescent="0.25">
      <c r="A195" s="173" t="s">
        <v>46</v>
      </c>
      <c r="B195" s="176">
        <f t="shared" ref="B195:X195" si="32">SUM(B196:B222)</f>
        <v>633</v>
      </c>
      <c r="C195" s="176">
        <f t="shared" si="32"/>
        <v>328</v>
      </c>
      <c r="D195" s="176">
        <f t="shared" si="32"/>
        <v>2560</v>
      </c>
      <c r="E195" s="176">
        <f t="shared" si="32"/>
        <v>1168</v>
      </c>
      <c r="F195" s="176">
        <f t="shared" si="32"/>
        <v>0</v>
      </c>
      <c r="G195" s="176">
        <f t="shared" si="32"/>
        <v>0</v>
      </c>
      <c r="H195" s="176">
        <f t="shared" si="32"/>
        <v>42</v>
      </c>
      <c r="I195" s="176">
        <f t="shared" si="32"/>
        <v>0</v>
      </c>
      <c r="J195" s="176">
        <f t="shared" si="32"/>
        <v>21</v>
      </c>
      <c r="K195" s="176">
        <f t="shared" si="32"/>
        <v>40</v>
      </c>
      <c r="L195" s="176">
        <f t="shared" si="32"/>
        <v>60</v>
      </c>
      <c r="M195" s="176">
        <f t="shared" si="32"/>
        <v>6</v>
      </c>
      <c r="N195" s="176">
        <f t="shared" si="32"/>
        <v>6</v>
      </c>
      <c r="O195" s="176">
        <f t="shared" si="32"/>
        <v>3</v>
      </c>
      <c r="P195" s="176">
        <f t="shared" si="32"/>
        <v>1</v>
      </c>
      <c r="Q195" s="176">
        <f t="shared" si="32"/>
        <v>1</v>
      </c>
      <c r="R195" s="176">
        <f t="shared" si="32"/>
        <v>46</v>
      </c>
      <c r="S195" s="176">
        <f t="shared" si="32"/>
        <v>8</v>
      </c>
      <c r="T195" s="176">
        <f t="shared" si="32"/>
        <v>109</v>
      </c>
      <c r="U195" s="176">
        <f t="shared" si="32"/>
        <v>1223</v>
      </c>
      <c r="V195" s="176">
        <f t="shared" si="32"/>
        <v>618</v>
      </c>
      <c r="W195" s="176">
        <f t="shared" si="32"/>
        <v>11</v>
      </c>
      <c r="X195" s="176">
        <f t="shared" si="32"/>
        <v>365</v>
      </c>
      <c r="Y195" s="174">
        <f t="shared" si="27"/>
        <v>2560</v>
      </c>
      <c r="Z195" s="176">
        <f t="shared" ref="Z195:AV195" si="33">SUM(Z196:Z222)</f>
        <v>418</v>
      </c>
      <c r="AA195" s="176">
        <f t="shared" si="33"/>
        <v>255</v>
      </c>
      <c r="AB195" s="176">
        <f t="shared" si="33"/>
        <v>1858</v>
      </c>
      <c r="AC195" s="176">
        <f t="shared" si="33"/>
        <v>1043</v>
      </c>
      <c r="AD195" s="176">
        <f t="shared" si="33"/>
        <v>0</v>
      </c>
      <c r="AE195" s="176">
        <f t="shared" si="33"/>
        <v>0</v>
      </c>
      <c r="AF195" s="176">
        <f t="shared" si="33"/>
        <v>20</v>
      </c>
      <c r="AG195" s="176">
        <f t="shared" si="33"/>
        <v>0</v>
      </c>
      <c r="AH195" s="176">
        <f t="shared" si="33"/>
        <v>20</v>
      </c>
      <c r="AI195" s="176">
        <f t="shared" si="33"/>
        <v>34</v>
      </c>
      <c r="AJ195" s="176">
        <f t="shared" si="33"/>
        <v>17</v>
      </c>
      <c r="AK195" s="176">
        <f t="shared" si="33"/>
        <v>2</v>
      </c>
      <c r="AL195" s="176">
        <f t="shared" si="33"/>
        <v>0</v>
      </c>
      <c r="AM195" s="176">
        <f t="shared" si="33"/>
        <v>0</v>
      </c>
      <c r="AN195" s="176">
        <f t="shared" si="33"/>
        <v>1</v>
      </c>
      <c r="AO195" s="176">
        <f t="shared" si="33"/>
        <v>1</v>
      </c>
      <c r="AP195" s="176">
        <f t="shared" si="33"/>
        <v>34</v>
      </c>
      <c r="AQ195" s="176">
        <f t="shared" si="33"/>
        <v>5</v>
      </c>
      <c r="AR195" s="176">
        <f t="shared" si="33"/>
        <v>107</v>
      </c>
      <c r="AS195" s="176">
        <f t="shared" si="33"/>
        <v>802</v>
      </c>
      <c r="AT195" s="176">
        <f t="shared" si="33"/>
        <v>601</v>
      </c>
      <c r="AU195" s="176">
        <f t="shared" si="33"/>
        <v>1</v>
      </c>
      <c r="AV195" s="176">
        <f t="shared" si="33"/>
        <v>213</v>
      </c>
      <c r="AW195" s="174">
        <f t="shared" si="22"/>
        <v>1858</v>
      </c>
      <c r="AX195" s="156">
        <v>1208.3399999999999</v>
      </c>
      <c r="AY195" s="63"/>
      <c r="AZ195" s="63"/>
      <c r="BA195" s="184">
        <f>Z195*100/B195</f>
        <v>66.034755134281198</v>
      </c>
      <c r="BB195" s="185">
        <f>B195-Z195</f>
        <v>215</v>
      </c>
      <c r="BC195" s="184">
        <f>BB195*100/B195</f>
        <v>33.965244865718802</v>
      </c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/>
      <c r="CC195" s="186"/>
      <c r="CD195" s="186"/>
      <c r="CE195" s="186"/>
      <c r="CF195" s="186"/>
      <c r="CG195" s="186"/>
      <c r="CH195" s="186"/>
      <c r="CI195" s="186"/>
      <c r="CJ195" s="186"/>
      <c r="CK195" s="186"/>
      <c r="CL195" s="186"/>
      <c r="CM195" s="186"/>
      <c r="CN195" s="186"/>
      <c r="CO195" s="186"/>
      <c r="CP195" s="186"/>
      <c r="CQ195" s="186"/>
      <c r="CR195" s="186"/>
      <c r="CS195" s="186"/>
      <c r="CT195" s="186"/>
      <c r="CU195" s="186"/>
      <c r="CV195" s="186"/>
      <c r="CW195" s="186"/>
      <c r="CX195" s="186"/>
      <c r="CY195" s="186"/>
      <c r="CZ195" s="186"/>
      <c r="DA195" s="186"/>
      <c r="DB195" s="186"/>
      <c r="DC195" s="186"/>
      <c r="DD195" s="186"/>
      <c r="DE195" s="186"/>
      <c r="DF195" s="186"/>
      <c r="DG195" s="186"/>
      <c r="DH195" s="186"/>
      <c r="DI195" s="186"/>
      <c r="DJ195" s="186"/>
      <c r="DK195" s="186"/>
      <c r="DL195" s="186"/>
      <c r="DM195" s="186"/>
      <c r="DN195" s="186"/>
      <c r="DO195" s="186"/>
      <c r="DP195" s="186"/>
      <c r="DQ195" s="186"/>
      <c r="DR195" s="186"/>
      <c r="DS195" s="186"/>
      <c r="DT195" s="186"/>
      <c r="DU195" s="186"/>
      <c r="DV195" s="186"/>
      <c r="DW195" s="186"/>
      <c r="DX195" s="186"/>
      <c r="DY195" s="186"/>
      <c r="DZ195" s="186"/>
      <c r="EA195" s="186"/>
      <c r="EB195" s="186"/>
      <c r="EC195" s="186"/>
      <c r="ED195" s="186"/>
      <c r="EE195" s="186"/>
      <c r="EF195" s="186"/>
    </row>
    <row r="196" spans="1:136" x14ac:dyDescent="0.25">
      <c r="A196" s="175" t="s">
        <v>115</v>
      </c>
      <c r="B196" s="176">
        <f>'2018'!B196+'2019'!B196+'2020'!B196+'2021'!B196+'2022'!B102</f>
        <v>49</v>
      </c>
      <c r="C196" s="176">
        <f>'2018'!C196+'2019'!C196+'2020'!C196+'2021'!C196+'2022'!C102</f>
        <v>21</v>
      </c>
      <c r="D196" s="176">
        <f>'2018'!D196+'2019'!D196+'2020'!D196+'2021'!D196+'2022'!D102</f>
        <v>344</v>
      </c>
      <c r="E196" s="176">
        <f>'2018'!E196+'2019'!E196+'2020'!E196+'2021'!E196+'2022'!E102</f>
        <v>106</v>
      </c>
      <c r="F196" s="176">
        <f>'2018'!F196+'2019'!F196+'2020'!F196+'2021'!F196+'2022'!F102</f>
        <v>0</v>
      </c>
      <c r="G196" s="176">
        <f>'2018'!G196+'2019'!G196+'2020'!G196+'2021'!G196+'2022'!G102</f>
        <v>0</v>
      </c>
      <c r="H196" s="176">
        <f>'2018'!H196+'2019'!H196+'2020'!H196+'2021'!H196+'2022'!H102</f>
        <v>3</v>
      </c>
      <c r="I196" s="176">
        <f>'2018'!I196+'2019'!I196+'2020'!I196+'2021'!I196+'2022'!I102</f>
        <v>0</v>
      </c>
      <c r="J196" s="176">
        <f>'2018'!J196+'2019'!J196+'2020'!J196+'2021'!J196+'2022'!J102</f>
        <v>0</v>
      </c>
      <c r="K196" s="176">
        <f>'2018'!K196+'2019'!K196+'2020'!K196+'2021'!K196+'2022'!K102</f>
        <v>1</v>
      </c>
      <c r="L196" s="176">
        <f>'2018'!L196+'2019'!L196+'2020'!L196+'2021'!L196+'2022'!L102</f>
        <v>0</v>
      </c>
      <c r="M196" s="176">
        <f>'2018'!M196+'2019'!M196+'2020'!M196+'2021'!M196+'2022'!M102</f>
        <v>0</v>
      </c>
      <c r="N196" s="176">
        <f>'2018'!N196+'2019'!N196+'2020'!N196+'2021'!N196+'2022'!N102</f>
        <v>0</v>
      </c>
      <c r="O196" s="176">
        <f>'2018'!O196+'2019'!O196+'2020'!O196+'2021'!O196+'2022'!O102</f>
        <v>0</v>
      </c>
      <c r="P196" s="176">
        <f>'2018'!P196+'2019'!P196+'2020'!P196+'2021'!P196+'2022'!P102</f>
        <v>0</v>
      </c>
      <c r="Q196" s="176">
        <f>'2018'!Q196+'2019'!Q196+'2020'!Q196+'2021'!Q196+'2022'!Q102</f>
        <v>0</v>
      </c>
      <c r="R196" s="176">
        <f>'2018'!R196+'2019'!R196+'2020'!R196+'2021'!R196+'2022'!R102</f>
        <v>3</v>
      </c>
      <c r="S196" s="176">
        <f>'2018'!S196+'2019'!S196+'2020'!S196+'2021'!S196+'2022'!S102</f>
        <v>0</v>
      </c>
      <c r="T196" s="176">
        <f>'2018'!T196+'2019'!T196+'2020'!T196+'2021'!T196+'2022'!T102</f>
        <v>0</v>
      </c>
      <c r="U196" s="176">
        <f>'2018'!U196+'2019'!U196+'2020'!U196+'2021'!U196+'2022'!U102</f>
        <v>107</v>
      </c>
      <c r="V196" s="176">
        <f>'2018'!V196+'2019'!V196+'2020'!V196+'2021'!V196+'2022'!V102</f>
        <v>224</v>
      </c>
      <c r="W196" s="176">
        <f>'2018'!W196+'2019'!W196+'2020'!W196+'2021'!W196+'2022'!W102</f>
        <v>0</v>
      </c>
      <c r="X196" s="176">
        <f>'2018'!X196+'2019'!X196+'2020'!X196+'2021'!X196+'2022'!X102</f>
        <v>6</v>
      </c>
      <c r="Y196" s="174">
        <f t="shared" si="27"/>
        <v>344</v>
      </c>
      <c r="Z196" s="174">
        <f>'2018'!Z196+'2019'!Z196+'2020'!Z196+'2021'!Z196+'2022'!Z102</f>
        <v>33</v>
      </c>
      <c r="AA196" s="174">
        <f>'2018'!AA196+'2019'!AA196+'2020'!AA196+'2021'!AA196+'2022'!AA102</f>
        <v>20</v>
      </c>
      <c r="AB196" s="174">
        <f>'2018'!AB196+'2019'!AB196+'2020'!AB196+'2021'!AB196+'2022'!AB102</f>
        <v>319</v>
      </c>
      <c r="AC196" s="174">
        <f>'2018'!AC196+'2019'!AC196+'2020'!AC196+'2021'!AC196+'2022'!AC102</f>
        <v>105</v>
      </c>
      <c r="AD196" s="174">
        <f>'2018'!AD196+'2019'!AD196+'2020'!AD196+'2021'!AD196+'2022'!AD102</f>
        <v>0</v>
      </c>
      <c r="AE196" s="174">
        <f>'2018'!AE196+'2019'!AE196+'2020'!AE196+'2021'!AE196+'2022'!AE102</f>
        <v>0</v>
      </c>
      <c r="AF196" s="174">
        <f>'2018'!AF196+'2019'!AF196+'2020'!AF196+'2021'!AF196+'2022'!AF102</f>
        <v>0</v>
      </c>
      <c r="AG196" s="174">
        <f>'2018'!AG196+'2019'!AG196+'2020'!AG196+'2021'!AG196+'2022'!AG102</f>
        <v>0</v>
      </c>
      <c r="AH196" s="174">
        <f>'2018'!AH196+'2019'!AH196+'2020'!AH196+'2021'!AH196+'2022'!AH102</f>
        <v>0</v>
      </c>
      <c r="AI196" s="174">
        <f>'2018'!AI196+'2019'!AI196+'2020'!AI196+'2021'!AI196+'2022'!AI102</f>
        <v>1</v>
      </c>
      <c r="AJ196" s="174">
        <f>'2018'!AJ196+'2019'!AJ196+'2020'!AJ196+'2021'!AJ196+'2022'!AJ102</f>
        <v>0</v>
      </c>
      <c r="AK196" s="174">
        <f>'2018'!AK196+'2019'!AK196+'2020'!AK196+'2021'!AK196+'2022'!AK102</f>
        <v>0</v>
      </c>
      <c r="AL196" s="174">
        <f>'2018'!AL196+'2019'!AL196+'2020'!AL196+'2021'!AL196+'2022'!AL102</f>
        <v>0</v>
      </c>
      <c r="AM196" s="174">
        <f>'2018'!AM196+'2019'!AM196+'2020'!AM196+'2021'!AM196+'2022'!AM102</f>
        <v>0</v>
      </c>
      <c r="AN196" s="174">
        <f>'2018'!AN196+'2019'!AN196+'2020'!AN196+'2021'!AN196+'2022'!AN102</f>
        <v>0</v>
      </c>
      <c r="AO196" s="174">
        <f>'2018'!AO196+'2019'!AO196+'2020'!AO196+'2021'!AO196+'2022'!AO102</f>
        <v>0</v>
      </c>
      <c r="AP196" s="174">
        <f>'2018'!AP196+'2019'!AP196+'2020'!AP196+'2021'!AP196+'2022'!AP102</f>
        <v>7</v>
      </c>
      <c r="AQ196" s="174">
        <f>'2018'!AQ196+'2019'!AQ196+'2020'!AQ196+'2021'!AQ196+'2022'!AQ102</f>
        <v>0</v>
      </c>
      <c r="AR196" s="174">
        <f>'2018'!AR196+'2019'!AR196+'2020'!AR196+'2021'!AR196+'2022'!AR102</f>
        <v>0</v>
      </c>
      <c r="AS196" s="174">
        <f>'2018'!AS196+'2019'!AS196+'2020'!AS196+'2021'!AS196+'2022'!AS102</f>
        <v>103</v>
      </c>
      <c r="AT196" s="174">
        <f>'2018'!AT196+'2019'!AT196+'2020'!AT196+'2021'!AT196+'2022'!AT102</f>
        <v>202</v>
      </c>
      <c r="AU196" s="174">
        <f>'2018'!AU196+'2019'!AU196+'2020'!AU196+'2021'!AU196+'2022'!AU102</f>
        <v>0</v>
      </c>
      <c r="AV196" s="174">
        <f>'2018'!AV196+'2019'!AV196+'2020'!AV196+'2021'!AV196+'2022'!AV102</f>
        <v>6</v>
      </c>
      <c r="AW196" s="174">
        <f t="shared" si="22"/>
        <v>319</v>
      </c>
      <c r="AX196" s="156">
        <f t="shared" si="24"/>
        <v>1939.074966666667</v>
      </c>
      <c r="AY196" s="14">
        <f>'2018'!AX196+'2019'!AX196+'2020'!AX196+'2021'!AX196+'2022'!AX102</f>
        <v>9695.3748333333351</v>
      </c>
      <c r="AZ196" s="14">
        <f t="shared" si="29"/>
        <v>92.732558139534888</v>
      </c>
      <c r="BA196" s="142"/>
      <c r="BB196" s="144"/>
      <c r="BC196" s="142"/>
    </row>
    <row r="197" spans="1:136" x14ac:dyDescent="0.25">
      <c r="A197" s="175" t="s">
        <v>116</v>
      </c>
      <c r="B197" s="176">
        <f>'2018'!B197+'2019'!B197+'2020'!B197+'2021'!B197+'2022'!B174</f>
        <v>27</v>
      </c>
      <c r="C197" s="176">
        <f>'2018'!C197+'2019'!C197+'2020'!C197+'2021'!C197+'2022'!C174</f>
        <v>11</v>
      </c>
      <c r="D197" s="176">
        <f>'2018'!D197+'2019'!D197+'2020'!D197+'2021'!D197+'2022'!D174</f>
        <v>42</v>
      </c>
      <c r="E197" s="176">
        <f>'2018'!E197+'2019'!E197+'2020'!E197+'2021'!E197+'2022'!E174</f>
        <v>11</v>
      </c>
      <c r="F197" s="176">
        <f>'2018'!F197+'2019'!F197+'2020'!F197+'2021'!F197+'2022'!F174</f>
        <v>0</v>
      </c>
      <c r="G197" s="176">
        <f>'2018'!G197+'2019'!G197+'2020'!G197+'2021'!G197+'2022'!G174</f>
        <v>0</v>
      </c>
      <c r="H197" s="176">
        <f>'2018'!H197+'2019'!H197+'2020'!H197+'2021'!H197+'2022'!H174</f>
        <v>2</v>
      </c>
      <c r="I197" s="176">
        <f>'2018'!I197+'2019'!I197+'2020'!I197+'2021'!I197+'2022'!I174</f>
        <v>0</v>
      </c>
      <c r="J197" s="176">
        <f>'2018'!J197+'2019'!J197+'2020'!J197+'2021'!J197+'2022'!J174</f>
        <v>0</v>
      </c>
      <c r="K197" s="176">
        <f>'2018'!K197+'2019'!K197+'2020'!K197+'2021'!K197+'2022'!K174</f>
        <v>16</v>
      </c>
      <c r="L197" s="176">
        <f>'2018'!L197+'2019'!L197+'2020'!L197+'2021'!L197+'2022'!L174</f>
        <v>8</v>
      </c>
      <c r="M197" s="176">
        <f>'2018'!M197+'2019'!M197+'2020'!M197+'2021'!M197+'2022'!M174</f>
        <v>0</v>
      </c>
      <c r="N197" s="176">
        <f>'2018'!N197+'2019'!N197+'2020'!N197+'2021'!N197+'2022'!N174</f>
        <v>0</v>
      </c>
      <c r="O197" s="176">
        <f>'2018'!O197+'2019'!O197+'2020'!O197+'2021'!O197+'2022'!O174</f>
        <v>0</v>
      </c>
      <c r="P197" s="176">
        <f>'2018'!P197+'2019'!P197+'2020'!P197+'2021'!P197+'2022'!P174</f>
        <v>1</v>
      </c>
      <c r="Q197" s="176">
        <f>'2018'!Q197+'2019'!Q197+'2020'!Q197+'2021'!Q197+'2022'!Q174</f>
        <v>1</v>
      </c>
      <c r="R197" s="176">
        <f>'2018'!R197+'2019'!R197+'2020'!R197+'2021'!R197+'2022'!R174</f>
        <v>2</v>
      </c>
      <c r="S197" s="176">
        <f>'2018'!S197+'2019'!S197+'2020'!S197+'2021'!S197+'2022'!S174</f>
        <v>2</v>
      </c>
      <c r="T197" s="176">
        <f>'2018'!T197+'2019'!T197+'2020'!T197+'2021'!T197+'2022'!T174</f>
        <v>1</v>
      </c>
      <c r="U197" s="176">
        <f>'2018'!U197+'2019'!U197+'2020'!U197+'2021'!U197+'2022'!U174</f>
        <v>6</v>
      </c>
      <c r="V197" s="176">
        <f>'2018'!V197+'2019'!V197+'2020'!V197+'2021'!V197+'2022'!V174</f>
        <v>2</v>
      </c>
      <c r="W197" s="176">
        <f>'2018'!W197+'2019'!W197+'2020'!W197+'2021'!W197+'2022'!W174</f>
        <v>0</v>
      </c>
      <c r="X197" s="176">
        <f>'2018'!X197+'2019'!X197+'2020'!X197+'2021'!X197+'2022'!X174</f>
        <v>1</v>
      </c>
      <c r="Y197" s="174">
        <f t="shared" ref="Y197:Y246" si="34">SUM(F197:X197)</f>
        <v>42</v>
      </c>
      <c r="Z197" s="174">
        <f>'2018'!Z197+'2019'!Z197+'2020'!Z197+'2021'!Z197+'2022'!Z174</f>
        <v>20</v>
      </c>
      <c r="AA197" s="174">
        <f>'2018'!AA197+'2019'!AA197+'2020'!AA197+'2021'!AA197+'2022'!AA174</f>
        <v>8</v>
      </c>
      <c r="AB197" s="174">
        <f>'2018'!AB197+'2019'!AB197+'2020'!AB197+'2021'!AB197+'2022'!AB174</f>
        <v>34</v>
      </c>
      <c r="AC197" s="174">
        <f>'2018'!AC197+'2019'!AC197+'2020'!AC197+'2021'!AC197+'2022'!AC174</f>
        <v>8</v>
      </c>
      <c r="AD197" s="174">
        <f>'2018'!AD197+'2019'!AD197+'2020'!AD197+'2021'!AD197+'2022'!AD174</f>
        <v>0</v>
      </c>
      <c r="AE197" s="174">
        <f>'2018'!AE197+'2019'!AE197+'2020'!AE197+'2021'!AE197+'2022'!AE174</f>
        <v>0</v>
      </c>
      <c r="AF197" s="174">
        <f>'2018'!AF197+'2019'!AF197+'2020'!AF197+'2021'!AF197+'2022'!AF174</f>
        <v>2</v>
      </c>
      <c r="AG197" s="174">
        <f>'2018'!AG197+'2019'!AG197+'2020'!AG197+'2021'!AG197+'2022'!AG174</f>
        <v>0</v>
      </c>
      <c r="AH197" s="174">
        <f>'2018'!AH197+'2019'!AH197+'2020'!AH197+'2021'!AH197+'2022'!AH174</f>
        <v>0</v>
      </c>
      <c r="AI197" s="174">
        <f>'2018'!AI197+'2019'!AI197+'2020'!AI197+'2021'!AI197+'2022'!AI174</f>
        <v>15</v>
      </c>
      <c r="AJ197" s="174">
        <f>'2018'!AJ197+'2019'!AJ197+'2020'!AJ197+'2021'!AJ197+'2022'!AJ174</f>
        <v>6</v>
      </c>
      <c r="AK197" s="174">
        <f>'2018'!AK197+'2019'!AK197+'2020'!AK197+'2021'!AK197+'2022'!AK174</f>
        <v>0</v>
      </c>
      <c r="AL197" s="174">
        <f>'2018'!AL197+'2019'!AL197+'2020'!AL197+'2021'!AL197+'2022'!AL174</f>
        <v>0</v>
      </c>
      <c r="AM197" s="174">
        <f>'2018'!AM197+'2019'!AM197+'2020'!AM197+'2021'!AM197+'2022'!AM174</f>
        <v>0</v>
      </c>
      <c r="AN197" s="174">
        <f>'2018'!AN197+'2019'!AN197+'2020'!AN197+'2021'!AN197+'2022'!AN174</f>
        <v>1</v>
      </c>
      <c r="AO197" s="174">
        <f>'2018'!AO197+'2019'!AO197+'2020'!AO197+'2021'!AO197+'2022'!AO174</f>
        <v>1</v>
      </c>
      <c r="AP197" s="174">
        <f>'2018'!AP197+'2019'!AP197+'2020'!AP197+'2021'!AP197+'2022'!AP174</f>
        <v>0</v>
      </c>
      <c r="AQ197" s="174">
        <f>'2018'!AQ197+'2019'!AQ197+'2020'!AQ197+'2021'!AQ197+'2022'!AQ174</f>
        <v>1</v>
      </c>
      <c r="AR197" s="174">
        <f>'2018'!AR197+'2019'!AR197+'2020'!AR197+'2021'!AR197+'2022'!AR174</f>
        <v>0</v>
      </c>
      <c r="AS197" s="174">
        <f>'2018'!AS197+'2019'!AS197+'2020'!AS197+'2021'!AS197+'2022'!AS174</f>
        <v>6</v>
      </c>
      <c r="AT197" s="174">
        <f>'2018'!AT197+'2019'!AT197+'2020'!AT197+'2021'!AT197+'2022'!AT174</f>
        <v>2</v>
      </c>
      <c r="AU197" s="174">
        <f>'2018'!AU197+'2019'!AU197+'2020'!AU197+'2021'!AU197+'2022'!AU174</f>
        <v>0</v>
      </c>
      <c r="AV197" s="174">
        <f>'2018'!AV197+'2019'!AV197+'2020'!AV197+'2021'!AV197+'2022'!AV174</f>
        <v>0</v>
      </c>
      <c r="AW197" s="174">
        <f t="shared" ref="AW197:AW246" si="35">SUM(AD197:AV197)</f>
        <v>34</v>
      </c>
      <c r="AX197" s="156">
        <f t="shared" si="24"/>
        <v>1922.573333333333</v>
      </c>
      <c r="AY197" s="14">
        <f>'2018'!AX197+'2019'!AX197+'2020'!AX197+'2021'!AX197+'2022'!AX174</f>
        <v>9612.866666666665</v>
      </c>
      <c r="AZ197" s="14">
        <f t="shared" si="29"/>
        <v>80.952380952380949</v>
      </c>
      <c r="BA197" s="142"/>
      <c r="BB197" s="144"/>
      <c r="BC197" s="142"/>
    </row>
    <row r="198" spans="1:136" x14ac:dyDescent="0.25">
      <c r="A198" s="175" t="s">
        <v>59</v>
      </c>
      <c r="B198" s="176">
        <f>'2018'!B198+'2019'!B198+'2020'!B198+'2021'!B198+'2022'!B175</f>
        <v>1</v>
      </c>
      <c r="C198" s="176">
        <f>'2018'!C198+'2019'!C198+'2020'!C198+'2021'!C198+'2022'!C175</f>
        <v>1</v>
      </c>
      <c r="D198" s="176">
        <f>'2018'!D198+'2019'!D198+'2020'!D198+'2021'!D198+'2022'!D175</f>
        <v>1</v>
      </c>
      <c r="E198" s="176">
        <f>'2018'!E198+'2019'!E198+'2020'!E198+'2021'!E198+'2022'!E175</f>
        <v>1</v>
      </c>
      <c r="F198" s="176">
        <f>'2018'!F198+'2019'!F198+'2020'!F198+'2021'!F198+'2022'!F175</f>
        <v>0</v>
      </c>
      <c r="G198" s="176">
        <f>'2018'!G198+'2019'!G198+'2020'!G198+'2021'!G198+'2022'!G175</f>
        <v>0</v>
      </c>
      <c r="H198" s="176">
        <f>'2018'!H198+'2019'!H198+'2020'!H198+'2021'!H198+'2022'!H175</f>
        <v>0</v>
      </c>
      <c r="I198" s="176">
        <f>'2018'!I198+'2019'!I198+'2020'!I198+'2021'!I198+'2022'!I175</f>
        <v>0</v>
      </c>
      <c r="J198" s="176">
        <f>'2018'!J198+'2019'!J198+'2020'!J198+'2021'!J198+'2022'!J175</f>
        <v>0</v>
      </c>
      <c r="K198" s="176">
        <f>'2018'!K198+'2019'!K198+'2020'!K198+'2021'!K198+'2022'!K175</f>
        <v>0</v>
      </c>
      <c r="L198" s="176">
        <f>'2018'!L198+'2019'!L198+'2020'!L198+'2021'!L198+'2022'!L175</f>
        <v>0</v>
      </c>
      <c r="M198" s="176">
        <f>'2018'!M198+'2019'!M198+'2020'!M198+'2021'!M198+'2022'!M175</f>
        <v>0</v>
      </c>
      <c r="N198" s="176">
        <f>'2018'!N198+'2019'!N198+'2020'!N198+'2021'!N198+'2022'!N175</f>
        <v>0</v>
      </c>
      <c r="O198" s="176">
        <f>'2018'!O198+'2019'!O198+'2020'!O198+'2021'!O198+'2022'!O175</f>
        <v>0</v>
      </c>
      <c r="P198" s="176">
        <f>'2018'!P198+'2019'!P198+'2020'!P198+'2021'!P198+'2022'!P175</f>
        <v>0</v>
      </c>
      <c r="Q198" s="176">
        <f>'2018'!Q198+'2019'!Q198+'2020'!Q198+'2021'!Q198+'2022'!Q175</f>
        <v>0</v>
      </c>
      <c r="R198" s="176">
        <f>'2018'!R198+'2019'!R198+'2020'!R198+'2021'!R198+'2022'!R175</f>
        <v>0</v>
      </c>
      <c r="S198" s="176">
        <f>'2018'!S198+'2019'!S198+'2020'!S198+'2021'!S198+'2022'!S175</f>
        <v>0</v>
      </c>
      <c r="T198" s="176">
        <f>'2018'!T198+'2019'!T198+'2020'!T198+'2021'!T198+'2022'!T175</f>
        <v>0</v>
      </c>
      <c r="U198" s="176">
        <f>'2018'!U198+'2019'!U198+'2020'!U198+'2021'!U198+'2022'!U175</f>
        <v>1</v>
      </c>
      <c r="V198" s="176">
        <f>'2018'!V198+'2019'!V198+'2020'!V198+'2021'!V198+'2022'!V175</f>
        <v>0</v>
      </c>
      <c r="W198" s="176">
        <f>'2018'!W198+'2019'!W198+'2020'!W198+'2021'!W198+'2022'!W175</f>
        <v>0</v>
      </c>
      <c r="X198" s="176">
        <f>'2018'!X198+'2019'!X198+'2020'!X198+'2021'!X198+'2022'!X175</f>
        <v>0</v>
      </c>
      <c r="Y198" s="174">
        <f t="shared" si="34"/>
        <v>1</v>
      </c>
      <c r="Z198" s="174">
        <f>'2018'!Z198+'2019'!Z198+'2020'!Z198+'2021'!Z198+'2022'!Z175</f>
        <v>1</v>
      </c>
      <c r="AA198" s="174">
        <f>'2018'!AA198+'2019'!AA198+'2020'!AA198+'2021'!AA198+'2022'!AA175</f>
        <v>1</v>
      </c>
      <c r="AB198" s="174">
        <f>'2018'!AB198+'2019'!AB198+'2020'!AB198+'2021'!AB198+'2022'!AB175</f>
        <v>1</v>
      </c>
      <c r="AC198" s="174">
        <f>'2018'!AC198+'2019'!AC198+'2020'!AC198+'2021'!AC198+'2022'!AC175</f>
        <v>1</v>
      </c>
      <c r="AD198" s="174">
        <f>'2018'!AD198+'2019'!AD198+'2020'!AD198+'2021'!AD198+'2022'!AD175</f>
        <v>0</v>
      </c>
      <c r="AE198" s="174">
        <f>'2018'!AE198+'2019'!AE198+'2020'!AE198+'2021'!AE198+'2022'!AE175</f>
        <v>0</v>
      </c>
      <c r="AF198" s="174">
        <f>'2018'!AF198+'2019'!AF198+'2020'!AF198+'2021'!AF198+'2022'!AF175</f>
        <v>0</v>
      </c>
      <c r="AG198" s="174">
        <f>'2018'!AG198+'2019'!AG198+'2020'!AG198+'2021'!AG198+'2022'!AG175</f>
        <v>0</v>
      </c>
      <c r="AH198" s="174">
        <f>'2018'!AH198+'2019'!AH198+'2020'!AH198+'2021'!AH198+'2022'!AH175</f>
        <v>0</v>
      </c>
      <c r="AI198" s="174">
        <f>'2018'!AI198+'2019'!AI198+'2020'!AI198+'2021'!AI198+'2022'!AI175</f>
        <v>0</v>
      </c>
      <c r="AJ198" s="174">
        <f>'2018'!AJ198+'2019'!AJ198+'2020'!AJ198+'2021'!AJ198+'2022'!AJ175</f>
        <v>0</v>
      </c>
      <c r="AK198" s="174">
        <f>'2018'!AK198+'2019'!AK198+'2020'!AK198+'2021'!AK198+'2022'!AK175</f>
        <v>0</v>
      </c>
      <c r="AL198" s="174">
        <f>'2018'!AL198+'2019'!AL198+'2020'!AL198+'2021'!AL198+'2022'!AL175</f>
        <v>0</v>
      </c>
      <c r="AM198" s="174">
        <f>'2018'!AM198+'2019'!AM198+'2020'!AM198+'2021'!AM198+'2022'!AM175</f>
        <v>0</v>
      </c>
      <c r="AN198" s="174">
        <f>'2018'!AN198+'2019'!AN198+'2020'!AN198+'2021'!AN198+'2022'!AN175</f>
        <v>0</v>
      </c>
      <c r="AO198" s="174">
        <f>'2018'!AO198+'2019'!AO198+'2020'!AO198+'2021'!AO198+'2022'!AO175</f>
        <v>0</v>
      </c>
      <c r="AP198" s="174">
        <f>'2018'!AP198+'2019'!AP198+'2020'!AP198+'2021'!AP198+'2022'!AP175</f>
        <v>0</v>
      </c>
      <c r="AQ198" s="174">
        <f>'2018'!AQ198+'2019'!AQ198+'2020'!AQ198+'2021'!AQ198+'2022'!AQ175</f>
        <v>0</v>
      </c>
      <c r="AR198" s="174">
        <f>'2018'!AR198+'2019'!AR198+'2020'!AR198+'2021'!AR198+'2022'!AR175</f>
        <v>0</v>
      </c>
      <c r="AS198" s="174">
        <f>'2018'!AS198+'2019'!AS198+'2020'!AS198+'2021'!AS198+'2022'!AS175</f>
        <v>1</v>
      </c>
      <c r="AT198" s="174">
        <f>'2018'!AT198+'2019'!AT198+'2020'!AT198+'2021'!AT198+'2022'!AT175</f>
        <v>0</v>
      </c>
      <c r="AU198" s="174">
        <f>'2018'!AU198+'2019'!AU198+'2020'!AU198+'2021'!AU198+'2022'!AU175</f>
        <v>0</v>
      </c>
      <c r="AV198" s="174">
        <f>'2018'!AV198+'2019'!AV198+'2020'!AV198+'2021'!AV198+'2022'!AV175</f>
        <v>0</v>
      </c>
      <c r="AW198" s="174">
        <f t="shared" si="35"/>
        <v>1</v>
      </c>
      <c r="AX198" s="156">
        <f t="shared" si="24"/>
        <v>800</v>
      </c>
      <c r="AY198" s="14">
        <f>'2018'!AX198+'2019'!AX198+'2020'!AX198+'2021'!AX198+'2022'!AX175</f>
        <v>4000</v>
      </c>
      <c r="AZ198" s="14">
        <f t="shared" si="29"/>
        <v>100</v>
      </c>
      <c r="BA198" s="142"/>
      <c r="BB198" s="144"/>
      <c r="BC198" s="142"/>
    </row>
    <row r="199" spans="1:136" x14ac:dyDescent="0.25">
      <c r="A199" s="175" t="s">
        <v>60</v>
      </c>
      <c r="B199" s="176">
        <f>'2018'!B199+'2019'!B199+'2020'!B199+'2021'!B199+'2022'!B176</f>
        <v>8</v>
      </c>
      <c r="C199" s="176">
        <f>'2018'!C199+'2019'!C199+'2020'!C199+'2021'!C199+'2022'!C176</f>
        <v>6</v>
      </c>
      <c r="D199" s="176">
        <f>'2018'!D199+'2019'!D199+'2020'!D199+'2021'!D199+'2022'!D176</f>
        <v>75</v>
      </c>
      <c r="E199" s="176">
        <f>'2018'!E199+'2019'!E199+'2020'!E199+'2021'!E199+'2022'!E176</f>
        <v>65</v>
      </c>
      <c r="F199" s="176">
        <f>'2018'!F199+'2019'!F199+'2020'!F199+'2021'!F199+'2022'!F176</f>
        <v>0</v>
      </c>
      <c r="G199" s="176">
        <f>'2018'!G199+'2019'!G199+'2020'!G199+'2021'!G199+'2022'!G176</f>
        <v>0</v>
      </c>
      <c r="H199" s="176">
        <f>'2018'!H199+'2019'!H199+'2020'!H199+'2021'!H199+'2022'!H176</f>
        <v>0</v>
      </c>
      <c r="I199" s="176">
        <f>'2018'!I199+'2019'!I199+'2020'!I199+'2021'!I199+'2022'!I176</f>
        <v>0</v>
      </c>
      <c r="J199" s="176">
        <f>'2018'!J199+'2019'!J199+'2020'!J199+'2021'!J199+'2022'!J176</f>
        <v>0</v>
      </c>
      <c r="K199" s="176">
        <f>'2018'!K199+'2019'!K199+'2020'!K199+'2021'!K199+'2022'!K176</f>
        <v>0</v>
      </c>
      <c r="L199" s="176">
        <f>'2018'!L199+'2019'!L199+'2020'!L199+'2021'!L199+'2022'!L176</f>
        <v>0</v>
      </c>
      <c r="M199" s="176">
        <f>'2018'!M199+'2019'!M199+'2020'!M199+'2021'!M199+'2022'!M176</f>
        <v>0</v>
      </c>
      <c r="N199" s="176">
        <f>'2018'!N199+'2019'!N199+'2020'!N199+'2021'!N199+'2022'!N176</f>
        <v>0</v>
      </c>
      <c r="O199" s="176">
        <f>'2018'!O199+'2019'!O199+'2020'!O199+'2021'!O199+'2022'!O176</f>
        <v>0</v>
      </c>
      <c r="P199" s="176">
        <f>'2018'!P199+'2019'!P199+'2020'!P199+'2021'!P199+'2022'!P176</f>
        <v>0</v>
      </c>
      <c r="Q199" s="176">
        <f>'2018'!Q199+'2019'!Q199+'2020'!Q199+'2021'!Q199+'2022'!Q176</f>
        <v>0</v>
      </c>
      <c r="R199" s="176">
        <f>'2018'!R199+'2019'!R199+'2020'!R199+'2021'!R199+'2022'!R176</f>
        <v>8</v>
      </c>
      <c r="S199" s="176">
        <f>'2018'!S199+'2019'!S199+'2020'!S199+'2021'!S199+'2022'!S176</f>
        <v>0</v>
      </c>
      <c r="T199" s="176">
        <f>'2018'!T199+'2019'!T199+'2020'!T199+'2021'!T199+'2022'!T176</f>
        <v>0</v>
      </c>
      <c r="U199" s="176">
        <f>'2018'!U199+'2019'!U199+'2020'!U199+'2021'!U199+'2022'!U176</f>
        <v>58</v>
      </c>
      <c r="V199" s="176">
        <f>'2018'!V199+'2019'!V199+'2020'!V199+'2021'!V199+'2022'!V176</f>
        <v>2</v>
      </c>
      <c r="W199" s="176">
        <f>'2018'!W199+'2019'!W199+'2020'!W199+'2021'!W199+'2022'!W176</f>
        <v>0</v>
      </c>
      <c r="X199" s="176">
        <f>'2018'!X199+'2019'!X199+'2020'!X199+'2021'!X199+'2022'!X176</f>
        <v>7</v>
      </c>
      <c r="Y199" s="174">
        <f t="shared" si="34"/>
        <v>75</v>
      </c>
      <c r="Z199" s="174">
        <f>'2018'!Z199+'2019'!Z199+'2020'!Z199+'2021'!Z199+'2022'!Z176</f>
        <v>5</v>
      </c>
      <c r="AA199" s="174">
        <f>'2018'!AA199+'2019'!AA199+'2020'!AA199+'2021'!AA199+'2022'!AA176</f>
        <v>5</v>
      </c>
      <c r="AB199" s="174">
        <f>'2018'!AB199+'2019'!AB199+'2020'!AB199+'2021'!AB199+'2022'!AB176</f>
        <v>64</v>
      </c>
      <c r="AC199" s="174">
        <f>'2018'!AC199+'2019'!AC199+'2020'!AC199+'2021'!AC199+'2022'!AC176</f>
        <v>64</v>
      </c>
      <c r="AD199" s="174">
        <f>'2018'!AD199+'2019'!AD199+'2020'!AD199+'2021'!AD199+'2022'!AD176</f>
        <v>0</v>
      </c>
      <c r="AE199" s="174">
        <f>'2018'!AE199+'2019'!AE199+'2020'!AE199+'2021'!AE199+'2022'!AE176</f>
        <v>0</v>
      </c>
      <c r="AF199" s="174">
        <f>'2018'!AF199+'2019'!AF199+'2020'!AF199+'2021'!AF199+'2022'!AF176</f>
        <v>0</v>
      </c>
      <c r="AG199" s="174">
        <f>'2018'!AG199+'2019'!AG199+'2020'!AG199+'2021'!AG199+'2022'!AG176</f>
        <v>0</v>
      </c>
      <c r="AH199" s="174">
        <f>'2018'!AH199+'2019'!AH199+'2020'!AH199+'2021'!AH199+'2022'!AH176</f>
        <v>0</v>
      </c>
      <c r="AI199" s="174">
        <f>'2018'!AI199+'2019'!AI199+'2020'!AI199+'2021'!AI199+'2022'!AI176</f>
        <v>0</v>
      </c>
      <c r="AJ199" s="174">
        <f>'2018'!AJ199+'2019'!AJ199+'2020'!AJ199+'2021'!AJ199+'2022'!AJ176</f>
        <v>0</v>
      </c>
      <c r="AK199" s="174">
        <f>'2018'!AK199+'2019'!AK199+'2020'!AK199+'2021'!AK199+'2022'!AK176</f>
        <v>0</v>
      </c>
      <c r="AL199" s="174">
        <f>'2018'!AL199+'2019'!AL199+'2020'!AL199+'2021'!AL199+'2022'!AL176</f>
        <v>0</v>
      </c>
      <c r="AM199" s="174">
        <f>'2018'!AM199+'2019'!AM199+'2020'!AM199+'2021'!AM199+'2022'!AM176</f>
        <v>0</v>
      </c>
      <c r="AN199" s="174">
        <f>'2018'!AN199+'2019'!AN199+'2020'!AN199+'2021'!AN199+'2022'!AN176</f>
        <v>0</v>
      </c>
      <c r="AO199" s="174">
        <f>'2018'!AO199+'2019'!AO199+'2020'!AO199+'2021'!AO199+'2022'!AO176</f>
        <v>0</v>
      </c>
      <c r="AP199" s="174">
        <f>'2018'!AP199+'2019'!AP199+'2020'!AP199+'2021'!AP199+'2022'!AP176</f>
        <v>8</v>
      </c>
      <c r="AQ199" s="174">
        <f>'2018'!AQ199+'2019'!AQ199+'2020'!AQ199+'2021'!AQ199+'2022'!AQ176</f>
        <v>0</v>
      </c>
      <c r="AR199" s="174">
        <f>'2018'!AR199+'2019'!AR199+'2020'!AR199+'2021'!AR199+'2022'!AR176</f>
        <v>0</v>
      </c>
      <c r="AS199" s="174">
        <f>'2018'!AS199+'2019'!AS199+'2020'!AS199+'2021'!AS199+'2022'!AS176</f>
        <v>54</v>
      </c>
      <c r="AT199" s="174">
        <f>'2018'!AT199+'2019'!AT199+'2020'!AT199+'2021'!AT199+'2022'!AT176</f>
        <v>2</v>
      </c>
      <c r="AU199" s="174">
        <f>'2018'!AU199+'2019'!AU199+'2020'!AU199+'2021'!AU199+'2022'!AU176</f>
        <v>0</v>
      </c>
      <c r="AV199" s="174">
        <f>'2018'!AV199+'2019'!AV199+'2020'!AV199+'2021'!AV199+'2022'!AV176</f>
        <v>0</v>
      </c>
      <c r="AW199" s="174">
        <f t="shared" si="35"/>
        <v>64</v>
      </c>
      <c r="AX199" s="156">
        <f t="shared" si="24"/>
        <v>516.4</v>
      </c>
      <c r="AY199" s="14">
        <f>'2018'!AX199+'2019'!AX199+'2020'!AX199+'2021'!AX199+'2022'!AX176</f>
        <v>2582</v>
      </c>
      <c r="AZ199" s="14">
        <f t="shared" si="29"/>
        <v>85.333333333333329</v>
      </c>
      <c r="BA199" s="142"/>
      <c r="BB199" s="144"/>
      <c r="BC199" s="142"/>
    </row>
    <row r="200" spans="1:136" x14ac:dyDescent="0.25">
      <c r="A200" s="175" t="s">
        <v>117</v>
      </c>
      <c r="B200" s="176">
        <f>'2018'!B200+'2019'!B200+'2020'!B200+'2021'!B200+'2022'!B177</f>
        <v>5</v>
      </c>
      <c r="C200" s="176">
        <f>'2018'!C200+'2019'!C200+'2020'!C200+'2021'!C200+'2022'!C177</f>
        <v>4</v>
      </c>
      <c r="D200" s="176">
        <f>'2018'!D200+'2019'!D200+'2020'!D200+'2021'!D200+'2022'!D177</f>
        <v>7</v>
      </c>
      <c r="E200" s="176">
        <f>'2018'!E200+'2019'!E200+'2020'!E200+'2021'!E200+'2022'!E177</f>
        <v>4</v>
      </c>
      <c r="F200" s="176">
        <f>'2018'!F200+'2019'!F200+'2020'!F200+'2021'!F200+'2022'!F177</f>
        <v>0</v>
      </c>
      <c r="G200" s="176">
        <f>'2018'!G200+'2019'!G200+'2020'!G200+'2021'!G200+'2022'!G177</f>
        <v>0</v>
      </c>
      <c r="H200" s="176">
        <f>'2018'!H200+'2019'!H200+'2020'!H200+'2021'!H200+'2022'!H177</f>
        <v>0</v>
      </c>
      <c r="I200" s="176">
        <f>'2018'!I200+'2019'!I200+'2020'!I200+'2021'!I200+'2022'!I177</f>
        <v>0</v>
      </c>
      <c r="J200" s="176">
        <f>'2018'!J200+'2019'!J200+'2020'!J200+'2021'!J200+'2022'!J177</f>
        <v>3</v>
      </c>
      <c r="K200" s="176">
        <f>'2018'!K200+'2019'!K200+'2020'!K200+'2021'!K200+'2022'!K177</f>
        <v>0</v>
      </c>
      <c r="L200" s="176">
        <f>'2018'!L200+'2019'!L200+'2020'!L200+'2021'!L200+'2022'!L177</f>
        <v>0</v>
      </c>
      <c r="M200" s="176">
        <f>'2018'!M200+'2019'!M200+'2020'!M200+'2021'!M200+'2022'!M177</f>
        <v>0</v>
      </c>
      <c r="N200" s="176">
        <f>'2018'!N200+'2019'!N200+'2020'!N200+'2021'!N200+'2022'!N177</f>
        <v>0</v>
      </c>
      <c r="O200" s="176">
        <f>'2018'!O200+'2019'!O200+'2020'!O200+'2021'!O200+'2022'!O177</f>
        <v>0</v>
      </c>
      <c r="P200" s="176">
        <f>'2018'!P200+'2019'!P200+'2020'!P200+'2021'!P200+'2022'!P177</f>
        <v>0</v>
      </c>
      <c r="Q200" s="176">
        <f>'2018'!Q200+'2019'!Q200+'2020'!Q200+'2021'!Q200+'2022'!Q177</f>
        <v>0</v>
      </c>
      <c r="R200" s="176">
        <f>'2018'!R200+'2019'!R200+'2020'!R200+'2021'!R200+'2022'!R177</f>
        <v>0</v>
      </c>
      <c r="S200" s="176">
        <f>'2018'!S200+'2019'!S200+'2020'!S200+'2021'!S200+'2022'!S177</f>
        <v>0</v>
      </c>
      <c r="T200" s="176">
        <f>'2018'!T200+'2019'!T200+'2020'!T200+'2021'!T200+'2022'!T177</f>
        <v>0</v>
      </c>
      <c r="U200" s="176">
        <f>'2018'!U200+'2019'!U200+'2020'!U200+'2021'!U200+'2022'!U177</f>
        <v>3</v>
      </c>
      <c r="V200" s="176">
        <f>'2018'!V200+'2019'!V200+'2020'!V200+'2021'!V200+'2022'!V177</f>
        <v>1</v>
      </c>
      <c r="W200" s="176">
        <f>'2018'!W200+'2019'!W200+'2020'!W200+'2021'!W200+'2022'!W177</f>
        <v>0</v>
      </c>
      <c r="X200" s="176">
        <f>'2018'!X200+'2019'!X200+'2020'!X200+'2021'!X200+'2022'!X177</f>
        <v>0</v>
      </c>
      <c r="Y200" s="174">
        <f t="shared" si="34"/>
        <v>7</v>
      </c>
      <c r="Z200" s="174">
        <f>'2018'!Z200+'2019'!Z200+'2020'!Z200+'2021'!Z200+'2022'!Z177</f>
        <v>4</v>
      </c>
      <c r="AA200" s="174">
        <f>'2018'!AA200+'2019'!AA200+'2020'!AA200+'2021'!AA200+'2022'!AA177</f>
        <v>3</v>
      </c>
      <c r="AB200" s="174">
        <f>'2018'!AB200+'2019'!AB200+'2020'!AB200+'2021'!AB200+'2022'!AB177</f>
        <v>5</v>
      </c>
      <c r="AC200" s="174">
        <f>'2018'!AC200+'2019'!AC200+'2020'!AC200+'2021'!AC200+'2022'!AC177</f>
        <v>3</v>
      </c>
      <c r="AD200" s="174">
        <f>'2018'!AD200+'2019'!AD200+'2020'!AD200+'2021'!AD200+'2022'!AD177</f>
        <v>0</v>
      </c>
      <c r="AE200" s="174">
        <f>'2018'!AE200+'2019'!AE200+'2020'!AE200+'2021'!AE200+'2022'!AE177</f>
        <v>0</v>
      </c>
      <c r="AF200" s="174">
        <f>'2018'!AF200+'2019'!AF200+'2020'!AF200+'2021'!AF200+'2022'!AF177</f>
        <v>0</v>
      </c>
      <c r="AG200" s="174">
        <f>'2018'!AG200+'2019'!AG200+'2020'!AG200+'2021'!AG200+'2022'!AG177</f>
        <v>0</v>
      </c>
      <c r="AH200" s="174">
        <f>'2018'!AH200+'2019'!AH200+'2020'!AH200+'2021'!AH200+'2022'!AH177</f>
        <v>2</v>
      </c>
      <c r="AI200" s="174">
        <f>'2018'!AI200+'2019'!AI200+'2020'!AI200+'2021'!AI200+'2022'!AI177</f>
        <v>0</v>
      </c>
      <c r="AJ200" s="174">
        <f>'2018'!AJ200+'2019'!AJ200+'2020'!AJ200+'2021'!AJ200+'2022'!AJ177</f>
        <v>0</v>
      </c>
      <c r="AK200" s="174">
        <f>'2018'!AK200+'2019'!AK200+'2020'!AK200+'2021'!AK200+'2022'!AK177</f>
        <v>0</v>
      </c>
      <c r="AL200" s="174">
        <f>'2018'!AL200+'2019'!AL200+'2020'!AL200+'2021'!AL200+'2022'!AL177</f>
        <v>0</v>
      </c>
      <c r="AM200" s="174">
        <f>'2018'!AM200+'2019'!AM200+'2020'!AM200+'2021'!AM200+'2022'!AM177</f>
        <v>0</v>
      </c>
      <c r="AN200" s="174">
        <f>'2018'!AN200+'2019'!AN200+'2020'!AN200+'2021'!AN200+'2022'!AN177</f>
        <v>0</v>
      </c>
      <c r="AO200" s="174">
        <f>'2018'!AO200+'2019'!AO200+'2020'!AO200+'2021'!AO200+'2022'!AO177</f>
        <v>0</v>
      </c>
      <c r="AP200" s="174">
        <f>'2018'!AP200+'2019'!AP200+'2020'!AP200+'2021'!AP200+'2022'!AP177</f>
        <v>0</v>
      </c>
      <c r="AQ200" s="174">
        <f>'2018'!AQ200+'2019'!AQ200+'2020'!AQ200+'2021'!AQ200+'2022'!AQ177</f>
        <v>0</v>
      </c>
      <c r="AR200" s="174">
        <f>'2018'!AR200+'2019'!AR200+'2020'!AR200+'2021'!AR200+'2022'!AR177</f>
        <v>0</v>
      </c>
      <c r="AS200" s="174">
        <f>'2018'!AS200+'2019'!AS200+'2020'!AS200+'2021'!AS200+'2022'!AS177</f>
        <v>3</v>
      </c>
      <c r="AT200" s="174">
        <f>'2018'!AT200+'2019'!AT200+'2020'!AT200+'2021'!AT200+'2022'!AT177</f>
        <v>0</v>
      </c>
      <c r="AU200" s="174">
        <f>'2018'!AU200+'2019'!AU200+'2020'!AU200+'2021'!AU200+'2022'!AU177</f>
        <v>0</v>
      </c>
      <c r="AV200" s="174">
        <f>'2018'!AV200+'2019'!AV200+'2020'!AV200+'2021'!AV200+'2022'!AV177</f>
        <v>0</v>
      </c>
      <c r="AW200" s="174">
        <f t="shared" si="35"/>
        <v>5</v>
      </c>
      <c r="AX200" s="156">
        <f t="shared" ref="AX200:AX246" si="36">AY200/5</f>
        <v>1456.7</v>
      </c>
      <c r="AY200" s="14">
        <f>'2018'!AX200+'2019'!AX200+'2020'!AX200+'2021'!AX200+'2022'!AX177</f>
        <v>7283.5</v>
      </c>
      <c r="AZ200" s="14">
        <f t="shared" si="29"/>
        <v>71.428571428571431</v>
      </c>
      <c r="BA200" s="142"/>
      <c r="BB200" s="144"/>
      <c r="BC200" s="142"/>
    </row>
    <row r="201" spans="1:136" x14ac:dyDescent="0.25">
      <c r="A201" s="175" t="s">
        <v>118</v>
      </c>
      <c r="B201" s="176">
        <f>'2018'!B201+'2019'!B201+'2020'!B201+'2021'!B201+'2022'!B103</f>
        <v>6</v>
      </c>
      <c r="C201" s="176">
        <f>'2018'!C201+'2019'!C201+'2020'!C201+'2021'!C201+'2022'!C103</f>
        <v>3</v>
      </c>
      <c r="D201" s="176">
        <f>'2018'!D201+'2019'!D201+'2020'!D201+'2021'!D201+'2022'!D103</f>
        <v>23</v>
      </c>
      <c r="E201" s="176">
        <f>'2018'!E201+'2019'!E201+'2020'!E201+'2021'!E201+'2022'!E103</f>
        <v>3</v>
      </c>
      <c r="F201" s="176">
        <f>'2018'!F201+'2019'!F201+'2020'!F201+'2021'!F201+'2022'!F103</f>
        <v>0</v>
      </c>
      <c r="G201" s="176">
        <f>'2018'!G201+'2019'!G201+'2020'!G201+'2021'!G201+'2022'!G103</f>
        <v>0</v>
      </c>
      <c r="H201" s="176">
        <f>'2018'!H201+'2019'!H201+'2020'!H201+'2021'!H201+'2022'!H103</f>
        <v>0</v>
      </c>
      <c r="I201" s="176">
        <f>'2018'!I201+'2019'!I201+'2020'!I201+'2021'!I201+'2022'!I103</f>
        <v>0</v>
      </c>
      <c r="J201" s="176">
        <f>'2018'!J201+'2019'!J201+'2020'!J201+'2021'!J201+'2022'!J103</f>
        <v>0</v>
      </c>
      <c r="K201" s="176">
        <f>'2018'!K201+'2019'!K201+'2020'!K201+'2021'!K201+'2022'!K103</f>
        <v>20</v>
      </c>
      <c r="L201" s="176">
        <f>'2018'!L201+'2019'!L201+'2020'!L201+'2021'!L201+'2022'!L103</f>
        <v>0</v>
      </c>
      <c r="M201" s="176">
        <f>'2018'!M201+'2019'!M201+'2020'!M201+'2021'!M201+'2022'!M103</f>
        <v>0</v>
      </c>
      <c r="N201" s="176">
        <f>'2018'!N201+'2019'!N201+'2020'!N201+'2021'!N201+'2022'!N103</f>
        <v>0</v>
      </c>
      <c r="O201" s="176">
        <f>'2018'!O201+'2019'!O201+'2020'!O201+'2021'!O201+'2022'!O103</f>
        <v>0</v>
      </c>
      <c r="P201" s="176">
        <f>'2018'!P201+'2019'!P201+'2020'!P201+'2021'!P201+'2022'!P103</f>
        <v>0</v>
      </c>
      <c r="Q201" s="176">
        <f>'2018'!Q201+'2019'!Q201+'2020'!Q201+'2021'!Q201+'2022'!Q103</f>
        <v>0</v>
      </c>
      <c r="R201" s="176">
        <f>'2018'!R201+'2019'!R201+'2020'!R201+'2021'!R201+'2022'!R103</f>
        <v>0</v>
      </c>
      <c r="S201" s="176">
        <f>'2018'!S201+'2019'!S201+'2020'!S201+'2021'!S201+'2022'!S103</f>
        <v>0</v>
      </c>
      <c r="T201" s="176">
        <f>'2018'!T201+'2019'!T201+'2020'!T201+'2021'!T201+'2022'!T103</f>
        <v>1</v>
      </c>
      <c r="U201" s="176">
        <f>'2018'!U201+'2019'!U201+'2020'!U201+'2021'!U201+'2022'!U103</f>
        <v>1</v>
      </c>
      <c r="V201" s="176">
        <f>'2018'!V201+'2019'!V201+'2020'!V201+'2021'!V201+'2022'!V103</f>
        <v>0</v>
      </c>
      <c r="W201" s="176">
        <f>'2018'!W201+'2019'!W201+'2020'!W201+'2021'!W201+'2022'!W103</f>
        <v>1</v>
      </c>
      <c r="X201" s="176">
        <f>'2018'!X201+'2019'!X201+'2020'!X201+'2021'!X201+'2022'!X103</f>
        <v>0</v>
      </c>
      <c r="Y201" s="174">
        <f t="shared" si="34"/>
        <v>23</v>
      </c>
      <c r="Z201" s="174">
        <f>'2018'!Z201+'2019'!Z201+'2020'!Z201+'2021'!Z201+'2022'!Z103</f>
        <v>5</v>
      </c>
      <c r="AA201" s="174">
        <f>'2018'!AA201+'2019'!AA201+'2020'!AA201+'2021'!AA201+'2022'!AA103</f>
        <v>3</v>
      </c>
      <c r="AB201" s="174">
        <f>'2018'!AB201+'2019'!AB201+'2020'!AB201+'2021'!AB201+'2022'!AB103</f>
        <v>18</v>
      </c>
      <c r="AC201" s="174">
        <f>'2018'!AC201+'2019'!AC201+'2020'!AC201+'2021'!AC201+'2022'!AC103</f>
        <v>3</v>
      </c>
      <c r="AD201" s="174">
        <f>'2018'!AD201+'2019'!AD201+'2020'!AD201+'2021'!AD201+'2022'!AD103</f>
        <v>0</v>
      </c>
      <c r="AE201" s="174">
        <f>'2018'!AE201+'2019'!AE201+'2020'!AE201+'2021'!AE201+'2022'!AE103</f>
        <v>0</v>
      </c>
      <c r="AF201" s="174">
        <f>'2018'!AF201+'2019'!AF201+'2020'!AF201+'2021'!AF201+'2022'!AF103</f>
        <v>0</v>
      </c>
      <c r="AG201" s="174">
        <f>'2018'!AG201+'2019'!AG201+'2020'!AG201+'2021'!AG201+'2022'!AG103</f>
        <v>0</v>
      </c>
      <c r="AH201" s="174">
        <f>'2018'!AH201+'2019'!AH201+'2020'!AH201+'2021'!AH201+'2022'!AH103</f>
        <v>0</v>
      </c>
      <c r="AI201" s="174">
        <f>'2018'!AI201+'2019'!AI201+'2020'!AI201+'2021'!AI201+'2022'!AI103</f>
        <v>15</v>
      </c>
      <c r="AJ201" s="174">
        <f>'2018'!AJ201+'2019'!AJ201+'2020'!AJ201+'2021'!AJ201+'2022'!AJ103</f>
        <v>0</v>
      </c>
      <c r="AK201" s="174">
        <f>'2018'!AK201+'2019'!AK201+'2020'!AK201+'2021'!AK201+'2022'!AK103</f>
        <v>0</v>
      </c>
      <c r="AL201" s="174">
        <f>'2018'!AL201+'2019'!AL201+'2020'!AL201+'2021'!AL201+'2022'!AL103</f>
        <v>0</v>
      </c>
      <c r="AM201" s="174">
        <f>'2018'!AM201+'2019'!AM201+'2020'!AM201+'2021'!AM201+'2022'!AM103</f>
        <v>0</v>
      </c>
      <c r="AN201" s="174">
        <f>'2018'!AN201+'2019'!AN201+'2020'!AN201+'2021'!AN201+'2022'!AN103</f>
        <v>0</v>
      </c>
      <c r="AO201" s="174">
        <f>'2018'!AO201+'2019'!AO201+'2020'!AO201+'2021'!AO201+'2022'!AO103</f>
        <v>0</v>
      </c>
      <c r="AP201" s="174">
        <f>'2018'!AP201+'2019'!AP201+'2020'!AP201+'2021'!AP201+'2022'!AP103</f>
        <v>0</v>
      </c>
      <c r="AQ201" s="174">
        <f>'2018'!AQ201+'2019'!AQ201+'2020'!AQ201+'2021'!AQ201+'2022'!AQ103</f>
        <v>0</v>
      </c>
      <c r="AR201" s="174">
        <f>'2018'!AR201+'2019'!AR201+'2020'!AR201+'2021'!AR201+'2022'!AR103</f>
        <v>1</v>
      </c>
      <c r="AS201" s="174">
        <f>'2018'!AS201+'2019'!AS201+'2020'!AS201+'2021'!AS201+'2022'!AS103</f>
        <v>1</v>
      </c>
      <c r="AT201" s="174">
        <f>'2018'!AT201+'2019'!AT201+'2020'!AT201+'2021'!AT201+'2022'!AT103</f>
        <v>0</v>
      </c>
      <c r="AU201" s="174">
        <f>'2018'!AU201+'2019'!AU201+'2020'!AU201+'2021'!AU201+'2022'!AU103</f>
        <v>1</v>
      </c>
      <c r="AV201" s="174">
        <f>'2018'!AV201+'2019'!AV201+'2020'!AV201+'2021'!AV201+'2022'!AV103</f>
        <v>0</v>
      </c>
      <c r="AW201" s="174">
        <f t="shared" si="35"/>
        <v>18</v>
      </c>
      <c r="AX201" s="156">
        <f t="shared" si="36"/>
        <v>1156.8</v>
      </c>
      <c r="AY201" s="14">
        <f>'2018'!AX201+'2019'!AX201+'2020'!AX201+'2021'!AX201+'2022'!AX103</f>
        <v>5784</v>
      </c>
      <c r="AZ201" s="14">
        <f t="shared" si="29"/>
        <v>78.260869565217391</v>
      </c>
      <c r="BA201" s="142"/>
      <c r="BB201" s="144"/>
      <c r="BC201" s="142"/>
    </row>
    <row r="202" spans="1:136" x14ac:dyDescent="0.25">
      <c r="A202" s="175" t="s">
        <v>119</v>
      </c>
      <c r="B202" s="176">
        <f>'2018'!B202+'2019'!B202+'2020'!B202+'2021'!B202+'2022'!B178</f>
        <v>40</v>
      </c>
      <c r="C202" s="176">
        <f>'2018'!C202+'2019'!C202+'2020'!C202+'2021'!C202+'2022'!C178</f>
        <v>12</v>
      </c>
      <c r="D202" s="176">
        <f>'2018'!D202+'2019'!D202+'2020'!D202+'2021'!D202+'2022'!D178</f>
        <v>88</v>
      </c>
      <c r="E202" s="176">
        <f>'2018'!E202+'2019'!E202+'2020'!E202+'2021'!E202+'2022'!E178</f>
        <v>25</v>
      </c>
      <c r="F202" s="176">
        <f>'2018'!F202+'2019'!F202+'2020'!F202+'2021'!F202+'2022'!F178</f>
        <v>0</v>
      </c>
      <c r="G202" s="176">
        <f>'2018'!G202+'2019'!G202+'2020'!G202+'2021'!G202+'2022'!G178</f>
        <v>0</v>
      </c>
      <c r="H202" s="176">
        <f>'2018'!H202+'2019'!H202+'2020'!H202+'2021'!H202+'2022'!H178</f>
        <v>8</v>
      </c>
      <c r="I202" s="176">
        <f>'2018'!I202+'2019'!I202+'2020'!I202+'2021'!I202+'2022'!I178</f>
        <v>0</v>
      </c>
      <c r="J202" s="176">
        <f>'2018'!J202+'2019'!J202+'2020'!J202+'2021'!J202+'2022'!J178</f>
        <v>9</v>
      </c>
      <c r="K202" s="176">
        <f>'2018'!K202+'2019'!K202+'2020'!K202+'2021'!K202+'2022'!K178</f>
        <v>1</v>
      </c>
      <c r="L202" s="176">
        <f>'2018'!L202+'2019'!L202+'2020'!L202+'2021'!L202+'2022'!L178</f>
        <v>20</v>
      </c>
      <c r="M202" s="176">
        <f>'2018'!M202+'2019'!M202+'2020'!M202+'2021'!M202+'2022'!M178</f>
        <v>3</v>
      </c>
      <c r="N202" s="176">
        <f>'2018'!N202+'2019'!N202+'2020'!N202+'2021'!N202+'2022'!N178</f>
        <v>0</v>
      </c>
      <c r="O202" s="176">
        <f>'2018'!O202+'2019'!O202+'2020'!O202+'2021'!O202+'2022'!O178</f>
        <v>1</v>
      </c>
      <c r="P202" s="176">
        <f>'2018'!P202+'2019'!P202+'2020'!P202+'2021'!P202+'2022'!P178</f>
        <v>0</v>
      </c>
      <c r="Q202" s="176">
        <f>'2018'!Q202+'2019'!Q202+'2020'!Q202+'2021'!Q202+'2022'!Q178</f>
        <v>0</v>
      </c>
      <c r="R202" s="176">
        <f>'2018'!R202+'2019'!R202+'2020'!R202+'2021'!R202+'2022'!R178</f>
        <v>10</v>
      </c>
      <c r="S202" s="176">
        <f>'2018'!S202+'2019'!S202+'2020'!S202+'2021'!S202+'2022'!S178</f>
        <v>3</v>
      </c>
      <c r="T202" s="176">
        <f>'2018'!T202+'2019'!T202+'2020'!T202+'2021'!T202+'2022'!T178</f>
        <v>6</v>
      </c>
      <c r="U202" s="176">
        <f>'2018'!U202+'2019'!U202+'2020'!U202+'2021'!U202+'2022'!U178</f>
        <v>3</v>
      </c>
      <c r="V202" s="176">
        <f>'2018'!V202+'2019'!V202+'2020'!V202+'2021'!V202+'2022'!V178</f>
        <v>8</v>
      </c>
      <c r="W202" s="176">
        <f>'2018'!W202+'2019'!W202+'2020'!W202+'2021'!W202+'2022'!W178</f>
        <v>2</v>
      </c>
      <c r="X202" s="176">
        <f>'2018'!X202+'2019'!X202+'2020'!X202+'2021'!X202+'2022'!X178</f>
        <v>14</v>
      </c>
      <c r="Y202" s="174">
        <f t="shared" si="34"/>
        <v>88</v>
      </c>
      <c r="Z202" s="174">
        <f>'2018'!Z202+'2019'!Z202+'2020'!Z202+'2021'!Z202+'2022'!Z178</f>
        <v>19</v>
      </c>
      <c r="AA202" s="174">
        <f>'2018'!AA202+'2019'!AA202+'2020'!AA202+'2021'!AA202+'2022'!AA178</f>
        <v>7</v>
      </c>
      <c r="AB202" s="174">
        <f>'2018'!AB202+'2019'!AB202+'2020'!AB202+'2021'!AB202+'2022'!AB178</f>
        <v>44</v>
      </c>
      <c r="AC202" s="174">
        <f>'2018'!AC202+'2019'!AC202+'2020'!AC202+'2021'!AC202+'2022'!AC178</f>
        <v>18</v>
      </c>
      <c r="AD202" s="174">
        <f>'2018'!AD202+'2019'!AD202+'2020'!AD202+'2021'!AD202+'2022'!AD178</f>
        <v>0</v>
      </c>
      <c r="AE202" s="174">
        <f>'2018'!AE202+'2019'!AE202+'2020'!AE202+'2021'!AE202+'2022'!AE178</f>
        <v>0</v>
      </c>
      <c r="AF202" s="174">
        <f>'2018'!AF202+'2019'!AF202+'2020'!AF202+'2021'!AF202+'2022'!AF178</f>
        <v>5</v>
      </c>
      <c r="AG202" s="174">
        <f>'2018'!AG202+'2019'!AG202+'2020'!AG202+'2021'!AG202+'2022'!AG178</f>
        <v>0</v>
      </c>
      <c r="AH202" s="174">
        <f>'2018'!AH202+'2019'!AH202+'2020'!AH202+'2021'!AH202+'2022'!AH178</f>
        <v>9</v>
      </c>
      <c r="AI202" s="174">
        <f>'2018'!AI202+'2019'!AI202+'2020'!AI202+'2021'!AI202+'2022'!AI178</f>
        <v>1</v>
      </c>
      <c r="AJ202" s="174">
        <f>'2018'!AJ202+'2019'!AJ202+'2020'!AJ202+'2021'!AJ202+'2022'!AJ178</f>
        <v>3</v>
      </c>
      <c r="AK202" s="174">
        <f>'2018'!AK202+'2019'!AK202+'2020'!AK202+'2021'!AK202+'2022'!AK178</f>
        <v>1</v>
      </c>
      <c r="AL202" s="174">
        <f>'2018'!AL202+'2019'!AL202+'2020'!AL202+'2021'!AL202+'2022'!AL178</f>
        <v>0</v>
      </c>
      <c r="AM202" s="174">
        <f>'2018'!AM202+'2019'!AM202+'2020'!AM202+'2021'!AM202+'2022'!AM178</f>
        <v>0</v>
      </c>
      <c r="AN202" s="174">
        <f>'2018'!AN202+'2019'!AN202+'2020'!AN202+'2021'!AN202+'2022'!AN178</f>
        <v>0</v>
      </c>
      <c r="AO202" s="174">
        <f>'2018'!AO202+'2019'!AO202+'2020'!AO202+'2021'!AO202+'2022'!AO178</f>
        <v>0</v>
      </c>
      <c r="AP202" s="174">
        <f>'2018'!AP202+'2019'!AP202+'2020'!AP202+'2021'!AP202+'2022'!AP178</f>
        <v>4</v>
      </c>
      <c r="AQ202" s="174">
        <f>'2018'!AQ202+'2019'!AQ202+'2020'!AQ202+'2021'!AQ202+'2022'!AQ178</f>
        <v>2</v>
      </c>
      <c r="AR202" s="174">
        <f>'2018'!AR202+'2019'!AR202+'2020'!AR202+'2021'!AR202+'2022'!AR178</f>
        <v>6</v>
      </c>
      <c r="AS202" s="174">
        <f>'2018'!AS202+'2019'!AS202+'2020'!AS202+'2021'!AS202+'2022'!AS178</f>
        <v>2</v>
      </c>
      <c r="AT202" s="174">
        <f>'2018'!AT202+'2019'!AT202+'2020'!AT202+'2021'!AT202+'2022'!AT178</f>
        <v>8</v>
      </c>
      <c r="AU202" s="174">
        <f>'2018'!AU202+'2019'!AU202+'2020'!AU202+'2021'!AU202+'2022'!AU178</f>
        <v>0</v>
      </c>
      <c r="AV202" s="174">
        <f>'2018'!AV202+'2019'!AV202+'2020'!AV202+'2021'!AV202+'2022'!AV178</f>
        <v>3</v>
      </c>
      <c r="AW202" s="174">
        <f t="shared" si="35"/>
        <v>44</v>
      </c>
      <c r="AX202" s="156">
        <f t="shared" si="36"/>
        <v>1197.9739999999999</v>
      </c>
      <c r="AY202" s="14">
        <f>'2018'!AX202+'2019'!AX202+'2020'!AX202+'2021'!AX202+'2022'!AX178</f>
        <v>5989.87</v>
      </c>
      <c r="AZ202" s="14">
        <f t="shared" si="29"/>
        <v>50</v>
      </c>
      <c r="BA202" s="142"/>
      <c r="BB202" s="144"/>
      <c r="BC202" s="142"/>
    </row>
    <row r="203" spans="1:136" x14ac:dyDescent="0.25">
      <c r="A203" s="175" t="s">
        <v>120</v>
      </c>
      <c r="B203" s="176">
        <f>'2018'!B203+'2019'!B203+'2020'!B203+'2021'!B203+'2022'!B179</f>
        <v>42</v>
      </c>
      <c r="C203" s="176">
        <f>'2018'!C203+'2019'!C203+'2020'!C203+'2021'!C203+'2022'!C179</f>
        <v>14</v>
      </c>
      <c r="D203" s="176">
        <f>'2018'!D203+'2019'!D203+'2020'!D203+'2021'!D203+'2022'!D179</f>
        <v>90</v>
      </c>
      <c r="E203" s="176">
        <f>'2018'!E203+'2019'!E203+'2020'!E203+'2021'!E203+'2022'!E179</f>
        <v>27</v>
      </c>
      <c r="F203" s="176">
        <f>'2018'!F203+'2019'!F203+'2020'!F203+'2021'!F203+'2022'!F179</f>
        <v>0</v>
      </c>
      <c r="G203" s="176">
        <f>'2018'!G203+'2019'!G203+'2020'!G203+'2021'!G203+'2022'!G179</f>
        <v>0</v>
      </c>
      <c r="H203" s="176">
        <f>'2018'!H203+'2019'!H203+'2020'!H203+'2021'!H203+'2022'!H179</f>
        <v>8</v>
      </c>
      <c r="I203" s="176">
        <f>'2018'!I203+'2019'!I203+'2020'!I203+'2021'!I203+'2022'!I179</f>
        <v>0</v>
      </c>
      <c r="J203" s="176">
        <f>'2018'!J203+'2019'!J203+'2020'!J203+'2021'!J203+'2022'!J179</f>
        <v>9</v>
      </c>
      <c r="K203" s="176">
        <f>'2018'!K203+'2019'!K203+'2020'!K203+'2021'!K203+'2022'!K179</f>
        <v>1</v>
      </c>
      <c r="L203" s="176">
        <f>'2018'!L203+'2019'!L203+'2020'!L203+'2021'!L203+'2022'!L179</f>
        <v>20</v>
      </c>
      <c r="M203" s="176">
        <f>'2018'!M203+'2019'!M203+'2020'!M203+'2021'!M203+'2022'!M179</f>
        <v>3</v>
      </c>
      <c r="N203" s="176">
        <f>'2018'!N203+'2019'!N203+'2020'!N203+'2021'!N203+'2022'!N179</f>
        <v>0</v>
      </c>
      <c r="O203" s="176">
        <f>'2018'!O203+'2019'!O203+'2020'!O203+'2021'!O203+'2022'!O179</f>
        <v>1</v>
      </c>
      <c r="P203" s="176">
        <f>'2018'!P203+'2019'!P203+'2020'!P203+'2021'!P203+'2022'!P179</f>
        <v>0</v>
      </c>
      <c r="Q203" s="176">
        <f>'2018'!Q203+'2019'!Q203+'2020'!Q203+'2021'!Q203+'2022'!Q179</f>
        <v>0</v>
      </c>
      <c r="R203" s="176">
        <f>'2018'!R203+'2019'!R203+'2020'!R203+'2021'!R203+'2022'!R179</f>
        <v>10</v>
      </c>
      <c r="S203" s="176">
        <f>'2018'!S203+'2019'!S203+'2020'!S203+'2021'!S203+'2022'!S179</f>
        <v>3</v>
      </c>
      <c r="T203" s="176">
        <f>'2018'!T203+'2019'!T203+'2020'!T203+'2021'!T203+'2022'!T179</f>
        <v>6</v>
      </c>
      <c r="U203" s="176">
        <f>'2018'!U203+'2019'!U203+'2020'!U203+'2021'!U203+'2022'!U179</f>
        <v>4</v>
      </c>
      <c r="V203" s="176">
        <f>'2018'!V203+'2019'!V203+'2020'!V203+'2021'!V203+'2022'!V179</f>
        <v>8</v>
      </c>
      <c r="W203" s="176">
        <f>'2018'!W203+'2019'!W203+'2020'!W203+'2021'!W203+'2022'!W179</f>
        <v>2</v>
      </c>
      <c r="X203" s="176">
        <f>'2018'!X203+'2019'!X203+'2020'!X203+'2021'!X203+'2022'!X179</f>
        <v>15</v>
      </c>
      <c r="Y203" s="174">
        <f t="shared" si="34"/>
        <v>90</v>
      </c>
      <c r="Z203" s="174">
        <f>'2018'!Z203+'2019'!Z203+'2020'!Z203+'2021'!Z203+'2022'!Z179</f>
        <v>18</v>
      </c>
      <c r="AA203" s="174">
        <f>'2018'!AA203+'2019'!AA203+'2020'!AA203+'2021'!AA203+'2022'!AA179</f>
        <v>6</v>
      </c>
      <c r="AB203" s="174">
        <f>'2018'!AB203+'2019'!AB203+'2020'!AB203+'2021'!AB203+'2022'!AB179</f>
        <v>43</v>
      </c>
      <c r="AC203" s="174">
        <f>'2018'!AC203+'2019'!AC203+'2020'!AC203+'2021'!AC203+'2022'!AC179</f>
        <v>17</v>
      </c>
      <c r="AD203" s="174">
        <f>'2018'!AD203+'2019'!AD203+'2020'!AD203+'2021'!AD203+'2022'!AD179</f>
        <v>0</v>
      </c>
      <c r="AE203" s="174">
        <f>'2018'!AE203+'2019'!AE203+'2020'!AE203+'2021'!AE203+'2022'!AE179</f>
        <v>0</v>
      </c>
      <c r="AF203" s="174">
        <f>'2018'!AF203+'2019'!AF203+'2020'!AF203+'2021'!AF203+'2022'!AF179</f>
        <v>5</v>
      </c>
      <c r="AG203" s="174">
        <f>'2018'!AG203+'2019'!AG203+'2020'!AG203+'2021'!AG203+'2022'!AG179</f>
        <v>0</v>
      </c>
      <c r="AH203" s="174">
        <f>'2018'!AH203+'2019'!AH203+'2020'!AH203+'2021'!AH203+'2022'!AH179</f>
        <v>9</v>
      </c>
      <c r="AI203" s="174">
        <f>'2018'!AI203+'2019'!AI203+'2020'!AI203+'2021'!AI203+'2022'!AI179</f>
        <v>1</v>
      </c>
      <c r="AJ203" s="174">
        <f>'2018'!AJ203+'2019'!AJ203+'2020'!AJ203+'2021'!AJ203+'2022'!AJ179</f>
        <v>3</v>
      </c>
      <c r="AK203" s="174">
        <f>'2018'!AK203+'2019'!AK203+'2020'!AK203+'2021'!AK203+'2022'!AK179</f>
        <v>1</v>
      </c>
      <c r="AL203" s="174">
        <f>'2018'!AL203+'2019'!AL203+'2020'!AL203+'2021'!AL203+'2022'!AL179</f>
        <v>0</v>
      </c>
      <c r="AM203" s="174">
        <f>'2018'!AM203+'2019'!AM203+'2020'!AM203+'2021'!AM203+'2022'!AM179</f>
        <v>0</v>
      </c>
      <c r="AN203" s="174">
        <f>'2018'!AN203+'2019'!AN203+'2020'!AN203+'2021'!AN203+'2022'!AN179</f>
        <v>0</v>
      </c>
      <c r="AO203" s="174">
        <f>'2018'!AO203+'2019'!AO203+'2020'!AO203+'2021'!AO203+'2022'!AO179</f>
        <v>0</v>
      </c>
      <c r="AP203" s="174">
        <f>'2018'!AP203+'2019'!AP203+'2020'!AP203+'2021'!AP203+'2022'!AP179</f>
        <v>4</v>
      </c>
      <c r="AQ203" s="174">
        <f>'2018'!AQ203+'2019'!AQ203+'2020'!AQ203+'2021'!AQ203+'2022'!AQ179</f>
        <v>2</v>
      </c>
      <c r="AR203" s="174">
        <f>'2018'!AR203+'2019'!AR203+'2020'!AR203+'2021'!AR203+'2022'!AR179</f>
        <v>6</v>
      </c>
      <c r="AS203" s="174">
        <f>'2018'!AS203+'2019'!AS203+'2020'!AS203+'2021'!AS203+'2022'!AS179</f>
        <v>1</v>
      </c>
      <c r="AT203" s="174">
        <f>'2018'!AT203+'2019'!AT203+'2020'!AT203+'2021'!AT203+'2022'!AT179</f>
        <v>7</v>
      </c>
      <c r="AU203" s="174">
        <f>'2018'!AU203+'2019'!AU203+'2020'!AU203+'2021'!AU203+'2022'!AU179</f>
        <v>0</v>
      </c>
      <c r="AV203" s="174">
        <f>'2018'!AV203+'2019'!AV203+'2020'!AV203+'2021'!AV203+'2022'!AV179</f>
        <v>4</v>
      </c>
      <c r="AW203" s="174">
        <f t="shared" si="35"/>
        <v>43</v>
      </c>
      <c r="AX203" s="156">
        <f t="shared" si="36"/>
        <v>1541.547</v>
      </c>
      <c r="AY203" s="14">
        <f>'2018'!AX203+'2019'!AX203+'2020'!AX203+'2021'!AX203+'2022'!AX179</f>
        <v>7707.7349999999997</v>
      </c>
      <c r="AZ203" s="14">
        <f t="shared" si="29"/>
        <v>47.777777777777779</v>
      </c>
      <c r="BA203" s="142"/>
      <c r="BB203" s="144"/>
      <c r="BC203" s="142"/>
    </row>
    <row r="204" spans="1:136" x14ac:dyDescent="0.25">
      <c r="A204" s="175" t="s">
        <v>121</v>
      </c>
      <c r="B204" s="176">
        <f>'2018'!B204+'2019'!B204+'2020'!B204+'2021'!B204+'2022'!B180</f>
        <v>2</v>
      </c>
      <c r="C204" s="176">
        <f>'2018'!C204+'2019'!C204+'2020'!C204+'2021'!C204+'2022'!C180</f>
        <v>1</v>
      </c>
      <c r="D204" s="176">
        <f>'2018'!D204+'2019'!D204+'2020'!D204+'2021'!D204+'2022'!D180</f>
        <v>3</v>
      </c>
      <c r="E204" s="176">
        <f>'2018'!E204+'2019'!E204+'2020'!E204+'2021'!E204+'2022'!E180</f>
        <v>2</v>
      </c>
      <c r="F204" s="176">
        <f>'2018'!F204+'2019'!F204+'2020'!F204+'2021'!F204+'2022'!F180</f>
        <v>0</v>
      </c>
      <c r="G204" s="176">
        <f>'2018'!G204+'2019'!G204+'2020'!G204+'2021'!G204+'2022'!G180</f>
        <v>0</v>
      </c>
      <c r="H204" s="176">
        <f>'2018'!H204+'2019'!H204+'2020'!H204+'2021'!H204+'2022'!H180</f>
        <v>0</v>
      </c>
      <c r="I204" s="176">
        <f>'2018'!I204+'2019'!I204+'2020'!I204+'2021'!I204+'2022'!I180</f>
        <v>0</v>
      </c>
      <c r="J204" s="176">
        <f>'2018'!J204+'2019'!J204+'2020'!J204+'2021'!J204+'2022'!J180</f>
        <v>0</v>
      </c>
      <c r="K204" s="176">
        <f>'2018'!K204+'2019'!K204+'2020'!K204+'2021'!K204+'2022'!K180</f>
        <v>0</v>
      </c>
      <c r="L204" s="176">
        <f>'2018'!L204+'2019'!L204+'2020'!L204+'2021'!L204+'2022'!L180</f>
        <v>0</v>
      </c>
      <c r="M204" s="176">
        <f>'2018'!M204+'2019'!M204+'2020'!M204+'2021'!M204+'2022'!M180</f>
        <v>0</v>
      </c>
      <c r="N204" s="176">
        <f>'2018'!N204+'2019'!N204+'2020'!N204+'2021'!N204+'2022'!N180</f>
        <v>0</v>
      </c>
      <c r="O204" s="176">
        <f>'2018'!O204+'2019'!O204+'2020'!O204+'2021'!O204+'2022'!O180</f>
        <v>0</v>
      </c>
      <c r="P204" s="176">
        <f>'2018'!P204+'2019'!P204+'2020'!P204+'2021'!P204+'2022'!P180</f>
        <v>0</v>
      </c>
      <c r="Q204" s="176">
        <f>'2018'!Q204+'2019'!Q204+'2020'!Q204+'2021'!Q204+'2022'!Q180</f>
        <v>0</v>
      </c>
      <c r="R204" s="176">
        <f>'2018'!R204+'2019'!R204+'2020'!R204+'2021'!R204+'2022'!R180</f>
        <v>0</v>
      </c>
      <c r="S204" s="176">
        <f>'2018'!S204+'2019'!S204+'2020'!S204+'2021'!S204+'2022'!S180</f>
        <v>0</v>
      </c>
      <c r="T204" s="176">
        <f>'2018'!T204+'2019'!T204+'2020'!T204+'2021'!T204+'2022'!T180</f>
        <v>0</v>
      </c>
      <c r="U204" s="176">
        <f>'2018'!U204+'2019'!U204+'2020'!U204+'2021'!U204+'2022'!U180</f>
        <v>2</v>
      </c>
      <c r="V204" s="176">
        <f>'2018'!V204+'2019'!V204+'2020'!V204+'2021'!V204+'2022'!V180</f>
        <v>1</v>
      </c>
      <c r="W204" s="176">
        <f>'2018'!W204+'2019'!W204+'2020'!W204+'2021'!W204+'2022'!W180</f>
        <v>0</v>
      </c>
      <c r="X204" s="176">
        <f>'2018'!X204+'2019'!X204+'2020'!X204+'2021'!X204+'2022'!X180</f>
        <v>0</v>
      </c>
      <c r="Y204" s="174">
        <f t="shared" si="34"/>
        <v>3</v>
      </c>
      <c r="Z204" s="174">
        <f>'2018'!Z204+'2019'!Z204+'2020'!Z204+'2021'!Z204+'2022'!Z180</f>
        <v>2</v>
      </c>
      <c r="AA204" s="174">
        <f>'2018'!AA204+'2019'!AA204+'2020'!AA204+'2021'!AA204+'2022'!AA180</f>
        <v>1</v>
      </c>
      <c r="AB204" s="174">
        <f>'2018'!AB204+'2019'!AB204+'2020'!AB204+'2021'!AB204+'2022'!AB180</f>
        <v>3</v>
      </c>
      <c r="AC204" s="174">
        <f>'2018'!AC204+'2019'!AC204+'2020'!AC204+'2021'!AC204+'2022'!AC180</f>
        <v>2</v>
      </c>
      <c r="AD204" s="174">
        <f>'2018'!AD204+'2019'!AD204+'2020'!AD204+'2021'!AD204+'2022'!AD180</f>
        <v>0</v>
      </c>
      <c r="AE204" s="174">
        <f>'2018'!AE204+'2019'!AE204+'2020'!AE204+'2021'!AE204+'2022'!AE180</f>
        <v>0</v>
      </c>
      <c r="AF204" s="174">
        <f>'2018'!AF204+'2019'!AF204+'2020'!AF204+'2021'!AF204+'2022'!AF180</f>
        <v>0</v>
      </c>
      <c r="AG204" s="174">
        <f>'2018'!AG204+'2019'!AG204+'2020'!AG204+'2021'!AG204+'2022'!AG180</f>
        <v>0</v>
      </c>
      <c r="AH204" s="174">
        <f>'2018'!AH204+'2019'!AH204+'2020'!AH204+'2021'!AH204+'2022'!AH180</f>
        <v>0</v>
      </c>
      <c r="AI204" s="174">
        <f>'2018'!AI204+'2019'!AI204+'2020'!AI204+'2021'!AI204+'2022'!AI180</f>
        <v>0</v>
      </c>
      <c r="AJ204" s="174">
        <f>'2018'!AJ204+'2019'!AJ204+'2020'!AJ204+'2021'!AJ204+'2022'!AJ180</f>
        <v>0</v>
      </c>
      <c r="AK204" s="174">
        <f>'2018'!AK204+'2019'!AK204+'2020'!AK204+'2021'!AK204+'2022'!AK180</f>
        <v>0</v>
      </c>
      <c r="AL204" s="174">
        <f>'2018'!AL204+'2019'!AL204+'2020'!AL204+'2021'!AL204+'2022'!AL180</f>
        <v>0</v>
      </c>
      <c r="AM204" s="174">
        <f>'2018'!AM204+'2019'!AM204+'2020'!AM204+'2021'!AM204+'2022'!AM180</f>
        <v>0</v>
      </c>
      <c r="AN204" s="174">
        <f>'2018'!AN204+'2019'!AN204+'2020'!AN204+'2021'!AN204+'2022'!AN180</f>
        <v>0</v>
      </c>
      <c r="AO204" s="174">
        <f>'2018'!AO204+'2019'!AO204+'2020'!AO204+'2021'!AO204+'2022'!AO180</f>
        <v>0</v>
      </c>
      <c r="AP204" s="174">
        <f>'2018'!AP204+'2019'!AP204+'2020'!AP204+'2021'!AP204+'2022'!AP180</f>
        <v>0</v>
      </c>
      <c r="AQ204" s="174">
        <f>'2018'!AQ204+'2019'!AQ204+'2020'!AQ204+'2021'!AQ204+'2022'!AQ180</f>
        <v>0</v>
      </c>
      <c r="AR204" s="174">
        <f>'2018'!AR204+'2019'!AR204+'2020'!AR204+'2021'!AR204+'2022'!AR180</f>
        <v>0</v>
      </c>
      <c r="AS204" s="174">
        <f>'2018'!AS204+'2019'!AS204+'2020'!AS204+'2021'!AS204+'2022'!AS180</f>
        <v>2</v>
      </c>
      <c r="AT204" s="174">
        <f>'2018'!AT204+'2019'!AT204+'2020'!AT204+'2021'!AT204+'2022'!AT180</f>
        <v>1</v>
      </c>
      <c r="AU204" s="174">
        <f>'2018'!AU204+'2019'!AU204+'2020'!AU204+'2021'!AU204+'2022'!AU180</f>
        <v>0</v>
      </c>
      <c r="AV204" s="174">
        <f>'2018'!AV204+'2019'!AV204+'2020'!AV204+'2021'!AV204+'2022'!AV180</f>
        <v>0</v>
      </c>
      <c r="AW204" s="174">
        <f t="shared" si="35"/>
        <v>3</v>
      </c>
      <c r="AX204" s="156">
        <f t="shared" si="36"/>
        <v>504</v>
      </c>
      <c r="AY204" s="14">
        <f>'2018'!AX204+'2019'!AX204+'2020'!AX204+'2021'!AX204+'2022'!AX180</f>
        <v>2520</v>
      </c>
      <c r="AZ204" s="14">
        <f t="shared" si="29"/>
        <v>100</v>
      </c>
      <c r="BA204" s="142"/>
      <c r="BB204" s="144"/>
      <c r="BC204" s="142"/>
    </row>
    <row r="205" spans="1:136" x14ac:dyDescent="0.25">
      <c r="A205" s="175" t="s">
        <v>122</v>
      </c>
      <c r="B205" s="176">
        <f>'2018'!B205+'2019'!B205+'2020'!B205+'2021'!B205+'2022'!B181</f>
        <v>156</v>
      </c>
      <c r="C205" s="176">
        <f>'2018'!C205+'2019'!C205+'2020'!C205+'2021'!C205+'2022'!C181</f>
        <v>85</v>
      </c>
      <c r="D205" s="176">
        <f>'2018'!D205+'2019'!D205+'2020'!D205+'2021'!D205+'2022'!D181</f>
        <v>542</v>
      </c>
      <c r="E205" s="176">
        <f>'2018'!E205+'2019'!E205+'2020'!E205+'2021'!E205+'2022'!E181</f>
        <v>255</v>
      </c>
      <c r="F205" s="176">
        <f>'2018'!F205+'2019'!F205+'2020'!F205+'2021'!F205+'2022'!F181</f>
        <v>0</v>
      </c>
      <c r="G205" s="176">
        <f>'2018'!G205+'2019'!G205+'2020'!G205+'2021'!G205+'2022'!G181</f>
        <v>0</v>
      </c>
      <c r="H205" s="176">
        <f>'2018'!H205+'2019'!H205+'2020'!H205+'2021'!H205+'2022'!H181</f>
        <v>20</v>
      </c>
      <c r="I205" s="176">
        <f>'2018'!I205+'2019'!I205+'2020'!I205+'2021'!I205+'2022'!I181</f>
        <v>0</v>
      </c>
      <c r="J205" s="176">
        <f>'2018'!J205+'2019'!J205+'2020'!J205+'2021'!J205+'2022'!J181</f>
        <v>0</v>
      </c>
      <c r="K205" s="176">
        <f>'2018'!K205+'2019'!K205+'2020'!K205+'2021'!K205+'2022'!K181</f>
        <v>0</v>
      </c>
      <c r="L205" s="176">
        <f>'2018'!L205+'2019'!L205+'2020'!L205+'2021'!L205+'2022'!L181</f>
        <v>2</v>
      </c>
      <c r="M205" s="176">
        <f>'2018'!M205+'2019'!M205+'2020'!M205+'2021'!M205+'2022'!M181</f>
        <v>0</v>
      </c>
      <c r="N205" s="176">
        <f>'2018'!N205+'2019'!N205+'2020'!N205+'2021'!N205+'2022'!N181</f>
        <v>2</v>
      </c>
      <c r="O205" s="176">
        <f>'2018'!O205+'2019'!O205+'2020'!O205+'2021'!O205+'2022'!O181</f>
        <v>1</v>
      </c>
      <c r="P205" s="176">
        <f>'2018'!P205+'2019'!P205+'2020'!P205+'2021'!P205+'2022'!P181</f>
        <v>0</v>
      </c>
      <c r="Q205" s="176">
        <f>'2018'!Q205+'2019'!Q205+'2020'!Q205+'2021'!Q205+'2022'!Q181</f>
        <v>0</v>
      </c>
      <c r="R205" s="176">
        <f>'2018'!R205+'2019'!R205+'2020'!R205+'2021'!R205+'2022'!R181</f>
        <v>2</v>
      </c>
      <c r="S205" s="176">
        <f>'2018'!S205+'2019'!S205+'2020'!S205+'2021'!S205+'2022'!S181</f>
        <v>0</v>
      </c>
      <c r="T205" s="176">
        <f>'2018'!T205+'2019'!T205+'2020'!T205+'2021'!T205+'2022'!T181</f>
        <v>47</v>
      </c>
      <c r="U205" s="176">
        <f>'2018'!U205+'2019'!U205+'2020'!U205+'2021'!U205+'2022'!U181</f>
        <v>221</v>
      </c>
      <c r="V205" s="176">
        <f>'2018'!V205+'2019'!V205+'2020'!V205+'2021'!V205+'2022'!V181</f>
        <v>130</v>
      </c>
      <c r="W205" s="176">
        <f>'2018'!W205+'2019'!W205+'2020'!W205+'2021'!W205+'2022'!W181</f>
        <v>0</v>
      </c>
      <c r="X205" s="176">
        <f>'2018'!X205+'2019'!X205+'2020'!X205+'2021'!X205+'2022'!X181</f>
        <v>117</v>
      </c>
      <c r="Y205" s="174">
        <f t="shared" si="34"/>
        <v>542</v>
      </c>
      <c r="Z205" s="174">
        <f>'2018'!Z205+'2019'!Z205+'2020'!Z205+'2021'!Z205+'2022'!Z181</f>
        <v>107</v>
      </c>
      <c r="AA205" s="174">
        <f>'2018'!AA205+'2019'!AA205+'2020'!AA205+'2021'!AA205+'2022'!AA181</f>
        <v>68</v>
      </c>
      <c r="AB205" s="174">
        <f>'2018'!AB205+'2019'!AB205+'2020'!AB205+'2021'!AB205+'2022'!AB181</f>
        <v>373</v>
      </c>
      <c r="AC205" s="174">
        <f>'2018'!AC205+'2019'!AC205+'2020'!AC205+'2021'!AC205+'2022'!AC181</f>
        <v>231</v>
      </c>
      <c r="AD205" s="174">
        <f>'2018'!AD205+'2019'!AD205+'2020'!AD205+'2021'!AD205+'2022'!AD181</f>
        <v>0</v>
      </c>
      <c r="AE205" s="174">
        <f>'2018'!AE205+'2019'!AE205+'2020'!AE205+'2021'!AE205+'2022'!AE181</f>
        <v>0</v>
      </c>
      <c r="AF205" s="174">
        <f>'2018'!AF205+'2019'!AF205+'2020'!AF205+'2021'!AF205+'2022'!AF181</f>
        <v>8</v>
      </c>
      <c r="AG205" s="174">
        <f>'2018'!AG205+'2019'!AG205+'2020'!AG205+'2021'!AG205+'2022'!AG181</f>
        <v>0</v>
      </c>
      <c r="AH205" s="174">
        <f>'2018'!AH205+'2019'!AH205+'2020'!AH205+'2021'!AH205+'2022'!AH181</f>
        <v>0</v>
      </c>
      <c r="AI205" s="174">
        <f>'2018'!AI205+'2019'!AI205+'2020'!AI205+'2021'!AI205+'2022'!AI181</f>
        <v>0</v>
      </c>
      <c r="AJ205" s="174">
        <f>'2018'!AJ205+'2019'!AJ205+'2020'!AJ205+'2021'!AJ205+'2022'!AJ181</f>
        <v>1</v>
      </c>
      <c r="AK205" s="174">
        <f>'2018'!AK205+'2019'!AK205+'2020'!AK205+'2021'!AK205+'2022'!AK181</f>
        <v>0</v>
      </c>
      <c r="AL205" s="174">
        <f>'2018'!AL205+'2019'!AL205+'2020'!AL205+'2021'!AL205+'2022'!AL181</f>
        <v>0</v>
      </c>
      <c r="AM205" s="174">
        <f>'2018'!AM205+'2019'!AM205+'2020'!AM205+'2021'!AM205+'2022'!AM181</f>
        <v>0</v>
      </c>
      <c r="AN205" s="174">
        <f>'2018'!AN205+'2019'!AN205+'2020'!AN205+'2021'!AN205+'2022'!AN181</f>
        <v>0</v>
      </c>
      <c r="AO205" s="174">
        <f>'2018'!AO205+'2019'!AO205+'2020'!AO205+'2021'!AO205+'2022'!AO181</f>
        <v>0</v>
      </c>
      <c r="AP205" s="174">
        <f>'2018'!AP205+'2019'!AP205+'2020'!AP205+'2021'!AP205+'2022'!AP181</f>
        <v>1</v>
      </c>
      <c r="AQ205" s="174">
        <f>'2018'!AQ205+'2019'!AQ205+'2020'!AQ205+'2021'!AQ205+'2022'!AQ181</f>
        <v>0</v>
      </c>
      <c r="AR205" s="174">
        <f>'2018'!AR205+'2019'!AR205+'2020'!AR205+'2021'!AR205+'2022'!AR181</f>
        <v>47</v>
      </c>
      <c r="AS205" s="174">
        <f>'2018'!AS205+'2019'!AS205+'2020'!AS205+'2021'!AS205+'2022'!AS181</f>
        <v>174</v>
      </c>
      <c r="AT205" s="174">
        <f>'2018'!AT205+'2019'!AT205+'2020'!AT205+'2021'!AT205+'2022'!AT181</f>
        <v>83</v>
      </c>
      <c r="AU205" s="174">
        <f>'2018'!AU205+'2019'!AU205+'2020'!AU205+'2021'!AU205+'2022'!AU181</f>
        <v>0</v>
      </c>
      <c r="AV205" s="174">
        <f>'2018'!AV205+'2019'!AV205+'2020'!AV205+'2021'!AV205+'2022'!AV181</f>
        <v>59</v>
      </c>
      <c r="AW205" s="174">
        <f t="shared" si="35"/>
        <v>373</v>
      </c>
      <c r="AX205" s="156">
        <f t="shared" si="36"/>
        <v>2059.9633333333336</v>
      </c>
      <c r="AY205" s="14">
        <f>'2018'!AX205+'2019'!AX205+'2020'!AX205+'2021'!AX205+'2022'!AX181</f>
        <v>10299.816666666668</v>
      </c>
      <c r="AZ205" s="14">
        <f t="shared" si="29"/>
        <v>68.819188191881921</v>
      </c>
      <c r="BA205" s="142"/>
      <c r="BB205" s="144"/>
      <c r="BC205" s="142"/>
    </row>
    <row r="206" spans="1:136" x14ac:dyDescent="0.25">
      <c r="A206" s="175" t="s">
        <v>123</v>
      </c>
      <c r="B206" s="176">
        <f>'2018'!B206+'2019'!B206+'2020'!B206+'2021'!B206+'2022'!B182</f>
        <v>15</v>
      </c>
      <c r="C206" s="176">
        <f>'2018'!C206+'2019'!C206+'2020'!C206+'2021'!C206+'2022'!C182</f>
        <v>7</v>
      </c>
      <c r="D206" s="176">
        <f>'2018'!D206+'2019'!D206+'2020'!D206+'2021'!D206+'2022'!D182</f>
        <v>68</v>
      </c>
      <c r="E206" s="176">
        <f>'2018'!E206+'2019'!E206+'2020'!E206+'2021'!E206+'2022'!E182</f>
        <v>8</v>
      </c>
      <c r="F206" s="176">
        <f>'2018'!F206+'2019'!F206+'2020'!F206+'2021'!F206+'2022'!F182</f>
        <v>0</v>
      </c>
      <c r="G206" s="176">
        <f>'2018'!G206+'2019'!G206+'2020'!G206+'2021'!G206+'2022'!G182</f>
        <v>0</v>
      </c>
      <c r="H206" s="176">
        <f>'2018'!H206+'2019'!H206+'2020'!H206+'2021'!H206+'2022'!H182</f>
        <v>0</v>
      </c>
      <c r="I206" s="176">
        <f>'2018'!I206+'2019'!I206+'2020'!I206+'2021'!I206+'2022'!I182</f>
        <v>0</v>
      </c>
      <c r="J206" s="176">
        <f>'2018'!J206+'2019'!J206+'2020'!J206+'2021'!J206+'2022'!J182</f>
        <v>0</v>
      </c>
      <c r="K206" s="176">
        <f>'2018'!K206+'2019'!K206+'2020'!K206+'2021'!K206+'2022'!K182</f>
        <v>0</v>
      </c>
      <c r="L206" s="176">
        <f>'2018'!L206+'2019'!L206+'2020'!L206+'2021'!L206+'2022'!L182</f>
        <v>0</v>
      </c>
      <c r="M206" s="176">
        <f>'2018'!M206+'2019'!M206+'2020'!M206+'2021'!M206+'2022'!M182</f>
        <v>0</v>
      </c>
      <c r="N206" s="176">
        <f>'2018'!N206+'2019'!N206+'2020'!N206+'2021'!N206+'2022'!N182</f>
        <v>0</v>
      </c>
      <c r="O206" s="176">
        <f>'2018'!O206+'2019'!O206+'2020'!O206+'2021'!O206+'2022'!O182</f>
        <v>0</v>
      </c>
      <c r="P206" s="176">
        <f>'2018'!P206+'2019'!P206+'2020'!P206+'2021'!P206+'2022'!P182</f>
        <v>0</v>
      </c>
      <c r="Q206" s="176">
        <f>'2018'!Q206+'2019'!Q206+'2020'!Q206+'2021'!Q206+'2022'!Q182</f>
        <v>0</v>
      </c>
      <c r="R206" s="176">
        <f>'2018'!R206+'2019'!R206+'2020'!R206+'2021'!R206+'2022'!R182</f>
        <v>0</v>
      </c>
      <c r="S206" s="176">
        <f>'2018'!S206+'2019'!S206+'2020'!S206+'2021'!S206+'2022'!S182</f>
        <v>0</v>
      </c>
      <c r="T206" s="176">
        <f>'2018'!T206+'2019'!T206+'2020'!T206+'2021'!T206+'2022'!T182</f>
        <v>0</v>
      </c>
      <c r="U206" s="176">
        <f>'2018'!U206+'2019'!U206+'2020'!U206+'2021'!U206+'2022'!U182</f>
        <v>24</v>
      </c>
      <c r="V206" s="176">
        <f>'2018'!V206+'2019'!V206+'2020'!V206+'2021'!V206+'2022'!V182</f>
        <v>32</v>
      </c>
      <c r="W206" s="176">
        <f>'2018'!W206+'2019'!W206+'2020'!W206+'2021'!W206+'2022'!W182</f>
        <v>0</v>
      </c>
      <c r="X206" s="176">
        <f>'2018'!X206+'2019'!X206+'2020'!X206+'2021'!X206+'2022'!X182</f>
        <v>12</v>
      </c>
      <c r="Y206" s="174">
        <f t="shared" si="34"/>
        <v>68</v>
      </c>
      <c r="Z206" s="174">
        <f>'2018'!Z206+'2019'!Z206+'2020'!Z206+'2021'!Z206+'2022'!Z182</f>
        <v>13</v>
      </c>
      <c r="AA206" s="174">
        <f>'2018'!AA206+'2019'!AA206+'2020'!AA206+'2021'!AA206+'2022'!AA182</f>
        <v>7</v>
      </c>
      <c r="AB206" s="174">
        <f>'2018'!AB206+'2019'!AB206+'2020'!AB206+'2021'!AB206+'2022'!AB182</f>
        <v>58</v>
      </c>
      <c r="AC206" s="174">
        <f>'2018'!AC206+'2019'!AC206+'2020'!AC206+'2021'!AC206+'2022'!AC182</f>
        <v>33</v>
      </c>
      <c r="AD206" s="174">
        <f>'2018'!AD206+'2019'!AD206+'2020'!AD206+'2021'!AD206+'2022'!AD182</f>
        <v>0</v>
      </c>
      <c r="AE206" s="174">
        <f>'2018'!AE206+'2019'!AE206+'2020'!AE206+'2021'!AE206+'2022'!AE182</f>
        <v>0</v>
      </c>
      <c r="AF206" s="174">
        <f>'2018'!AF206+'2019'!AF206+'2020'!AF206+'2021'!AF206+'2022'!AF182</f>
        <v>0</v>
      </c>
      <c r="AG206" s="174">
        <f>'2018'!AG206+'2019'!AG206+'2020'!AG206+'2021'!AG206+'2022'!AG182</f>
        <v>0</v>
      </c>
      <c r="AH206" s="174">
        <f>'2018'!AH206+'2019'!AH206+'2020'!AH206+'2021'!AH206+'2022'!AH182</f>
        <v>0</v>
      </c>
      <c r="AI206" s="174">
        <f>'2018'!AI206+'2019'!AI206+'2020'!AI206+'2021'!AI206+'2022'!AI182</f>
        <v>0</v>
      </c>
      <c r="AJ206" s="174">
        <f>'2018'!AJ206+'2019'!AJ206+'2020'!AJ206+'2021'!AJ206+'2022'!AJ182</f>
        <v>0</v>
      </c>
      <c r="AK206" s="174">
        <f>'2018'!AK206+'2019'!AK206+'2020'!AK206+'2021'!AK206+'2022'!AK182</f>
        <v>0</v>
      </c>
      <c r="AL206" s="174">
        <f>'2018'!AL206+'2019'!AL206+'2020'!AL206+'2021'!AL206+'2022'!AL182</f>
        <v>0</v>
      </c>
      <c r="AM206" s="174">
        <f>'2018'!AM206+'2019'!AM206+'2020'!AM206+'2021'!AM206+'2022'!AM182</f>
        <v>0</v>
      </c>
      <c r="AN206" s="174">
        <f>'2018'!AN206+'2019'!AN206+'2020'!AN206+'2021'!AN206+'2022'!AN182</f>
        <v>0</v>
      </c>
      <c r="AO206" s="174">
        <f>'2018'!AO206+'2019'!AO206+'2020'!AO206+'2021'!AO206+'2022'!AO182</f>
        <v>0</v>
      </c>
      <c r="AP206" s="174">
        <f>'2018'!AP206+'2019'!AP206+'2020'!AP206+'2021'!AP206+'2022'!AP182</f>
        <v>0</v>
      </c>
      <c r="AQ206" s="174">
        <f>'2018'!AQ206+'2019'!AQ206+'2020'!AQ206+'2021'!AQ206+'2022'!AQ182</f>
        <v>0</v>
      </c>
      <c r="AR206" s="174">
        <f>'2018'!AR206+'2019'!AR206+'2020'!AR206+'2021'!AR206+'2022'!AR182</f>
        <v>0</v>
      </c>
      <c r="AS206" s="174">
        <f>'2018'!AS206+'2019'!AS206+'2020'!AS206+'2021'!AS206+'2022'!AS182</f>
        <v>15</v>
      </c>
      <c r="AT206" s="174">
        <f>'2018'!AT206+'2019'!AT206+'2020'!AT206+'2021'!AT206+'2022'!AT182</f>
        <v>32</v>
      </c>
      <c r="AU206" s="174">
        <f>'2018'!AU206+'2019'!AU206+'2020'!AU206+'2021'!AU206+'2022'!AU182</f>
        <v>0</v>
      </c>
      <c r="AV206" s="174">
        <f>'2018'!AV206+'2019'!AV206+'2020'!AV206+'2021'!AV206+'2022'!AV182</f>
        <v>11</v>
      </c>
      <c r="AW206" s="174">
        <f t="shared" si="35"/>
        <v>58</v>
      </c>
      <c r="AX206" s="156">
        <f t="shared" si="36"/>
        <v>2195.4548571428572</v>
      </c>
      <c r="AY206" s="14">
        <f>'2018'!AX206+'2019'!AX206+'2020'!AX206+'2021'!AX206+'2022'!AX182</f>
        <v>10977.274285714286</v>
      </c>
      <c r="AZ206" s="14">
        <f t="shared" si="29"/>
        <v>85.294117647058826</v>
      </c>
      <c r="BA206" s="142"/>
      <c r="BB206" s="144"/>
      <c r="BC206" s="142"/>
    </row>
    <row r="207" spans="1:136" x14ac:dyDescent="0.25">
      <c r="A207" s="175" t="s">
        <v>61</v>
      </c>
      <c r="B207" s="176">
        <f>'2018'!B207+'2019'!B207+'2020'!B207+'2021'!B207+'2022'!B191</f>
        <v>9</v>
      </c>
      <c r="C207" s="176">
        <f>'2018'!C207+'2019'!C207+'2020'!C207+'2021'!C207+'2022'!C191</f>
        <v>8</v>
      </c>
      <c r="D207" s="176">
        <f>'2018'!D207+'2019'!D207+'2020'!D207+'2021'!D207+'2022'!D191</f>
        <v>12</v>
      </c>
      <c r="E207" s="176">
        <f>'2018'!E207+'2019'!E207+'2020'!E207+'2021'!E207+'2022'!E191</f>
        <v>11</v>
      </c>
      <c r="F207" s="176">
        <f>'2018'!F207+'2019'!F207+'2020'!F207+'2021'!F207+'2022'!F191</f>
        <v>0</v>
      </c>
      <c r="G207" s="176">
        <f>'2018'!G207+'2019'!G207+'2020'!G207+'2021'!G207+'2022'!G191</f>
        <v>0</v>
      </c>
      <c r="H207" s="176">
        <f>'2018'!H207+'2019'!H207+'2020'!H207+'2021'!H207+'2022'!H191</f>
        <v>0</v>
      </c>
      <c r="I207" s="176">
        <f>'2018'!I207+'2019'!I207+'2020'!I207+'2021'!I207+'2022'!I191</f>
        <v>0</v>
      </c>
      <c r="J207" s="176">
        <f>'2018'!J207+'2019'!J207+'2020'!J207+'2021'!J207+'2022'!J191</f>
        <v>0</v>
      </c>
      <c r="K207" s="176">
        <f>'2018'!K207+'2019'!K207+'2020'!K207+'2021'!K207+'2022'!K191</f>
        <v>0</v>
      </c>
      <c r="L207" s="176">
        <f>'2018'!L207+'2019'!L207+'2020'!L207+'2021'!L207+'2022'!L191</f>
        <v>0</v>
      </c>
      <c r="M207" s="176">
        <f>'2018'!M207+'2019'!M207+'2020'!M207+'2021'!M207+'2022'!M191</f>
        <v>0</v>
      </c>
      <c r="N207" s="176">
        <f>'2018'!N207+'2019'!N207+'2020'!N207+'2021'!N207+'2022'!N191</f>
        <v>0</v>
      </c>
      <c r="O207" s="176">
        <f>'2018'!O207+'2019'!O207+'2020'!O207+'2021'!O207+'2022'!O191</f>
        <v>0</v>
      </c>
      <c r="P207" s="176">
        <f>'2018'!P207+'2019'!P207+'2020'!P207+'2021'!P207+'2022'!P191</f>
        <v>0</v>
      </c>
      <c r="Q207" s="176">
        <f>'2018'!Q207+'2019'!Q207+'2020'!Q207+'2021'!Q207+'2022'!Q191</f>
        <v>0</v>
      </c>
      <c r="R207" s="176">
        <f>'2018'!R207+'2019'!R207+'2020'!R207+'2021'!R207+'2022'!R191</f>
        <v>0</v>
      </c>
      <c r="S207" s="176">
        <f>'2018'!S207+'2019'!S207+'2020'!S207+'2021'!S207+'2022'!S191</f>
        <v>0</v>
      </c>
      <c r="T207" s="176">
        <f>'2018'!T207+'2019'!T207+'2020'!T207+'2021'!T207+'2022'!T191</f>
        <v>0</v>
      </c>
      <c r="U207" s="176">
        <f>'2018'!U207+'2019'!U207+'2020'!U207+'2021'!U207+'2022'!U191</f>
        <v>10</v>
      </c>
      <c r="V207" s="176">
        <f>'2018'!V207+'2019'!V207+'2020'!V207+'2021'!V207+'2022'!V191</f>
        <v>2</v>
      </c>
      <c r="W207" s="176">
        <f>'2018'!W207+'2019'!W207+'2020'!W207+'2021'!W207+'2022'!W191</f>
        <v>0</v>
      </c>
      <c r="X207" s="176">
        <f>'2018'!X207+'2019'!X207+'2020'!X207+'2021'!X207+'2022'!X191</f>
        <v>0</v>
      </c>
      <c r="Y207" s="174">
        <f t="shared" si="34"/>
        <v>12</v>
      </c>
      <c r="Z207" s="174">
        <f>'2018'!Z207+'2019'!Z207+'2020'!Z207+'2021'!Z207+'2022'!Z191</f>
        <v>7</v>
      </c>
      <c r="AA207" s="174">
        <f>'2018'!AA207+'2019'!AA207+'2020'!AA207+'2021'!AA207+'2022'!AA191</f>
        <v>6</v>
      </c>
      <c r="AB207" s="174">
        <f>'2018'!AB207+'2019'!AB207+'2020'!AB207+'2021'!AB207+'2022'!AB191</f>
        <v>9</v>
      </c>
      <c r="AC207" s="174">
        <f>'2018'!AC207+'2019'!AC207+'2020'!AC207+'2021'!AC207+'2022'!AC191</f>
        <v>8</v>
      </c>
      <c r="AD207" s="174">
        <f>'2018'!AD207+'2019'!AD207+'2020'!AD207+'2021'!AD207+'2022'!AD191</f>
        <v>0</v>
      </c>
      <c r="AE207" s="174">
        <f>'2018'!AE207+'2019'!AE207+'2020'!AE207+'2021'!AE207+'2022'!AE191</f>
        <v>0</v>
      </c>
      <c r="AF207" s="174">
        <f>'2018'!AF207+'2019'!AF207+'2020'!AF207+'2021'!AF207+'2022'!AF191</f>
        <v>0</v>
      </c>
      <c r="AG207" s="174">
        <f>'2018'!AG207+'2019'!AG207+'2020'!AG207+'2021'!AG207+'2022'!AG191</f>
        <v>0</v>
      </c>
      <c r="AH207" s="174">
        <f>'2018'!AH207+'2019'!AH207+'2020'!AH207+'2021'!AH207+'2022'!AH191</f>
        <v>0</v>
      </c>
      <c r="AI207" s="174">
        <f>'2018'!AI207+'2019'!AI207+'2020'!AI207+'2021'!AI207+'2022'!AI191</f>
        <v>0</v>
      </c>
      <c r="AJ207" s="174">
        <f>'2018'!AJ207+'2019'!AJ207+'2020'!AJ207+'2021'!AJ207+'2022'!AJ191</f>
        <v>0</v>
      </c>
      <c r="AK207" s="174">
        <f>'2018'!AK207+'2019'!AK207+'2020'!AK207+'2021'!AK207+'2022'!AK191</f>
        <v>0</v>
      </c>
      <c r="AL207" s="174">
        <f>'2018'!AL207+'2019'!AL207+'2020'!AL207+'2021'!AL207+'2022'!AL191</f>
        <v>0</v>
      </c>
      <c r="AM207" s="174">
        <f>'2018'!AM207+'2019'!AM207+'2020'!AM207+'2021'!AM207+'2022'!AM191</f>
        <v>0</v>
      </c>
      <c r="AN207" s="174">
        <f>'2018'!AN207+'2019'!AN207+'2020'!AN207+'2021'!AN207+'2022'!AN191</f>
        <v>0</v>
      </c>
      <c r="AO207" s="174">
        <f>'2018'!AO207+'2019'!AO207+'2020'!AO207+'2021'!AO207+'2022'!AO191</f>
        <v>0</v>
      </c>
      <c r="AP207" s="174">
        <f>'2018'!AP207+'2019'!AP207+'2020'!AP207+'2021'!AP207+'2022'!AP191</f>
        <v>0</v>
      </c>
      <c r="AQ207" s="174">
        <f>'2018'!AQ207+'2019'!AQ207+'2020'!AQ207+'2021'!AQ207+'2022'!AQ191</f>
        <v>0</v>
      </c>
      <c r="AR207" s="174">
        <f>'2018'!AR207+'2019'!AR207+'2020'!AR207+'2021'!AR207+'2022'!AR191</f>
        <v>0</v>
      </c>
      <c r="AS207" s="174">
        <f>'2018'!AS207+'2019'!AS207+'2020'!AS207+'2021'!AS207+'2022'!AS191</f>
        <v>7</v>
      </c>
      <c r="AT207" s="174">
        <f>'2018'!AT207+'2019'!AT207+'2020'!AT207+'2021'!AT207+'2022'!AT191</f>
        <v>2</v>
      </c>
      <c r="AU207" s="174">
        <f>'2018'!AU207+'2019'!AU207+'2020'!AU207+'2021'!AU207+'2022'!AU191</f>
        <v>0</v>
      </c>
      <c r="AV207" s="174">
        <f>'2018'!AV207+'2019'!AV207+'2020'!AV207+'2021'!AV207+'2022'!AV191</f>
        <v>0</v>
      </c>
      <c r="AW207" s="174">
        <f t="shared" si="35"/>
        <v>9</v>
      </c>
      <c r="AX207" s="156">
        <f t="shared" si="36"/>
        <v>2059.7200000000003</v>
      </c>
      <c r="AY207" s="14">
        <f>'2018'!AX207+'2019'!AX207+'2020'!AX207+'2021'!AX207+'2022'!AX191</f>
        <v>10298.6</v>
      </c>
      <c r="AZ207" s="14">
        <f t="shared" si="29"/>
        <v>75</v>
      </c>
      <c r="BA207" s="142"/>
      <c r="BB207" s="144"/>
      <c r="BC207" s="142"/>
    </row>
    <row r="208" spans="1:136" x14ac:dyDescent="0.25">
      <c r="A208" s="175" t="s">
        <v>62</v>
      </c>
      <c r="B208" s="176">
        <f>'2018'!B208+'2019'!B208+'2020'!B208+'2021'!B208+'2022'!B192</f>
        <v>14</v>
      </c>
      <c r="C208" s="176">
        <f>'2018'!C208+'2019'!C208+'2020'!C208+'2021'!C208+'2022'!C192</f>
        <v>9</v>
      </c>
      <c r="D208" s="176">
        <f>'2018'!D208+'2019'!D208+'2020'!D208+'2021'!D208+'2022'!D192</f>
        <v>189</v>
      </c>
      <c r="E208" s="176">
        <f>'2018'!E208+'2019'!E208+'2020'!E208+'2021'!E208+'2022'!E192</f>
        <v>163</v>
      </c>
      <c r="F208" s="176">
        <f>'2018'!F208+'2019'!F208+'2020'!F208+'2021'!F208+'2022'!F192</f>
        <v>0</v>
      </c>
      <c r="G208" s="176">
        <f>'2018'!G208+'2019'!G208+'2020'!G208+'2021'!G208+'2022'!G192</f>
        <v>0</v>
      </c>
      <c r="H208" s="176">
        <f>'2018'!H208+'2019'!H208+'2020'!H208+'2021'!H208+'2022'!H192</f>
        <v>1</v>
      </c>
      <c r="I208" s="176">
        <f>'2018'!I208+'2019'!I208+'2020'!I208+'2021'!I208+'2022'!I192</f>
        <v>0</v>
      </c>
      <c r="J208" s="176">
        <f>'2018'!J208+'2019'!J208+'2020'!J208+'2021'!J208+'2022'!J192</f>
        <v>0</v>
      </c>
      <c r="K208" s="176">
        <f>'2018'!K208+'2019'!K208+'2020'!K208+'2021'!K208+'2022'!K192</f>
        <v>0</v>
      </c>
      <c r="L208" s="176">
        <f>'2018'!L208+'2019'!L208+'2020'!L208+'2021'!L208+'2022'!L192</f>
        <v>6</v>
      </c>
      <c r="M208" s="176">
        <f>'2018'!M208+'2019'!M208+'2020'!M208+'2021'!M208+'2022'!M192</f>
        <v>0</v>
      </c>
      <c r="N208" s="176">
        <f>'2018'!N208+'2019'!N208+'2020'!N208+'2021'!N208+'2022'!N192</f>
        <v>0</v>
      </c>
      <c r="O208" s="176">
        <f>'2018'!O208+'2019'!O208+'2020'!O208+'2021'!O208+'2022'!O192</f>
        <v>0</v>
      </c>
      <c r="P208" s="176">
        <f>'2018'!P208+'2019'!P208+'2020'!P208+'2021'!P208+'2022'!P192</f>
        <v>0</v>
      </c>
      <c r="Q208" s="176">
        <f>'2018'!Q208+'2019'!Q208+'2020'!Q208+'2021'!Q208+'2022'!Q192</f>
        <v>0</v>
      </c>
      <c r="R208" s="176">
        <f>'2018'!R208+'2019'!R208+'2020'!R208+'2021'!R208+'2022'!R192</f>
        <v>1</v>
      </c>
      <c r="S208" s="176">
        <f>'2018'!S208+'2019'!S208+'2020'!S208+'2021'!S208+'2022'!S192</f>
        <v>0</v>
      </c>
      <c r="T208" s="176">
        <f>'2018'!T208+'2019'!T208+'2020'!T208+'2021'!T208+'2022'!T192</f>
        <v>1</v>
      </c>
      <c r="U208" s="176">
        <f>'2018'!U208+'2019'!U208+'2020'!U208+'2021'!U208+'2022'!U192</f>
        <v>152</v>
      </c>
      <c r="V208" s="176">
        <f>'2018'!V208+'2019'!V208+'2020'!V208+'2021'!V208+'2022'!V192</f>
        <v>15</v>
      </c>
      <c r="W208" s="176">
        <f>'2018'!W208+'2019'!W208+'2020'!W208+'2021'!W208+'2022'!W192</f>
        <v>0</v>
      </c>
      <c r="X208" s="176">
        <f>'2018'!X208+'2019'!X208+'2020'!X208+'2021'!X208+'2022'!X192</f>
        <v>13</v>
      </c>
      <c r="Y208" s="174">
        <f t="shared" si="34"/>
        <v>189</v>
      </c>
      <c r="Z208" s="174">
        <f>'2018'!Z208+'2019'!Z208+'2020'!Z208+'2021'!Z208+'2022'!Z192</f>
        <v>8</v>
      </c>
      <c r="AA208" s="174">
        <f>'2018'!AA208+'2019'!AA208+'2020'!AA208+'2021'!AA208+'2022'!AA192</f>
        <v>7</v>
      </c>
      <c r="AB208" s="174">
        <f>'2018'!AB208+'2019'!AB208+'2020'!AB208+'2021'!AB208+'2022'!AB192</f>
        <v>171</v>
      </c>
      <c r="AC208" s="174">
        <f>'2018'!AC208+'2019'!AC208+'2020'!AC208+'2021'!AC208+'2022'!AC192</f>
        <v>171</v>
      </c>
      <c r="AD208" s="174">
        <f>'2018'!AD208+'2019'!AD208+'2020'!AD208+'2021'!AD208+'2022'!AD192</f>
        <v>0</v>
      </c>
      <c r="AE208" s="174">
        <f>'2018'!AE208+'2019'!AE208+'2020'!AE208+'2021'!AE208+'2022'!AE192</f>
        <v>0</v>
      </c>
      <c r="AF208" s="174">
        <f>'2018'!AF208+'2019'!AF208+'2020'!AF208+'2021'!AF208+'2022'!AF192</f>
        <v>0</v>
      </c>
      <c r="AG208" s="174">
        <f>'2018'!AG208+'2019'!AG208+'2020'!AG208+'2021'!AG208+'2022'!AG192</f>
        <v>0</v>
      </c>
      <c r="AH208" s="174">
        <f>'2018'!AH208+'2019'!AH208+'2020'!AH208+'2021'!AH208+'2022'!AH192</f>
        <v>0</v>
      </c>
      <c r="AI208" s="174">
        <f>'2018'!AI208+'2019'!AI208+'2020'!AI208+'2021'!AI208+'2022'!AI192</f>
        <v>0</v>
      </c>
      <c r="AJ208" s="174">
        <f>'2018'!AJ208+'2019'!AJ208+'2020'!AJ208+'2021'!AJ208+'2022'!AJ192</f>
        <v>2</v>
      </c>
      <c r="AK208" s="174">
        <f>'2018'!AK208+'2019'!AK208+'2020'!AK208+'2021'!AK208+'2022'!AK192</f>
        <v>0</v>
      </c>
      <c r="AL208" s="174">
        <f>'2018'!AL208+'2019'!AL208+'2020'!AL208+'2021'!AL208+'2022'!AL192</f>
        <v>0</v>
      </c>
      <c r="AM208" s="174">
        <f>'2018'!AM208+'2019'!AM208+'2020'!AM208+'2021'!AM208+'2022'!AM192</f>
        <v>0</v>
      </c>
      <c r="AN208" s="174">
        <f>'2018'!AN208+'2019'!AN208+'2020'!AN208+'2021'!AN208+'2022'!AN192</f>
        <v>0</v>
      </c>
      <c r="AO208" s="174">
        <f>'2018'!AO208+'2019'!AO208+'2020'!AO208+'2021'!AO208+'2022'!AO192</f>
        <v>0</v>
      </c>
      <c r="AP208" s="174">
        <f>'2018'!AP208+'2019'!AP208+'2020'!AP208+'2021'!AP208+'2022'!AP192</f>
        <v>0</v>
      </c>
      <c r="AQ208" s="174">
        <f>'2018'!AQ208+'2019'!AQ208+'2020'!AQ208+'2021'!AQ208+'2022'!AQ192</f>
        <v>0</v>
      </c>
      <c r="AR208" s="174">
        <f>'2018'!AR208+'2019'!AR208+'2020'!AR208+'2021'!AR208+'2022'!AR192</f>
        <v>0</v>
      </c>
      <c r="AS208" s="174">
        <f>'2018'!AS208+'2019'!AS208+'2020'!AS208+'2021'!AS208+'2022'!AS192</f>
        <v>8</v>
      </c>
      <c r="AT208" s="174">
        <f>'2018'!AT208+'2019'!AT208+'2020'!AT208+'2021'!AT208+'2022'!AT192</f>
        <v>157</v>
      </c>
      <c r="AU208" s="174">
        <f>'2018'!AU208+'2019'!AU208+'2020'!AU208+'2021'!AU208+'2022'!AU192</f>
        <v>0</v>
      </c>
      <c r="AV208" s="174">
        <f>'2018'!AV208+'2019'!AV208+'2020'!AV208+'2021'!AV208+'2022'!AV192</f>
        <v>4</v>
      </c>
      <c r="AW208" s="174">
        <f t="shared" si="35"/>
        <v>171</v>
      </c>
      <c r="AX208" s="156">
        <f t="shared" si="36"/>
        <v>829.46666666666658</v>
      </c>
      <c r="AY208" s="14">
        <f>'2018'!AX208+'2019'!AX208+'2020'!AX208+'2021'!AX208+'2022'!AX192</f>
        <v>4147.333333333333</v>
      </c>
      <c r="AZ208" s="14">
        <f t="shared" si="29"/>
        <v>90.476190476190482</v>
      </c>
      <c r="BA208" s="142"/>
      <c r="BB208" s="144"/>
      <c r="BC208" s="142"/>
    </row>
    <row r="209" spans="1:55" x14ac:dyDescent="0.25">
      <c r="A209" s="175" t="s">
        <v>63</v>
      </c>
      <c r="B209" s="176">
        <f>'2018'!B209+'2019'!B209+'2020'!B209+'2021'!B209+'2022'!B193</f>
        <v>48</v>
      </c>
      <c r="C209" s="176">
        <f>'2018'!C209+'2019'!C209+'2020'!C209+'2021'!C209+'2022'!C193</f>
        <v>33</v>
      </c>
      <c r="D209" s="176">
        <f>'2018'!D209+'2019'!D209+'2020'!D209+'2021'!D209+'2022'!D193</f>
        <v>105</v>
      </c>
      <c r="E209" s="176">
        <f>'2018'!E209+'2019'!E209+'2020'!E209+'2021'!E209+'2022'!E193</f>
        <v>50</v>
      </c>
      <c r="F209" s="176">
        <f>'2018'!F209+'2019'!F209+'2020'!F209+'2021'!F209+'2022'!F193</f>
        <v>0</v>
      </c>
      <c r="G209" s="176">
        <f>'2018'!G209+'2019'!G209+'2020'!G209+'2021'!G209+'2022'!G193</f>
        <v>0</v>
      </c>
      <c r="H209" s="176">
        <f>'2018'!H209+'2019'!H209+'2020'!H209+'2021'!H209+'2022'!H193</f>
        <v>0</v>
      </c>
      <c r="I209" s="176">
        <f>'2018'!I209+'2019'!I209+'2020'!I209+'2021'!I209+'2022'!I193</f>
        <v>0</v>
      </c>
      <c r="J209" s="176">
        <f>'2018'!J209+'2019'!J209+'2020'!J209+'2021'!J209+'2022'!J193</f>
        <v>0</v>
      </c>
      <c r="K209" s="176">
        <f>'2018'!K209+'2019'!K209+'2020'!K209+'2021'!K209+'2022'!K193</f>
        <v>0</v>
      </c>
      <c r="L209" s="176">
        <f>'2018'!L209+'2019'!L209+'2020'!L209+'2021'!L209+'2022'!L193</f>
        <v>0</v>
      </c>
      <c r="M209" s="176">
        <f>'2018'!M209+'2019'!M209+'2020'!M209+'2021'!M209+'2022'!M193</f>
        <v>0</v>
      </c>
      <c r="N209" s="176">
        <f>'2018'!N209+'2019'!N209+'2020'!N209+'2021'!N209+'2022'!N193</f>
        <v>0</v>
      </c>
      <c r="O209" s="176">
        <f>'2018'!O209+'2019'!O209+'2020'!O209+'2021'!O209+'2022'!O193</f>
        <v>0</v>
      </c>
      <c r="P209" s="176">
        <f>'2018'!P209+'2019'!P209+'2020'!P209+'2021'!P209+'2022'!P193</f>
        <v>0</v>
      </c>
      <c r="Q209" s="176">
        <f>'2018'!Q209+'2019'!Q209+'2020'!Q209+'2021'!Q209+'2022'!Q193</f>
        <v>0</v>
      </c>
      <c r="R209" s="176">
        <f>'2018'!R209+'2019'!R209+'2020'!R209+'2021'!R209+'2022'!R193</f>
        <v>2</v>
      </c>
      <c r="S209" s="176">
        <f>'2018'!S209+'2019'!S209+'2020'!S209+'2021'!S209+'2022'!S193</f>
        <v>0</v>
      </c>
      <c r="T209" s="176">
        <f>'2018'!T209+'2019'!T209+'2020'!T209+'2021'!T209+'2022'!T193</f>
        <v>0</v>
      </c>
      <c r="U209" s="176">
        <f>'2018'!U209+'2019'!U209+'2020'!U209+'2021'!U209+'2022'!U193</f>
        <v>43</v>
      </c>
      <c r="V209" s="176">
        <f>'2018'!V209+'2019'!V209+'2020'!V209+'2021'!V209+'2022'!V193</f>
        <v>34</v>
      </c>
      <c r="W209" s="176">
        <f>'2018'!W209+'2019'!W209+'2020'!W209+'2021'!W209+'2022'!W193</f>
        <v>0</v>
      </c>
      <c r="X209" s="176">
        <f>'2018'!X209+'2019'!X209+'2020'!X209+'2021'!X209+'2022'!X193</f>
        <v>26</v>
      </c>
      <c r="Y209" s="174">
        <f t="shared" si="34"/>
        <v>105</v>
      </c>
      <c r="Z209" s="174">
        <f>'2018'!Z209+'2019'!Z209+'2020'!Z209+'2021'!Z209+'2022'!Z193</f>
        <v>40</v>
      </c>
      <c r="AA209" s="174">
        <f>'2018'!AA209+'2019'!AA209+'2020'!AA209+'2021'!AA209+'2022'!AA193</f>
        <v>31</v>
      </c>
      <c r="AB209" s="174">
        <f>'2018'!AB209+'2019'!AB209+'2020'!AB209+'2021'!AB209+'2022'!AB193</f>
        <v>62</v>
      </c>
      <c r="AC209" s="174">
        <f>'2018'!AC209+'2019'!AC209+'2020'!AC209+'2021'!AC209+'2022'!AC193</f>
        <v>37</v>
      </c>
      <c r="AD209" s="174">
        <f>'2018'!AD209+'2019'!AD209+'2020'!AD209+'2021'!AD209+'2022'!AD193</f>
        <v>0</v>
      </c>
      <c r="AE209" s="174">
        <f>'2018'!AE209+'2019'!AE209+'2020'!AE209+'2021'!AE209+'2022'!AE193</f>
        <v>0</v>
      </c>
      <c r="AF209" s="174">
        <f>'2018'!AF209+'2019'!AF209+'2020'!AF209+'2021'!AF209+'2022'!AF193</f>
        <v>0</v>
      </c>
      <c r="AG209" s="174">
        <f>'2018'!AG209+'2019'!AG209+'2020'!AG209+'2021'!AG209+'2022'!AG193</f>
        <v>0</v>
      </c>
      <c r="AH209" s="174">
        <f>'2018'!AH209+'2019'!AH209+'2020'!AH209+'2021'!AH209+'2022'!AH193</f>
        <v>0</v>
      </c>
      <c r="AI209" s="174">
        <f>'2018'!AI209+'2019'!AI209+'2020'!AI209+'2021'!AI209+'2022'!AI193</f>
        <v>0</v>
      </c>
      <c r="AJ209" s="174">
        <f>'2018'!AJ209+'2019'!AJ209+'2020'!AJ209+'2021'!AJ209+'2022'!AJ193</f>
        <v>0</v>
      </c>
      <c r="AK209" s="174">
        <f>'2018'!AK209+'2019'!AK209+'2020'!AK209+'2021'!AK209+'2022'!AK193</f>
        <v>0</v>
      </c>
      <c r="AL209" s="174">
        <f>'2018'!AL209+'2019'!AL209+'2020'!AL209+'2021'!AL209+'2022'!AL193</f>
        <v>0</v>
      </c>
      <c r="AM209" s="174">
        <f>'2018'!AM209+'2019'!AM209+'2020'!AM209+'2021'!AM209+'2022'!AM193</f>
        <v>0</v>
      </c>
      <c r="AN209" s="174">
        <f>'2018'!AN209+'2019'!AN209+'2020'!AN209+'2021'!AN209+'2022'!AN193</f>
        <v>0</v>
      </c>
      <c r="AO209" s="174">
        <f>'2018'!AO209+'2019'!AO209+'2020'!AO209+'2021'!AO209+'2022'!AO193</f>
        <v>0</v>
      </c>
      <c r="AP209" s="174">
        <f>'2018'!AP209+'2019'!AP209+'2020'!AP209+'2021'!AP209+'2022'!AP193</f>
        <v>1</v>
      </c>
      <c r="AQ209" s="174">
        <f>'2018'!AQ209+'2019'!AQ209+'2020'!AQ209+'2021'!AQ209+'2022'!AQ193</f>
        <v>0</v>
      </c>
      <c r="AR209" s="174">
        <f>'2018'!AR209+'2019'!AR209+'2020'!AR209+'2021'!AR209+'2022'!AR193</f>
        <v>0</v>
      </c>
      <c r="AS209" s="174">
        <f>'2018'!AS209+'2019'!AS209+'2020'!AS209+'2021'!AS209+'2022'!AS193</f>
        <v>40</v>
      </c>
      <c r="AT209" s="174">
        <f>'2018'!AT209+'2019'!AT209+'2020'!AT209+'2021'!AT209+'2022'!AT193</f>
        <v>20</v>
      </c>
      <c r="AU209" s="174">
        <f>'2018'!AU209+'2019'!AU209+'2020'!AU209+'2021'!AU209+'2022'!AU193</f>
        <v>0</v>
      </c>
      <c r="AV209" s="174">
        <f>'2018'!AV209+'2019'!AV209+'2020'!AV209+'2021'!AV209+'2022'!AV193</f>
        <v>1</v>
      </c>
      <c r="AW209" s="174">
        <f t="shared" si="35"/>
        <v>62</v>
      </c>
      <c r="AX209" s="156">
        <f t="shared" si="36"/>
        <v>2482.0323076923078</v>
      </c>
      <c r="AY209" s="14">
        <f>'2018'!AX209+'2019'!AX209+'2020'!AX209+'2021'!AX209+'2022'!AX193</f>
        <v>12410.161538461538</v>
      </c>
      <c r="AZ209" s="14">
        <f t="shared" si="29"/>
        <v>59.047619047619051</v>
      </c>
      <c r="BA209" s="142"/>
      <c r="BB209" s="144"/>
      <c r="BC209" s="142"/>
    </row>
    <row r="210" spans="1:55" x14ac:dyDescent="0.25">
      <c r="A210" s="175" t="s">
        <v>64</v>
      </c>
      <c r="B210" s="176">
        <f>'2018'!B210+'2019'!B210+'2020'!B210+'2021'!B210+'2022'!B194</f>
        <v>8</v>
      </c>
      <c r="C210" s="176">
        <f>'2018'!C210+'2019'!C210+'2020'!C210+'2021'!C210+'2022'!C194</f>
        <v>7</v>
      </c>
      <c r="D210" s="176">
        <f>'2018'!D210+'2019'!D210+'2020'!D210+'2021'!D210+'2022'!D194</f>
        <v>18</v>
      </c>
      <c r="E210" s="176">
        <f>'2018'!E210+'2019'!E210+'2020'!E210+'2021'!E210+'2022'!E194</f>
        <v>17</v>
      </c>
      <c r="F210" s="176">
        <f>'2018'!F210+'2019'!F210+'2020'!F210+'2021'!F210+'2022'!F194</f>
        <v>0</v>
      </c>
      <c r="G210" s="176">
        <f>'2018'!G210+'2019'!G210+'2020'!G210+'2021'!G210+'2022'!G194</f>
        <v>0</v>
      </c>
      <c r="H210" s="176">
        <f>'2018'!H210+'2019'!H210+'2020'!H210+'2021'!H210+'2022'!H194</f>
        <v>0</v>
      </c>
      <c r="I210" s="176">
        <f>'2018'!I210+'2019'!I210+'2020'!I210+'2021'!I210+'2022'!I194</f>
        <v>0</v>
      </c>
      <c r="J210" s="176">
        <f>'2018'!J210+'2019'!J210+'2020'!J210+'2021'!J210+'2022'!J194</f>
        <v>0</v>
      </c>
      <c r="K210" s="176">
        <f>'2018'!K210+'2019'!K210+'2020'!K210+'2021'!K210+'2022'!K194</f>
        <v>0</v>
      </c>
      <c r="L210" s="176">
        <f>'2018'!L210+'2019'!L210+'2020'!L210+'2021'!L210+'2022'!L194</f>
        <v>0</v>
      </c>
      <c r="M210" s="176">
        <f>'2018'!M210+'2019'!M210+'2020'!M210+'2021'!M210+'2022'!M194</f>
        <v>0</v>
      </c>
      <c r="N210" s="176">
        <f>'2018'!N210+'2019'!N210+'2020'!N210+'2021'!N210+'2022'!N194</f>
        <v>0</v>
      </c>
      <c r="O210" s="176">
        <f>'2018'!O210+'2019'!O210+'2020'!O210+'2021'!O210+'2022'!O194</f>
        <v>0</v>
      </c>
      <c r="P210" s="176">
        <f>'2018'!P210+'2019'!P210+'2020'!P210+'2021'!P210+'2022'!P194</f>
        <v>0</v>
      </c>
      <c r="Q210" s="176">
        <f>'2018'!Q210+'2019'!Q210+'2020'!Q210+'2021'!Q210+'2022'!Q194</f>
        <v>0</v>
      </c>
      <c r="R210" s="176">
        <f>'2018'!R210+'2019'!R210+'2020'!R210+'2021'!R210+'2022'!R194</f>
        <v>0</v>
      </c>
      <c r="S210" s="176">
        <f>'2018'!S210+'2019'!S210+'2020'!S210+'2021'!S210+'2022'!S194</f>
        <v>0</v>
      </c>
      <c r="T210" s="176">
        <f>'2018'!T210+'2019'!T210+'2020'!T210+'2021'!T210+'2022'!T194</f>
        <v>0</v>
      </c>
      <c r="U210" s="176">
        <f>'2018'!U210+'2019'!U210+'2020'!U210+'2021'!U210+'2022'!U194</f>
        <v>16</v>
      </c>
      <c r="V210" s="176">
        <f>'2018'!V210+'2019'!V210+'2020'!V210+'2021'!V210+'2022'!V194</f>
        <v>2</v>
      </c>
      <c r="W210" s="176">
        <f>'2018'!W210+'2019'!W210+'2020'!W210+'2021'!W210+'2022'!W194</f>
        <v>0</v>
      </c>
      <c r="X210" s="176">
        <f>'2018'!X210+'2019'!X210+'2020'!X210+'2021'!X210+'2022'!X194</f>
        <v>0</v>
      </c>
      <c r="Y210" s="174">
        <f t="shared" si="34"/>
        <v>18</v>
      </c>
      <c r="Z210" s="174">
        <f>'2018'!Z210+'2019'!Z210+'2020'!Z210+'2021'!Z210+'2022'!Z194</f>
        <v>5</v>
      </c>
      <c r="AA210" s="174">
        <f>'2018'!AA210+'2019'!AA210+'2020'!AA210+'2021'!AA210+'2022'!AA194</f>
        <v>4</v>
      </c>
      <c r="AB210" s="174">
        <f>'2018'!AB210+'2019'!AB210+'2020'!AB210+'2021'!AB210+'2022'!AB194</f>
        <v>14</v>
      </c>
      <c r="AC210" s="174">
        <f>'2018'!AC210+'2019'!AC210+'2020'!AC210+'2021'!AC210+'2022'!AC194</f>
        <v>13</v>
      </c>
      <c r="AD210" s="174">
        <f>'2018'!AD210+'2019'!AD210+'2020'!AD210+'2021'!AD210+'2022'!AD194</f>
        <v>0</v>
      </c>
      <c r="AE210" s="174">
        <f>'2018'!AE210+'2019'!AE210+'2020'!AE210+'2021'!AE210+'2022'!AE194</f>
        <v>0</v>
      </c>
      <c r="AF210" s="174">
        <f>'2018'!AF210+'2019'!AF210+'2020'!AF210+'2021'!AF210+'2022'!AF194</f>
        <v>0</v>
      </c>
      <c r="AG210" s="174">
        <f>'2018'!AG210+'2019'!AG210+'2020'!AG210+'2021'!AG210+'2022'!AG194</f>
        <v>0</v>
      </c>
      <c r="AH210" s="174">
        <f>'2018'!AH210+'2019'!AH210+'2020'!AH210+'2021'!AH210+'2022'!AH194</f>
        <v>0</v>
      </c>
      <c r="AI210" s="174">
        <f>'2018'!AI210+'2019'!AI210+'2020'!AI210+'2021'!AI210+'2022'!AI194</f>
        <v>0</v>
      </c>
      <c r="AJ210" s="174">
        <f>'2018'!AJ210+'2019'!AJ210+'2020'!AJ210+'2021'!AJ210+'2022'!AJ194</f>
        <v>0</v>
      </c>
      <c r="AK210" s="174">
        <f>'2018'!AK210+'2019'!AK210+'2020'!AK210+'2021'!AK210+'2022'!AK194</f>
        <v>0</v>
      </c>
      <c r="AL210" s="174">
        <f>'2018'!AL210+'2019'!AL210+'2020'!AL210+'2021'!AL210+'2022'!AL194</f>
        <v>0</v>
      </c>
      <c r="AM210" s="174">
        <f>'2018'!AM210+'2019'!AM210+'2020'!AM210+'2021'!AM210+'2022'!AM194</f>
        <v>0</v>
      </c>
      <c r="AN210" s="174">
        <f>'2018'!AN210+'2019'!AN210+'2020'!AN210+'2021'!AN210+'2022'!AN194</f>
        <v>0</v>
      </c>
      <c r="AO210" s="174">
        <f>'2018'!AO210+'2019'!AO210+'2020'!AO210+'2021'!AO210+'2022'!AO194</f>
        <v>0</v>
      </c>
      <c r="AP210" s="174">
        <f>'2018'!AP210+'2019'!AP210+'2020'!AP210+'2021'!AP210+'2022'!AP194</f>
        <v>0</v>
      </c>
      <c r="AQ210" s="174">
        <f>'2018'!AQ210+'2019'!AQ210+'2020'!AQ210+'2021'!AQ210+'2022'!AQ194</f>
        <v>0</v>
      </c>
      <c r="AR210" s="174">
        <f>'2018'!AR210+'2019'!AR210+'2020'!AR210+'2021'!AR210+'2022'!AR194</f>
        <v>0</v>
      </c>
      <c r="AS210" s="174">
        <f>'2018'!AS210+'2019'!AS210+'2020'!AS210+'2021'!AS210+'2022'!AS194</f>
        <v>14</v>
      </c>
      <c r="AT210" s="174">
        <f>'2018'!AT210+'2019'!AT210+'2020'!AT210+'2021'!AT210+'2022'!AT194</f>
        <v>0</v>
      </c>
      <c r="AU210" s="174">
        <f>'2018'!AU210+'2019'!AU210+'2020'!AU210+'2021'!AU210+'2022'!AU194</f>
        <v>0</v>
      </c>
      <c r="AV210" s="174">
        <f>'2018'!AV210+'2019'!AV210+'2020'!AV210+'2021'!AV210+'2022'!AV194</f>
        <v>0</v>
      </c>
      <c r="AW210" s="174">
        <f t="shared" si="35"/>
        <v>14</v>
      </c>
      <c r="AX210" s="156">
        <f t="shared" si="36"/>
        <v>1586.6853333333333</v>
      </c>
      <c r="AY210" s="14">
        <f>'2018'!AX210+'2019'!AX210+'2020'!AX210+'2021'!AX210+'2022'!AX194</f>
        <v>7933.4266666666672</v>
      </c>
      <c r="AZ210" s="14">
        <f t="shared" si="29"/>
        <v>77.777777777777771</v>
      </c>
      <c r="BA210" s="142"/>
      <c r="BB210" s="144"/>
      <c r="BC210" s="142"/>
    </row>
    <row r="211" spans="1:55" x14ac:dyDescent="0.25">
      <c r="A211" s="175" t="s">
        <v>65</v>
      </c>
      <c r="B211" s="176">
        <f>'2018'!B211+'2019'!B211+'2020'!B211+'2021'!B211+'2022'!B183</f>
        <v>20</v>
      </c>
      <c r="C211" s="176">
        <f>'2018'!C211+'2019'!C211+'2020'!C211+'2021'!C211+'2022'!C183</f>
        <v>11</v>
      </c>
      <c r="D211" s="176">
        <f>'2018'!D211+'2019'!D211+'2020'!D211+'2021'!D211+'2022'!D183</f>
        <v>93</v>
      </c>
      <c r="E211" s="176">
        <f>'2018'!E211+'2019'!E211+'2020'!E211+'2021'!E211+'2022'!E183</f>
        <v>62</v>
      </c>
      <c r="F211" s="176">
        <f>'2018'!F211+'2019'!F211+'2020'!F211+'2021'!F211+'2022'!F183</f>
        <v>0</v>
      </c>
      <c r="G211" s="176">
        <f>'2018'!G211+'2019'!G211+'2020'!G211+'2021'!G211+'2022'!G183</f>
        <v>0</v>
      </c>
      <c r="H211" s="176">
        <f>'2018'!H211+'2019'!H211+'2020'!H211+'2021'!H211+'2022'!H183</f>
        <v>0</v>
      </c>
      <c r="I211" s="176">
        <f>'2018'!I211+'2019'!I211+'2020'!I211+'2021'!I211+'2022'!I183</f>
        <v>0</v>
      </c>
      <c r="J211" s="176">
        <f>'2018'!J211+'2019'!J211+'2020'!J211+'2021'!J211+'2022'!J183</f>
        <v>0</v>
      </c>
      <c r="K211" s="176">
        <f>'2018'!K211+'2019'!K211+'2020'!K211+'2021'!K211+'2022'!K183</f>
        <v>0</v>
      </c>
      <c r="L211" s="176">
        <f>'2018'!L211+'2019'!L211+'2020'!L211+'2021'!L211+'2022'!L183</f>
        <v>0</v>
      </c>
      <c r="M211" s="176">
        <f>'2018'!M211+'2019'!M211+'2020'!M211+'2021'!M211+'2022'!M183</f>
        <v>0</v>
      </c>
      <c r="N211" s="176">
        <f>'2018'!N211+'2019'!N211+'2020'!N211+'2021'!N211+'2022'!N183</f>
        <v>0</v>
      </c>
      <c r="O211" s="176">
        <f>'2018'!O211+'2019'!O211+'2020'!O211+'2021'!O211+'2022'!O183</f>
        <v>0</v>
      </c>
      <c r="P211" s="176">
        <f>'2018'!P211+'2019'!P211+'2020'!P211+'2021'!P211+'2022'!P183</f>
        <v>0</v>
      </c>
      <c r="Q211" s="176">
        <f>'2018'!Q211+'2019'!Q211+'2020'!Q211+'2021'!Q211+'2022'!Q183</f>
        <v>0</v>
      </c>
      <c r="R211" s="176">
        <f>'2018'!R211+'2019'!R211+'2020'!R211+'2021'!R211+'2022'!R183</f>
        <v>0</v>
      </c>
      <c r="S211" s="176">
        <f>'2018'!S211+'2019'!S211+'2020'!S211+'2021'!S211+'2022'!S183</f>
        <v>0</v>
      </c>
      <c r="T211" s="176">
        <f>'2018'!T211+'2019'!T211+'2020'!T211+'2021'!T211+'2022'!T183</f>
        <v>39</v>
      </c>
      <c r="U211" s="176">
        <f>'2018'!U211+'2019'!U211+'2020'!U211+'2021'!U211+'2022'!U183</f>
        <v>21</v>
      </c>
      <c r="V211" s="176">
        <f>'2018'!V211+'2019'!V211+'2020'!V211+'2021'!V211+'2022'!V183</f>
        <v>20</v>
      </c>
      <c r="W211" s="176">
        <f>'2018'!W211+'2019'!W211+'2020'!W211+'2021'!W211+'2022'!W183</f>
        <v>0</v>
      </c>
      <c r="X211" s="176">
        <f>'2018'!X211+'2019'!X211+'2020'!X211+'2021'!X211+'2022'!X183</f>
        <v>13</v>
      </c>
      <c r="Y211" s="174">
        <f t="shared" si="34"/>
        <v>93</v>
      </c>
      <c r="Z211" s="174">
        <f>'2018'!Z211+'2019'!Z211+'2020'!Z211+'2021'!Z211+'2022'!Z183</f>
        <v>17</v>
      </c>
      <c r="AA211" s="174">
        <f>'2018'!AA211+'2019'!AA211+'2020'!AA211+'2021'!AA211+'2022'!AA183</f>
        <v>11</v>
      </c>
      <c r="AB211" s="174">
        <f>'2018'!AB211+'2019'!AB211+'2020'!AB211+'2021'!AB211+'2022'!AB183</f>
        <v>85</v>
      </c>
      <c r="AC211" s="174">
        <f>'2018'!AC211+'2019'!AC211+'2020'!AC211+'2021'!AC211+'2022'!AC183</f>
        <v>62</v>
      </c>
      <c r="AD211" s="174">
        <f>'2018'!AD211+'2019'!AD211+'2020'!AD211+'2021'!AD211+'2022'!AD183</f>
        <v>0</v>
      </c>
      <c r="AE211" s="174">
        <f>'2018'!AE211+'2019'!AE211+'2020'!AE211+'2021'!AE211+'2022'!AE183</f>
        <v>0</v>
      </c>
      <c r="AF211" s="174">
        <f>'2018'!AF211+'2019'!AF211+'2020'!AF211+'2021'!AF211+'2022'!AF183</f>
        <v>0</v>
      </c>
      <c r="AG211" s="174">
        <f>'2018'!AG211+'2019'!AG211+'2020'!AG211+'2021'!AG211+'2022'!AG183</f>
        <v>0</v>
      </c>
      <c r="AH211" s="174">
        <f>'2018'!AH211+'2019'!AH211+'2020'!AH211+'2021'!AH211+'2022'!AH183</f>
        <v>0</v>
      </c>
      <c r="AI211" s="174">
        <f>'2018'!AI211+'2019'!AI211+'2020'!AI211+'2021'!AI211+'2022'!AI183</f>
        <v>0</v>
      </c>
      <c r="AJ211" s="174">
        <f>'2018'!AJ211+'2019'!AJ211+'2020'!AJ211+'2021'!AJ211+'2022'!AJ183</f>
        <v>0</v>
      </c>
      <c r="AK211" s="174">
        <f>'2018'!AK211+'2019'!AK211+'2020'!AK211+'2021'!AK211+'2022'!AK183</f>
        <v>0</v>
      </c>
      <c r="AL211" s="174">
        <f>'2018'!AL211+'2019'!AL211+'2020'!AL211+'2021'!AL211+'2022'!AL183</f>
        <v>0</v>
      </c>
      <c r="AM211" s="174">
        <f>'2018'!AM211+'2019'!AM211+'2020'!AM211+'2021'!AM211+'2022'!AM183</f>
        <v>0</v>
      </c>
      <c r="AN211" s="174">
        <f>'2018'!AN211+'2019'!AN211+'2020'!AN211+'2021'!AN211+'2022'!AN183</f>
        <v>0</v>
      </c>
      <c r="AO211" s="174">
        <f>'2018'!AO211+'2019'!AO211+'2020'!AO211+'2021'!AO211+'2022'!AO183</f>
        <v>0</v>
      </c>
      <c r="AP211" s="174">
        <f>'2018'!AP211+'2019'!AP211+'2020'!AP211+'2021'!AP211+'2022'!AP183</f>
        <v>0</v>
      </c>
      <c r="AQ211" s="174">
        <f>'2018'!AQ211+'2019'!AQ211+'2020'!AQ211+'2021'!AQ211+'2022'!AQ183</f>
        <v>0</v>
      </c>
      <c r="AR211" s="174">
        <f>'2018'!AR211+'2019'!AR211+'2020'!AR211+'2021'!AR211+'2022'!AR183</f>
        <v>39</v>
      </c>
      <c r="AS211" s="174">
        <f>'2018'!AS211+'2019'!AS211+'2020'!AS211+'2021'!AS211+'2022'!AS183</f>
        <v>21</v>
      </c>
      <c r="AT211" s="174">
        <f>'2018'!AT211+'2019'!AT211+'2020'!AT211+'2021'!AT211+'2022'!AT183</f>
        <v>19</v>
      </c>
      <c r="AU211" s="174">
        <f>'2018'!AU211+'2019'!AU211+'2020'!AU211+'2021'!AU211+'2022'!AU183</f>
        <v>0</v>
      </c>
      <c r="AV211" s="174">
        <f>'2018'!AV211+'2019'!AV211+'2020'!AV211+'2021'!AV211+'2022'!AV183</f>
        <v>6</v>
      </c>
      <c r="AW211" s="174">
        <f t="shared" si="35"/>
        <v>85</v>
      </c>
      <c r="AX211" s="156">
        <f t="shared" si="36"/>
        <v>1797.2400000000002</v>
      </c>
      <c r="AY211" s="14">
        <f>'2018'!AX211+'2019'!AX211+'2020'!AX211+'2021'!AX211+'2022'!AX183</f>
        <v>8986.2000000000007</v>
      </c>
      <c r="AZ211" s="14">
        <f t="shared" si="29"/>
        <v>91.397849462365585</v>
      </c>
      <c r="BA211" s="142"/>
      <c r="BB211" s="144"/>
      <c r="BC211" s="142"/>
    </row>
    <row r="212" spans="1:55" x14ac:dyDescent="0.25">
      <c r="A212" s="175" t="s">
        <v>66</v>
      </c>
      <c r="B212" s="176">
        <f>'2018'!B212+'2019'!B212+'2020'!B212+'2021'!B212+'2022'!B184</f>
        <v>24</v>
      </c>
      <c r="C212" s="176">
        <f>'2018'!C212+'2019'!C212+'2020'!C212+'2021'!C212+'2022'!C184</f>
        <v>17</v>
      </c>
      <c r="D212" s="176">
        <f>'2018'!D212+'2019'!D212+'2020'!D212+'2021'!D212+'2022'!D184</f>
        <v>123</v>
      </c>
      <c r="E212" s="176">
        <f>'2018'!E212+'2019'!E212+'2020'!E212+'2021'!E212+'2022'!E184</f>
        <v>77</v>
      </c>
      <c r="F212" s="176">
        <f>'2018'!F212+'2019'!F212+'2020'!F212+'2021'!F212+'2022'!F184</f>
        <v>0</v>
      </c>
      <c r="G212" s="176">
        <f>'2018'!G212+'2019'!G212+'2020'!G212+'2021'!G212+'2022'!G184</f>
        <v>0</v>
      </c>
      <c r="H212" s="176">
        <f>'2018'!H212+'2019'!H212+'2020'!H212+'2021'!H212+'2022'!H184</f>
        <v>0</v>
      </c>
      <c r="I212" s="176">
        <f>'2018'!I212+'2019'!I212+'2020'!I212+'2021'!I212+'2022'!I184</f>
        <v>0</v>
      </c>
      <c r="J212" s="176">
        <f>'2018'!J212+'2019'!J212+'2020'!J212+'2021'!J212+'2022'!J184</f>
        <v>0</v>
      </c>
      <c r="K212" s="176">
        <f>'2018'!K212+'2019'!K212+'2020'!K212+'2021'!K212+'2022'!K184</f>
        <v>0</v>
      </c>
      <c r="L212" s="176">
        <f>'2018'!L212+'2019'!L212+'2020'!L212+'2021'!L212+'2022'!L184</f>
        <v>0</v>
      </c>
      <c r="M212" s="176">
        <f>'2018'!M212+'2019'!M212+'2020'!M212+'2021'!M212+'2022'!M184</f>
        <v>0</v>
      </c>
      <c r="N212" s="176">
        <f>'2018'!N212+'2019'!N212+'2020'!N212+'2021'!N212+'2022'!N184</f>
        <v>0</v>
      </c>
      <c r="O212" s="176">
        <f>'2018'!O212+'2019'!O212+'2020'!O212+'2021'!O212+'2022'!O184</f>
        <v>0</v>
      </c>
      <c r="P212" s="176">
        <f>'2018'!P212+'2019'!P212+'2020'!P212+'2021'!P212+'2022'!P184</f>
        <v>0</v>
      </c>
      <c r="Q212" s="176">
        <f>'2018'!Q212+'2019'!Q212+'2020'!Q212+'2021'!Q212+'2022'!Q184</f>
        <v>0</v>
      </c>
      <c r="R212" s="176">
        <f>'2018'!R212+'2019'!R212+'2020'!R212+'2021'!R212+'2022'!R184</f>
        <v>0</v>
      </c>
      <c r="S212" s="176">
        <f>'2018'!S212+'2019'!S212+'2020'!S212+'2021'!S212+'2022'!S184</f>
        <v>0</v>
      </c>
      <c r="T212" s="176">
        <f>'2018'!T212+'2019'!T212+'2020'!T212+'2021'!T212+'2022'!T184</f>
        <v>0</v>
      </c>
      <c r="U212" s="176">
        <f>'2018'!U212+'2019'!U212+'2020'!U212+'2021'!U212+'2022'!U184</f>
        <v>104</v>
      </c>
      <c r="V212" s="176">
        <f>'2018'!V212+'2019'!V212+'2020'!V212+'2021'!V212+'2022'!V184</f>
        <v>16</v>
      </c>
      <c r="W212" s="176">
        <f>'2018'!W212+'2019'!W212+'2020'!W212+'2021'!W212+'2022'!W184</f>
        <v>0</v>
      </c>
      <c r="X212" s="176">
        <f>'2018'!X212+'2019'!X212+'2020'!X212+'2021'!X212+'2022'!X184</f>
        <v>3</v>
      </c>
      <c r="Y212" s="174">
        <f t="shared" si="34"/>
        <v>123</v>
      </c>
      <c r="Z212" s="174">
        <f>'2018'!Z212+'2019'!Z212+'2020'!Z212+'2021'!Z212+'2022'!Z184</f>
        <v>14</v>
      </c>
      <c r="AA212" s="174">
        <f>'2018'!AA212+'2019'!AA212+'2020'!AA212+'2021'!AA212+'2022'!AA184</f>
        <v>10</v>
      </c>
      <c r="AB212" s="174">
        <f>'2018'!AB212+'2019'!AB212+'2020'!AB212+'2021'!AB212+'2022'!AB184</f>
        <v>90</v>
      </c>
      <c r="AC212" s="174">
        <f>'2018'!AC212+'2019'!AC212+'2020'!AC212+'2021'!AC212+'2022'!AC184</f>
        <v>61</v>
      </c>
      <c r="AD212" s="174">
        <f>'2018'!AD212+'2019'!AD212+'2020'!AD212+'2021'!AD212+'2022'!AD184</f>
        <v>0</v>
      </c>
      <c r="AE212" s="174">
        <f>'2018'!AE212+'2019'!AE212+'2020'!AE212+'2021'!AE212+'2022'!AE184</f>
        <v>0</v>
      </c>
      <c r="AF212" s="174">
        <f>'2018'!AF212+'2019'!AF212+'2020'!AF212+'2021'!AF212+'2022'!AF184</f>
        <v>0</v>
      </c>
      <c r="AG212" s="174">
        <f>'2018'!AG212+'2019'!AG212+'2020'!AG212+'2021'!AG212+'2022'!AG184</f>
        <v>0</v>
      </c>
      <c r="AH212" s="174">
        <f>'2018'!AH212+'2019'!AH212+'2020'!AH212+'2021'!AH212+'2022'!AH184</f>
        <v>0</v>
      </c>
      <c r="AI212" s="174">
        <f>'2018'!AI212+'2019'!AI212+'2020'!AI212+'2021'!AI212+'2022'!AI184</f>
        <v>0</v>
      </c>
      <c r="AJ212" s="174">
        <f>'2018'!AJ212+'2019'!AJ212+'2020'!AJ212+'2021'!AJ212+'2022'!AJ184</f>
        <v>0</v>
      </c>
      <c r="AK212" s="174">
        <f>'2018'!AK212+'2019'!AK212+'2020'!AK212+'2021'!AK212+'2022'!AK184</f>
        <v>0</v>
      </c>
      <c r="AL212" s="174">
        <f>'2018'!AL212+'2019'!AL212+'2020'!AL212+'2021'!AL212+'2022'!AL184</f>
        <v>0</v>
      </c>
      <c r="AM212" s="174">
        <f>'2018'!AM212+'2019'!AM212+'2020'!AM212+'2021'!AM212+'2022'!AM184</f>
        <v>0</v>
      </c>
      <c r="AN212" s="174">
        <f>'2018'!AN212+'2019'!AN212+'2020'!AN212+'2021'!AN212+'2022'!AN184</f>
        <v>0</v>
      </c>
      <c r="AO212" s="174">
        <f>'2018'!AO212+'2019'!AO212+'2020'!AO212+'2021'!AO212+'2022'!AO184</f>
        <v>0</v>
      </c>
      <c r="AP212" s="174">
        <f>'2018'!AP212+'2019'!AP212+'2020'!AP212+'2021'!AP212+'2022'!AP184</f>
        <v>0</v>
      </c>
      <c r="AQ212" s="174">
        <f>'2018'!AQ212+'2019'!AQ212+'2020'!AQ212+'2021'!AQ212+'2022'!AQ184</f>
        <v>0</v>
      </c>
      <c r="AR212" s="174">
        <f>'2018'!AR212+'2019'!AR212+'2020'!AR212+'2021'!AR212+'2022'!AR184</f>
        <v>0</v>
      </c>
      <c r="AS212" s="174">
        <f>'2018'!AS212+'2019'!AS212+'2020'!AS212+'2021'!AS212+'2022'!AS184</f>
        <v>89</v>
      </c>
      <c r="AT212" s="174">
        <f>'2018'!AT212+'2019'!AT212+'2020'!AT212+'2021'!AT212+'2022'!AT184</f>
        <v>1</v>
      </c>
      <c r="AU212" s="174">
        <f>'2018'!AU212+'2019'!AU212+'2020'!AU212+'2021'!AU212+'2022'!AU184</f>
        <v>0</v>
      </c>
      <c r="AV212" s="174">
        <f>'2018'!AV212+'2019'!AV212+'2020'!AV212+'2021'!AV212+'2022'!AV184</f>
        <v>0</v>
      </c>
      <c r="AW212" s="174"/>
      <c r="AX212" s="156"/>
      <c r="AY212" s="110"/>
      <c r="AZ212" s="110"/>
      <c r="BA212" s="142"/>
      <c r="BB212" s="142"/>
      <c r="BC212" s="142"/>
    </row>
    <row r="213" spans="1:55" x14ac:dyDescent="0.25">
      <c r="A213" s="175" t="s">
        <v>67</v>
      </c>
      <c r="B213" s="176">
        <f>'2018'!B213+'2019'!B213+'2020'!B213+'2021'!B213+'2022'!B185</f>
        <v>7</v>
      </c>
      <c r="C213" s="176">
        <f>'2018'!C213+'2019'!C213+'2020'!C213+'2021'!C213+'2022'!C185</f>
        <v>5</v>
      </c>
      <c r="D213" s="176">
        <f>'2018'!D213+'2019'!D213+'2020'!D213+'2021'!D213+'2022'!D185</f>
        <v>17</v>
      </c>
      <c r="E213" s="176">
        <f>'2018'!E213+'2019'!E213+'2020'!E213+'2021'!E213+'2022'!E185</f>
        <v>15</v>
      </c>
      <c r="F213" s="176">
        <f>'2018'!F213+'2019'!F213+'2020'!F213+'2021'!F213+'2022'!F185</f>
        <v>0</v>
      </c>
      <c r="G213" s="176">
        <f>'2018'!G213+'2019'!G213+'2020'!G213+'2021'!G213+'2022'!G185</f>
        <v>0</v>
      </c>
      <c r="H213" s="176">
        <f>'2018'!H213+'2019'!H213+'2020'!H213+'2021'!H213+'2022'!H185</f>
        <v>0</v>
      </c>
      <c r="I213" s="176">
        <f>'2018'!I213+'2019'!I213+'2020'!I213+'2021'!I213+'2022'!I185</f>
        <v>0</v>
      </c>
      <c r="J213" s="176">
        <f>'2018'!J213+'2019'!J213+'2020'!J213+'2021'!J213+'2022'!J185</f>
        <v>0</v>
      </c>
      <c r="K213" s="176">
        <f>'2018'!K213+'2019'!K213+'2020'!K213+'2021'!K213+'2022'!K185</f>
        <v>0</v>
      </c>
      <c r="L213" s="176">
        <f>'2018'!L213+'2019'!L213+'2020'!L213+'2021'!L213+'2022'!L185</f>
        <v>0</v>
      </c>
      <c r="M213" s="176">
        <f>'2018'!M213+'2019'!M213+'2020'!M213+'2021'!M213+'2022'!M185</f>
        <v>0</v>
      </c>
      <c r="N213" s="176">
        <f>'2018'!N213+'2019'!N213+'2020'!N213+'2021'!N213+'2022'!N185</f>
        <v>0</v>
      </c>
      <c r="O213" s="176">
        <f>'2018'!O213+'2019'!O213+'2020'!O213+'2021'!O213+'2022'!O185</f>
        <v>0</v>
      </c>
      <c r="P213" s="176">
        <f>'2018'!P213+'2019'!P213+'2020'!P213+'2021'!P213+'2022'!P185</f>
        <v>0</v>
      </c>
      <c r="Q213" s="176">
        <f>'2018'!Q213+'2019'!Q213+'2020'!Q213+'2021'!Q213+'2022'!Q185</f>
        <v>0</v>
      </c>
      <c r="R213" s="176">
        <f>'2018'!R213+'2019'!R213+'2020'!R213+'2021'!R213+'2022'!R185</f>
        <v>0</v>
      </c>
      <c r="S213" s="176">
        <f>'2018'!S213+'2019'!S213+'2020'!S213+'2021'!S213+'2022'!S185</f>
        <v>0</v>
      </c>
      <c r="T213" s="176">
        <f>'2018'!T213+'2019'!T213+'2020'!T213+'2021'!T213+'2022'!T185</f>
        <v>8</v>
      </c>
      <c r="U213" s="176">
        <f>'2018'!U213+'2019'!U213+'2020'!U213+'2021'!U213+'2022'!U185</f>
        <v>3</v>
      </c>
      <c r="V213" s="176">
        <f>'2018'!V213+'2019'!V213+'2020'!V213+'2021'!V213+'2022'!V185</f>
        <v>6</v>
      </c>
      <c r="W213" s="176">
        <f>'2018'!W213+'2019'!W213+'2020'!W213+'2021'!W213+'2022'!W185</f>
        <v>0</v>
      </c>
      <c r="X213" s="176">
        <f>'2018'!X213+'2019'!X213+'2020'!X213+'2021'!X213+'2022'!X185</f>
        <v>0</v>
      </c>
      <c r="Y213" s="174">
        <f t="shared" si="34"/>
        <v>17</v>
      </c>
      <c r="Z213" s="174">
        <f>'2018'!Z213+'2019'!Z213+'2020'!Z213+'2021'!Z213+'2022'!Z185</f>
        <v>5</v>
      </c>
      <c r="AA213" s="174">
        <f>'2018'!AA213+'2019'!AA213+'2020'!AA213+'2021'!AA213+'2022'!AA185</f>
        <v>5</v>
      </c>
      <c r="AB213" s="174">
        <f>'2018'!AB213+'2019'!AB213+'2020'!AB213+'2021'!AB213+'2022'!AB185</f>
        <v>15</v>
      </c>
      <c r="AC213" s="174">
        <f>'2018'!AC213+'2019'!AC213+'2020'!AC213+'2021'!AC213+'2022'!AC185</f>
        <v>15</v>
      </c>
      <c r="AD213" s="174">
        <f>'2018'!AD213+'2019'!AD213+'2020'!AD213+'2021'!AD213+'2022'!AD185</f>
        <v>0</v>
      </c>
      <c r="AE213" s="174">
        <f>'2018'!AE213+'2019'!AE213+'2020'!AE213+'2021'!AE213+'2022'!AE185</f>
        <v>0</v>
      </c>
      <c r="AF213" s="174">
        <f>'2018'!AF213+'2019'!AF213+'2020'!AF213+'2021'!AF213+'2022'!AF185</f>
        <v>0</v>
      </c>
      <c r="AG213" s="174">
        <f>'2018'!AG213+'2019'!AG213+'2020'!AG213+'2021'!AG213+'2022'!AG185</f>
        <v>0</v>
      </c>
      <c r="AH213" s="174">
        <f>'2018'!AH213+'2019'!AH213+'2020'!AH213+'2021'!AH213+'2022'!AH185</f>
        <v>0</v>
      </c>
      <c r="AI213" s="174">
        <f>'2018'!AI213+'2019'!AI213+'2020'!AI213+'2021'!AI213+'2022'!AI185</f>
        <v>0</v>
      </c>
      <c r="AJ213" s="174">
        <f>'2018'!AJ213+'2019'!AJ213+'2020'!AJ213+'2021'!AJ213+'2022'!AJ185</f>
        <v>0</v>
      </c>
      <c r="AK213" s="174">
        <f>'2018'!AK213+'2019'!AK213+'2020'!AK213+'2021'!AK213+'2022'!AK185</f>
        <v>0</v>
      </c>
      <c r="AL213" s="174">
        <f>'2018'!AL213+'2019'!AL213+'2020'!AL213+'2021'!AL213+'2022'!AL185</f>
        <v>0</v>
      </c>
      <c r="AM213" s="174">
        <f>'2018'!AM213+'2019'!AM213+'2020'!AM213+'2021'!AM213+'2022'!AM185</f>
        <v>0</v>
      </c>
      <c r="AN213" s="174">
        <f>'2018'!AN213+'2019'!AN213+'2020'!AN213+'2021'!AN213+'2022'!AN185</f>
        <v>0</v>
      </c>
      <c r="AO213" s="174">
        <f>'2018'!AO213+'2019'!AO213+'2020'!AO213+'2021'!AO213+'2022'!AO185</f>
        <v>0</v>
      </c>
      <c r="AP213" s="174">
        <f>'2018'!AP213+'2019'!AP213+'2020'!AP213+'2021'!AP213+'2022'!AP185</f>
        <v>0</v>
      </c>
      <c r="AQ213" s="174">
        <f>'2018'!AQ213+'2019'!AQ213+'2020'!AQ213+'2021'!AQ213+'2022'!AQ185</f>
        <v>0</v>
      </c>
      <c r="AR213" s="174">
        <f>'2018'!AR213+'2019'!AR213+'2020'!AR213+'2021'!AR213+'2022'!AR185</f>
        <v>8</v>
      </c>
      <c r="AS213" s="174">
        <f>'2018'!AS213+'2019'!AS213+'2020'!AS213+'2021'!AS213+'2022'!AS185</f>
        <v>1</v>
      </c>
      <c r="AT213" s="174">
        <f>'2018'!AT213+'2019'!AT213+'2020'!AT213+'2021'!AT213+'2022'!AT185</f>
        <v>6</v>
      </c>
      <c r="AU213" s="174">
        <f>'2018'!AU213+'2019'!AU213+'2020'!AU213+'2021'!AU213+'2022'!AU185</f>
        <v>0</v>
      </c>
      <c r="AV213" s="174">
        <f>'2018'!AV213+'2019'!AV213+'2020'!AV213+'2021'!AV213+'2022'!AV185</f>
        <v>0</v>
      </c>
      <c r="AW213" s="174"/>
      <c r="AX213" s="156"/>
      <c r="AY213" s="110"/>
      <c r="AZ213" s="110"/>
      <c r="BA213" s="142"/>
      <c r="BB213" s="142"/>
      <c r="BC213" s="142"/>
    </row>
    <row r="214" spans="1:55" x14ac:dyDescent="0.25">
      <c r="A214" s="175" t="s">
        <v>68</v>
      </c>
      <c r="B214" s="176">
        <f>'2018'!B214+'2019'!B214+'2020'!B214+'2021'!B214+'2022'!B186</f>
        <v>2</v>
      </c>
      <c r="C214" s="176">
        <f>'2018'!C214+'2019'!C214+'2020'!C214+'2021'!C214+'2022'!C186</f>
        <v>2</v>
      </c>
      <c r="D214" s="176">
        <f>'2018'!D214+'2019'!D214+'2020'!D214+'2021'!D214+'2022'!D186</f>
        <v>4</v>
      </c>
      <c r="E214" s="176">
        <f>'2018'!E214+'2019'!E214+'2020'!E214+'2021'!E214+'2022'!E186</f>
        <v>4</v>
      </c>
      <c r="F214" s="176">
        <f>'2018'!F214+'2019'!F214+'2020'!F214+'2021'!F214+'2022'!F186</f>
        <v>0</v>
      </c>
      <c r="G214" s="176">
        <f>'2018'!G214+'2019'!G214+'2020'!G214+'2021'!G214+'2022'!G186</f>
        <v>0</v>
      </c>
      <c r="H214" s="176">
        <f>'2018'!H214+'2019'!H214+'2020'!H214+'2021'!H214+'2022'!H186</f>
        <v>0</v>
      </c>
      <c r="I214" s="176">
        <f>'2018'!I214+'2019'!I214+'2020'!I214+'2021'!I214+'2022'!I186</f>
        <v>0</v>
      </c>
      <c r="J214" s="176">
        <f>'2018'!J214+'2019'!J214+'2020'!J214+'2021'!J214+'2022'!J186</f>
        <v>0</v>
      </c>
      <c r="K214" s="176">
        <f>'2018'!K214+'2019'!K214+'2020'!K214+'2021'!K214+'2022'!K186</f>
        <v>0</v>
      </c>
      <c r="L214" s="176">
        <f>'2018'!L214+'2019'!L214+'2020'!L214+'2021'!L214+'2022'!L186</f>
        <v>0</v>
      </c>
      <c r="M214" s="176">
        <f>'2018'!M214+'2019'!M214+'2020'!M214+'2021'!M214+'2022'!M186</f>
        <v>0</v>
      </c>
      <c r="N214" s="176">
        <f>'2018'!N214+'2019'!N214+'2020'!N214+'2021'!N214+'2022'!N186</f>
        <v>0</v>
      </c>
      <c r="O214" s="176">
        <f>'2018'!O214+'2019'!O214+'2020'!O214+'2021'!O214+'2022'!O186</f>
        <v>0</v>
      </c>
      <c r="P214" s="176">
        <f>'2018'!P214+'2019'!P214+'2020'!P214+'2021'!P214+'2022'!P186</f>
        <v>0</v>
      </c>
      <c r="Q214" s="176">
        <f>'2018'!Q214+'2019'!Q214+'2020'!Q214+'2021'!Q214+'2022'!Q186</f>
        <v>0</v>
      </c>
      <c r="R214" s="176">
        <f>'2018'!R214+'2019'!R214+'2020'!R214+'2021'!R214+'2022'!R186</f>
        <v>0</v>
      </c>
      <c r="S214" s="176">
        <f>'2018'!S214+'2019'!S214+'2020'!S214+'2021'!S214+'2022'!S186</f>
        <v>0</v>
      </c>
      <c r="T214" s="176">
        <f>'2018'!T214+'2019'!T214+'2020'!T214+'2021'!T214+'2022'!T186</f>
        <v>0</v>
      </c>
      <c r="U214" s="176">
        <f>'2018'!U214+'2019'!U214+'2020'!U214+'2021'!U214+'2022'!U186</f>
        <v>0</v>
      </c>
      <c r="V214" s="176">
        <f>'2018'!V214+'2019'!V214+'2020'!V214+'2021'!V214+'2022'!V186</f>
        <v>4</v>
      </c>
      <c r="W214" s="176">
        <f>'2018'!W214+'2019'!W214+'2020'!W214+'2021'!W214+'2022'!W186</f>
        <v>0</v>
      </c>
      <c r="X214" s="176">
        <f>'2018'!X214+'2019'!X214+'2020'!X214+'2021'!X214+'2022'!X186</f>
        <v>0</v>
      </c>
      <c r="Y214" s="174">
        <f t="shared" si="34"/>
        <v>4</v>
      </c>
      <c r="Z214" s="174">
        <f>'2018'!Z214+'2019'!Z214+'2020'!Z214+'2021'!Z214+'2022'!Z186</f>
        <v>2</v>
      </c>
      <c r="AA214" s="174">
        <f>'2018'!AA214+'2019'!AA214+'2020'!AA214+'2021'!AA214+'2022'!AA186</f>
        <v>2</v>
      </c>
      <c r="AB214" s="174">
        <f>'2018'!AB214+'2019'!AB214+'2020'!AB214+'2021'!AB214+'2022'!AB186</f>
        <v>2</v>
      </c>
      <c r="AC214" s="174">
        <f>'2018'!AC214+'2019'!AC214+'2020'!AC214+'2021'!AC214+'2022'!AC186</f>
        <v>2</v>
      </c>
      <c r="AD214" s="174">
        <f>'2018'!AD214+'2019'!AD214+'2020'!AD214+'2021'!AD214+'2022'!AD186</f>
        <v>0</v>
      </c>
      <c r="AE214" s="174">
        <f>'2018'!AE214+'2019'!AE214+'2020'!AE214+'2021'!AE214+'2022'!AE186</f>
        <v>0</v>
      </c>
      <c r="AF214" s="174">
        <f>'2018'!AF214+'2019'!AF214+'2020'!AF214+'2021'!AF214+'2022'!AF186</f>
        <v>0</v>
      </c>
      <c r="AG214" s="174">
        <f>'2018'!AG214+'2019'!AG214+'2020'!AG214+'2021'!AG214+'2022'!AG186</f>
        <v>0</v>
      </c>
      <c r="AH214" s="174">
        <f>'2018'!AH214+'2019'!AH214+'2020'!AH214+'2021'!AH214+'2022'!AH186</f>
        <v>0</v>
      </c>
      <c r="AI214" s="174">
        <f>'2018'!AI214+'2019'!AI214+'2020'!AI214+'2021'!AI214+'2022'!AI186</f>
        <v>0</v>
      </c>
      <c r="AJ214" s="174">
        <f>'2018'!AJ214+'2019'!AJ214+'2020'!AJ214+'2021'!AJ214+'2022'!AJ186</f>
        <v>0</v>
      </c>
      <c r="AK214" s="174">
        <f>'2018'!AK214+'2019'!AK214+'2020'!AK214+'2021'!AK214+'2022'!AK186</f>
        <v>0</v>
      </c>
      <c r="AL214" s="174">
        <f>'2018'!AL214+'2019'!AL214+'2020'!AL214+'2021'!AL214+'2022'!AL186</f>
        <v>0</v>
      </c>
      <c r="AM214" s="174">
        <f>'2018'!AM214+'2019'!AM214+'2020'!AM214+'2021'!AM214+'2022'!AM186</f>
        <v>0</v>
      </c>
      <c r="AN214" s="174">
        <f>'2018'!AN214+'2019'!AN214+'2020'!AN214+'2021'!AN214+'2022'!AN186</f>
        <v>0</v>
      </c>
      <c r="AO214" s="174">
        <f>'2018'!AO214+'2019'!AO214+'2020'!AO214+'2021'!AO214+'2022'!AO186</f>
        <v>0</v>
      </c>
      <c r="AP214" s="174">
        <f>'2018'!AP214+'2019'!AP214+'2020'!AP214+'2021'!AP214+'2022'!AP186</f>
        <v>0</v>
      </c>
      <c r="AQ214" s="174">
        <f>'2018'!AQ214+'2019'!AQ214+'2020'!AQ214+'2021'!AQ214+'2022'!AQ186</f>
        <v>0</v>
      </c>
      <c r="AR214" s="174">
        <f>'2018'!AR214+'2019'!AR214+'2020'!AR214+'2021'!AR214+'2022'!AR186</f>
        <v>0</v>
      </c>
      <c r="AS214" s="174">
        <f>'2018'!AS214+'2019'!AS214+'2020'!AS214+'2021'!AS214+'2022'!AS186</f>
        <v>0</v>
      </c>
      <c r="AT214" s="174">
        <f>'2018'!AT214+'2019'!AT214+'2020'!AT214+'2021'!AT214+'2022'!AT186</f>
        <v>2</v>
      </c>
      <c r="AU214" s="174">
        <f>'2018'!AU214+'2019'!AU214+'2020'!AU214+'2021'!AU214+'2022'!AU186</f>
        <v>0</v>
      </c>
      <c r="AV214" s="174">
        <f>'2018'!AV214+'2019'!AV214+'2020'!AV214+'2021'!AV214+'2022'!AV186</f>
        <v>0</v>
      </c>
      <c r="AW214" s="174">
        <f t="shared" si="35"/>
        <v>2</v>
      </c>
      <c r="AX214" s="156">
        <f t="shared" si="36"/>
        <v>480</v>
      </c>
      <c r="AY214" s="14">
        <f>'2018'!AX214+'2019'!AX214+'2020'!AX214+'2021'!AX214+'2022'!AX186</f>
        <v>2400</v>
      </c>
      <c r="AZ214" s="14">
        <f t="shared" si="29"/>
        <v>50</v>
      </c>
      <c r="BA214" s="142"/>
      <c r="BB214" s="144"/>
      <c r="BC214" s="142"/>
    </row>
    <row r="215" spans="1:55" x14ac:dyDescent="0.25">
      <c r="A215" s="175" t="s">
        <v>69</v>
      </c>
      <c r="B215" s="176">
        <f>'2018'!B215+'2019'!B215+'2020'!B215+'2021'!B215+'2022'!B187</f>
        <v>8</v>
      </c>
      <c r="C215" s="176">
        <f>'2018'!C215+'2019'!C215+'2020'!C215+'2021'!C215+'2022'!C187</f>
        <v>5</v>
      </c>
      <c r="D215" s="176">
        <f>'2018'!D215+'2019'!D215+'2020'!D215+'2021'!D215+'2022'!D187</f>
        <v>38</v>
      </c>
      <c r="E215" s="176">
        <f>'2018'!E215+'2019'!E215+'2020'!E215+'2021'!E215+'2022'!E187</f>
        <v>26</v>
      </c>
      <c r="F215" s="176">
        <f>'2018'!F215+'2019'!F215+'2020'!F215+'2021'!F215+'2022'!F187</f>
        <v>0</v>
      </c>
      <c r="G215" s="176">
        <f>'2018'!G215+'2019'!G215+'2020'!G215+'2021'!G215+'2022'!G187</f>
        <v>0</v>
      </c>
      <c r="H215" s="176">
        <f>'2018'!H215+'2019'!H215+'2020'!H215+'2021'!H215+'2022'!H187</f>
        <v>0</v>
      </c>
      <c r="I215" s="176">
        <f>'2018'!I215+'2019'!I215+'2020'!I215+'2021'!I215+'2022'!I187</f>
        <v>0</v>
      </c>
      <c r="J215" s="176">
        <f>'2018'!J215+'2019'!J215+'2020'!J215+'2021'!J215+'2022'!J187</f>
        <v>0</v>
      </c>
      <c r="K215" s="176">
        <f>'2018'!K215+'2019'!K215+'2020'!K215+'2021'!K215+'2022'!K187</f>
        <v>0</v>
      </c>
      <c r="L215" s="176">
        <f>'2018'!L215+'2019'!L215+'2020'!L215+'2021'!L215+'2022'!L187</f>
        <v>0</v>
      </c>
      <c r="M215" s="176">
        <f>'2018'!M215+'2019'!M215+'2020'!M215+'2021'!M215+'2022'!M187</f>
        <v>0</v>
      </c>
      <c r="N215" s="176">
        <f>'2018'!N215+'2019'!N215+'2020'!N215+'2021'!N215+'2022'!N187</f>
        <v>0</v>
      </c>
      <c r="O215" s="176">
        <f>'2018'!O215+'2019'!O215+'2020'!O215+'2021'!O215+'2022'!O187</f>
        <v>0</v>
      </c>
      <c r="P215" s="176">
        <f>'2018'!P215+'2019'!P215+'2020'!P215+'2021'!P215+'2022'!P187</f>
        <v>0</v>
      </c>
      <c r="Q215" s="176">
        <f>'2018'!Q215+'2019'!Q215+'2020'!Q215+'2021'!Q215+'2022'!Q187</f>
        <v>0</v>
      </c>
      <c r="R215" s="176">
        <f>'2018'!R215+'2019'!R215+'2020'!R215+'2021'!R215+'2022'!R187</f>
        <v>0</v>
      </c>
      <c r="S215" s="176">
        <f>'2018'!S215+'2019'!S215+'2020'!S215+'2021'!S215+'2022'!S187</f>
        <v>0</v>
      </c>
      <c r="T215" s="176">
        <f>'2018'!T215+'2019'!T215+'2020'!T215+'2021'!T215+'2022'!T187</f>
        <v>0</v>
      </c>
      <c r="U215" s="176">
        <f>'2018'!U215+'2019'!U215+'2020'!U215+'2021'!U215+'2022'!U187</f>
        <v>8</v>
      </c>
      <c r="V215" s="176">
        <f>'2018'!V215+'2019'!V215+'2020'!V215+'2021'!V215+'2022'!V187</f>
        <v>10</v>
      </c>
      <c r="W215" s="176">
        <f>'2018'!W215+'2019'!W215+'2020'!W215+'2021'!W215+'2022'!W187</f>
        <v>0</v>
      </c>
      <c r="X215" s="176">
        <f>'2018'!X215+'2019'!X215+'2020'!X215+'2021'!X215+'2022'!X187</f>
        <v>20</v>
      </c>
      <c r="Y215" s="174">
        <f t="shared" si="34"/>
        <v>38</v>
      </c>
      <c r="Z215" s="174">
        <f>'2018'!Z215+'2019'!Z215+'2020'!Z215+'2021'!Z215+'2022'!Z187</f>
        <v>5</v>
      </c>
      <c r="AA215" s="174">
        <f>'2018'!AA215+'2019'!AA215+'2020'!AA215+'2021'!AA215+'2022'!AA187</f>
        <v>3</v>
      </c>
      <c r="AB215" s="174">
        <f>'2018'!AB215+'2019'!AB215+'2020'!AB215+'2021'!AB215+'2022'!AB187</f>
        <v>29</v>
      </c>
      <c r="AC215" s="174">
        <f>'2018'!AC215+'2019'!AC215+'2020'!AC215+'2021'!AC215+'2022'!AC187</f>
        <v>18</v>
      </c>
      <c r="AD215" s="174">
        <f>'2018'!AD215+'2019'!AD215+'2020'!AD215+'2021'!AD215+'2022'!AD187</f>
        <v>0</v>
      </c>
      <c r="AE215" s="174">
        <f>'2018'!AE215+'2019'!AE215+'2020'!AE215+'2021'!AE215+'2022'!AE187</f>
        <v>0</v>
      </c>
      <c r="AF215" s="174">
        <f>'2018'!AF215+'2019'!AF215+'2020'!AF215+'2021'!AF215+'2022'!AF187</f>
        <v>0</v>
      </c>
      <c r="AG215" s="174">
        <f>'2018'!AG215+'2019'!AG215+'2020'!AG215+'2021'!AG215+'2022'!AG187</f>
        <v>0</v>
      </c>
      <c r="AH215" s="174">
        <f>'2018'!AH215+'2019'!AH215+'2020'!AH215+'2021'!AH215+'2022'!AH187</f>
        <v>0</v>
      </c>
      <c r="AI215" s="174">
        <f>'2018'!AI215+'2019'!AI215+'2020'!AI215+'2021'!AI215+'2022'!AI187</f>
        <v>0</v>
      </c>
      <c r="AJ215" s="174">
        <f>'2018'!AJ215+'2019'!AJ215+'2020'!AJ215+'2021'!AJ215+'2022'!AJ187</f>
        <v>0</v>
      </c>
      <c r="AK215" s="174">
        <f>'2018'!AK215+'2019'!AK215+'2020'!AK215+'2021'!AK215+'2022'!AK187</f>
        <v>0</v>
      </c>
      <c r="AL215" s="174">
        <f>'2018'!AL215+'2019'!AL215+'2020'!AL215+'2021'!AL215+'2022'!AL187</f>
        <v>0</v>
      </c>
      <c r="AM215" s="174">
        <f>'2018'!AM215+'2019'!AM215+'2020'!AM215+'2021'!AM215+'2022'!AM187</f>
        <v>0</v>
      </c>
      <c r="AN215" s="174">
        <f>'2018'!AN215+'2019'!AN215+'2020'!AN215+'2021'!AN215+'2022'!AN187</f>
        <v>0</v>
      </c>
      <c r="AO215" s="174">
        <f>'2018'!AO215+'2019'!AO215+'2020'!AO215+'2021'!AO215+'2022'!AO187</f>
        <v>0</v>
      </c>
      <c r="AP215" s="174">
        <f>'2018'!AP215+'2019'!AP215+'2020'!AP215+'2021'!AP215+'2022'!AP187</f>
        <v>0</v>
      </c>
      <c r="AQ215" s="174">
        <f>'2018'!AQ215+'2019'!AQ215+'2020'!AQ215+'2021'!AQ215+'2022'!AQ187</f>
        <v>0</v>
      </c>
      <c r="AR215" s="174">
        <f>'2018'!AR215+'2019'!AR215+'2020'!AR215+'2021'!AR215+'2022'!AR187</f>
        <v>0</v>
      </c>
      <c r="AS215" s="174">
        <f>'2018'!AS215+'2019'!AS215+'2020'!AS215+'2021'!AS215+'2022'!AS187</f>
        <v>7</v>
      </c>
      <c r="AT215" s="174">
        <f>'2018'!AT215+'2019'!AT215+'2020'!AT215+'2021'!AT215+'2022'!AT187</f>
        <v>2</v>
      </c>
      <c r="AU215" s="174">
        <f>'2018'!AU215+'2019'!AU215+'2020'!AU215+'2021'!AU215+'2022'!AU187</f>
        <v>0</v>
      </c>
      <c r="AV215" s="174">
        <f>'2018'!AV215+'2019'!AV215+'2020'!AV215+'2021'!AV215+'2022'!AV187</f>
        <v>20</v>
      </c>
      <c r="AW215" s="174">
        <f t="shared" si="35"/>
        <v>29</v>
      </c>
      <c r="AX215" s="156">
        <f t="shared" si="36"/>
        <v>1170.5733333333333</v>
      </c>
      <c r="AY215" s="14">
        <f>'2018'!AX215+'2019'!AX215+'2020'!AX215+'2021'!AX215+'2022'!AX187</f>
        <v>5852.8666666666668</v>
      </c>
      <c r="AZ215" s="14">
        <f t="shared" si="29"/>
        <v>76.315789473684205</v>
      </c>
      <c r="BA215" s="142"/>
      <c r="BB215" s="144"/>
      <c r="BC215" s="142"/>
    </row>
    <row r="216" spans="1:55" x14ac:dyDescent="0.25">
      <c r="A216" s="175" t="s">
        <v>70</v>
      </c>
      <c r="B216" s="176">
        <f>'2018'!B216+'2019'!B216+'2020'!B216+'2021'!B216+'2022'!B188</f>
        <v>14</v>
      </c>
      <c r="C216" s="176">
        <f>'2018'!C216+'2019'!C216+'2020'!C216+'2021'!C216+'2022'!C188</f>
        <v>5</v>
      </c>
      <c r="D216" s="176">
        <f>'2018'!D216+'2019'!D216+'2020'!D216+'2021'!D216+'2022'!D188</f>
        <v>50</v>
      </c>
      <c r="E216" s="176">
        <f>'2018'!E216+'2019'!E216+'2020'!E216+'2021'!E216+'2022'!E188</f>
        <v>5</v>
      </c>
      <c r="F216" s="176">
        <f>'2018'!F216+'2019'!F216+'2020'!F216+'2021'!F216+'2022'!F188</f>
        <v>0</v>
      </c>
      <c r="G216" s="176">
        <f>'2018'!G216+'2019'!G216+'2020'!G216+'2021'!G216+'2022'!G188</f>
        <v>0</v>
      </c>
      <c r="H216" s="176">
        <f>'2018'!H216+'2019'!H216+'2020'!H216+'2021'!H216+'2022'!H188</f>
        <v>0</v>
      </c>
      <c r="I216" s="176">
        <f>'2018'!I216+'2019'!I216+'2020'!I216+'2021'!I216+'2022'!I188</f>
        <v>0</v>
      </c>
      <c r="J216" s="176">
        <f>'2018'!J216+'2019'!J216+'2020'!J216+'2021'!J216+'2022'!J188</f>
        <v>0</v>
      </c>
      <c r="K216" s="176">
        <f>'2018'!K216+'2019'!K216+'2020'!K216+'2021'!K216+'2022'!K188</f>
        <v>0</v>
      </c>
      <c r="L216" s="176">
        <f>'2018'!L216+'2019'!L216+'2020'!L216+'2021'!L216+'2022'!L188</f>
        <v>0</v>
      </c>
      <c r="M216" s="176">
        <f>'2018'!M216+'2019'!M216+'2020'!M216+'2021'!M216+'2022'!M188</f>
        <v>0</v>
      </c>
      <c r="N216" s="176">
        <f>'2018'!N216+'2019'!N216+'2020'!N216+'2021'!N216+'2022'!N188</f>
        <v>0</v>
      </c>
      <c r="O216" s="176">
        <f>'2018'!O216+'2019'!O216+'2020'!O216+'2021'!O216+'2022'!O188</f>
        <v>0</v>
      </c>
      <c r="P216" s="176">
        <f>'2018'!P216+'2019'!P216+'2020'!P216+'2021'!P216+'2022'!P188</f>
        <v>0</v>
      </c>
      <c r="Q216" s="176">
        <f>'2018'!Q216+'2019'!Q216+'2020'!Q216+'2021'!Q216+'2022'!Q188</f>
        <v>0</v>
      </c>
      <c r="R216" s="176">
        <f>'2018'!R216+'2019'!R216+'2020'!R216+'2021'!R216+'2022'!R188</f>
        <v>0</v>
      </c>
      <c r="S216" s="176">
        <f>'2018'!S216+'2019'!S216+'2020'!S216+'2021'!S216+'2022'!S188</f>
        <v>0</v>
      </c>
      <c r="T216" s="176">
        <f>'2018'!T216+'2019'!T216+'2020'!T216+'2021'!T216+'2022'!T188</f>
        <v>0</v>
      </c>
      <c r="U216" s="176">
        <f>'2018'!U216+'2019'!U216+'2020'!U216+'2021'!U216+'2022'!U188</f>
        <v>22</v>
      </c>
      <c r="V216" s="176">
        <f>'2018'!V216+'2019'!V216+'2020'!V216+'2021'!V216+'2022'!V188</f>
        <v>5</v>
      </c>
      <c r="W216" s="176">
        <f>'2018'!W216+'2019'!W216+'2020'!W216+'2021'!W216+'2022'!W188</f>
        <v>0</v>
      </c>
      <c r="X216" s="176">
        <f>'2018'!X216+'2019'!X216+'2020'!X216+'2021'!X216+'2022'!X188</f>
        <v>23</v>
      </c>
      <c r="Y216" s="174">
        <f t="shared" si="34"/>
        <v>50</v>
      </c>
      <c r="Z216" s="174">
        <f>'2018'!Z216+'2019'!Z216+'2020'!Z216+'2021'!Z216+'2022'!Z188</f>
        <v>5</v>
      </c>
      <c r="AA216" s="174">
        <f>'2018'!AA216+'2019'!AA216+'2020'!AA216+'2021'!AA216+'2022'!AA188</f>
        <v>3</v>
      </c>
      <c r="AB216" s="174">
        <f>'2018'!AB216+'2019'!AB216+'2020'!AB216+'2021'!AB216+'2022'!AB188</f>
        <v>21</v>
      </c>
      <c r="AC216" s="174">
        <f>'2018'!AC216+'2019'!AC216+'2020'!AC216+'2021'!AC216+'2022'!AC188</f>
        <v>3</v>
      </c>
      <c r="AD216" s="174">
        <f>'2018'!AD216+'2019'!AD216+'2020'!AD216+'2021'!AD216+'2022'!AD188</f>
        <v>0</v>
      </c>
      <c r="AE216" s="174">
        <f>'2018'!AE216+'2019'!AE216+'2020'!AE216+'2021'!AE216+'2022'!AE188</f>
        <v>0</v>
      </c>
      <c r="AF216" s="174">
        <f>'2018'!AF216+'2019'!AF216+'2020'!AF216+'2021'!AF216+'2022'!AF188</f>
        <v>0</v>
      </c>
      <c r="AG216" s="174">
        <f>'2018'!AG216+'2019'!AG216+'2020'!AG216+'2021'!AG216+'2022'!AG188</f>
        <v>0</v>
      </c>
      <c r="AH216" s="174">
        <f>'2018'!AH216+'2019'!AH216+'2020'!AH216+'2021'!AH216+'2022'!AH188</f>
        <v>0</v>
      </c>
      <c r="AI216" s="174">
        <f>'2018'!AI216+'2019'!AI216+'2020'!AI216+'2021'!AI216+'2022'!AI188</f>
        <v>0</v>
      </c>
      <c r="AJ216" s="174">
        <f>'2018'!AJ216+'2019'!AJ216+'2020'!AJ216+'2021'!AJ216+'2022'!AJ188</f>
        <v>0</v>
      </c>
      <c r="AK216" s="174">
        <f>'2018'!AK216+'2019'!AK216+'2020'!AK216+'2021'!AK216+'2022'!AK188</f>
        <v>0</v>
      </c>
      <c r="AL216" s="174">
        <f>'2018'!AL216+'2019'!AL216+'2020'!AL216+'2021'!AL216+'2022'!AL188</f>
        <v>0</v>
      </c>
      <c r="AM216" s="174">
        <f>'2018'!AM216+'2019'!AM216+'2020'!AM216+'2021'!AM216+'2022'!AM188</f>
        <v>0</v>
      </c>
      <c r="AN216" s="174">
        <f>'2018'!AN216+'2019'!AN216+'2020'!AN216+'2021'!AN216+'2022'!AN188</f>
        <v>0</v>
      </c>
      <c r="AO216" s="174">
        <f>'2018'!AO216+'2019'!AO216+'2020'!AO216+'2021'!AO216+'2022'!AO188</f>
        <v>0</v>
      </c>
      <c r="AP216" s="174">
        <f>'2018'!AP216+'2019'!AP216+'2020'!AP216+'2021'!AP216+'2022'!AP188</f>
        <v>1</v>
      </c>
      <c r="AQ216" s="174">
        <f>'2018'!AQ216+'2019'!AQ216+'2020'!AQ216+'2021'!AQ216+'2022'!AQ188</f>
        <v>0</v>
      </c>
      <c r="AR216" s="174">
        <f>'2018'!AR216+'2019'!AR216+'2020'!AR216+'2021'!AR216+'2022'!AR188</f>
        <v>0</v>
      </c>
      <c r="AS216" s="174">
        <f>'2018'!AS216+'2019'!AS216+'2020'!AS216+'2021'!AS216+'2022'!AS188</f>
        <v>2</v>
      </c>
      <c r="AT216" s="174">
        <f>'2018'!AT216+'2019'!AT216+'2020'!AT216+'2021'!AT216+'2022'!AT188</f>
        <v>1</v>
      </c>
      <c r="AU216" s="174">
        <f>'2018'!AU216+'2019'!AU216+'2020'!AU216+'2021'!AU216+'2022'!AU188</f>
        <v>0</v>
      </c>
      <c r="AV216" s="174">
        <f>'2018'!AV216+'2019'!AV216+'2020'!AV216+'2021'!AV216+'2022'!AV188</f>
        <v>17</v>
      </c>
      <c r="AW216" s="174">
        <f t="shared" si="35"/>
        <v>21</v>
      </c>
      <c r="AX216" s="156">
        <f t="shared" si="36"/>
        <v>1416</v>
      </c>
      <c r="AY216" s="14">
        <f>'2018'!AX216+'2019'!AX216+'2020'!AX216+'2021'!AX216+'2022'!AX188</f>
        <v>7080</v>
      </c>
      <c r="AZ216" s="14">
        <f t="shared" si="29"/>
        <v>42</v>
      </c>
      <c r="BA216" s="142"/>
      <c r="BB216" s="144"/>
      <c r="BC216" s="142"/>
    </row>
    <row r="217" spans="1:55" x14ac:dyDescent="0.25">
      <c r="A217" s="175" t="s">
        <v>71</v>
      </c>
      <c r="B217" s="176">
        <f>'2018'!B217+'2019'!B217+'2020'!B217+'2021'!B217+'2022'!B189</f>
        <v>21</v>
      </c>
      <c r="C217" s="176">
        <f>'2018'!C217+'2019'!C217+'2020'!C217+'2021'!C217+'2022'!C189</f>
        <v>14</v>
      </c>
      <c r="D217" s="176">
        <f>'2018'!D217+'2019'!D217+'2020'!D217+'2021'!D217+'2022'!D189</f>
        <v>30</v>
      </c>
      <c r="E217" s="176">
        <f>'2018'!E217+'2019'!E217+'2020'!E217+'2021'!E217+'2022'!E189</f>
        <v>21</v>
      </c>
      <c r="F217" s="176">
        <f>'2018'!F217+'2019'!F217+'2020'!F217+'2021'!F217+'2022'!F189</f>
        <v>0</v>
      </c>
      <c r="G217" s="176">
        <f>'2018'!G217+'2019'!G217+'2020'!G217+'2021'!G217+'2022'!G189</f>
        <v>0</v>
      </c>
      <c r="H217" s="176">
        <f>'2018'!H217+'2019'!H217+'2020'!H217+'2021'!H217+'2022'!H189</f>
        <v>0</v>
      </c>
      <c r="I217" s="176">
        <f>'2018'!I217+'2019'!I217+'2020'!I217+'2021'!I217+'2022'!I189</f>
        <v>0</v>
      </c>
      <c r="J217" s="176">
        <f>'2018'!J217+'2019'!J217+'2020'!J217+'2021'!J217+'2022'!J189</f>
        <v>0</v>
      </c>
      <c r="K217" s="176">
        <f>'2018'!K217+'2019'!K217+'2020'!K217+'2021'!K217+'2022'!K189</f>
        <v>0</v>
      </c>
      <c r="L217" s="176">
        <f>'2018'!L217+'2019'!L217+'2020'!L217+'2021'!L217+'2022'!L189</f>
        <v>0</v>
      </c>
      <c r="M217" s="176">
        <f>'2018'!M217+'2019'!M217+'2020'!M217+'2021'!M217+'2022'!M189</f>
        <v>0</v>
      </c>
      <c r="N217" s="176">
        <f>'2018'!N217+'2019'!N217+'2020'!N217+'2021'!N217+'2022'!N189</f>
        <v>0</v>
      </c>
      <c r="O217" s="176">
        <f>'2018'!O217+'2019'!O217+'2020'!O217+'2021'!O217+'2022'!O189</f>
        <v>0</v>
      </c>
      <c r="P217" s="176">
        <f>'2018'!P217+'2019'!P217+'2020'!P217+'2021'!P217+'2022'!P189</f>
        <v>0</v>
      </c>
      <c r="Q217" s="176">
        <f>'2018'!Q217+'2019'!Q217+'2020'!Q217+'2021'!Q217+'2022'!Q189</f>
        <v>0</v>
      </c>
      <c r="R217" s="176">
        <f>'2018'!R217+'2019'!R217+'2020'!R217+'2021'!R217+'2022'!R189</f>
        <v>0</v>
      </c>
      <c r="S217" s="176">
        <f>'2018'!S217+'2019'!S217+'2020'!S217+'2021'!S217+'2022'!S189</f>
        <v>0</v>
      </c>
      <c r="T217" s="176">
        <f>'2018'!T217+'2019'!T217+'2020'!T217+'2021'!T217+'2022'!T189</f>
        <v>0</v>
      </c>
      <c r="U217" s="176">
        <f>'2018'!U217+'2019'!U217+'2020'!U217+'2021'!U217+'2022'!U189</f>
        <v>21</v>
      </c>
      <c r="V217" s="176">
        <f>'2018'!V217+'2019'!V217+'2020'!V217+'2021'!V217+'2022'!V189</f>
        <v>9</v>
      </c>
      <c r="W217" s="176">
        <f>'2018'!W217+'2019'!W217+'2020'!W217+'2021'!W217+'2022'!W189</f>
        <v>0</v>
      </c>
      <c r="X217" s="176">
        <f>'2018'!X217+'2019'!X217+'2020'!X217+'2021'!X217+'2022'!X189</f>
        <v>0</v>
      </c>
      <c r="Y217" s="174">
        <f t="shared" si="34"/>
        <v>30</v>
      </c>
      <c r="Z217" s="174">
        <f>'2018'!Z217+'2019'!Z217+'2020'!Z217+'2021'!Z217+'2022'!Z189</f>
        <v>15</v>
      </c>
      <c r="AA217" s="174">
        <f>'2018'!AA217+'2019'!AA217+'2020'!AA217+'2021'!AA217+'2022'!AA189</f>
        <v>11</v>
      </c>
      <c r="AB217" s="174">
        <f>'2018'!AB217+'2019'!AB217+'2020'!AB217+'2021'!AB217+'2022'!AB189</f>
        <v>19</v>
      </c>
      <c r="AC217" s="174">
        <f>'2018'!AC217+'2019'!AC217+'2020'!AC217+'2021'!AC217+'2022'!AC189</f>
        <v>13</v>
      </c>
      <c r="AD217" s="174">
        <f>'2018'!AD217+'2019'!AD217+'2020'!AD217+'2021'!AD217+'2022'!AD189</f>
        <v>0</v>
      </c>
      <c r="AE217" s="174">
        <f>'2018'!AE217+'2019'!AE217+'2020'!AE217+'2021'!AE217+'2022'!AE189</f>
        <v>0</v>
      </c>
      <c r="AF217" s="174">
        <f>'2018'!AF217+'2019'!AF217+'2020'!AF217+'2021'!AF217+'2022'!AF189</f>
        <v>0</v>
      </c>
      <c r="AG217" s="174">
        <f>'2018'!AG217+'2019'!AG217+'2020'!AG217+'2021'!AG217+'2022'!AG189</f>
        <v>0</v>
      </c>
      <c r="AH217" s="174">
        <f>'2018'!AH217+'2019'!AH217+'2020'!AH217+'2021'!AH217+'2022'!AH189</f>
        <v>0</v>
      </c>
      <c r="AI217" s="174">
        <f>'2018'!AI217+'2019'!AI217+'2020'!AI217+'2021'!AI217+'2022'!AI189</f>
        <v>0</v>
      </c>
      <c r="AJ217" s="174">
        <f>'2018'!AJ217+'2019'!AJ217+'2020'!AJ217+'2021'!AJ217+'2022'!AJ189</f>
        <v>0</v>
      </c>
      <c r="AK217" s="174">
        <f>'2018'!AK217+'2019'!AK217+'2020'!AK217+'2021'!AK217+'2022'!AK189</f>
        <v>0</v>
      </c>
      <c r="AL217" s="174">
        <f>'2018'!AL217+'2019'!AL217+'2020'!AL217+'2021'!AL217+'2022'!AL189</f>
        <v>0</v>
      </c>
      <c r="AM217" s="174">
        <f>'2018'!AM217+'2019'!AM217+'2020'!AM217+'2021'!AM217+'2022'!AM189</f>
        <v>0</v>
      </c>
      <c r="AN217" s="174">
        <f>'2018'!AN217+'2019'!AN217+'2020'!AN217+'2021'!AN217+'2022'!AN189</f>
        <v>0</v>
      </c>
      <c r="AO217" s="174">
        <f>'2018'!AO217+'2019'!AO217+'2020'!AO217+'2021'!AO217+'2022'!AO189</f>
        <v>0</v>
      </c>
      <c r="AP217" s="174">
        <f>'2018'!AP217+'2019'!AP217+'2020'!AP217+'2021'!AP217+'2022'!AP189</f>
        <v>0</v>
      </c>
      <c r="AQ217" s="174">
        <f>'2018'!AQ217+'2019'!AQ217+'2020'!AQ217+'2021'!AQ217+'2022'!AQ189</f>
        <v>0</v>
      </c>
      <c r="AR217" s="174">
        <f>'2018'!AR217+'2019'!AR217+'2020'!AR217+'2021'!AR217+'2022'!AR189</f>
        <v>0</v>
      </c>
      <c r="AS217" s="174">
        <f>'2018'!AS217+'2019'!AS217+'2020'!AS217+'2021'!AS217+'2022'!AS189</f>
        <v>13</v>
      </c>
      <c r="AT217" s="174">
        <f>'2018'!AT217+'2019'!AT217+'2020'!AT217+'2021'!AT217+'2022'!AT189</f>
        <v>6</v>
      </c>
      <c r="AU217" s="174">
        <f>'2018'!AU217+'2019'!AU217+'2020'!AU217+'2021'!AU217+'2022'!AU189</f>
        <v>0</v>
      </c>
      <c r="AV217" s="174">
        <f>'2018'!AV217+'2019'!AV217+'2020'!AV217+'2021'!AV217+'2022'!AV189</f>
        <v>0</v>
      </c>
      <c r="AW217" s="174">
        <f t="shared" si="35"/>
        <v>19</v>
      </c>
      <c r="AX217" s="156">
        <f t="shared" si="36"/>
        <v>1422.2878181818182</v>
      </c>
      <c r="AY217" s="14">
        <f>'2018'!AX217+'2019'!AX217+'2020'!AX217+'2021'!AX217+'2022'!AX189</f>
        <v>7111.4390909090907</v>
      </c>
      <c r="AZ217" s="14">
        <f t="shared" si="29"/>
        <v>63.333333333333336</v>
      </c>
      <c r="BA217" s="142"/>
      <c r="BB217" s="144"/>
      <c r="BC217" s="142"/>
    </row>
    <row r="218" spans="1:55" x14ac:dyDescent="0.25">
      <c r="A218" s="175" t="s">
        <v>72</v>
      </c>
      <c r="B218" s="176">
        <f>'2018'!B218+'2019'!B218+'2020'!B218+'2021'!B218+'2022'!B190</f>
        <v>7</v>
      </c>
      <c r="C218" s="176">
        <f>'2018'!C218+'2019'!C218+'2020'!C218+'2021'!C218+'2022'!C190</f>
        <v>1</v>
      </c>
      <c r="D218" s="176">
        <f>'2018'!D218+'2019'!D218+'2020'!D218+'2021'!D218+'2022'!D190</f>
        <v>47</v>
      </c>
      <c r="E218" s="176">
        <f>'2018'!E218+'2019'!E218+'2020'!E218+'2021'!E218+'2022'!E190</f>
        <v>4</v>
      </c>
      <c r="F218" s="176">
        <f>'2018'!F218+'2019'!F218+'2020'!F218+'2021'!F218+'2022'!F190</f>
        <v>0</v>
      </c>
      <c r="G218" s="176">
        <f>'2018'!G218+'2019'!G218+'2020'!G218+'2021'!G218+'2022'!G190</f>
        <v>0</v>
      </c>
      <c r="H218" s="176">
        <f>'2018'!H218+'2019'!H218+'2020'!H218+'2021'!H218+'2022'!H190</f>
        <v>0</v>
      </c>
      <c r="I218" s="176">
        <f>'2018'!I218+'2019'!I218+'2020'!I218+'2021'!I218+'2022'!I190</f>
        <v>0</v>
      </c>
      <c r="J218" s="176">
        <f>'2018'!J218+'2019'!J218+'2020'!J218+'2021'!J218+'2022'!J190</f>
        <v>0</v>
      </c>
      <c r="K218" s="176">
        <f>'2018'!K218+'2019'!K218+'2020'!K218+'2021'!K218+'2022'!K190</f>
        <v>0</v>
      </c>
      <c r="L218" s="176">
        <f>'2018'!L218+'2019'!L218+'2020'!L218+'2021'!L218+'2022'!L190</f>
        <v>2</v>
      </c>
      <c r="M218" s="176">
        <f>'2018'!M218+'2019'!M218+'2020'!M218+'2021'!M218+'2022'!M190</f>
        <v>0</v>
      </c>
      <c r="N218" s="176">
        <f>'2018'!N218+'2019'!N218+'2020'!N218+'2021'!N218+'2022'!N190</f>
        <v>0</v>
      </c>
      <c r="O218" s="176">
        <f>'2018'!O218+'2019'!O218+'2020'!O218+'2021'!O218+'2022'!O190</f>
        <v>0</v>
      </c>
      <c r="P218" s="176">
        <f>'2018'!P218+'2019'!P218+'2020'!P218+'2021'!P218+'2022'!P190</f>
        <v>0</v>
      </c>
      <c r="Q218" s="176">
        <f>'2018'!Q218+'2019'!Q218+'2020'!Q218+'2021'!Q218+'2022'!Q190</f>
        <v>0</v>
      </c>
      <c r="R218" s="176">
        <f>'2018'!R218+'2019'!R218+'2020'!R218+'2021'!R218+'2022'!R190</f>
        <v>0</v>
      </c>
      <c r="S218" s="176">
        <f>'2018'!S218+'2019'!S218+'2020'!S218+'2021'!S218+'2022'!S190</f>
        <v>0</v>
      </c>
      <c r="T218" s="176">
        <f>'2018'!T218+'2019'!T218+'2020'!T218+'2021'!T218+'2022'!T190</f>
        <v>0</v>
      </c>
      <c r="U218" s="176">
        <f>'2018'!U218+'2019'!U218+'2020'!U218+'2021'!U218+'2022'!U190</f>
        <v>5</v>
      </c>
      <c r="V218" s="176">
        <f>'2018'!V218+'2019'!V218+'2020'!V218+'2021'!V218+'2022'!V190</f>
        <v>0</v>
      </c>
      <c r="W218" s="176">
        <f>'2018'!W218+'2019'!W218+'2020'!W218+'2021'!W218+'2022'!W190</f>
        <v>0</v>
      </c>
      <c r="X218" s="176">
        <f>'2018'!X218+'2019'!X218+'2020'!X218+'2021'!X218+'2022'!X190</f>
        <v>40</v>
      </c>
      <c r="Y218" s="174">
        <f t="shared" si="34"/>
        <v>47</v>
      </c>
      <c r="Z218" s="174">
        <f>'2018'!Z218+'2019'!Z218+'2020'!Z218+'2021'!Z218+'2022'!Z190</f>
        <v>3</v>
      </c>
      <c r="AA218" s="174">
        <f>'2018'!AA218+'2019'!AA218+'2020'!AA218+'2021'!AA218+'2022'!AA190</f>
        <v>1</v>
      </c>
      <c r="AB218" s="174">
        <f>'2018'!AB218+'2019'!AB218+'2020'!AB218+'2021'!AB218+'2022'!AB190</f>
        <v>39</v>
      </c>
      <c r="AC218" s="174">
        <f>'2018'!AC218+'2019'!AC218+'2020'!AC218+'2021'!AC218+'2022'!AC190</f>
        <v>4</v>
      </c>
      <c r="AD218" s="174">
        <f>'2018'!AD218+'2019'!AD218+'2020'!AD218+'2021'!AD218+'2022'!AD190</f>
        <v>0</v>
      </c>
      <c r="AE218" s="174">
        <f>'2018'!AE218+'2019'!AE218+'2020'!AE218+'2021'!AE218+'2022'!AE190</f>
        <v>0</v>
      </c>
      <c r="AF218" s="174">
        <f>'2018'!AF218+'2019'!AF218+'2020'!AF218+'2021'!AF218+'2022'!AF190</f>
        <v>0</v>
      </c>
      <c r="AG218" s="174">
        <f>'2018'!AG218+'2019'!AG218+'2020'!AG218+'2021'!AG218+'2022'!AG190</f>
        <v>0</v>
      </c>
      <c r="AH218" s="174">
        <f>'2018'!AH218+'2019'!AH218+'2020'!AH218+'2021'!AH218+'2022'!AH190</f>
        <v>0</v>
      </c>
      <c r="AI218" s="174">
        <f>'2018'!AI218+'2019'!AI218+'2020'!AI218+'2021'!AI218+'2022'!AI190</f>
        <v>0</v>
      </c>
      <c r="AJ218" s="174">
        <f>'2018'!AJ218+'2019'!AJ218+'2020'!AJ218+'2021'!AJ218+'2022'!AJ190</f>
        <v>0</v>
      </c>
      <c r="AK218" s="174">
        <f>'2018'!AK218+'2019'!AK218+'2020'!AK218+'2021'!AK218+'2022'!AK190</f>
        <v>0</v>
      </c>
      <c r="AL218" s="174">
        <f>'2018'!AL218+'2019'!AL218+'2020'!AL218+'2021'!AL218+'2022'!AL190</f>
        <v>0</v>
      </c>
      <c r="AM218" s="174">
        <f>'2018'!AM218+'2019'!AM218+'2020'!AM218+'2021'!AM218+'2022'!AM190</f>
        <v>0</v>
      </c>
      <c r="AN218" s="174">
        <f>'2018'!AN218+'2019'!AN218+'2020'!AN218+'2021'!AN218+'2022'!AN190</f>
        <v>0</v>
      </c>
      <c r="AO218" s="174">
        <f>'2018'!AO218+'2019'!AO218+'2020'!AO218+'2021'!AO218+'2022'!AO190</f>
        <v>0</v>
      </c>
      <c r="AP218" s="174">
        <f>'2018'!AP218+'2019'!AP218+'2020'!AP218+'2021'!AP218+'2022'!AP190</f>
        <v>0</v>
      </c>
      <c r="AQ218" s="174">
        <f>'2018'!AQ218+'2019'!AQ218+'2020'!AQ218+'2021'!AQ218+'2022'!AQ190</f>
        <v>0</v>
      </c>
      <c r="AR218" s="174">
        <f>'2018'!AR218+'2019'!AR218+'2020'!AR218+'2021'!AR218+'2022'!AR190</f>
        <v>0</v>
      </c>
      <c r="AS218" s="174">
        <f>'2018'!AS218+'2019'!AS218+'2020'!AS218+'2021'!AS218+'2022'!AS190</f>
        <v>4</v>
      </c>
      <c r="AT218" s="174">
        <f>'2018'!AT218+'2019'!AT218+'2020'!AT218+'2021'!AT218+'2022'!AT190</f>
        <v>0</v>
      </c>
      <c r="AU218" s="174">
        <f>'2018'!AU218+'2019'!AU218+'2020'!AU218+'2021'!AU218+'2022'!AU190</f>
        <v>0</v>
      </c>
      <c r="AV218" s="174">
        <f>'2018'!AV218+'2019'!AV218+'2020'!AV218+'2021'!AV218+'2022'!AV190</f>
        <v>35</v>
      </c>
      <c r="AW218" s="174">
        <f t="shared" si="35"/>
        <v>39</v>
      </c>
      <c r="AX218" s="156">
        <f t="shared" si="36"/>
        <v>1012</v>
      </c>
      <c r="AY218" s="14">
        <f>'2018'!AX218+'2019'!AX218+'2020'!AX218+'2021'!AX218+'2022'!AX190</f>
        <v>5060</v>
      </c>
      <c r="AZ218" s="14">
        <f t="shared" si="29"/>
        <v>82.978723404255319</v>
      </c>
      <c r="BA218" s="142"/>
      <c r="BB218" s="144"/>
      <c r="BC218" s="142"/>
    </row>
    <row r="219" spans="1:55" x14ac:dyDescent="0.25">
      <c r="A219" s="175" t="s">
        <v>73</v>
      </c>
      <c r="B219" s="176">
        <f>'2018'!B219+'2019'!B219+'2020'!B219+'2021'!B219+'2022'!B195</f>
        <v>68</v>
      </c>
      <c r="C219" s="176">
        <f>'2018'!C219+'2019'!C219+'2020'!C219+'2021'!C219+'2022'!C195</f>
        <v>33</v>
      </c>
      <c r="D219" s="176">
        <f>'2018'!D219+'2019'!D219+'2020'!D219+'2021'!D219+'2022'!D195</f>
        <v>371</v>
      </c>
      <c r="E219" s="176">
        <f>'2018'!E219+'2019'!E219+'2020'!E219+'2021'!E219+'2022'!E195</f>
        <v>160</v>
      </c>
      <c r="F219" s="176">
        <f>'2018'!F219+'2019'!F219+'2020'!F219+'2021'!F219+'2022'!F195</f>
        <v>0</v>
      </c>
      <c r="G219" s="176">
        <f>'2018'!G219+'2019'!G219+'2020'!G219+'2021'!G219+'2022'!G195</f>
        <v>0</v>
      </c>
      <c r="H219" s="176">
        <f>'2018'!H219+'2019'!H219+'2020'!H219+'2021'!H219+'2022'!H195</f>
        <v>0</v>
      </c>
      <c r="I219" s="176">
        <f>'2018'!I219+'2019'!I219+'2020'!I219+'2021'!I219+'2022'!I195</f>
        <v>0</v>
      </c>
      <c r="J219" s="176">
        <f>'2018'!J219+'2019'!J219+'2020'!J219+'2021'!J219+'2022'!J195</f>
        <v>0</v>
      </c>
      <c r="K219" s="176">
        <f>'2018'!K219+'2019'!K219+'2020'!K219+'2021'!K219+'2022'!K195</f>
        <v>1</v>
      </c>
      <c r="L219" s="176">
        <f>'2018'!L219+'2019'!L219+'2020'!L219+'2021'!L219+'2022'!L195</f>
        <v>2</v>
      </c>
      <c r="M219" s="176">
        <f>'2018'!M219+'2019'!M219+'2020'!M219+'2021'!M219+'2022'!M195</f>
        <v>0</v>
      </c>
      <c r="N219" s="176">
        <f>'2018'!N219+'2019'!N219+'2020'!N219+'2021'!N219+'2022'!N195</f>
        <v>2</v>
      </c>
      <c r="O219" s="176">
        <f>'2018'!O219+'2019'!O219+'2020'!O219+'2021'!O219+'2022'!O195</f>
        <v>0</v>
      </c>
      <c r="P219" s="176">
        <f>'2018'!P219+'2019'!P219+'2020'!P219+'2021'!P219+'2022'!P195</f>
        <v>0</v>
      </c>
      <c r="Q219" s="176">
        <f>'2018'!Q219+'2019'!Q219+'2020'!Q219+'2021'!Q219+'2022'!Q195</f>
        <v>0</v>
      </c>
      <c r="R219" s="176">
        <f>'2018'!R219+'2019'!R219+'2020'!R219+'2021'!R219+'2022'!R195</f>
        <v>8</v>
      </c>
      <c r="S219" s="176">
        <f>'2018'!S219+'2019'!S219+'2020'!S219+'2021'!S219+'2022'!S195</f>
        <v>0</v>
      </c>
      <c r="T219" s="176">
        <f>'2018'!T219+'2019'!T219+'2020'!T219+'2021'!T219+'2022'!T195</f>
        <v>0</v>
      </c>
      <c r="U219" s="176">
        <f>'2018'!U219+'2019'!U219+'2020'!U219+'2021'!U219+'2022'!U195</f>
        <v>265</v>
      </c>
      <c r="V219" s="176">
        <f>'2018'!V219+'2019'!V219+'2020'!V219+'2021'!V219+'2022'!V195</f>
        <v>52</v>
      </c>
      <c r="W219" s="176">
        <f>'2018'!W219+'2019'!W219+'2020'!W219+'2021'!W219+'2022'!W195</f>
        <v>6</v>
      </c>
      <c r="X219" s="176">
        <f>'2018'!X219+'2019'!X219+'2020'!X219+'2021'!X219+'2022'!X195</f>
        <v>35</v>
      </c>
      <c r="Y219" s="174">
        <f t="shared" si="34"/>
        <v>371</v>
      </c>
      <c r="Z219" s="174">
        <f>'2018'!Z219+'2019'!Z219+'2020'!Z219+'2021'!Z219+'2022'!Z195</f>
        <v>46</v>
      </c>
      <c r="AA219" s="174">
        <f>'2018'!AA219+'2019'!AA219+'2020'!AA219+'2021'!AA219+'2022'!AA195</f>
        <v>23</v>
      </c>
      <c r="AB219" s="174">
        <f>'2018'!AB219+'2019'!AB219+'2020'!AB219+'2021'!AB219+'2022'!AB195</f>
        <v>234</v>
      </c>
      <c r="AC219" s="174">
        <f>'2018'!AC219+'2019'!AC219+'2020'!AC219+'2021'!AC219+'2022'!AC195</f>
        <v>117</v>
      </c>
      <c r="AD219" s="174">
        <f>'2018'!AD219+'2019'!AD219+'2020'!AD219+'2021'!AD219+'2022'!AD195</f>
        <v>0</v>
      </c>
      <c r="AE219" s="174">
        <f>'2018'!AE219+'2019'!AE219+'2020'!AE219+'2021'!AE219+'2022'!AE195</f>
        <v>0</v>
      </c>
      <c r="AF219" s="174">
        <f>'2018'!AF219+'2019'!AF219+'2020'!AF219+'2021'!AF219+'2022'!AF195</f>
        <v>0</v>
      </c>
      <c r="AG219" s="174">
        <f>'2018'!AG219+'2019'!AG219+'2020'!AG219+'2021'!AG219+'2022'!AG195</f>
        <v>0</v>
      </c>
      <c r="AH219" s="174">
        <f>'2018'!AH219+'2019'!AH219+'2020'!AH219+'2021'!AH219+'2022'!AH195</f>
        <v>0</v>
      </c>
      <c r="AI219" s="174">
        <f>'2018'!AI219+'2019'!AI219+'2020'!AI219+'2021'!AI219+'2022'!AI195</f>
        <v>1</v>
      </c>
      <c r="AJ219" s="174">
        <f>'2018'!AJ219+'2019'!AJ219+'2020'!AJ219+'2021'!AJ219+'2022'!AJ195</f>
        <v>2</v>
      </c>
      <c r="AK219" s="174">
        <f>'2018'!AK219+'2019'!AK219+'2020'!AK219+'2021'!AK219+'2022'!AK195</f>
        <v>0</v>
      </c>
      <c r="AL219" s="174">
        <f>'2018'!AL219+'2019'!AL219+'2020'!AL219+'2021'!AL219+'2022'!AL195</f>
        <v>0</v>
      </c>
      <c r="AM219" s="174">
        <f>'2018'!AM219+'2019'!AM219+'2020'!AM219+'2021'!AM219+'2022'!AM195</f>
        <v>0</v>
      </c>
      <c r="AN219" s="174">
        <f>'2018'!AN219+'2019'!AN219+'2020'!AN219+'2021'!AN219+'2022'!AN195</f>
        <v>0</v>
      </c>
      <c r="AO219" s="174">
        <f>'2018'!AO219+'2019'!AO219+'2020'!AO219+'2021'!AO219+'2022'!AO195</f>
        <v>0</v>
      </c>
      <c r="AP219" s="174">
        <f>'2018'!AP219+'2019'!AP219+'2020'!AP219+'2021'!AP219+'2022'!AP195</f>
        <v>8</v>
      </c>
      <c r="AQ219" s="174">
        <f>'2018'!AQ219+'2019'!AQ219+'2020'!AQ219+'2021'!AQ219+'2022'!AQ195</f>
        <v>0</v>
      </c>
      <c r="AR219" s="174">
        <f>'2018'!AR219+'2019'!AR219+'2020'!AR219+'2021'!AR219+'2022'!AR195</f>
        <v>0</v>
      </c>
      <c r="AS219" s="174">
        <f>'2018'!AS219+'2019'!AS219+'2020'!AS219+'2021'!AS219+'2022'!AS195</f>
        <v>160</v>
      </c>
      <c r="AT219" s="174">
        <f>'2018'!AT219+'2019'!AT219+'2020'!AT219+'2021'!AT219+'2022'!AT195</f>
        <v>32</v>
      </c>
      <c r="AU219" s="174">
        <f>'2018'!AU219+'2019'!AU219+'2020'!AU219+'2021'!AU219+'2022'!AU195</f>
        <v>0</v>
      </c>
      <c r="AV219" s="174">
        <f>'2018'!AV219+'2019'!AV219+'2020'!AV219+'2021'!AV219+'2022'!AV195</f>
        <v>31</v>
      </c>
      <c r="AW219" s="174">
        <f t="shared" si="35"/>
        <v>234</v>
      </c>
      <c r="AX219" s="156">
        <f t="shared" si="36"/>
        <v>1132.242</v>
      </c>
      <c r="AY219" s="14">
        <f>'2018'!AX219+'2019'!AX219+'2020'!AX219+'2021'!AX219+'2022'!AX195</f>
        <v>5661.21</v>
      </c>
      <c r="AZ219" s="14">
        <f t="shared" si="29"/>
        <v>63.072776280323453</v>
      </c>
      <c r="BA219" s="142"/>
      <c r="BB219" s="144"/>
      <c r="BC219" s="142"/>
    </row>
    <row r="220" spans="1:55" x14ac:dyDescent="0.25">
      <c r="A220" s="175" t="s">
        <v>74</v>
      </c>
      <c r="B220" s="176">
        <f>'2018'!B220+'2019'!B220+'2020'!B220+'2021'!B220+'2022'!B196</f>
        <v>21</v>
      </c>
      <c r="C220" s="176">
        <f>'2018'!C220+'2019'!C220+'2020'!C220+'2021'!C220+'2022'!C196</f>
        <v>7</v>
      </c>
      <c r="D220" s="176">
        <f>'2018'!D220+'2019'!D220+'2020'!D220+'2021'!D220+'2022'!D196</f>
        <v>113</v>
      </c>
      <c r="E220" s="176">
        <f>'2018'!E220+'2019'!E220+'2020'!E220+'2021'!E220+'2022'!E196</f>
        <v>29</v>
      </c>
      <c r="F220" s="176">
        <f>'2018'!F220+'2019'!F220+'2020'!F220+'2021'!F220+'2022'!F196</f>
        <v>0</v>
      </c>
      <c r="G220" s="176">
        <f>'2018'!G220+'2019'!G220+'2020'!G220+'2021'!G220+'2022'!G196</f>
        <v>0</v>
      </c>
      <c r="H220" s="176">
        <f>'2018'!H220+'2019'!H220+'2020'!H220+'2021'!H220+'2022'!H196</f>
        <v>0</v>
      </c>
      <c r="I220" s="176">
        <f>'2018'!I220+'2019'!I220+'2020'!I220+'2021'!I220+'2022'!I196</f>
        <v>0</v>
      </c>
      <c r="J220" s="176">
        <f>'2018'!J220+'2019'!J220+'2020'!J220+'2021'!J220+'2022'!J196</f>
        <v>0</v>
      </c>
      <c r="K220" s="176">
        <f>'2018'!K220+'2019'!K220+'2020'!K220+'2021'!K220+'2022'!K196</f>
        <v>0</v>
      </c>
      <c r="L220" s="176">
        <f>'2018'!L220+'2019'!L220+'2020'!L220+'2021'!L220+'2022'!L196</f>
        <v>0</v>
      </c>
      <c r="M220" s="176">
        <f>'2018'!M220+'2019'!M220+'2020'!M220+'2021'!M220+'2022'!M196</f>
        <v>0</v>
      </c>
      <c r="N220" s="176">
        <f>'2018'!N220+'2019'!N220+'2020'!N220+'2021'!N220+'2022'!N196</f>
        <v>0</v>
      </c>
      <c r="O220" s="176">
        <f>'2018'!O220+'2019'!O220+'2020'!O220+'2021'!O220+'2022'!O196</f>
        <v>0</v>
      </c>
      <c r="P220" s="176">
        <f>'2018'!P220+'2019'!P220+'2020'!P220+'2021'!P220+'2022'!P196</f>
        <v>0</v>
      </c>
      <c r="Q220" s="176">
        <f>'2018'!Q220+'2019'!Q220+'2020'!Q220+'2021'!Q220+'2022'!Q196</f>
        <v>0</v>
      </c>
      <c r="R220" s="176">
        <f>'2018'!R220+'2019'!R220+'2020'!R220+'2021'!R220+'2022'!R196</f>
        <v>0</v>
      </c>
      <c r="S220" s="176">
        <f>'2018'!S220+'2019'!S220+'2020'!S220+'2021'!S220+'2022'!S196</f>
        <v>0</v>
      </c>
      <c r="T220" s="176">
        <f>'2018'!T220+'2019'!T220+'2020'!T220+'2021'!T220+'2022'!T196</f>
        <v>0</v>
      </c>
      <c r="U220" s="176">
        <f>'2018'!U220+'2019'!U220+'2020'!U220+'2021'!U220+'2022'!U196</f>
        <v>72</v>
      </c>
      <c r="V220" s="176">
        <f>'2018'!V220+'2019'!V220+'2020'!V220+'2021'!V220+'2022'!V196</f>
        <v>33</v>
      </c>
      <c r="W220" s="176">
        <f>'2018'!W220+'2019'!W220+'2020'!W220+'2021'!W220+'2022'!W196</f>
        <v>0</v>
      </c>
      <c r="X220" s="176">
        <f>'2018'!X220+'2019'!X220+'2020'!X220+'2021'!X220+'2022'!X196</f>
        <v>8</v>
      </c>
      <c r="Y220" s="174">
        <f t="shared" si="34"/>
        <v>113</v>
      </c>
      <c r="Z220" s="174">
        <f>'2018'!Z220+'2019'!Z220+'2020'!Z220+'2021'!Z220+'2022'!Z196</f>
        <v>10</v>
      </c>
      <c r="AA220" s="174">
        <f>'2018'!AA220+'2019'!AA220+'2020'!AA220+'2021'!AA220+'2022'!AA196</f>
        <v>3</v>
      </c>
      <c r="AB220" s="174">
        <f>'2018'!AB220+'2019'!AB220+'2020'!AB220+'2021'!AB220+'2022'!AB196</f>
        <v>65</v>
      </c>
      <c r="AC220" s="174">
        <f>'2018'!AC220+'2019'!AC220+'2020'!AC220+'2021'!AC220+'2022'!AC196</f>
        <v>17</v>
      </c>
      <c r="AD220" s="174">
        <f>'2018'!AD220+'2019'!AD220+'2020'!AD220+'2021'!AD220+'2022'!AD196</f>
        <v>0</v>
      </c>
      <c r="AE220" s="174">
        <f>'2018'!AE220+'2019'!AE220+'2020'!AE220+'2021'!AE220+'2022'!AE196</f>
        <v>0</v>
      </c>
      <c r="AF220" s="174">
        <f>'2018'!AF220+'2019'!AF220+'2020'!AF220+'2021'!AF220+'2022'!AF196</f>
        <v>0</v>
      </c>
      <c r="AG220" s="174">
        <f>'2018'!AG220+'2019'!AG220+'2020'!AG220+'2021'!AG220+'2022'!AG196</f>
        <v>0</v>
      </c>
      <c r="AH220" s="174">
        <f>'2018'!AH220+'2019'!AH220+'2020'!AH220+'2021'!AH220+'2022'!AH196</f>
        <v>0</v>
      </c>
      <c r="AI220" s="174">
        <f>'2018'!AI220+'2019'!AI220+'2020'!AI220+'2021'!AI220+'2022'!AI196</f>
        <v>0</v>
      </c>
      <c r="AJ220" s="174">
        <f>'2018'!AJ220+'2019'!AJ220+'2020'!AJ220+'2021'!AJ220+'2022'!AJ196</f>
        <v>0</v>
      </c>
      <c r="AK220" s="174">
        <f>'2018'!AK220+'2019'!AK220+'2020'!AK220+'2021'!AK220+'2022'!AK196</f>
        <v>0</v>
      </c>
      <c r="AL220" s="174">
        <f>'2018'!AL220+'2019'!AL220+'2020'!AL220+'2021'!AL220+'2022'!AL196</f>
        <v>0</v>
      </c>
      <c r="AM220" s="174">
        <f>'2018'!AM220+'2019'!AM220+'2020'!AM220+'2021'!AM220+'2022'!AM196</f>
        <v>0</v>
      </c>
      <c r="AN220" s="174">
        <f>'2018'!AN220+'2019'!AN220+'2020'!AN220+'2021'!AN220+'2022'!AN196</f>
        <v>0</v>
      </c>
      <c r="AO220" s="174">
        <f>'2018'!AO220+'2019'!AO220+'2020'!AO220+'2021'!AO220+'2022'!AO196</f>
        <v>0</v>
      </c>
      <c r="AP220" s="174">
        <f>'2018'!AP220+'2019'!AP220+'2020'!AP220+'2021'!AP220+'2022'!AP196</f>
        <v>0</v>
      </c>
      <c r="AQ220" s="174">
        <f>'2018'!AQ220+'2019'!AQ220+'2020'!AQ220+'2021'!AQ220+'2022'!AQ196</f>
        <v>0</v>
      </c>
      <c r="AR220" s="174">
        <f>'2018'!AR220+'2019'!AR220+'2020'!AR220+'2021'!AR220+'2022'!AR196</f>
        <v>0</v>
      </c>
      <c r="AS220" s="174">
        <f>'2018'!AS220+'2019'!AS220+'2020'!AS220+'2021'!AS220+'2022'!AS196</f>
        <v>44</v>
      </c>
      <c r="AT220" s="174">
        <f>'2018'!AT220+'2019'!AT220+'2020'!AT220+'2021'!AT220+'2022'!AT196</f>
        <v>14</v>
      </c>
      <c r="AU220" s="174">
        <f>'2018'!AU220+'2019'!AU220+'2020'!AU220+'2021'!AU220+'2022'!AU196</f>
        <v>0</v>
      </c>
      <c r="AV220" s="174">
        <f>'2018'!AV220+'2019'!AV220+'2020'!AV220+'2021'!AV220+'2022'!AV196</f>
        <v>7</v>
      </c>
      <c r="AW220" s="174">
        <f t="shared" si="35"/>
        <v>65</v>
      </c>
      <c r="AX220" s="156">
        <f t="shared" si="36"/>
        <v>1443.2315555555556</v>
      </c>
      <c r="AY220" s="14">
        <f>'2018'!AX220+'2019'!AX220+'2020'!AX220+'2021'!AX220+'2022'!AX196</f>
        <v>7216.1577777777775</v>
      </c>
      <c r="AZ220" s="14">
        <f t="shared" si="29"/>
        <v>57.522123893805308</v>
      </c>
      <c r="BA220" s="142"/>
      <c r="BB220" s="144"/>
      <c r="BC220" s="142"/>
    </row>
    <row r="221" spans="1:55" x14ac:dyDescent="0.25">
      <c r="A221" s="175" t="s">
        <v>75</v>
      </c>
      <c r="B221" s="176">
        <f>'2018'!B221+'2019'!B221+'2020'!B221+'2021'!B221+'2022'!B205</f>
        <v>6</v>
      </c>
      <c r="C221" s="176">
        <f>'2018'!C221+'2019'!C221+'2020'!C221+'2021'!C221+'2022'!C205</f>
        <v>3</v>
      </c>
      <c r="D221" s="176">
        <f>'2018'!D221+'2019'!D221+'2020'!D221+'2021'!D221+'2022'!D205</f>
        <v>19</v>
      </c>
      <c r="E221" s="176">
        <f>'2018'!E221+'2019'!E221+'2020'!E221+'2021'!E221+'2022'!E205</f>
        <v>4</v>
      </c>
      <c r="F221" s="176">
        <f>'2018'!F221+'2019'!F221+'2020'!F221+'2021'!F221+'2022'!F205</f>
        <v>0</v>
      </c>
      <c r="G221" s="176">
        <f>'2018'!G221+'2019'!G221+'2020'!G221+'2021'!G221+'2022'!G205</f>
        <v>0</v>
      </c>
      <c r="H221" s="176">
        <f>'2018'!H221+'2019'!H221+'2020'!H221+'2021'!H221+'2022'!H205</f>
        <v>0</v>
      </c>
      <c r="I221" s="176">
        <f>'2018'!I221+'2019'!I221+'2020'!I221+'2021'!I221+'2022'!I205</f>
        <v>0</v>
      </c>
      <c r="J221" s="176">
        <f>'2018'!J221+'2019'!J221+'2020'!J221+'2021'!J221+'2022'!J205</f>
        <v>0</v>
      </c>
      <c r="K221" s="176">
        <f>'2018'!K221+'2019'!K221+'2020'!K221+'2021'!K221+'2022'!K205</f>
        <v>0</v>
      </c>
      <c r="L221" s="176">
        <f>'2018'!L221+'2019'!L221+'2020'!L221+'2021'!L221+'2022'!L205</f>
        <v>0</v>
      </c>
      <c r="M221" s="176">
        <f>'2018'!M221+'2019'!M221+'2020'!M221+'2021'!M221+'2022'!M205</f>
        <v>0</v>
      </c>
      <c r="N221" s="176">
        <f>'2018'!N221+'2019'!N221+'2020'!N221+'2021'!N221+'2022'!N205</f>
        <v>2</v>
      </c>
      <c r="O221" s="176">
        <f>'2018'!O221+'2019'!O221+'2020'!O221+'2021'!O221+'2022'!O205</f>
        <v>0</v>
      </c>
      <c r="P221" s="176">
        <f>'2018'!P221+'2019'!P221+'2020'!P221+'2021'!P221+'2022'!P205</f>
        <v>0</v>
      </c>
      <c r="Q221" s="176">
        <f>'2018'!Q221+'2019'!Q221+'2020'!Q221+'2021'!Q221+'2022'!Q205</f>
        <v>0</v>
      </c>
      <c r="R221" s="176">
        <f>'2018'!R221+'2019'!R221+'2020'!R221+'2021'!R221+'2022'!R205</f>
        <v>0</v>
      </c>
      <c r="S221" s="176">
        <f>'2018'!S221+'2019'!S221+'2020'!S221+'2021'!S221+'2022'!S205</f>
        <v>0</v>
      </c>
      <c r="T221" s="176">
        <f>'2018'!T221+'2019'!T221+'2020'!T221+'2021'!T221+'2022'!T205</f>
        <v>0</v>
      </c>
      <c r="U221" s="176">
        <f>'2018'!U221+'2019'!U221+'2020'!U221+'2021'!U221+'2022'!U205</f>
        <v>14</v>
      </c>
      <c r="V221" s="176">
        <f>'2018'!V221+'2019'!V221+'2020'!V221+'2021'!V221+'2022'!V205</f>
        <v>0</v>
      </c>
      <c r="W221" s="176">
        <f>'2018'!W221+'2019'!W221+'2020'!W221+'2021'!W221+'2022'!W205</f>
        <v>0</v>
      </c>
      <c r="X221" s="176">
        <f>'2018'!X221+'2019'!X221+'2020'!X221+'2021'!X221+'2022'!X205</f>
        <v>3</v>
      </c>
      <c r="Y221" s="174">
        <f t="shared" si="34"/>
        <v>19</v>
      </c>
      <c r="Z221" s="174">
        <f>'2018'!Z221+'2019'!Z221+'2020'!Z221+'2021'!Z221+'2022'!Z205</f>
        <v>4</v>
      </c>
      <c r="AA221" s="174">
        <f>'2018'!AA221+'2019'!AA221+'2020'!AA221+'2021'!AA221+'2022'!AA205</f>
        <v>3</v>
      </c>
      <c r="AB221" s="174">
        <f>'2018'!AB221+'2019'!AB221+'2020'!AB221+'2021'!AB221+'2022'!AB205</f>
        <v>14</v>
      </c>
      <c r="AC221" s="174">
        <f>'2018'!AC221+'2019'!AC221+'2020'!AC221+'2021'!AC221+'2022'!AC205</f>
        <v>4</v>
      </c>
      <c r="AD221" s="174">
        <f>'2018'!AD221+'2019'!AD221+'2020'!AD221+'2021'!AD221+'2022'!AD205</f>
        <v>0</v>
      </c>
      <c r="AE221" s="174">
        <f>'2018'!AE221+'2019'!AE221+'2020'!AE221+'2021'!AE221+'2022'!AE205</f>
        <v>0</v>
      </c>
      <c r="AF221" s="174">
        <f>'2018'!AF221+'2019'!AF221+'2020'!AF221+'2021'!AF221+'2022'!AF205</f>
        <v>0</v>
      </c>
      <c r="AG221" s="174">
        <f>'2018'!AG221+'2019'!AG221+'2020'!AG221+'2021'!AG221+'2022'!AG205</f>
        <v>0</v>
      </c>
      <c r="AH221" s="174">
        <f>'2018'!AH221+'2019'!AH221+'2020'!AH221+'2021'!AH221+'2022'!AH205</f>
        <v>0</v>
      </c>
      <c r="AI221" s="174">
        <f>'2018'!AI221+'2019'!AI221+'2020'!AI221+'2021'!AI221+'2022'!AI205</f>
        <v>0</v>
      </c>
      <c r="AJ221" s="174">
        <f>'2018'!AJ221+'2019'!AJ221+'2020'!AJ221+'2021'!AJ221+'2022'!AJ205</f>
        <v>0</v>
      </c>
      <c r="AK221" s="174">
        <f>'2018'!AK221+'2019'!AK221+'2020'!AK221+'2021'!AK221+'2022'!AK205</f>
        <v>0</v>
      </c>
      <c r="AL221" s="174">
        <f>'2018'!AL221+'2019'!AL221+'2020'!AL221+'2021'!AL221+'2022'!AL205</f>
        <v>0</v>
      </c>
      <c r="AM221" s="174">
        <f>'2018'!AM221+'2019'!AM221+'2020'!AM221+'2021'!AM221+'2022'!AM205</f>
        <v>0</v>
      </c>
      <c r="AN221" s="174">
        <f>'2018'!AN221+'2019'!AN221+'2020'!AN221+'2021'!AN221+'2022'!AN205</f>
        <v>0</v>
      </c>
      <c r="AO221" s="174">
        <f>'2018'!AO221+'2019'!AO221+'2020'!AO221+'2021'!AO221+'2022'!AO205</f>
        <v>0</v>
      </c>
      <c r="AP221" s="174">
        <f>'2018'!AP221+'2019'!AP221+'2020'!AP221+'2021'!AP221+'2022'!AP205</f>
        <v>0</v>
      </c>
      <c r="AQ221" s="174">
        <f>'2018'!AQ221+'2019'!AQ221+'2020'!AQ221+'2021'!AQ221+'2022'!AQ205</f>
        <v>0</v>
      </c>
      <c r="AR221" s="174">
        <f>'2018'!AR221+'2019'!AR221+'2020'!AR221+'2021'!AR221+'2022'!AR205</f>
        <v>0</v>
      </c>
      <c r="AS221" s="174">
        <f>'2018'!AS221+'2019'!AS221+'2020'!AS221+'2021'!AS221+'2022'!AS205</f>
        <v>14</v>
      </c>
      <c r="AT221" s="174">
        <f>'2018'!AT221+'2019'!AT221+'2020'!AT221+'2021'!AT221+'2022'!AT205</f>
        <v>0</v>
      </c>
      <c r="AU221" s="174">
        <f>'2018'!AU221+'2019'!AU221+'2020'!AU221+'2021'!AU221+'2022'!AU205</f>
        <v>0</v>
      </c>
      <c r="AV221" s="174">
        <f>'2018'!AV221+'2019'!AV221+'2020'!AV221+'2021'!AV221+'2022'!AV205</f>
        <v>0</v>
      </c>
      <c r="AW221" s="174">
        <f t="shared" si="35"/>
        <v>14</v>
      </c>
      <c r="AX221" s="156">
        <f t="shared" si="36"/>
        <v>1004.8</v>
      </c>
      <c r="AY221" s="14">
        <f>'2018'!AX221+'2019'!AX221+'2020'!AX221+'2021'!AX221+'2022'!AX205</f>
        <v>5024</v>
      </c>
      <c r="AZ221" s="14">
        <f t="shared" si="29"/>
        <v>73.684210526315795</v>
      </c>
      <c r="BA221" s="142"/>
      <c r="BB221" s="144"/>
      <c r="BC221" s="142"/>
    </row>
    <row r="222" spans="1:55" x14ac:dyDescent="0.25">
      <c r="A222" s="175" t="s">
        <v>76</v>
      </c>
      <c r="B222" s="176">
        <f>'2018'!B222+'2019'!B222+'2020'!B222+'2021'!B222+'2022'!B206</f>
        <v>5</v>
      </c>
      <c r="C222" s="176">
        <f>'2018'!C222+'2019'!C222+'2020'!C222+'2021'!C222+'2022'!C206</f>
        <v>3</v>
      </c>
      <c r="D222" s="176">
        <f>'2018'!D222+'2019'!D222+'2020'!D222+'2021'!D222+'2022'!D206</f>
        <v>48</v>
      </c>
      <c r="E222" s="176">
        <f>'2018'!E222+'2019'!E222+'2020'!E222+'2021'!E222+'2022'!E206</f>
        <v>13</v>
      </c>
      <c r="F222" s="176">
        <f>'2018'!F222+'2019'!F222+'2020'!F222+'2021'!F222+'2022'!F206</f>
        <v>0</v>
      </c>
      <c r="G222" s="176">
        <f>'2018'!G222+'2019'!G222+'2020'!G222+'2021'!G222+'2022'!G206</f>
        <v>0</v>
      </c>
      <c r="H222" s="176">
        <f>'2018'!H222+'2019'!H222+'2020'!H222+'2021'!H222+'2022'!H206</f>
        <v>0</v>
      </c>
      <c r="I222" s="176">
        <f>'2018'!I222+'2019'!I222+'2020'!I222+'2021'!I222+'2022'!I206</f>
        <v>0</v>
      </c>
      <c r="J222" s="176">
        <f>'2018'!J222+'2019'!J222+'2020'!J222+'2021'!J222+'2022'!J206</f>
        <v>0</v>
      </c>
      <c r="K222" s="176">
        <f>'2018'!K222+'2019'!K222+'2020'!K222+'2021'!K222+'2022'!K206</f>
        <v>0</v>
      </c>
      <c r="L222" s="176">
        <f>'2018'!L222+'2019'!L222+'2020'!L222+'2021'!L222+'2022'!L206</f>
        <v>0</v>
      </c>
      <c r="M222" s="176">
        <f>'2018'!M222+'2019'!M222+'2020'!M222+'2021'!M222+'2022'!M206</f>
        <v>0</v>
      </c>
      <c r="N222" s="176">
        <f>'2018'!N222+'2019'!N222+'2020'!N222+'2021'!N222+'2022'!N206</f>
        <v>0</v>
      </c>
      <c r="O222" s="176">
        <f>'2018'!O222+'2019'!O222+'2020'!O222+'2021'!O222+'2022'!O206</f>
        <v>0</v>
      </c>
      <c r="P222" s="176">
        <f>'2018'!P222+'2019'!P222+'2020'!P222+'2021'!P222+'2022'!P206</f>
        <v>0</v>
      </c>
      <c r="Q222" s="176">
        <f>'2018'!Q222+'2019'!Q222+'2020'!Q222+'2021'!Q222+'2022'!Q206</f>
        <v>0</v>
      </c>
      <c r="R222" s="176">
        <f>'2018'!R222+'2019'!R222+'2020'!R222+'2021'!R222+'2022'!R206</f>
        <v>0</v>
      </c>
      <c r="S222" s="176">
        <f>'2018'!S222+'2019'!S222+'2020'!S222+'2021'!S222+'2022'!S206</f>
        <v>0</v>
      </c>
      <c r="T222" s="176">
        <f>'2018'!T222+'2019'!T222+'2020'!T222+'2021'!T222+'2022'!T206</f>
        <v>0</v>
      </c>
      <c r="U222" s="176">
        <f>'2018'!U222+'2019'!U222+'2020'!U222+'2021'!U222+'2022'!U206</f>
        <v>37</v>
      </c>
      <c r="V222" s="176">
        <f>'2018'!V222+'2019'!V222+'2020'!V222+'2021'!V222+'2022'!V206</f>
        <v>2</v>
      </c>
      <c r="W222" s="176">
        <f>'2018'!W222+'2019'!W222+'2020'!W222+'2021'!W222+'2022'!W206</f>
        <v>0</v>
      </c>
      <c r="X222" s="176">
        <f>'2018'!X222+'2019'!X222+'2020'!X222+'2021'!X222+'2022'!X206</f>
        <v>9</v>
      </c>
      <c r="Y222" s="174">
        <f t="shared" si="34"/>
        <v>48</v>
      </c>
      <c r="Z222" s="174">
        <f>'2018'!Z222+'2019'!Z222+'2020'!Z222+'2021'!Z222+'2022'!Z206</f>
        <v>5</v>
      </c>
      <c r="AA222" s="174">
        <f>'2018'!AA222+'2019'!AA222+'2020'!AA222+'2021'!AA222+'2022'!AA206</f>
        <v>3</v>
      </c>
      <c r="AB222" s="174">
        <f>'2018'!AB222+'2019'!AB222+'2020'!AB222+'2021'!AB222+'2022'!AB206</f>
        <v>27</v>
      </c>
      <c r="AC222" s="174">
        <f>'2018'!AC222+'2019'!AC222+'2020'!AC222+'2021'!AC222+'2022'!AC206</f>
        <v>13</v>
      </c>
      <c r="AD222" s="174">
        <f>'2018'!AD222+'2019'!AD222+'2020'!AD222+'2021'!AD222+'2022'!AD206</f>
        <v>0</v>
      </c>
      <c r="AE222" s="174">
        <f>'2018'!AE222+'2019'!AE222+'2020'!AE222+'2021'!AE222+'2022'!AE206</f>
        <v>0</v>
      </c>
      <c r="AF222" s="174">
        <f>'2018'!AF222+'2019'!AF222+'2020'!AF222+'2021'!AF222+'2022'!AF206</f>
        <v>0</v>
      </c>
      <c r="AG222" s="174">
        <f>'2018'!AG222+'2019'!AG222+'2020'!AG222+'2021'!AG222+'2022'!AG206</f>
        <v>0</v>
      </c>
      <c r="AH222" s="174">
        <f>'2018'!AH222+'2019'!AH222+'2020'!AH222+'2021'!AH222+'2022'!AH206</f>
        <v>0</v>
      </c>
      <c r="AI222" s="174">
        <f>'2018'!AI222+'2019'!AI222+'2020'!AI222+'2021'!AI222+'2022'!AI206</f>
        <v>0</v>
      </c>
      <c r="AJ222" s="174">
        <f>'2018'!AJ222+'2019'!AJ222+'2020'!AJ222+'2021'!AJ222+'2022'!AJ206</f>
        <v>0</v>
      </c>
      <c r="AK222" s="174">
        <f>'2018'!AK222+'2019'!AK222+'2020'!AK222+'2021'!AK222+'2022'!AK206</f>
        <v>0</v>
      </c>
      <c r="AL222" s="174">
        <f>'2018'!AL222+'2019'!AL222+'2020'!AL222+'2021'!AL222+'2022'!AL206</f>
        <v>0</v>
      </c>
      <c r="AM222" s="174">
        <f>'2018'!AM222+'2019'!AM222+'2020'!AM222+'2021'!AM222+'2022'!AM206</f>
        <v>0</v>
      </c>
      <c r="AN222" s="174">
        <f>'2018'!AN222+'2019'!AN222+'2020'!AN222+'2021'!AN222+'2022'!AN206</f>
        <v>0</v>
      </c>
      <c r="AO222" s="174">
        <f>'2018'!AO222+'2019'!AO222+'2020'!AO222+'2021'!AO222+'2022'!AO206</f>
        <v>0</v>
      </c>
      <c r="AP222" s="174">
        <f>'2018'!AP222+'2019'!AP222+'2020'!AP222+'2021'!AP222+'2022'!AP206</f>
        <v>0</v>
      </c>
      <c r="AQ222" s="174">
        <f>'2018'!AQ222+'2019'!AQ222+'2020'!AQ222+'2021'!AQ222+'2022'!AQ206</f>
        <v>0</v>
      </c>
      <c r="AR222" s="174">
        <f>'2018'!AR222+'2019'!AR222+'2020'!AR222+'2021'!AR222+'2022'!AR206</f>
        <v>0</v>
      </c>
      <c r="AS222" s="174">
        <f>'2018'!AS222+'2019'!AS222+'2020'!AS222+'2021'!AS222+'2022'!AS206</f>
        <v>16</v>
      </c>
      <c r="AT222" s="174">
        <f>'2018'!AT222+'2019'!AT222+'2020'!AT222+'2021'!AT222+'2022'!AT206</f>
        <v>2</v>
      </c>
      <c r="AU222" s="174">
        <f>'2018'!AU222+'2019'!AU222+'2020'!AU222+'2021'!AU222+'2022'!AU206</f>
        <v>0</v>
      </c>
      <c r="AV222" s="174">
        <f>'2018'!AV222+'2019'!AV222+'2020'!AV222+'2021'!AV222+'2022'!AV206</f>
        <v>9</v>
      </c>
      <c r="AW222" s="174">
        <f t="shared" si="35"/>
        <v>27</v>
      </c>
      <c r="AX222" s="156">
        <f t="shared" si="36"/>
        <v>669.6</v>
      </c>
      <c r="AY222" s="14">
        <f>'2018'!AX222+'2019'!AX222+'2020'!AX222+'2021'!AX222+'2022'!AX206</f>
        <v>3348</v>
      </c>
      <c r="AZ222" s="14">
        <f t="shared" si="29"/>
        <v>56.25</v>
      </c>
      <c r="BA222" s="142"/>
      <c r="BB222" s="144"/>
      <c r="BC222" s="142"/>
    </row>
    <row r="223" spans="1:55" x14ac:dyDescent="0.25">
      <c r="A223" s="173" t="s">
        <v>47</v>
      </c>
      <c r="B223" s="176">
        <f t="shared" ref="B223:X223" si="37">SUM(B224:B230)</f>
        <v>365</v>
      </c>
      <c r="C223" s="176">
        <f t="shared" si="37"/>
        <v>38</v>
      </c>
      <c r="D223" s="176">
        <f t="shared" si="37"/>
        <v>733</v>
      </c>
      <c r="E223" s="176">
        <f t="shared" si="37"/>
        <v>187</v>
      </c>
      <c r="F223" s="176">
        <f t="shared" si="37"/>
        <v>11</v>
      </c>
      <c r="G223" s="176">
        <f t="shared" si="37"/>
        <v>3</v>
      </c>
      <c r="H223" s="176">
        <f t="shared" si="37"/>
        <v>64</v>
      </c>
      <c r="I223" s="176">
        <f t="shared" si="37"/>
        <v>1</v>
      </c>
      <c r="J223" s="176">
        <f t="shared" si="37"/>
        <v>25</v>
      </c>
      <c r="K223" s="176">
        <f t="shared" si="37"/>
        <v>96</v>
      </c>
      <c r="L223" s="176">
        <f t="shared" si="37"/>
        <v>128</v>
      </c>
      <c r="M223" s="176">
        <f t="shared" si="37"/>
        <v>126</v>
      </c>
      <c r="N223" s="176">
        <f t="shared" si="37"/>
        <v>4</v>
      </c>
      <c r="O223" s="176">
        <f t="shared" si="37"/>
        <v>0</v>
      </c>
      <c r="P223" s="176">
        <f t="shared" si="37"/>
        <v>3</v>
      </c>
      <c r="Q223" s="176">
        <f t="shared" si="37"/>
        <v>6</v>
      </c>
      <c r="R223" s="176">
        <f t="shared" si="37"/>
        <v>12</v>
      </c>
      <c r="S223" s="176">
        <f t="shared" si="37"/>
        <v>12</v>
      </c>
      <c r="T223" s="176">
        <f t="shared" si="37"/>
        <v>11</v>
      </c>
      <c r="U223" s="176">
        <f t="shared" si="37"/>
        <v>111</v>
      </c>
      <c r="V223" s="176">
        <f t="shared" si="37"/>
        <v>100</v>
      </c>
      <c r="W223" s="176">
        <f t="shared" si="37"/>
        <v>1</v>
      </c>
      <c r="X223" s="176">
        <f t="shared" si="37"/>
        <v>19</v>
      </c>
      <c r="Y223" s="174">
        <f t="shared" si="34"/>
        <v>733</v>
      </c>
      <c r="Z223" s="174">
        <f t="shared" ref="Z223:AV223" si="38">SUM(Z224:Z230)</f>
        <v>309</v>
      </c>
      <c r="AA223" s="174">
        <f t="shared" si="38"/>
        <v>30</v>
      </c>
      <c r="AB223" s="174">
        <f t="shared" si="38"/>
        <v>543</v>
      </c>
      <c r="AC223" s="174">
        <f t="shared" si="38"/>
        <v>152</v>
      </c>
      <c r="AD223" s="174">
        <f t="shared" si="38"/>
        <v>8</v>
      </c>
      <c r="AE223" s="174">
        <f t="shared" si="38"/>
        <v>3</v>
      </c>
      <c r="AF223" s="174">
        <f t="shared" si="38"/>
        <v>56</v>
      </c>
      <c r="AG223" s="174">
        <f t="shared" si="38"/>
        <v>4</v>
      </c>
      <c r="AH223" s="174">
        <f t="shared" si="38"/>
        <v>25</v>
      </c>
      <c r="AI223" s="174">
        <f t="shared" si="38"/>
        <v>80</v>
      </c>
      <c r="AJ223" s="174">
        <f t="shared" si="38"/>
        <v>82</v>
      </c>
      <c r="AK223" s="174">
        <f t="shared" si="38"/>
        <v>93</v>
      </c>
      <c r="AL223" s="174">
        <f t="shared" si="38"/>
        <v>3</v>
      </c>
      <c r="AM223" s="174">
        <f t="shared" si="38"/>
        <v>0</v>
      </c>
      <c r="AN223" s="174">
        <f t="shared" si="38"/>
        <v>1</v>
      </c>
      <c r="AO223" s="174">
        <f t="shared" si="38"/>
        <v>6</v>
      </c>
      <c r="AP223" s="174">
        <f t="shared" si="38"/>
        <v>7</v>
      </c>
      <c r="AQ223" s="174">
        <f t="shared" si="38"/>
        <v>11</v>
      </c>
      <c r="AR223" s="174">
        <f t="shared" si="38"/>
        <v>10</v>
      </c>
      <c r="AS223" s="174">
        <f t="shared" si="38"/>
        <v>68</v>
      </c>
      <c r="AT223" s="174">
        <f t="shared" si="38"/>
        <v>83</v>
      </c>
      <c r="AU223" s="174">
        <f t="shared" si="38"/>
        <v>1</v>
      </c>
      <c r="AV223" s="174">
        <f t="shared" si="38"/>
        <v>2</v>
      </c>
      <c r="AW223" s="174">
        <f t="shared" si="35"/>
        <v>543</v>
      </c>
      <c r="AX223" s="156">
        <v>1874.71</v>
      </c>
      <c r="AY223" s="63"/>
      <c r="AZ223" s="63"/>
      <c r="BA223" s="184">
        <f>Z223*100/B223</f>
        <v>84.657534246575338</v>
      </c>
      <c r="BB223" s="185">
        <f>B223-Z223</f>
        <v>56</v>
      </c>
      <c r="BC223" s="184">
        <f>BB223*100/B223</f>
        <v>15.342465753424657</v>
      </c>
    </row>
    <row r="224" spans="1:55" x14ac:dyDescent="0.25">
      <c r="A224" s="175" t="s">
        <v>48</v>
      </c>
      <c r="B224" s="176">
        <f>'2018'!B224+'2019'!B224+'2020'!B224+'2021'!B224+'2022'!B208</f>
        <v>28</v>
      </c>
      <c r="C224" s="176">
        <f>'2018'!C224+'2019'!C224+'2020'!C224+'2021'!C224+'2022'!C208</f>
        <v>9</v>
      </c>
      <c r="D224" s="176">
        <f>'2018'!D224+'2019'!D224+'2020'!D224+'2021'!D224+'2022'!D208</f>
        <v>125</v>
      </c>
      <c r="E224" s="176">
        <f>'2018'!E224+'2019'!E224+'2020'!E224+'2021'!E224+'2022'!E208</f>
        <v>64</v>
      </c>
      <c r="F224" s="176">
        <f>'2018'!F224+'2019'!F224+'2020'!F224+'2021'!F224+'2022'!F208</f>
        <v>0</v>
      </c>
      <c r="G224" s="176">
        <f>'2018'!G224+'2019'!G224+'2020'!G224+'2021'!G224+'2022'!G208</f>
        <v>0</v>
      </c>
      <c r="H224" s="176">
        <f>'2018'!H224+'2019'!H224+'2020'!H224+'2021'!H224+'2022'!H208</f>
        <v>1</v>
      </c>
      <c r="I224" s="176">
        <f>'2018'!I224+'2019'!I224+'2020'!I224+'2021'!I224+'2022'!I208</f>
        <v>0</v>
      </c>
      <c r="J224" s="176">
        <f>'2018'!J224+'2019'!J224+'2020'!J224+'2021'!J224+'2022'!J208</f>
        <v>1</v>
      </c>
      <c r="K224" s="176">
        <f>'2018'!K224+'2019'!K224+'2020'!K224+'2021'!K224+'2022'!K208</f>
        <v>15</v>
      </c>
      <c r="L224" s="176">
        <f>'2018'!L224+'2019'!L224+'2020'!L224+'2021'!L224+'2022'!L208</f>
        <v>0</v>
      </c>
      <c r="M224" s="176">
        <f>'2018'!M224+'2019'!M224+'2020'!M224+'2021'!M224+'2022'!M208</f>
        <v>0</v>
      </c>
      <c r="N224" s="176">
        <f>'2018'!N224+'2019'!N224+'2020'!N224+'2021'!N224+'2022'!N208</f>
        <v>0</v>
      </c>
      <c r="O224" s="176">
        <f>'2018'!O224+'2019'!O224+'2020'!O224+'2021'!O224+'2022'!O208</f>
        <v>0</v>
      </c>
      <c r="P224" s="176">
        <f>'2018'!P224+'2019'!P224+'2020'!P224+'2021'!P224+'2022'!P208</f>
        <v>0</v>
      </c>
      <c r="Q224" s="176">
        <f>'2018'!Q224+'2019'!Q224+'2020'!Q224+'2021'!Q224+'2022'!Q208</f>
        <v>0</v>
      </c>
      <c r="R224" s="176">
        <f>'2018'!R224+'2019'!R224+'2020'!R224+'2021'!R224+'2022'!R208</f>
        <v>1</v>
      </c>
      <c r="S224" s="176">
        <f>'2018'!S224+'2019'!S224+'2020'!S224+'2021'!S224+'2022'!S208</f>
        <v>2</v>
      </c>
      <c r="T224" s="176">
        <f>'2018'!T224+'2019'!T224+'2020'!T224+'2021'!T224+'2022'!T208</f>
        <v>2</v>
      </c>
      <c r="U224" s="176">
        <f>'2018'!U224+'2019'!U224+'2020'!U224+'2021'!U224+'2022'!U208</f>
        <v>101</v>
      </c>
      <c r="V224" s="176">
        <f>'2018'!V224+'2019'!V224+'2020'!V224+'2021'!V224+'2022'!V208</f>
        <v>0</v>
      </c>
      <c r="W224" s="176">
        <f>'2018'!W224+'2019'!W224+'2020'!W224+'2021'!W224+'2022'!W208</f>
        <v>0</v>
      </c>
      <c r="X224" s="176">
        <f>'2018'!X224+'2019'!X224+'2020'!X224+'2021'!X224+'2022'!X208</f>
        <v>2</v>
      </c>
      <c r="Y224" s="174">
        <f t="shared" si="34"/>
        <v>125</v>
      </c>
      <c r="Z224" s="174">
        <f>'2018'!Z224+'2019'!Z224+'2020'!Z224+'2021'!Z224+'2022'!Z208</f>
        <v>20</v>
      </c>
      <c r="AA224" s="174">
        <f>'2018'!AA224+'2019'!AA224+'2020'!AA224+'2021'!AA224+'2022'!AA208</f>
        <v>6</v>
      </c>
      <c r="AB224" s="174">
        <f>'2018'!AB224+'2019'!AB224+'2020'!AB224+'2021'!AB224+'2022'!AB208</f>
        <v>77</v>
      </c>
      <c r="AC224" s="174">
        <f>'2018'!AC224+'2019'!AC224+'2020'!AC224+'2021'!AC224+'2022'!AC208</f>
        <v>44</v>
      </c>
      <c r="AD224" s="174">
        <f>'2018'!AD224+'2019'!AD224+'2020'!AD224+'2021'!AD224+'2022'!AD208</f>
        <v>0</v>
      </c>
      <c r="AE224" s="174">
        <f>'2018'!AE224+'2019'!AE224+'2020'!AE224+'2021'!AE224+'2022'!AE208</f>
        <v>0</v>
      </c>
      <c r="AF224" s="174">
        <f>'2018'!AF224+'2019'!AF224+'2020'!AF224+'2021'!AF224+'2022'!AF208</f>
        <v>0</v>
      </c>
      <c r="AG224" s="174">
        <f>'2018'!AG224+'2019'!AG224+'2020'!AG224+'2021'!AG224+'2022'!AG208</f>
        <v>0</v>
      </c>
      <c r="AH224" s="174">
        <f>'2018'!AH224+'2019'!AH224+'2020'!AH224+'2021'!AH224+'2022'!AH208</f>
        <v>1</v>
      </c>
      <c r="AI224" s="174">
        <f>'2018'!AI224+'2019'!AI224+'2020'!AI224+'2021'!AI224+'2022'!AI208</f>
        <v>12</v>
      </c>
      <c r="AJ224" s="174">
        <f>'2018'!AJ224+'2019'!AJ224+'2020'!AJ224+'2021'!AJ224+'2022'!AJ208</f>
        <v>0</v>
      </c>
      <c r="AK224" s="174">
        <f>'2018'!AK224+'2019'!AK224+'2020'!AK224+'2021'!AK224+'2022'!AK208</f>
        <v>0</v>
      </c>
      <c r="AL224" s="174">
        <f>'2018'!AL224+'2019'!AL224+'2020'!AL224+'2021'!AL224+'2022'!AL208</f>
        <v>0</v>
      </c>
      <c r="AM224" s="174">
        <f>'2018'!AM224+'2019'!AM224+'2020'!AM224+'2021'!AM224+'2022'!AM208</f>
        <v>0</v>
      </c>
      <c r="AN224" s="174">
        <f>'2018'!AN224+'2019'!AN224+'2020'!AN224+'2021'!AN224+'2022'!AN208</f>
        <v>0</v>
      </c>
      <c r="AO224" s="174">
        <f>'2018'!AO224+'2019'!AO224+'2020'!AO224+'2021'!AO224+'2022'!AO208</f>
        <v>0</v>
      </c>
      <c r="AP224" s="174">
        <f>'2018'!AP224+'2019'!AP224+'2020'!AP224+'2021'!AP224+'2022'!AP208</f>
        <v>0</v>
      </c>
      <c r="AQ224" s="174">
        <f>'2018'!AQ224+'2019'!AQ224+'2020'!AQ224+'2021'!AQ224+'2022'!AQ208</f>
        <v>2</v>
      </c>
      <c r="AR224" s="174">
        <f>'2018'!AR224+'2019'!AR224+'2020'!AR224+'2021'!AR224+'2022'!AR208</f>
        <v>2</v>
      </c>
      <c r="AS224" s="174">
        <f>'2018'!AS224+'2019'!AS224+'2020'!AS224+'2021'!AS224+'2022'!AS208</f>
        <v>60</v>
      </c>
      <c r="AT224" s="174">
        <f>'2018'!AT224+'2019'!AT224+'2020'!AT224+'2021'!AT224+'2022'!AT208</f>
        <v>0</v>
      </c>
      <c r="AU224" s="174">
        <f>'2018'!AU224+'2019'!AU224+'2020'!AU224+'2021'!AU224+'2022'!AU208</f>
        <v>0</v>
      </c>
      <c r="AV224" s="174">
        <f>'2018'!AV224+'2019'!AV224+'2020'!AV224+'2021'!AV224+'2022'!AV208</f>
        <v>0</v>
      </c>
      <c r="AW224" s="174">
        <f t="shared" si="35"/>
        <v>77</v>
      </c>
      <c r="AX224" s="156">
        <f t="shared" si="36"/>
        <v>2975.4666666666662</v>
      </c>
      <c r="AY224" s="14">
        <f>'2018'!AX224+'2019'!AX224+'2020'!AX224+'2021'!AX224+'2022'!AX208</f>
        <v>14877.333333333332</v>
      </c>
      <c r="AZ224" s="14">
        <f t="shared" si="29"/>
        <v>61.6</v>
      </c>
      <c r="BA224" s="142"/>
      <c r="BB224" s="144"/>
      <c r="BC224" s="142"/>
    </row>
    <row r="225" spans="1:61" x14ac:dyDescent="0.25">
      <c r="A225" s="175" t="s">
        <v>49</v>
      </c>
      <c r="B225" s="176">
        <f>'2018'!B225+'2019'!B225+'2020'!B225+'2021'!B225+'2022'!B209</f>
        <v>28</v>
      </c>
      <c r="C225" s="176">
        <f>'2018'!C225+'2019'!C225+'2020'!C225+'2021'!C225+'2022'!C209</f>
        <v>9</v>
      </c>
      <c r="D225" s="176">
        <f>'2018'!D225+'2019'!D225+'2020'!D225+'2021'!D225+'2022'!D209</f>
        <v>28</v>
      </c>
      <c r="E225" s="176">
        <f>'2018'!E225+'2019'!E225+'2020'!E225+'2021'!E225+'2022'!E209</f>
        <v>9</v>
      </c>
      <c r="F225" s="176">
        <f>'2018'!F225+'2019'!F225+'2020'!F225+'2021'!F225+'2022'!F209</f>
        <v>0</v>
      </c>
      <c r="G225" s="176">
        <f>'2018'!G225+'2019'!G225+'2020'!G225+'2021'!G225+'2022'!G209</f>
        <v>0</v>
      </c>
      <c r="H225" s="176">
        <f>'2018'!H225+'2019'!H225+'2020'!H225+'2021'!H225+'2022'!H209</f>
        <v>0</v>
      </c>
      <c r="I225" s="176">
        <f>'2018'!I225+'2019'!I225+'2020'!I225+'2021'!I225+'2022'!I209</f>
        <v>0</v>
      </c>
      <c r="J225" s="176">
        <f>'2018'!J225+'2019'!J225+'2020'!J225+'2021'!J225+'2022'!J209</f>
        <v>0</v>
      </c>
      <c r="K225" s="176">
        <f>'2018'!K225+'2019'!K225+'2020'!K225+'2021'!K225+'2022'!K209</f>
        <v>3</v>
      </c>
      <c r="L225" s="176">
        <f>'2018'!L225+'2019'!L225+'2020'!L225+'2021'!L225+'2022'!L209</f>
        <v>1</v>
      </c>
      <c r="M225" s="176">
        <f>'2018'!M225+'2019'!M225+'2020'!M225+'2021'!M225+'2022'!M209</f>
        <v>12</v>
      </c>
      <c r="N225" s="176">
        <f>'2018'!N225+'2019'!N225+'2020'!N225+'2021'!N225+'2022'!N209</f>
        <v>1</v>
      </c>
      <c r="O225" s="176">
        <f>'2018'!O225+'2019'!O225+'2020'!O225+'2021'!O225+'2022'!O209</f>
        <v>0</v>
      </c>
      <c r="P225" s="176">
        <f>'2018'!P225+'2019'!P225+'2020'!P225+'2021'!P225+'2022'!P209</f>
        <v>0</v>
      </c>
      <c r="Q225" s="176">
        <f>'2018'!Q225+'2019'!Q225+'2020'!Q225+'2021'!Q225+'2022'!Q209</f>
        <v>0</v>
      </c>
      <c r="R225" s="176">
        <f>'2018'!R225+'2019'!R225+'2020'!R225+'2021'!R225+'2022'!R209</f>
        <v>0</v>
      </c>
      <c r="S225" s="176">
        <f>'2018'!S225+'2019'!S225+'2020'!S225+'2021'!S225+'2022'!S209</f>
        <v>0</v>
      </c>
      <c r="T225" s="176">
        <f>'2018'!T225+'2019'!T225+'2020'!T225+'2021'!T225+'2022'!T209</f>
        <v>4</v>
      </c>
      <c r="U225" s="176">
        <f>'2018'!U225+'2019'!U225+'2020'!U225+'2021'!U225+'2022'!U209</f>
        <v>0</v>
      </c>
      <c r="V225" s="176">
        <f>'2018'!V225+'2019'!V225+'2020'!V225+'2021'!V225+'2022'!V209</f>
        <v>6</v>
      </c>
      <c r="W225" s="176">
        <f>'2018'!W225+'2019'!W225+'2020'!W225+'2021'!W225+'2022'!W209</f>
        <v>0</v>
      </c>
      <c r="X225" s="176">
        <f>'2018'!X225+'2019'!X225+'2020'!X225+'2021'!X225+'2022'!X209</f>
        <v>1</v>
      </c>
      <c r="Y225" s="174">
        <f t="shared" si="34"/>
        <v>28</v>
      </c>
      <c r="Z225" s="174">
        <f>'2018'!Z225+'2019'!Z225+'2020'!Z225+'2021'!Z225+'2022'!Z209</f>
        <v>20</v>
      </c>
      <c r="AA225" s="174">
        <f>'2018'!AA225+'2019'!AA225+'2020'!AA225+'2021'!AA225+'2022'!AA209</f>
        <v>6</v>
      </c>
      <c r="AB225" s="174">
        <f>'2018'!AB225+'2019'!AB225+'2020'!AB225+'2021'!AB225+'2022'!AB209</f>
        <v>20</v>
      </c>
      <c r="AC225" s="174">
        <f>'2018'!AC225+'2019'!AC225+'2020'!AC225+'2021'!AC225+'2022'!AC209</f>
        <v>6</v>
      </c>
      <c r="AD225" s="174">
        <f>'2018'!AD225+'2019'!AD225+'2020'!AD225+'2021'!AD225+'2022'!AD209</f>
        <v>0</v>
      </c>
      <c r="AE225" s="174">
        <f>'2018'!AE225+'2019'!AE225+'2020'!AE225+'2021'!AE225+'2022'!AE209</f>
        <v>0</v>
      </c>
      <c r="AF225" s="174">
        <f>'2018'!AF225+'2019'!AF225+'2020'!AF225+'2021'!AF225+'2022'!AF209</f>
        <v>0</v>
      </c>
      <c r="AG225" s="174">
        <f>'2018'!AG225+'2019'!AG225+'2020'!AG225+'2021'!AG225+'2022'!AG209</f>
        <v>0</v>
      </c>
      <c r="AH225" s="174">
        <f>'2018'!AH225+'2019'!AH225+'2020'!AH225+'2021'!AH225+'2022'!AH209</f>
        <v>0</v>
      </c>
      <c r="AI225" s="174">
        <f>'2018'!AI225+'2019'!AI225+'2020'!AI225+'2021'!AI225+'2022'!AI209</f>
        <v>2</v>
      </c>
      <c r="AJ225" s="174">
        <f>'2018'!AJ225+'2019'!AJ225+'2020'!AJ225+'2021'!AJ225+'2022'!AJ209</f>
        <v>1</v>
      </c>
      <c r="AK225" s="174">
        <f>'2018'!AK225+'2019'!AK225+'2020'!AK225+'2021'!AK225+'2022'!AK209</f>
        <v>7</v>
      </c>
      <c r="AL225" s="174">
        <f>'2018'!AL225+'2019'!AL225+'2020'!AL225+'2021'!AL225+'2022'!AL209</f>
        <v>0</v>
      </c>
      <c r="AM225" s="174">
        <f>'2018'!AM225+'2019'!AM225+'2020'!AM225+'2021'!AM225+'2022'!AM209</f>
        <v>0</v>
      </c>
      <c r="AN225" s="174">
        <f>'2018'!AN225+'2019'!AN225+'2020'!AN225+'2021'!AN225+'2022'!AN209</f>
        <v>0</v>
      </c>
      <c r="AO225" s="174">
        <f>'2018'!AO225+'2019'!AO225+'2020'!AO225+'2021'!AO225+'2022'!AO209</f>
        <v>0</v>
      </c>
      <c r="AP225" s="174">
        <f>'2018'!AP225+'2019'!AP225+'2020'!AP225+'2021'!AP225+'2022'!AP209</f>
        <v>0</v>
      </c>
      <c r="AQ225" s="174">
        <f>'2018'!AQ225+'2019'!AQ225+'2020'!AQ225+'2021'!AQ225+'2022'!AQ209</f>
        <v>0</v>
      </c>
      <c r="AR225" s="174">
        <f>'2018'!AR225+'2019'!AR225+'2020'!AR225+'2021'!AR225+'2022'!AR209</f>
        <v>3</v>
      </c>
      <c r="AS225" s="174">
        <f>'2018'!AS225+'2019'!AS225+'2020'!AS225+'2021'!AS225+'2022'!AS209</f>
        <v>0</v>
      </c>
      <c r="AT225" s="174">
        <f>'2018'!AT225+'2019'!AT225+'2020'!AT225+'2021'!AT225+'2022'!AT209</f>
        <v>6</v>
      </c>
      <c r="AU225" s="174">
        <f>'2018'!AU225+'2019'!AU225+'2020'!AU225+'2021'!AU225+'2022'!AU209</f>
        <v>0</v>
      </c>
      <c r="AV225" s="174">
        <f>'2018'!AV225+'2019'!AV225+'2020'!AV225+'2021'!AV225+'2022'!AV209</f>
        <v>1</v>
      </c>
      <c r="AW225" s="174">
        <f t="shared" si="35"/>
        <v>20</v>
      </c>
      <c r="AX225" s="156">
        <f t="shared" si="36"/>
        <v>4326.3500000000004</v>
      </c>
      <c r="AY225" s="14">
        <f>'2018'!AX225+'2019'!AX225+'2020'!AX225+'2021'!AX225+'2022'!AX209</f>
        <v>21631.75</v>
      </c>
      <c r="AZ225" s="14">
        <f t="shared" si="29"/>
        <v>71.428571428571431</v>
      </c>
      <c r="BA225" s="142"/>
      <c r="BB225" s="144"/>
      <c r="BC225" s="142"/>
    </row>
    <row r="226" spans="1:61" x14ac:dyDescent="0.25">
      <c r="A226" s="175" t="s">
        <v>50</v>
      </c>
      <c r="B226" s="176">
        <f>'2018'!B226+'2019'!B226+'2020'!B226+'2021'!B226+'2022'!B210</f>
        <v>284</v>
      </c>
      <c r="C226" s="176">
        <f>'2018'!C226+'2019'!C226+'2020'!C226+'2021'!C226+'2022'!C210</f>
        <v>16</v>
      </c>
      <c r="D226" s="176">
        <f>'2018'!D226+'2019'!D226+'2020'!D226+'2021'!D226+'2022'!D210</f>
        <v>479</v>
      </c>
      <c r="E226" s="176">
        <f>'2018'!E226+'2019'!E226+'2020'!E226+'2021'!E226+'2022'!E210</f>
        <v>103</v>
      </c>
      <c r="F226" s="176">
        <f>'2018'!F226+'2019'!F226+'2020'!F226+'2021'!F226+'2022'!F210</f>
        <v>11</v>
      </c>
      <c r="G226" s="176">
        <f>'2018'!G226+'2019'!G226+'2020'!G226+'2021'!G226+'2022'!G210</f>
        <v>3</v>
      </c>
      <c r="H226" s="176">
        <f>'2018'!H226+'2019'!H226+'2020'!H226+'2021'!H226+'2022'!H210</f>
        <v>57</v>
      </c>
      <c r="I226" s="176">
        <f>'2018'!I226+'2019'!I226+'2020'!I226+'2021'!I226+'2022'!I210</f>
        <v>1</v>
      </c>
      <c r="J226" s="176">
        <f>'2018'!J226+'2019'!J226+'2020'!J226+'2021'!J226+'2022'!J210</f>
        <v>22</v>
      </c>
      <c r="K226" s="176">
        <f>'2018'!K226+'2019'!K226+'2020'!K226+'2021'!K226+'2022'!K210</f>
        <v>78</v>
      </c>
      <c r="L226" s="176">
        <f>'2018'!L226+'2019'!L226+'2020'!L226+'2021'!L226+'2022'!L210</f>
        <v>113</v>
      </c>
      <c r="M226" s="176">
        <f>'2018'!M226+'2019'!M226+'2020'!M226+'2021'!M226+'2022'!M210</f>
        <v>67</v>
      </c>
      <c r="N226" s="176">
        <f>'2018'!N226+'2019'!N226+'2020'!N226+'2021'!N226+'2022'!N210</f>
        <v>0</v>
      </c>
      <c r="O226" s="176">
        <f>'2018'!O226+'2019'!O226+'2020'!O226+'2021'!O226+'2022'!O210</f>
        <v>0</v>
      </c>
      <c r="P226" s="176">
        <f>'2018'!P226+'2019'!P226+'2020'!P226+'2021'!P226+'2022'!P210</f>
        <v>3</v>
      </c>
      <c r="Q226" s="176">
        <f>'2018'!Q226+'2019'!Q226+'2020'!Q226+'2021'!Q226+'2022'!Q210</f>
        <v>0</v>
      </c>
      <c r="R226" s="176">
        <f>'2018'!R226+'2019'!R226+'2020'!R226+'2021'!R226+'2022'!R210</f>
        <v>11</v>
      </c>
      <c r="S226" s="176">
        <f>'2018'!S226+'2019'!S226+'2020'!S226+'2021'!S226+'2022'!S210</f>
        <v>9</v>
      </c>
      <c r="T226" s="176">
        <f>'2018'!T226+'2019'!T226+'2020'!T226+'2021'!T226+'2022'!T210</f>
        <v>4</v>
      </c>
      <c r="U226" s="176">
        <f>'2018'!U226+'2019'!U226+'2020'!U226+'2021'!U226+'2022'!U210</f>
        <v>5</v>
      </c>
      <c r="V226" s="176">
        <f>'2018'!V226+'2019'!V226+'2020'!V226+'2021'!V226+'2022'!V210</f>
        <v>94</v>
      </c>
      <c r="W226" s="176">
        <f>'2018'!W226+'2019'!W226+'2020'!W226+'2021'!W226+'2022'!W210</f>
        <v>1</v>
      </c>
      <c r="X226" s="176">
        <f>'2018'!X226+'2019'!X226+'2020'!X226+'2021'!X226+'2022'!X210</f>
        <v>0</v>
      </c>
      <c r="Y226" s="174">
        <f t="shared" si="34"/>
        <v>479</v>
      </c>
      <c r="Z226" s="174">
        <f>'2018'!Z226+'2019'!Z226+'2020'!Z226+'2021'!Z226+'2022'!Z210</f>
        <v>252</v>
      </c>
      <c r="AA226" s="174">
        <f>'2018'!AA226+'2019'!AA226+'2020'!AA226+'2021'!AA226+'2022'!AA210</f>
        <v>14</v>
      </c>
      <c r="AB226" s="174">
        <f>'2018'!AB226+'2019'!AB226+'2020'!AB226+'2021'!AB226+'2022'!AB210</f>
        <v>381</v>
      </c>
      <c r="AC226" s="174">
        <f>'2018'!AC226+'2019'!AC226+'2020'!AC226+'2021'!AC226+'2022'!AC210</f>
        <v>91</v>
      </c>
      <c r="AD226" s="174">
        <f>'2018'!AD226+'2019'!AD226+'2020'!AD226+'2021'!AD226+'2022'!AD210</f>
        <v>8</v>
      </c>
      <c r="AE226" s="174">
        <f>'2018'!AE226+'2019'!AE226+'2020'!AE226+'2021'!AE226+'2022'!AE210</f>
        <v>3</v>
      </c>
      <c r="AF226" s="174">
        <f>'2018'!AF226+'2019'!AF226+'2020'!AF226+'2021'!AF226+'2022'!AF210</f>
        <v>56</v>
      </c>
      <c r="AG226" s="174">
        <f>'2018'!AG226+'2019'!AG226+'2020'!AG226+'2021'!AG226+'2022'!AG210</f>
        <v>4</v>
      </c>
      <c r="AH226" s="174">
        <f>'2018'!AH226+'2019'!AH226+'2020'!AH226+'2021'!AH226+'2022'!AH210</f>
        <v>22</v>
      </c>
      <c r="AI226" s="174">
        <f>'2018'!AI226+'2019'!AI226+'2020'!AI226+'2021'!AI226+'2022'!AI210</f>
        <v>66</v>
      </c>
      <c r="AJ226" s="174">
        <f>'2018'!AJ226+'2019'!AJ226+'2020'!AJ226+'2021'!AJ226+'2022'!AJ210</f>
        <v>78</v>
      </c>
      <c r="AK226" s="174">
        <f>'2018'!AK226+'2019'!AK226+'2020'!AK226+'2021'!AK226+'2022'!AK210</f>
        <v>42</v>
      </c>
      <c r="AL226" s="174">
        <f>'2018'!AL226+'2019'!AL226+'2020'!AL226+'2021'!AL226+'2022'!AL210</f>
        <v>0</v>
      </c>
      <c r="AM226" s="174">
        <f>'2018'!AM226+'2019'!AM226+'2020'!AM226+'2021'!AM226+'2022'!AM210</f>
        <v>0</v>
      </c>
      <c r="AN226" s="174">
        <f>'2018'!AN226+'2019'!AN226+'2020'!AN226+'2021'!AN226+'2022'!AN210</f>
        <v>1</v>
      </c>
      <c r="AO226" s="174">
        <f>'2018'!AO226+'2019'!AO226+'2020'!AO226+'2021'!AO226+'2022'!AO210</f>
        <v>0</v>
      </c>
      <c r="AP226" s="174">
        <f>'2018'!AP226+'2019'!AP226+'2020'!AP226+'2021'!AP226+'2022'!AP210</f>
        <v>7</v>
      </c>
      <c r="AQ226" s="174">
        <f>'2018'!AQ226+'2019'!AQ226+'2020'!AQ226+'2021'!AQ226+'2022'!AQ210</f>
        <v>9</v>
      </c>
      <c r="AR226" s="174">
        <f>'2018'!AR226+'2019'!AR226+'2020'!AR226+'2021'!AR226+'2022'!AR210</f>
        <v>4</v>
      </c>
      <c r="AS226" s="174">
        <f>'2018'!AS226+'2019'!AS226+'2020'!AS226+'2021'!AS226+'2022'!AS210</f>
        <v>3</v>
      </c>
      <c r="AT226" s="174">
        <f>'2018'!AT226+'2019'!AT226+'2020'!AT226+'2021'!AT226+'2022'!AT210</f>
        <v>77</v>
      </c>
      <c r="AU226" s="174">
        <f>'2018'!AU226+'2019'!AU226+'2020'!AU226+'2021'!AU226+'2022'!AU210</f>
        <v>1</v>
      </c>
      <c r="AV226" s="174">
        <f>'2018'!AV226+'2019'!AV226+'2020'!AV226+'2021'!AV226+'2022'!AV210</f>
        <v>0</v>
      </c>
      <c r="AW226" s="174">
        <f t="shared" si="35"/>
        <v>381</v>
      </c>
      <c r="AX226" s="156">
        <f t="shared" si="36"/>
        <v>3103.8643722689076</v>
      </c>
      <c r="AY226" s="14">
        <f>'2018'!AX226+'2019'!AX226+'2020'!AX226+'2021'!AX226+'2022'!AX210</f>
        <v>15519.321861344537</v>
      </c>
      <c r="AZ226" s="14">
        <f t="shared" si="29"/>
        <v>79.54070981210856</v>
      </c>
      <c r="BA226" s="142"/>
      <c r="BB226" s="144"/>
      <c r="BC226" s="142"/>
    </row>
    <row r="227" spans="1:61" x14ac:dyDescent="0.25">
      <c r="A227" s="175" t="s">
        <v>51</v>
      </c>
      <c r="B227" s="176">
        <f>'2018'!B227+'2019'!B227+'2020'!B227+'2021'!B227+'2022'!B211</f>
        <v>6</v>
      </c>
      <c r="C227" s="176">
        <f>'2018'!C227+'2019'!C227+'2020'!C227+'2021'!C227+'2022'!C211</f>
        <v>0</v>
      </c>
      <c r="D227" s="176">
        <f>'2018'!D227+'2019'!D227+'2020'!D227+'2021'!D227+'2022'!D211</f>
        <v>7</v>
      </c>
      <c r="E227" s="176">
        <f>'2018'!E227+'2019'!E227+'2020'!E227+'2021'!E227+'2022'!E211</f>
        <v>0</v>
      </c>
      <c r="F227" s="176">
        <f>'2018'!F227+'2019'!F227+'2020'!F227+'2021'!F227+'2022'!F211</f>
        <v>0</v>
      </c>
      <c r="G227" s="176">
        <f>'2018'!G227+'2019'!G227+'2020'!G227+'2021'!G227+'2022'!G211</f>
        <v>0</v>
      </c>
      <c r="H227" s="176">
        <f>'2018'!H227+'2019'!H227+'2020'!H227+'2021'!H227+'2022'!H211</f>
        <v>0</v>
      </c>
      <c r="I227" s="176">
        <f>'2018'!I227+'2019'!I227+'2020'!I227+'2021'!I227+'2022'!I211</f>
        <v>0</v>
      </c>
      <c r="J227" s="176">
        <f>'2018'!J227+'2019'!J227+'2020'!J227+'2021'!J227+'2022'!J211</f>
        <v>0</v>
      </c>
      <c r="K227" s="176">
        <f>'2018'!K227+'2019'!K227+'2020'!K227+'2021'!K227+'2022'!K211</f>
        <v>0</v>
      </c>
      <c r="L227" s="176">
        <f>'2018'!L227+'2019'!L227+'2020'!L227+'2021'!L227+'2022'!L211</f>
        <v>2</v>
      </c>
      <c r="M227" s="176">
        <f>'2018'!M227+'2019'!M227+'2020'!M227+'2021'!M227+'2022'!M211</f>
        <v>1</v>
      </c>
      <c r="N227" s="176">
        <f>'2018'!N227+'2019'!N227+'2020'!N227+'2021'!N227+'2022'!N211</f>
        <v>0</v>
      </c>
      <c r="O227" s="176">
        <f>'2018'!O227+'2019'!O227+'2020'!O227+'2021'!O227+'2022'!O211</f>
        <v>0</v>
      </c>
      <c r="P227" s="176">
        <f>'2018'!P227+'2019'!P227+'2020'!P227+'2021'!P227+'2022'!P211</f>
        <v>0</v>
      </c>
      <c r="Q227" s="176">
        <f>'2018'!Q227+'2019'!Q227+'2020'!Q227+'2021'!Q227+'2022'!Q211</f>
        <v>0</v>
      </c>
      <c r="R227" s="176">
        <f>'2018'!R227+'2019'!R227+'2020'!R227+'2021'!R227+'2022'!R211</f>
        <v>0</v>
      </c>
      <c r="S227" s="176">
        <f>'2018'!S227+'2019'!S227+'2020'!S227+'2021'!S227+'2022'!S211</f>
        <v>1</v>
      </c>
      <c r="T227" s="176">
        <f>'2018'!T227+'2019'!T227+'2020'!T227+'2021'!T227+'2022'!T211</f>
        <v>0</v>
      </c>
      <c r="U227" s="176">
        <f>'2018'!U227+'2019'!U227+'2020'!U227+'2021'!U227+'2022'!U211</f>
        <v>2</v>
      </c>
      <c r="V227" s="176">
        <f>'2018'!V227+'2019'!V227+'2020'!V227+'2021'!V227+'2022'!V211</f>
        <v>0</v>
      </c>
      <c r="W227" s="176">
        <f>'2018'!W227+'2019'!W227+'2020'!W227+'2021'!W227+'2022'!W211</f>
        <v>0</v>
      </c>
      <c r="X227" s="176">
        <f>'2018'!X227+'2019'!X227+'2020'!X227+'2021'!X227+'2022'!X211</f>
        <v>1</v>
      </c>
      <c r="Y227" s="174">
        <f t="shared" si="34"/>
        <v>7</v>
      </c>
      <c r="Z227" s="174">
        <f>'2018'!Z227+'2019'!Z227+'2020'!Z227+'2021'!Z227+'2022'!Z211</f>
        <v>5</v>
      </c>
      <c r="AA227" s="174">
        <f>'2018'!AA227+'2019'!AA227+'2020'!AA227+'2021'!AA227+'2022'!AA211</f>
        <v>0</v>
      </c>
      <c r="AB227" s="174">
        <f>'2018'!AB227+'2019'!AB227+'2020'!AB227+'2021'!AB227+'2022'!AB211</f>
        <v>6</v>
      </c>
      <c r="AC227" s="174">
        <f>'2018'!AC227+'2019'!AC227+'2020'!AC227+'2021'!AC227+'2022'!AC211</f>
        <v>0</v>
      </c>
      <c r="AD227" s="174">
        <f>'2018'!AD227+'2019'!AD227+'2020'!AD227+'2021'!AD227+'2022'!AD211</f>
        <v>0</v>
      </c>
      <c r="AE227" s="174">
        <f>'2018'!AE227+'2019'!AE227+'2020'!AE227+'2021'!AE227+'2022'!AE211</f>
        <v>0</v>
      </c>
      <c r="AF227" s="174">
        <f>'2018'!AF227+'2019'!AF227+'2020'!AF227+'2021'!AF227+'2022'!AF211</f>
        <v>0</v>
      </c>
      <c r="AG227" s="174">
        <f>'2018'!AG227+'2019'!AG227+'2020'!AG227+'2021'!AG227+'2022'!AG211</f>
        <v>0</v>
      </c>
      <c r="AH227" s="174">
        <f>'2018'!AH227+'2019'!AH227+'2020'!AH227+'2021'!AH227+'2022'!AH211</f>
        <v>0</v>
      </c>
      <c r="AI227" s="174">
        <f>'2018'!AI227+'2019'!AI227+'2020'!AI227+'2021'!AI227+'2022'!AI211</f>
        <v>0</v>
      </c>
      <c r="AJ227" s="174">
        <f>'2018'!AJ227+'2019'!AJ227+'2020'!AJ227+'2021'!AJ227+'2022'!AJ211</f>
        <v>2</v>
      </c>
      <c r="AK227" s="174">
        <f>'2018'!AK227+'2019'!AK227+'2020'!AK227+'2021'!AK227+'2022'!AK211</f>
        <v>1</v>
      </c>
      <c r="AL227" s="174">
        <f>'2018'!AL227+'2019'!AL227+'2020'!AL227+'2021'!AL227+'2022'!AL211</f>
        <v>0</v>
      </c>
      <c r="AM227" s="174">
        <f>'2018'!AM227+'2019'!AM227+'2020'!AM227+'2021'!AM227+'2022'!AM211</f>
        <v>0</v>
      </c>
      <c r="AN227" s="174">
        <f>'2018'!AN227+'2019'!AN227+'2020'!AN227+'2021'!AN227+'2022'!AN211</f>
        <v>0</v>
      </c>
      <c r="AO227" s="174">
        <f>'2018'!AO227+'2019'!AO227+'2020'!AO227+'2021'!AO227+'2022'!AO211</f>
        <v>0</v>
      </c>
      <c r="AP227" s="174">
        <f>'2018'!AP227+'2019'!AP227+'2020'!AP227+'2021'!AP227+'2022'!AP211</f>
        <v>0</v>
      </c>
      <c r="AQ227" s="174">
        <f>'2018'!AQ227+'2019'!AQ227+'2020'!AQ227+'2021'!AQ227+'2022'!AQ211</f>
        <v>0</v>
      </c>
      <c r="AR227" s="174">
        <f>'2018'!AR227+'2019'!AR227+'2020'!AR227+'2021'!AR227+'2022'!AR211</f>
        <v>0</v>
      </c>
      <c r="AS227" s="174">
        <f>'2018'!AS227+'2019'!AS227+'2020'!AS227+'2021'!AS227+'2022'!AS211</f>
        <v>2</v>
      </c>
      <c r="AT227" s="174">
        <f>'2018'!AT227+'2019'!AT227+'2020'!AT227+'2021'!AT227+'2022'!AT211</f>
        <v>0</v>
      </c>
      <c r="AU227" s="174">
        <f>'2018'!AU227+'2019'!AU227+'2020'!AU227+'2021'!AU227+'2022'!AU211</f>
        <v>0</v>
      </c>
      <c r="AV227" s="174">
        <f>'2018'!AV227+'2019'!AV227+'2020'!AV227+'2021'!AV227+'2022'!AV211</f>
        <v>1</v>
      </c>
      <c r="AW227" s="174">
        <f t="shared" si="35"/>
        <v>6</v>
      </c>
      <c r="AX227" s="156">
        <f t="shared" si="36"/>
        <v>1218.3</v>
      </c>
      <c r="AY227" s="14">
        <f>'2018'!AX227+'2019'!AX227+'2020'!AX227+'2021'!AX227+'2022'!AX211</f>
        <v>6091.5</v>
      </c>
      <c r="AZ227" s="14">
        <f t="shared" si="29"/>
        <v>85.714285714285708</v>
      </c>
      <c r="BA227" s="142"/>
      <c r="BB227" s="144"/>
      <c r="BC227" s="142"/>
    </row>
    <row r="228" spans="1:61" x14ac:dyDescent="0.25">
      <c r="A228" s="175" t="s">
        <v>52</v>
      </c>
      <c r="B228" s="176">
        <f>'2018'!B228+'2019'!B228+'2020'!B228+'2021'!B228+'2022'!B212</f>
        <v>12</v>
      </c>
      <c r="C228" s="176">
        <f>'2018'!C228+'2019'!C228+'2020'!C228+'2021'!C228+'2022'!C212</f>
        <v>1</v>
      </c>
      <c r="D228" s="176">
        <f>'2018'!D228+'2019'!D228+'2020'!D228+'2021'!D228+'2022'!D212</f>
        <v>70</v>
      </c>
      <c r="E228" s="176">
        <f>'2018'!E228+'2019'!E228+'2020'!E228+'2021'!E228+'2022'!E212</f>
        <v>3</v>
      </c>
      <c r="F228" s="176">
        <f>'2018'!F228+'2019'!F228+'2020'!F228+'2021'!F228+'2022'!F212</f>
        <v>0</v>
      </c>
      <c r="G228" s="176">
        <f>'2018'!G228+'2019'!G228+'2020'!G228+'2021'!G228+'2022'!G212</f>
        <v>0</v>
      </c>
      <c r="H228" s="176">
        <f>'2018'!H228+'2019'!H228+'2020'!H228+'2021'!H228+'2022'!H212</f>
        <v>0</v>
      </c>
      <c r="I228" s="176">
        <f>'2018'!I228+'2019'!I228+'2020'!I228+'2021'!I228+'2022'!I212</f>
        <v>0</v>
      </c>
      <c r="J228" s="176">
        <f>'2018'!J228+'2019'!J228+'2020'!J228+'2021'!J228+'2022'!J212</f>
        <v>0</v>
      </c>
      <c r="K228" s="176">
        <f>'2018'!K228+'2019'!K228+'2020'!K228+'2021'!K228+'2022'!K212</f>
        <v>0</v>
      </c>
      <c r="L228" s="176">
        <f>'2018'!L228+'2019'!L228+'2020'!L228+'2021'!L228+'2022'!L212</f>
        <v>12</v>
      </c>
      <c r="M228" s="176">
        <f>'2018'!M228+'2019'!M228+'2020'!M228+'2021'!M228+'2022'!M212</f>
        <v>38</v>
      </c>
      <c r="N228" s="176">
        <f>'2018'!N228+'2019'!N228+'2020'!N228+'2021'!N228+'2022'!N212</f>
        <v>3</v>
      </c>
      <c r="O228" s="176">
        <f>'2018'!O228+'2019'!O228+'2020'!O228+'2021'!O228+'2022'!O212</f>
        <v>0</v>
      </c>
      <c r="P228" s="176">
        <f>'2018'!P228+'2019'!P228+'2020'!P228+'2021'!P228+'2022'!P212</f>
        <v>0</v>
      </c>
      <c r="Q228" s="176">
        <f>'2018'!Q228+'2019'!Q228+'2020'!Q228+'2021'!Q228+'2022'!Q212</f>
        <v>0</v>
      </c>
      <c r="R228" s="176">
        <f>'2018'!R228+'2019'!R228+'2020'!R228+'2021'!R228+'2022'!R212</f>
        <v>0</v>
      </c>
      <c r="S228" s="176">
        <f>'2018'!S228+'2019'!S228+'2020'!S228+'2021'!S228+'2022'!S212</f>
        <v>0</v>
      </c>
      <c r="T228" s="176">
        <f>'2018'!T228+'2019'!T228+'2020'!T228+'2021'!T228+'2022'!T212</f>
        <v>0</v>
      </c>
      <c r="U228" s="176">
        <f>'2018'!U228+'2019'!U228+'2020'!U228+'2021'!U228+'2022'!U212</f>
        <v>2</v>
      </c>
      <c r="V228" s="176">
        <f>'2018'!V228+'2019'!V228+'2020'!V228+'2021'!V228+'2022'!V212</f>
        <v>0</v>
      </c>
      <c r="W228" s="176">
        <f>'2018'!W228+'2019'!W228+'2020'!W228+'2021'!W228+'2022'!W212</f>
        <v>0</v>
      </c>
      <c r="X228" s="176">
        <f>'2018'!X228+'2019'!X228+'2020'!X228+'2021'!X228+'2022'!X212</f>
        <v>15</v>
      </c>
      <c r="Y228" s="174">
        <f t="shared" si="34"/>
        <v>70</v>
      </c>
      <c r="Z228" s="174">
        <f>'2018'!Z228+'2019'!Z228+'2020'!Z228+'2021'!Z228+'2022'!Z212</f>
        <v>6</v>
      </c>
      <c r="AA228" s="174">
        <f>'2018'!AA228+'2019'!AA228+'2020'!AA228+'2021'!AA228+'2022'!AA212</f>
        <v>1</v>
      </c>
      <c r="AB228" s="174">
        <f>'2018'!AB228+'2019'!AB228+'2020'!AB228+'2021'!AB228+'2022'!AB212</f>
        <v>41</v>
      </c>
      <c r="AC228" s="174">
        <f>'2018'!AC228+'2019'!AC228+'2020'!AC228+'2021'!AC228+'2022'!AC212</f>
        <v>3</v>
      </c>
      <c r="AD228" s="174">
        <f>'2018'!AD228+'2019'!AD228+'2020'!AD228+'2021'!AD228+'2022'!AD212</f>
        <v>0</v>
      </c>
      <c r="AE228" s="174">
        <f>'2018'!AE228+'2019'!AE228+'2020'!AE228+'2021'!AE228+'2022'!AE212</f>
        <v>0</v>
      </c>
      <c r="AF228" s="174">
        <f>'2018'!AF228+'2019'!AF228+'2020'!AF228+'2021'!AF228+'2022'!AF212</f>
        <v>0</v>
      </c>
      <c r="AG228" s="174">
        <f>'2018'!AG228+'2019'!AG228+'2020'!AG228+'2021'!AG228+'2022'!AG212</f>
        <v>0</v>
      </c>
      <c r="AH228" s="174">
        <f>'2018'!AH228+'2019'!AH228+'2020'!AH228+'2021'!AH228+'2022'!AH212</f>
        <v>0</v>
      </c>
      <c r="AI228" s="174">
        <f>'2018'!AI228+'2019'!AI228+'2020'!AI228+'2021'!AI228+'2022'!AI212</f>
        <v>0</v>
      </c>
      <c r="AJ228" s="174">
        <f>'2018'!AJ228+'2019'!AJ228+'2020'!AJ228+'2021'!AJ228+'2022'!AJ212</f>
        <v>1</v>
      </c>
      <c r="AK228" s="174">
        <f>'2018'!AK228+'2019'!AK228+'2020'!AK228+'2021'!AK228+'2022'!AK212</f>
        <v>35</v>
      </c>
      <c r="AL228" s="174">
        <f>'2018'!AL228+'2019'!AL228+'2020'!AL228+'2021'!AL228+'2022'!AL212</f>
        <v>3</v>
      </c>
      <c r="AM228" s="174">
        <f>'2018'!AM228+'2019'!AM228+'2020'!AM228+'2021'!AM228+'2022'!AM212</f>
        <v>0</v>
      </c>
      <c r="AN228" s="174">
        <f>'2018'!AN228+'2019'!AN228+'2020'!AN228+'2021'!AN228+'2022'!AN212</f>
        <v>0</v>
      </c>
      <c r="AO228" s="174">
        <f>'2018'!AO228+'2019'!AO228+'2020'!AO228+'2021'!AO228+'2022'!AO212</f>
        <v>0</v>
      </c>
      <c r="AP228" s="174">
        <f>'2018'!AP228+'2019'!AP228+'2020'!AP228+'2021'!AP228+'2022'!AP212</f>
        <v>0</v>
      </c>
      <c r="AQ228" s="174">
        <f>'2018'!AQ228+'2019'!AQ228+'2020'!AQ228+'2021'!AQ228+'2022'!AQ212</f>
        <v>0</v>
      </c>
      <c r="AR228" s="174">
        <f>'2018'!AR228+'2019'!AR228+'2020'!AR228+'2021'!AR228+'2022'!AR212</f>
        <v>0</v>
      </c>
      <c r="AS228" s="174">
        <f>'2018'!AS228+'2019'!AS228+'2020'!AS228+'2021'!AS228+'2022'!AS212</f>
        <v>2</v>
      </c>
      <c r="AT228" s="174">
        <f>'2018'!AT228+'2019'!AT228+'2020'!AT228+'2021'!AT228+'2022'!AT212</f>
        <v>0</v>
      </c>
      <c r="AU228" s="174">
        <f>'2018'!AU228+'2019'!AU228+'2020'!AU228+'2021'!AU228+'2022'!AU212</f>
        <v>0</v>
      </c>
      <c r="AV228" s="174">
        <f>'2018'!AV228+'2019'!AV228+'2020'!AV228+'2021'!AV228+'2022'!AV212</f>
        <v>0</v>
      </c>
      <c r="AW228" s="174">
        <f t="shared" si="35"/>
        <v>41</v>
      </c>
      <c r="AX228" s="156">
        <f t="shared" si="36"/>
        <v>628</v>
      </c>
      <c r="AY228" s="14">
        <f>'2018'!AX228+'2019'!AX228+'2020'!AX228+'2021'!AX228+'2022'!AX212</f>
        <v>3140</v>
      </c>
      <c r="AZ228" s="14">
        <f t="shared" si="29"/>
        <v>58.571428571428569</v>
      </c>
      <c r="BA228" s="142"/>
      <c r="BB228" s="144"/>
      <c r="BC228" s="142"/>
    </row>
    <row r="229" spans="1:61" x14ac:dyDescent="0.25">
      <c r="A229" s="175" t="s">
        <v>53</v>
      </c>
      <c r="B229" s="176">
        <f>'2018'!B229+'2019'!B229+'2020'!B229+'2021'!B229+'2022'!B213</f>
        <v>1</v>
      </c>
      <c r="C229" s="176">
        <f>'2018'!C229+'2019'!C229+'2020'!C229+'2021'!C229+'2022'!C213</f>
        <v>0</v>
      </c>
      <c r="D229" s="176">
        <f>'2018'!D229+'2019'!D229+'2020'!D229+'2021'!D229+'2022'!D213</f>
        <v>4</v>
      </c>
      <c r="E229" s="176">
        <f>'2018'!E229+'2019'!E229+'2020'!E229+'2021'!E229+'2022'!E213</f>
        <v>0</v>
      </c>
      <c r="F229" s="176">
        <f>'2018'!F229+'2019'!F229+'2020'!F229+'2021'!F229+'2022'!F213</f>
        <v>0</v>
      </c>
      <c r="G229" s="176">
        <f>'2018'!G229+'2019'!G229+'2020'!G229+'2021'!G229+'2022'!G213</f>
        <v>0</v>
      </c>
      <c r="H229" s="176">
        <f>'2018'!H229+'2019'!H229+'2020'!H229+'2021'!H229+'2022'!H213</f>
        <v>0</v>
      </c>
      <c r="I229" s="176">
        <f>'2018'!I229+'2019'!I229+'2020'!I229+'2021'!I229+'2022'!I213</f>
        <v>0</v>
      </c>
      <c r="J229" s="176">
        <f>'2018'!J229+'2019'!J229+'2020'!J229+'2021'!J229+'2022'!J213</f>
        <v>0</v>
      </c>
      <c r="K229" s="176">
        <f>'2018'!K229+'2019'!K229+'2020'!K229+'2021'!K229+'2022'!K213</f>
        <v>0</v>
      </c>
      <c r="L229" s="176">
        <f>'2018'!L229+'2019'!L229+'2020'!L229+'2021'!L229+'2022'!L213</f>
        <v>0</v>
      </c>
      <c r="M229" s="176">
        <f>'2018'!M229+'2019'!M229+'2020'!M229+'2021'!M229+'2022'!M213</f>
        <v>4</v>
      </c>
      <c r="N229" s="176">
        <f>'2018'!N229+'2019'!N229+'2020'!N229+'2021'!N229+'2022'!N213</f>
        <v>0</v>
      </c>
      <c r="O229" s="176">
        <f>'2018'!O229+'2019'!O229+'2020'!O229+'2021'!O229+'2022'!O213</f>
        <v>0</v>
      </c>
      <c r="P229" s="176">
        <f>'2018'!P229+'2019'!P229+'2020'!P229+'2021'!P229+'2022'!P213</f>
        <v>0</v>
      </c>
      <c r="Q229" s="176">
        <f>'2018'!Q229+'2019'!Q229+'2020'!Q229+'2021'!Q229+'2022'!Q213</f>
        <v>0</v>
      </c>
      <c r="R229" s="176">
        <f>'2018'!R229+'2019'!R229+'2020'!R229+'2021'!R229+'2022'!R213</f>
        <v>0</v>
      </c>
      <c r="S229" s="176">
        <f>'2018'!S229+'2019'!S229+'2020'!S229+'2021'!S229+'2022'!S213</f>
        <v>0</v>
      </c>
      <c r="T229" s="176">
        <f>'2018'!T229+'2019'!T229+'2020'!T229+'2021'!T229+'2022'!T213</f>
        <v>0</v>
      </c>
      <c r="U229" s="176">
        <f>'2018'!U229+'2019'!U229+'2020'!U229+'2021'!U229+'2022'!U213</f>
        <v>0</v>
      </c>
      <c r="V229" s="176">
        <f>'2018'!V229+'2019'!V229+'2020'!V229+'2021'!V229+'2022'!V213</f>
        <v>0</v>
      </c>
      <c r="W229" s="176">
        <f>'2018'!W229+'2019'!W229+'2020'!W229+'2021'!W229+'2022'!W213</f>
        <v>0</v>
      </c>
      <c r="X229" s="176">
        <f>'2018'!X229+'2019'!X229+'2020'!X229+'2021'!X229+'2022'!X213</f>
        <v>0</v>
      </c>
      <c r="Y229" s="174">
        <f t="shared" si="34"/>
        <v>4</v>
      </c>
      <c r="Z229" s="174">
        <f>'2018'!Z229+'2019'!Z229+'2020'!Z229+'2021'!Z229+'2022'!Z213</f>
        <v>1</v>
      </c>
      <c r="AA229" s="174">
        <f>'2018'!AA229+'2019'!AA229+'2020'!AA229+'2021'!AA229+'2022'!AA213</f>
        <v>0</v>
      </c>
      <c r="AB229" s="174">
        <f>'2018'!AB229+'2019'!AB229+'2020'!AB229+'2021'!AB229+'2022'!AB213</f>
        <v>4</v>
      </c>
      <c r="AC229" s="174">
        <f>'2018'!AC229+'2019'!AC229+'2020'!AC229+'2021'!AC229+'2022'!AC213</f>
        <v>0</v>
      </c>
      <c r="AD229" s="174">
        <f>'2018'!AD229+'2019'!AD229+'2020'!AD229+'2021'!AD229+'2022'!AD213</f>
        <v>0</v>
      </c>
      <c r="AE229" s="174">
        <f>'2018'!AE229+'2019'!AE229+'2020'!AE229+'2021'!AE229+'2022'!AE213</f>
        <v>0</v>
      </c>
      <c r="AF229" s="174">
        <f>'2018'!AF229+'2019'!AF229+'2020'!AF229+'2021'!AF229+'2022'!AF213</f>
        <v>0</v>
      </c>
      <c r="AG229" s="174">
        <f>'2018'!AG229+'2019'!AG229+'2020'!AG229+'2021'!AG229+'2022'!AG213</f>
        <v>0</v>
      </c>
      <c r="AH229" s="174">
        <f>'2018'!AH229+'2019'!AH229+'2020'!AH229+'2021'!AH229+'2022'!AH213</f>
        <v>0</v>
      </c>
      <c r="AI229" s="174">
        <f>'2018'!AI229+'2019'!AI229+'2020'!AI229+'2021'!AI229+'2022'!AI213</f>
        <v>0</v>
      </c>
      <c r="AJ229" s="174">
        <f>'2018'!AJ229+'2019'!AJ229+'2020'!AJ229+'2021'!AJ229+'2022'!AJ213</f>
        <v>0</v>
      </c>
      <c r="AK229" s="174">
        <f>'2018'!AK229+'2019'!AK229+'2020'!AK229+'2021'!AK229+'2022'!AK213</f>
        <v>4</v>
      </c>
      <c r="AL229" s="174">
        <f>'2018'!AL229+'2019'!AL229+'2020'!AL229+'2021'!AL229+'2022'!AL213</f>
        <v>0</v>
      </c>
      <c r="AM229" s="174">
        <f>'2018'!AM229+'2019'!AM229+'2020'!AM229+'2021'!AM229+'2022'!AM213</f>
        <v>0</v>
      </c>
      <c r="AN229" s="174">
        <f>'2018'!AN229+'2019'!AN229+'2020'!AN229+'2021'!AN229+'2022'!AN213</f>
        <v>0</v>
      </c>
      <c r="AO229" s="174">
        <f>'2018'!AO229+'2019'!AO229+'2020'!AO229+'2021'!AO229+'2022'!AO213</f>
        <v>0</v>
      </c>
      <c r="AP229" s="174">
        <f>'2018'!AP229+'2019'!AP229+'2020'!AP229+'2021'!AP229+'2022'!AP213</f>
        <v>0</v>
      </c>
      <c r="AQ229" s="174">
        <f>'2018'!AQ229+'2019'!AQ229+'2020'!AQ229+'2021'!AQ229+'2022'!AQ213</f>
        <v>0</v>
      </c>
      <c r="AR229" s="174">
        <f>'2018'!AR229+'2019'!AR229+'2020'!AR229+'2021'!AR229+'2022'!AR213</f>
        <v>0</v>
      </c>
      <c r="AS229" s="174">
        <f>'2018'!AS229+'2019'!AS229+'2020'!AS229+'2021'!AS229+'2022'!AS213</f>
        <v>0</v>
      </c>
      <c r="AT229" s="174">
        <f>'2018'!AT229+'2019'!AT229+'2020'!AT229+'2021'!AT229+'2022'!AT213</f>
        <v>0</v>
      </c>
      <c r="AU229" s="174">
        <f>'2018'!AU229+'2019'!AU229+'2020'!AU229+'2021'!AU229+'2022'!AU213</f>
        <v>0</v>
      </c>
      <c r="AV229" s="174">
        <f>'2018'!AV229+'2019'!AV229+'2020'!AV229+'2021'!AV229+'2022'!AV213</f>
        <v>0</v>
      </c>
      <c r="AW229" s="174">
        <f t="shared" si="35"/>
        <v>4</v>
      </c>
      <c r="AX229" s="156">
        <f t="shared" si="36"/>
        <v>391</v>
      </c>
      <c r="AY229" s="14">
        <f>'2018'!AX229+'2019'!AX229+'2020'!AX229+'2021'!AX229+'2022'!AX213</f>
        <v>1955</v>
      </c>
      <c r="AZ229" s="14">
        <f t="shared" si="29"/>
        <v>100</v>
      </c>
      <c r="BA229" s="142"/>
      <c r="BB229" s="144"/>
      <c r="BC229" s="142"/>
    </row>
    <row r="230" spans="1:61" x14ac:dyDescent="0.25">
      <c r="A230" s="175" t="s">
        <v>54</v>
      </c>
      <c r="B230" s="176">
        <f>'2018'!B230+'2019'!B230+'2020'!B230+'2021'!B230+'2022'!B214</f>
        <v>6</v>
      </c>
      <c r="C230" s="176">
        <f>'2018'!C230+'2019'!C230+'2020'!C230+'2021'!C230+'2022'!C214</f>
        <v>3</v>
      </c>
      <c r="D230" s="176">
        <f>'2018'!D230+'2019'!D230+'2020'!D230+'2021'!D230+'2022'!D214</f>
        <v>20</v>
      </c>
      <c r="E230" s="176">
        <f>'2018'!E230+'2019'!E230+'2020'!E230+'2021'!E230+'2022'!E214</f>
        <v>8</v>
      </c>
      <c r="F230" s="176">
        <f>'2018'!F230+'2019'!F230+'2020'!F230+'2021'!F230+'2022'!F214</f>
        <v>0</v>
      </c>
      <c r="G230" s="176">
        <f>'2018'!G230+'2019'!G230+'2020'!G230+'2021'!G230+'2022'!G214</f>
        <v>0</v>
      </c>
      <c r="H230" s="176">
        <f>'2018'!H230+'2019'!H230+'2020'!H230+'2021'!H230+'2022'!H214</f>
        <v>6</v>
      </c>
      <c r="I230" s="176">
        <f>'2018'!I230+'2019'!I230+'2020'!I230+'2021'!I230+'2022'!I214</f>
        <v>0</v>
      </c>
      <c r="J230" s="176">
        <f>'2018'!J230+'2019'!J230+'2020'!J230+'2021'!J230+'2022'!J214</f>
        <v>2</v>
      </c>
      <c r="K230" s="176">
        <f>'2018'!K230+'2019'!K230+'2020'!K230+'2021'!K230+'2022'!K214</f>
        <v>0</v>
      </c>
      <c r="L230" s="176">
        <f>'2018'!L230+'2019'!L230+'2020'!L230+'2021'!L230+'2022'!L214</f>
        <v>0</v>
      </c>
      <c r="M230" s="176">
        <f>'2018'!M230+'2019'!M230+'2020'!M230+'2021'!M230+'2022'!M214</f>
        <v>4</v>
      </c>
      <c r="N230" s="176">
        <f>'2018'!N230+'2019'!N230+'2020'!N230+'2021'!N230+'2022'!N214</f>
        <v>0</v>
      </c>
      <c r="O230" s="176">
        <f>'2018'!O230+'2019'!O230+'2020'!O230+'2021'!O230+'2022'!O214</f>
        <v>0</v>
      </c>
      <c r="P230" s="176">
        <f>'2018'!P230+'2019'!P230+'2020'!P230+'2021'!P230+'2022'!P214</f>
        <v>0</v>
      </c>
      <c r="Q230" s="176">
        <f>'2018'!Q230+'2019'!Q230+'2020'!Q230+'2021'!Q230+'2022'!Q214</f>
        <v>6</v>
      </c>
      <c r="R230" s="176">
        <f>'2018'!R230+'2019'!R230+'2020'!R230+'2021'!R230+'2022'!R214</f>
        <v>0</v>
      </c>
      <c r="S230" s="176">
        <f>'2018'!S230+'2019'!S230+'2020'!S230+'2021'!S230+'2022'!S214</f>
        <v>0</v>
      </c>
      <c r="T230" s="176">
        <f>'2018'!T230+'2019'!T230+'2020'!T230+'2021'!T230+'2022'!T214</f>
        <v>1</v>
      </c>
      <c r="U230" s="176">
        <f>'2018'!U230+'2019'!U230+'2020'!U230+'2021'!U230+'2022'!U214</f>
        <v>1</v>
      </c>
      <c r="V230" s="176">
        <f>'2018'!V230+'2019'!V230+'2020'!V230+'2021'!V230+'2022'!V214</f>
        <v>0</v>
      </c>
      <c r="W230" s="176">
        <f>'2018'!W230+'2019'!W230+'2020'!W230+'2021'!W230+'2022'!W214</f>
        <v>0</v>
      </c>
      <c r="X230" s="176">
        <f>'2018'!X230+'2019'!X230+'2020'!X230+'2021'!X230+'2022'!X214</f>
        <v>0</v>
      </c>
      <c r="Y230" s="174">
        <f t="shared" si="34"/>
        <v>20</v>
      </c>
      <c r="Z230" s="174">
        <f>'2018'!Z230+'2019'!Z230+'2020'!Z230+'2021'!Z230+'2022'!Z214</f>
        <v>5</v>
      </c>
      <c r="AA230" s="174">
        <f>'2018'!AA230+'2019'!AA230+'2020'!AA230+'2021'!AA230+'2022'!AA214</f>
        <v>3</v>
      </c>
      <c r="AB230" s="174">
        <f>'2018'!AB230+'2019'!AB230+'2020'!AB230+'2021'!AB230+'2022'!AB214</f>
        <v>14</v>
      </c>
      <c r="AC230" s="174">
        <f>'2018'!AC230+'2019'!AC230+'2020'!AC230+'2021'!AC230+'2022'!AC214</f>
        <v>8</v>
      </c>
      <c r="AD230" s="174">
        <f>'2018'!AD230+'2019'!AD230+'2020'!AD230+'2021'!AD230+'2022'!AD214</f>
        <v>0</v>
      </c>
      <c r="AE230" s="174">
        <f>'2018'!AE230+'2019'!AE230+'2020'!AE230+'2021'!AE230+'2022'!AE214</f>
        <v>0</v>
      </c>
      <c r="AF230" s="174">
        <f>'2018'!AF230+'2019'!AF230+'2020'!AF230+'2021'!AF230+'2022'!AF214</f>
        <v>0</v>
      </c>
      <c r="AG230" s="174">
        <f>'2018'!AG230+'2019'!AG230+'2020'!AG230+'2021'!AG230+'2022'!AG214</f>
        <v>0</v>
      </c>
      <c r="AH230" s="174">
        <f>'2018'!AH230+'2019'!AH230+'2020'!AH230+'2021'!AH230+'2022'!AH214</f>
        <v>2</v>
      </c>
      <c r="AI230" s="174">
        <f>'2018'!AI230+'2019'!AI230+'2020'!AI230+'2021'!AI230+'2022'!AI214</f>
        <v>0</v>
      </c>
      <c r="AJ230" s="174">
        <f>'2018'!AJ230+'2019'!AJ230+'2020'!AJ230+'2021'!AJ230+'2022'!AJ214</f>
        <v>0</v>
      </c>
      <c r="AK230" s="174">
        <f>'2018'!AK230+'2019'!AK230+'2020'!AK230+'2021'!AK230+'2022'!AK214</f>
        <v>4</v>
      </c>
      <c r="AL230" s="174">
        <f>'2018'!AL230+'2019'!AL230+'2020'!AL230+'2021'!AL230+'2022'!AL214</f>
        <v>0</v>
      </c>
      <c r="AM230" s="174">
        <f>'2018'!AM230+'2019'!AM230+'2020'!AM230+'2021'!AM230+'2022'!AM214</f>
        <v>0</v>
      </c>
      <c r="AN230" s="174">
        <f>'2018'!AN230+'2019'!AN230+'2020'!AN230+'2021'!AN230+'2022'!AN214</f>
        <v>0</v>
      </c>
      <c r="AO230" s="174">
        <f>'2018'!AO230+'2019'!AO230+'2020'!AO230+'2021'!AO230+'2022'!AO214</f>
        <v>6</v>
      </c>
      <c r="AP230" s="174">
        <f>'2018'!AP230+'2019'!AP230+'2020'!AP230+'2021'!AP230+'2022'!AP214</f>
        <v>0</v>
      </c>
      <c r="AQ230" s="174">
        <f>'2018'!AQ230+'2019'!AQ230+'2020'!AQ230+'2021'!AQ230+'2022'!AQ214</f>
        <v>0</v>
      </c>
      <c r="AR230" s="174">
        <f>'2018'!AR230+'2019'!AR230+'2020'!AR230+'2021'!AR230+'2022'!AR214</f>
        <v>1</v>
      </c>
      <c r="AS230" s="174">
        <f>'2018'!AS230+'2019'!AS230+'2020'!AS230+'2021'!AS230+'2022'!AS214</f>
        <v>1</v>
      </c>
      <c r="AT230" s="174">
        <f>'2018'!AT230+'2019'!AT230+'2020'!AT230+'2021'!AT230+'2022'!AT214</f>
        <v>0</v>
      </c>
      <c r="AU230" s="174">
        <f>'2018'!AU230+'2019'!AU230+'2020'!AU230+'2021'!AU230+'2022'!AU214</f>
        <v>0</v>
      </c>
      <c r="AV230" s="174">
        <f>'2018'!AV230+'2019'!AV230+'2020'!AV230+'2021'!AV230+'2022'!AV214</f>
        <v>0</v>
      </c>
      <c r="AW230" s="174">
        <f t="shared" si="35"/>
        <v>14</v>
      </c>
      <c r="AX230" s="156">
        <f t="shared" si="36"/>
        <v>737.73333333333335</v>
      </c>
      <c r="AY230" s="14">
        <f>'2018'!AX230+'2019'!AX230+'2020'!AX230+'2021'!AX230+'2022'!AX214</f>
        <v>3688.666666666667</v>
      </c>
      <c r="AZ230" s="14">
        <f t="shared" si="29"/>
        <v>70</v>
      </c>
      <c r="BA230" s="112"/>
      <c r="BB230" s="144"/>
      <c r="BC230" s="112"/>
      <c r="BD230" s="112"/>
      <c r="BE230" s="112"/>
      <c r="BF230" s="112"/>
      <c r="BG230" s="112"/>
      <c r="BH230" s="112"/>
      <c r="BI230" s="112"/>
    </row>
    <row r="231" spans="1:61" x14ac:dyDescent="0.25">
      <c r="A231" s="173" t="s">
        <v>55</v>
      </c>
      <c r="B231" s="176">
        <f t="shared" ref="B231:X231" si="39">SUM(B232:B246)</f>
        <v>1348</v>
      </c>
      <c r="C231" s="176">
        <f t="shared" si="39"/>
        <v>380</v>
      </c>
      <c r="D231" s="176">
        <f t="shared" si="39"/>
        <v>2260</v>
      </c>
      <c r="E231" s="176">
        <f t="shared" si="39"/>
        <v>919</v>
      </c>
      <c r="F231" s="176">
        <f t="shared" si="39"/>
        <v>2</v>
      </c>
      <c r="G231" s="176">
        <f t="shared" si="39"/>
        <v>0</v>
      </c>
      <c r="H231" s="176">
        <f t="shared" si="39"/>
        <v>284</v>
      </c>
      <c r="I231" s="176">
        <f t="shared" si="39"/>
        <v>11</v>
      </c>
      <c r="J231" s="176">
        <f t="shared" si="39"/>
        <v>52</v>
      </c>
      <c r="K231" s="176">
        <f t="shared" si="39"/>
        <v>68</v>
      </c>
      <c r="L231" s="176">
        <f t="shared" si="39"/>
        <v>127</v>
      </c>
      <c r="M231" s="176">
        <f t="shared" si="39"/>
        <v>40</v>
      </c>
      <c r="N231" s="176">
        <f t="shared" si="39"/>
        <v>19</v>
      </c>
      <c r="O231" s="176">
        <f t="shared" si="39"/>
        <v>56</v>
      </c>
      <c r="P231" s="176">
        <f t="shared" si="39"/>
        <v>17</v>
      </c>
      <c r="Q231" s="176">
        <f t="shared" si="39"/>
        <v>43</v>
      </c>
      <c r="R231" s="176">
        <f t="shared" si="39"/>
        <v>757</v>
      </c>
      <c r="S231" s="176">
        <f t="shared" si="39"/>
        <v>28</v>
      </c>
      <c r="T231" s="176">
        <f t="shared" si="39"/>
        <v>367</v>
      </c>
      <c r="U231" s="176">
        <f t="shared" si="39"/>
        <v>78</v>
      </c>
      <c r="V231" s="176">
        <f t="shared" si="39"/>
        <v>233</v>
      </c>
      <c r="W231" s="176">
        <f t="shared" si="39"/>
        <v>29</v>
      </c>
      <c r="X231" s="176">
        <f t="shared" si="39"/>
        <v>49</v>
      </c>
      <c r="Y231" s="174">
        <f t="shared" si="34"/>
        <v>2260</v>
      </c>
      <c r="Z231" s="174">
        <f t="shared" ref="Z231:AV231" si="40">SUM(Z232:Z246)</f>
        <v>868</v>
      </c>
      <c r="AA231" s="174">
        <f t="shared" si="40"/>
        <v>284</v>
      </c>
      <c r="AB231" s="174">
        <f t="shared" si="40"/>
        <v>1613</v>
      </c>
      <c r="AC231" s="174">
        <f t="shared" si="40"/>
        <v>639</v>
      </c>
      <c r="AD231" s="174">
        <f t="shared" si="40"/>
        <v>2</v>
      </c>
      <c r="AE231" s="174">
        <f t="shared" si="40"/>
        <v>0</v>
      </c>
      <c r="AF231" s="174">
        <f t="shared" si="40"/>
        <v>199</v>
      </c>
      <c r="AG231" s="174">
        <f t="shared" si="40"/>
        <v>10</v>
      </c>
      <c r="AH231" s="174">
        <f t="shared" si="40"/>
        <v>41</v>
      </c>
      <c r="AI231" s="174">
        <f t="shared" si="40"/>
        <v>40</v>
      </c>
      <c r="AJ231" s="174">
        <f t="shared" si="40"/>
        <v>96</v>
      </c>
      <c r="AK231" s="174">
        <f t="shared" si="40"/>
        <v>26</v>
      </c>
      <c r="AL231" s="174">
        <f t="shared" si="40"/>
        <v>13</v>
      </c>
      <c r="AM231" s="174">
        <f t="shared" si="40"/>
        <v>25</v>
      </c>
      <c r="AN231" s="174">
        <f t="shared" si="40"/>
        <v>10</v>
      </c>
      <c r="AO231" s="174">
        <f t="shared" si="40"/>
        <v>33</v>
      </c>
      <c r="AP231" s="174">
        <f t="shared" si="40"/>
        <v>467</v>
      </c>
      <c r="AQ231" s="174">
        <f t="shared" si="40"/>
        <v>14</v>
      </c>
      <c r="AR231" s="174">
        <f t="shared" si="40"/>
        <v>341</v>
      </c>
      <c r="AS231" s="174">
        <f t="shared" si="40"/>
        <v>50</v>
      </c>
      <c r="AT231" s="174">
        <f t="shared" si="40"/>
        <v>192</v>
      </c>
      <c r="AU231" s="174">
        <f t="shared" si="40"/>
        <v>20</v>
      </c>
      <c r="AV231" s="174">
        <f t="shared" si="40"/>
        <v>34</v>
      </c>
      <c r="AW231" s="174">
        <f t="shared" si="35"/>
        <v>1613</v>
      </c>
      <c r="AX231" s="156">
        <v>1118.0999999999999</v>
      </c>
      <c r="AY231" s="63"/>
      <c r="AZ231" s="63"/>
      <c r="BA231" s="184">
        <f>Z231*100/B231</f>
        <v>64.39169139465875</v>
      </c>
      <c r="BB231" s="185">
        <f>B231-Z231</f>
        <v>480</v>
      </c>
      <c r="BC231" s="184">
        <f>BB231*100/B231</f>
        <v>35.608308605341243</v>
      </c>
    </row>
    <row r="232" spans="1:61" x14ac:dyDescent="0.25">
      <c r="A232" s="175" t="s">
        <v>124</v>
      </c>
      <c r="B232" s="176">
        <f>'2018'!B232+'2019'!B232+'2020'!B232+'2021'!B232+'2022'!B215</f>
        <v>527</v>
      </c>
      <c r="C232" s="176">
        <f>'2018'!C232+'2019'!C232+'2020'!C232+'2021'!C232+'2022'!C215</f>
        <v>32</v>
      </c>
      <c r="D232" s="176">
        <f>'2018'!D232+'2019'!D232+'2020'!D232+'2021'!D232+'2022'!D215</f>
        <v>802</v>
      </c>
      <c r="E232" s="176">
        <f>'2018'!E232+'2019'!E232+'2020'!E232+'2021'!E232+'2022'!E215</f>
        <v>61</v>
      </c>
      <c r="F232" s="176">
        <f>'2018'!F232+'2019'!F232+'2020'!F232+'2021'!F232+'2022'!F215</f>
        <v>2</v>
      </c>
      <c r="G232" s="176">
        <f>'2018'!G232+'2019'!G232+'2020'!G232+'2021'!G232+'2022'!G215</f>
        <v>0</v>
      </c>
      <c r="H232" s="176">
        <f>'2018'!H232+'2019'!H232+'2020'!H232+'2021'!H232+'2022'!H215</f>
        <v>143</v>
      </c>
      <c r="I232" s="176">
        <f>'2018'!I232+'2019'!I232+'2020'!I232+'2021'!I232+'2022'!I215</f>
        <v>3</v>
      </c>
      <c r="J232" s="176">
        <f>'2018'!J232+'2019'!J232+'2020'!J232+'2021'!J232+'2022'!J215</f>
        <v>21</v>
      </c>
      <c r="K232" s="176">
        <f>'2018'!K232+'2019'!K232+'2020'!K232+'2021'!K232+'2022'!K215</f>
        <v>17</v>
      </c>
      <c r="L232" s="176">
        <f>'2018'!L232+'2019'!L232+'2020'!L232+'2021'!L232+'2022'!L215</f>
        <v>62</v>
      </c>
      <c r="M232" s="176">
        <f>'2018'!M232+'2019'!M232+'2020'!M232+'2021'!M232+'2022'!M215</f>
        <v>16</v>
      </c>
      <c r="N232" s="176">
        <f>'2018'!N232+'2019'!N232+'2020'!N232+'2021'!N232+'2022'!N215</f>
        <v>8</v>
      </c>
      <c r="O232" s="176">
        <f>'2018'!O232+'2019'!O232+'2020'!O232+'2021'!O232+'2022'!O215</f>
        <v>7</v>
      </c>
      <c r="P232" s="176">
        <f>'2018'!P232+'2019'!P232+'2020'!P232+'2021'!P232+'2022'!P215</f>
        <v>6</v>
      </c>
      <c r="Q232" s="176">
        <f>'2018'!Q232+'2019'!Q232+'2020'!Q232+'2021'!Q232+'2022'!Q215</f>
        <v>9</v>
      </c>
      <c r="R232" s="176">
        <f>'2018'!R232+'2019'!R232+'2020'!R232+'2021'!R232+'2022'!R215</f>
        <v>437</v>
      </c>
      <c r="S232" s="176">
        <f>'2018'!S232+'2019'!S232+'2020'!S232+'2021'!S232+'2022'!S215</f>
        <v>3</v>
      </c>
      <c r="T232" s="176">
        <f>'2018'!T232+'2019'!T232+'2020'!T232+'2021'!T232+'2022'!T215</f>
        <v>10</v>
      </c>
      <c r="U232" s="176">
        <f>'2018'!U232+'2019'!U232+'2020'!U232+'2021'!U232+'2022'!U215</f>
        <v>32</v>
      </c>
      <c r="V232" s="176">
        <f>'2018'!V232+'2019'!V232+'2020'!V232+'2021'!V232+'2022'!V215</f>
        <v>13</v>
      </c>
      <c r="W232" s="176">
        <f>'2018'!W232+'2019'!W232+'2020'!W232+'2021'!W232+'2022'!W215</f>
        <v>5</v>
      </c>
      <c r="X232" s="176">
        <f>'2018'!X232+'2019'!X232+'2020'!X232+'2021'!X232+'2022'!X215</f>
        <v>8</v>
      </c>
      <c r="Y232" s="174">
        <f t="shared" si="34"/>
        <v>802</v>
      </c>
      <c r="Z232" s="174">
        <f>'2018'!Z232+'2019'!Z232+'2020'!Z232+'2021'!Z232+'2022'!Z215</f>
        <v>314</v>
      </c>
      <c r="AA232" s="174">
        <f>'2018'!AA232+'2019'!AA232+'2020'!AA232+'2021'!AA232+'2022'!AA215</f>
        <v>21</v>
      </c>
      <c r="AB232" s="174">
        <f>'2018'!AB232+'2019'!AB232+'2020'!AB232+'2021'!AB232+'2022'!AB215</f>
        <v>520</v>
      </c>
      <c r="AC232" s="174">
        <f>'2018'!AC232+'2019'!AC232+'2020'!AC232+'2021'!AC232+'2022'!AC215</f>
        <v>44</v>
      </c>
      <c r="AD232" s="174">
        <f>'2018'!AD232+'2019'!AD232+'2020'!AD232+'2021'!AD232+'2022'!AD215</f>
        <v>2</v>
      </c>
      <c r="AE232" s="174">
        <f>'2018'!AE232+'2019'!AE232+'2020'!AE232+'2021'!AE232+'2022'!AE215</f>
        <v>0</v>
      </c>
      <c r="AF232" s="174">
        <f>'2018'!AF232+'2019'!AF232+'2020'!AF232+'2021'!AF232+'2022'!AF215</f>
        <v>114</v>
      </c>
      <c r="AG232" s="174">
        <f>'2018'!AG232+'2019'!AG232+'2020'!AG232+'2021'!AG232+'2022'!AG215</f>
        <v>3</v>
      </c>
      <c r="AH232" s="174">
        <f>'2018'!AH232+'2019'!AH232+'2020'!AH232+'2021'!AH232+'2022'!AH215</f>
        <v>14</v>
      </c>
      <c r="AI232" s="174">
        <f>'2018'!AI232+'2019'!AI232+'2020'!AI232+'2021'!AI232+'2022'!AI215</f>
        <v>17</v>
      </c>
      <c r="AJ232" s="174">
        <f>'2018'!AJ232+'2019'!AJ232+'2020'!AJ232+'2021'!AJ232+'2022'!AJ215</f>
        <v>38</v>
      </c>
      <c r="AK232" s="174">
        <f>'2018'!AK232+'2019'!AK232+'2020'!AK232+'2021'!AK232+'2022'!AK215</f>
        <v>8</v>
      </c>
      <c r="AL232" s="174">
        <f>'2018'!AL232+'2019'!AL232+'2020'!AL232+'2021'!AL232+'2022'!AL215</f>
        <v>9</v>
      </c>
      <c r="AM232" s="174">
        <f>'2018'!AM232+'2019'!AM232+'2020'!AM232+'2021'!AM232+'2022'!AM215</f>
        <v>10</v>
      </c>
      <c r="AN232" s="174">
        <f>'2018'!AN232+'2019'!AN232+'2020'!AN232+'2021'!AN232+'2022'!AN215</f>
        <v>5</v>
      </c>
      <c r="AO232" s="174">
        <f>'2018'!AO232+'2019'!AO232+'2020'!AO232+'2021'!AO232+'2022'!AO215</f>
        <v>4</v>
      </c>
      <c r="AP232" s="174">
        <f>'2018'!AP232+'2019'!AP232+'2020'!AP232+'2021'!AP232+'2022'!AP215</f>
        <v>249</v>
      </c>
      <c r="AQ232" s="174">
        <f>'2018'!AQ232+'2019'!AQ232+'2020'!AQ232+'2021'!AQ232+'2022'!AQ215</f>
        <v>1</v>
      </c>
      <c r="AR232" s="174">
        <f>'2018'!AR232+'2019'!AR232+'2020'!AR232+'2021'!AR232+'2022'!AR215</f>
        <v>8</v>
      </c>
      <c r="AS232" s="174">
        <f>'2018'!AS232+'2019'!AS232+'2020'!AS232+'2021'!AS232+'2022'!AS215</f>
        <v>21</v>
      </c>
      <c r="AT232" s="174">
        <f>'2018'!AT232+'2019'!AT232+'2020'!AT232+'2021'!AT232+'2022'!AT215</f>
        <v>9</v>
      </c>
      <c r="AU232" s="174">
        <f>'2018'!AU232+'2019'!AU232+'2020'!AU232+'2021'!AU232+'2022'!AU215</f>
        <v>3</v>
      </c>
      <c r="AV232" s="174">
        <f>'2018'!AV232+'2019'!AV232+'2020'!AV232+'2021'!AV232+'2022'!AV215</f>
        <v>5</v>
      </c>
      <c r="AW232" s="174">
        <f t="shared" si="35"/>
        <v>520</v>
      </c>
      <c r="AX232" s="156">
        <f t="shared" si="36"/>
        <v>1854.2146750688983</v>
      </c>
      <c r="AY232" s="14">
        <f>'2018'!AX232+'2019'!AX232+'2020'!AX232+'2021'!AX232+'2022'!AX215</f>
        <v>9271.0733753444911</v>
      </c>
      <c r="AZ232" s="14">
        <f t="shared" si="29"/>
        <v>64.83790523690773</v>
      </c>
      <c r="BA232" s="142"/>
      <c r="BB232" s="144"/>
      <c r="BC232" s="142"/>
    </row>
    <row r="233" spans="1:61" x14ac:dyDescent="0.25">
      <c r="A233" s="175" t="s">
        <v>125</v>
      </c>
      <c r="B233" s="176">
        <f>'2018'!B233+'2019'!B233+'2020'!B233+'2021'!B233+'2022'!B216</f>
        <v>66</v>
      </c>
      <c r="C233" s="176">
        <f>'2018'!C233+'2019'!C233+'2020'!C233+'2021'!C233+'2022'!C216</f>
        <v>64</v>
      </c>
      <c r="D233" s="176">
        <f>'2018'!D233+'2019'!D233+'2020'!D233+'2021'!D233+'2022'!D216</f>
        <v>182</v>
      </c>
      <c r="E233" s="176">
        <f>'2018'!E233+'2019'!E233+'2020'!E233+'2021'!E233+'2022'!E216</f>
        <v>179</v>
      </c>
      <c r="F233" s="176">
        <f>'2018'!F233+'2019'!F233+'2020'!F233+'2021'!F233+'2022'!F216</f>
        <v>0</v>
      </c>
      <c r="G233" s="176">
        <f>'2018'!G233+'2019'!G233+'2020'!G233+'2021'!G233+'2022'!G216</f>
        <v>0</v>
      </c>
      <c r="H233" s="176">
        <f>'2018'!H233+'2019'!H233+'2020'!H233+'2021'!H233+'2022'!H216</f>
        <v>0</v>
      </c>
      <c r="I233" s="176">
        <f>'2018'!I233+'2019'!I233+'2020'!I233+'2021'!I233+'2022'!I216</f>
        <v>2</v>
      </c>
      <c r="J233" s="176">
        <f>'2018'!J233+'2019'!J233+'2020'!J233+'2021'!J233+'2022'!J216</f>
        <v>4</v>
      </c>
      <c r="K233" s="176">
        <f>'2018'!K233+'2019'!K233+'2020'!K233+'2021'!K233+'2022'!K216</f>
        <v>0</v>
      </c>
      <c r="L233" s="176">
        <f>'2018'!L233+'2019'!L233+'2020'!L233+'2021'!L233+'2022'!L216</f>
        <v>0</v>
      </c>
      <c r="M233" s="176">
        <f>'2018'!M233+'2019'!M233+'2020'!M233+'2021'!M233+'2022'!M216</f>
        <v>0</v>
      </c>
      <c r="N233" s="176">
        <f>'2018'!N233+'2019'!N233+'2020'!N233+'2021'!N233+'2022'!N216</f>
        <v>0</v>
      </c>
      <c r="O233" s="176">
        <f>'2018'!O233+'2019'!O233+'2020'!O233+'2021'!O233+'2022'!O216</f>
        <v>0</v>
      </c>
      <c r="P233" s="176">
        <f>'2018'!P233+'2019'!P233+'2020'!P233+'2021'!P233+'2022'!P216</f>
        <v>0</v>
      </c>
      <c r="Q233" s="176">
        <f>'2018'!Q233+'2019'!Q233+'2020'!Q233+'2021'!Q233+'2022'!Q216</f>
        <v>1</v>
      </c>
      <c r="R233" s="176">
        <f>'2018'!R233+'2019'!R233+'2020'!R233+'2021'!R233+'2022'!R216</f>
        <v>5</v>
      </c>
      <c r="S233" s="176">
        <f>'2018'!S233+'2019'!S233+'2020'!S233+'2021'!S233+'2022'!S216</f>
        <v>0</v>
      </c>
      <c r="T233" s="176">
        <f>'2018'!T233+'2019'!T233+'2020'!T233+'2021'!T233+'2022'!T216</f>
        <v>115</v>
      </c>
      <c r="U233" s="176">
        <f>'2018'!U233+'2019'!U233+'2020'!U233+'2021'!U233+'2022'!U216</f>
        <v>10</v>
      </c>
      <c r="V233" s="176">
        <f>'2018'!V233+'2019'!V233+'2020'!V233+'2021'!V233+'2022'!V216</f>
        <v>41</v>
      </c>
      <c r="W233" s="176">
        <f>'2018'!W233+'2019'!W233+'2020'!W233+'2021'!W233+'2022'!W216</f>
        <v>4</v>
      </c>
      <c r="X233" s="176">
        <f>'2018'!X233+'2019'!X233+'2020'!X233+'2021'!X233+'2022'!X216</f>
        <v>0</v>
      </c>
      <c r="Y233" s="174">
        <f t="shared" si="34"/>
        <v>182</v>
      </c>
      <c r="Z233" s="174">
        <f>'2018'!Z233+'2019'!Z233+'2020'!Z233+'2021'!Z233+'2022'!Z216</f>
        <v>53</v>
      </c>
      <c r="AA233" s="174">
        <f>'2018'!AA233+'2019'!AA233+'2020'!AA233+'2021'!AA233+'2022'!AA216</f>
        <v>52</v>
      </c>
      <c r="AB233" s="174">
        <f>'2018'!AB233+'2019'!AB233+'2020'!AB233+'2021'!AB233+'2022'!AB216</f>
        <v>139</v>
      </c>
      <c r="AC233" s="174">
        <f>'2018'!AC233+'2019'!AC233+'2020'!AC233+'2021'!AC233+'2022'!AC216</f>
        <v>138</v>
      </c>
      <c r="AD233" s="174">
        <f>'2018'!AD233+'2019'!AD233+'2020'!AD233+'2021'!AD233+'2022'!AD216</f>
        <v>0</v>
      </c>
      <c r="AE233" s="174">
        <f>'2018'!AE233+'2019'!AE233+'2020'!AE233+'2021'!AE233+'2022'!AE216</f>
        <v>0</v>
      </c>
      <c r="AF233" s="174">
        <f>'2018'!AF233+'2019'!AF233+'2020'!AF233+'2021'!AF233+'2022'!AF216</f>
        <v>0</v>
      </c>
      <c r="AG233" s="174">
        <f>'2018'!AG233+'2019'!AG233+'2020'!AG233+'2021'!AG233+'2022'!AG216</f>
        <v>1</v>
      </c>
      <c r="AH233" s="174">
        <f>'2018'!AH233+'2019'!AH233+'2020'!AH233+'2021'!AH233+'2022'!AH216</f>
        <v>3</v>
      </c>
      <c r="AI233" s="174">
        <f>'2018'!AI233+'2019'!AI233+'2020'!AI233+'2021'!AI233+'2022'!AI216</f>
        <v>0</v>
      </c>
      <c r="AJ233" s="174">
        <f>'2018'!AJ233+'2019'!AJ233+'2020'!AJ233+'2021'!AJ233+'2022'!AJ216</f>
        <v>0</v>
      </c>
      <c r="AK233" s="174">
        <f>'2018'!AK233+'2019'!AK233+'2020'!AK233+'2021'!AK233+'2022'!AK216</f>
        <v>0</v>
      </c>
      <c r="AL233" s="174">
        <f>'2018'!AL233+'2019'!AL233+'2020'!AL233+'2021'!AL233+'2022'!AL216</f>
        <v>0</v>
      </c>
      <c r="AM233" s="174">
        <f>'2018'!AM233+'2019'!AM233+'2020'!AM233+'2021'!AM233+'2022'!AM216</f>
        <v>2</v>
      </c>
      <c r="AN233" s="174">
        <f>'2018'!AN233+'2019'!AN233+'2020'!AN233+'2021'!AN233+'2022'!AN216</f>
        <v>0</v>
      </c>
      <c r="AO233" s="174">
        <f>'2018'!AO233+'2019'!AO233+'2020'!AO233+'2021'!AO233+'2022'!AO216</f>
        <v>1</v>
      </c>
      <c r="AP233" s="174">
        <f>'2018'!AP233+'2019'!AP233+'2020'!AP233+'2021'!AP233+'2022'!AP216</f>
        <v>4</v>
      </c>
      <c r="AQ233" s="174">
        <f>'2018'!AQ233+'2019'!AQ233+'2020'!AQ233+'2021'!AQ233+'2022'!AQ216</f>
        <v>0</v>
      </c>
      <c r="AR233" s="174">
        <f>'2018'!AR233+'2019'!AR233+'2020'!AR233+'2021'!AR233+'2022'!AR216</f>
        <v>81</v>
      </c>
      <c r="AS233" s="174">
        <f>'2018'!AS233+'2019'!AS233+'2020'!AS233+'2021'!AS233+'2022'!AS216</f>
        <v>8</v>
      </c>
      <c r="AT233" s="174">
        <f>'2018'!AT233+'2019'!AT233+'2020'!AT233+'2021'!AT233+'2022'!AT216</f>
        <v>36</v>
      </c>
      <c r="AU233" s="174">
        <f>'2018'!AU233+'2019'!AU233+'2020'!AU233+'2021'!AU233+'2022'!AU216</f>
        <v>3</v>
      </c>
      <c r="AV233" s="174">
        <f>'2018'!AV233+'2019'!AV233+'2020'!AV233+'2021'!AV233+'2022'!AV216</f>
        <v>0</v>
      </c>
      <c r="AW233" s="174">
        <f t="shared" si="35"/>
        <v>139</v>
      </c>
      <c r="AX233" s="156">
        <f t="shared" si="36"/>
        <v>1064.8677142857143</v>
      </c>
      <c r="AY233" s="14">
        <f>'2018'!AX233+'2019'!AX233+'2020'!AX233+'2021'!AX233+'2022'!AX216</f>
        <v>5324.3385714285714</v>
      </c>
      <c r="AZ233" s="14">
        <f t="shared" si="29"/>
        <v>76.373626373626379</v>
      </c>
      <c r="BA233" s="142"/>
      <c r="BB233" s="144"/>
      <c r="BC233" s="142"/>
    </row>
    <row r="234" spans="1:61" x14ac:dyDescent="0.25">
      <c r="A234" s="175" t="s">
        <v>126</v>
      </c>
      <c r="B234" s="176">
        <f>'2018'!B234+'2019'!B234+'2020'!B234+'2021'!B234+'2022'!B217</f>
        <v>202</v>
      </c>
      <c r="C234" s="176">
        <f>'2018'!C234+'2019'!C234+'2020'!C234+'2021'!C234+'2022'!C217</f>
        <v>20</v>
      </c>
      <c r="D234" s="176">
        <f>'2018'!D234+'2019'!D234+'2020'!D234+'2021'!D234+'2022'!D217</f>
        <v>328</v>
      </c>
      <c r="E234" s="176">
        <f>'2018'!E234+'2019'!E234+'2020'!E234+'2021'!E234+'2022'!E217</f>
        <v>78</v>
      </c>
      <c r="F234" s="176">
        <f>'2018'!F234+'2019'!F234+'2020'!F234+'2021'!F234+'2022'!F217</f>
        <v>0</v>
      </c>
      <c r="G234" s="176">
        <f>'2018'!G234+'2019'!G234+'2020'!G234+'2021'!G234+'2022'!G217</f>
        <v>0</v>
      </c>
      <c r="H234" s="176">
        <f>'2018'!H234+'2019'!H234+'2020'!H234+'2021'!H234+'2022'!H217</f>
        <v>44</v>
      </c>
      <c r="I234" s="176">
        <f>'2018'!I234+'2019'!I234+'2020'!I234+'2021'!I234+'2022'!I217</f>
        <v>0</v>
      </c>
      <c r="J234" s="176">
        <f>'2018'!J234+'2019'!J234+'2020'!J234+'2021'!J234+'2022'!J217</f>
        <v>5</v>
      </c>
      <c r="K234" s="176">
        <f>'2018'!K234+'2019'!K234+'2020'!K234+'2021'!K234+'2022'!K217</f>
        <v>17</v>
      </c>
      <c r="L234" s="176">
        <f>'2018'!L234+'2019'!L234+'2020'!L234+'2021'!L234+'2022'!L217</f>
        <v>28</v>
      </c>
      <c r="M234" s="176">
        <f>'2018'!M234+'2019'!M234+'2020'!M234+'2021'!M234+'2022'!M217</f>
        <v>13</v>
      </c>
      <c r="N234" s="176">
        <f>'2018'!N234+'2019'!N234+'2020'!N234+'2021'!N234+'2022'!N217</f>
        <v>4</v>
      </c>
      <c r="O234" s="176">
        <f>'2018'!O234+'2019'!O234+'2020'!O234+'2021'!O234+'2022'!O217</f>
        <v>8</v>
      </c>
      <c r="P234" s="176">
        <f>'2018'!P234+'2019'!P234+'2020'!P234+'2021'!P234+'2022'!P217</f>
        <v>8</v>
      </c>
      <c r="Q234" s="176">
        <f>'2018'!Q234+'2019'!Q234+'2020'!Q234+'2021'!Q234+'2022'!Q217</f>
        <v>19</v>
      </c>
      <c r="R234" s="176">
        <f>'2018'!R234+'2019'!R234+'2020'!R234+'2021'!R234+'2022'!R217</f>
        <v>131</v>
      </c>
      <c r="S234" s="176">
        <f>'2018'!S234+'2019'!S234+'2020'!S234+'2021'!S234+'2022'!S217</f>
        <v>13</v>
      </c>
      <c r="T234" s="176">
        <f>'2018'!T234+'2019'!T234+'2020'!T234+'2021'!T234+'2022'!T217</f>
        <v>7</v>
      </c>
      <c r="U234" s="176">
        <f>'2018'!U234+'2019'!U234+'2020'!U234+'2021'!U234+'2022'!U217</f>
        <v>5</v>
      </c>
      <c r="V234" s="176">
        <f>'2018'!V234+'2019'!V234+'2020'!V234+'2021'!V234+'2022'!V217</f>
        <v>17</v>
      </c>
      <c r="W234" s="176">
        <f>'2018'!W234+'2019'!W234+'2020'!W234+'2021'!W234+'2022'!W217</f>
        <v>3</v>
      </c>
      <c r="X234" s="176">
        <f>'2018'!X234+'2019'!X234+'2020'!X234+'2021'!X234+'2022'!X217</f>
        <v>6</v>
      </c>
      <c r="Y234" s="174">
        <f t="shared" si="34"/>
        <v>328</v>
      </c>
      <c r="Z234" s="174">
        <f>'2018'!Z234+'2019'!Z234+'2020'!Z234+'2021'!Z234+'2022'!Z217</f>
        <v>120</v>
      </c>
      <c r="AA234" s="174">
        <f>'2018'!AA234+'2019'!AA234+'2020'!AA234+'2021'!AA234+'2022'!AA217</f>
        <v>12</v>
      </c>
      <c r="AB234" s="174">
        <f>'2018'!AB234+'2019'!AB234+'2020'!AB234+'2021'!AB234+'2022'!AB217</f>
        <v>225</v>
      </c>
      <c r="AC234" s="174">
        <f>'2018'!AC234+'2019'!AC234+'2020'!AC234+'2021'!AC234+'2022'!AC217</f>
        <v>19</v>
      </c>
      <c r="AD234" s="174">
        <f>'2018'!AD234+'2019'!AD234+'2020'!AD234+'2021'!AD234+'2022'!AD217</f>
        <v>0</v>
      </c>
      <c r="AE234" s="174">
        <f>'2018'!AE234+'2019'!AE234+'2020'!AE234+'2021'!AE234+'2022'!AE217</f>
        <v>0</v>
      </c>
      <c r="AF234" s="174">
        <f>'2018'!AF234+'2019'!AF234+'2020'!AF234+'2021'!AF234+'2022'!AF217</f>
        <v>31</v>
      </c>
      <c r="AG234" s="174">
        <f>'2018'!AG234+'2019'!AG234+'2020'!AG234+'2021'!AG234+'2022'!AG217</f>
        <v>0</v>
      </c>
      <c r="AH234" s="174">
        <f>'2018'!AH234+'2019'!AH234+'2020'!AH234+'2021'!AH234+'2022'!AH217</f>
        <v>7</v>
      </c>
      <c r="AI234" s="174">
        <f>'2018'!AI234+'2019'!AI234+'2020'!AI234+'2021'!AI234+'2022'!AI217</f>
        <v>6</v>
      </c>
      <c r="AJ234" s="174">
        <f>'2018'!AJ234+'2019'!AJ234+'2020'!AJ234+'2021'!AJ234+'2022'!AJ217</f>
        <v>28</v>
      </c>
      <c r="AK234" s="174">
        <f>'2018'!AK234+'2019'!AK234+'2020'!AK234+'2021'!AK234+'2022'!AK217</f>
        <v>9</v>
      </c>
      <c r="AL234" s="174">
        <f>'2018'!AL234+'2019'!AL234+'2020'!AL234+'2021'!AL234+'2022'!AL217</f>
        <v>3</v>
      </c>
      <c r="AM234" s="174">
        <f>'2018'!AM234+'2019'!AM234+'2020'!AM234+'2021'!AM234+'2022'!AM217</f>
        <v>8</v>
      </c>
      <c r="AN234" s="174">
        <f>'2018'!AN234+'2019'!AN234+'2020'!AN234+'2021'!AN234+'2022'!AN217</f>
        <v>3</v>
      </c>
      <c r="AO234" s="174">
        <f>'2018'!AO234+'2019'!AO234+'2020'!AO234+'2021'!AO234+'2022'!AO217</f>
        <v>19</v>
      </c>
      <c r="AP234" s="174">
        <f>'2018'!AP234+'2019'!AP234+'2020'!AP234+'2021'!AP234+'2022'!AP217</f>
        <v>87</v>
      </c>
      <c r="AQ234" s="174">
        <f>'2018'!AQ234+'2019'!AQ234+'2020'!AQ234+'2021'!AQ234+'2022'!AQ217</f>
        <v>4</v>
      </c>
      <c r="AR234" s="174">
        <f>'2018'!AR234+'2019'!AR234+'2020'!AR234+'2021'!AR234+'2022'!AR217</f>
        <v>5</v>
      </c>
      <c r="AS234" s="174">
        <f>'2018'!AS234+'2019'!AS234+'2020'!AS234+'2021'!AS234+'2022'!AS217</f>
        <v>1</v>
      </c>
      <c r="AT234" s="174">
        <f>'2018'!AT234+'2019'!AT234+'2020'!AT234+'2021'!AT234+'2022'!AT217</f>
        <v>7</v>
      </c>
      <c r="AU234" s="174">
        <f>'2018'!AU234+'2019'!AU234+'2020'!AU234+'2021'!AU234+'2022'!AU217</f>
        <v>4</v>
      </c>
      <c r="AV234" s="174">
        <f>'2018'!AV234+'2019'!AV234+'2020'!AV234+'2021'!AV234+'2022'!AV217</f>
        <v>3</v>
      </c>
      <c r="AW234" s="174">
        <f t="shared" si="35"/>
        <v>225</v>
      </c>
      <c r="AX234" s="156">
        <f t="shared" si="36"/>
        <v>1994.9097875457876</v>
      </c>
      <c r="AY234" s="14">
        <f>'2018'!AX234+'2019'!AX234+'2020'!AX234+'2021'!AX234+'2022'!AX217</f>
        <v>9974.5489377289377</v>
      </c>
      <c r="AZ234" s="14">
        <f t="shared" si="29"/>
        <v>68.597560975609753</v>
      </c>
      <c r="BA234" s="142"/>
      <c r="BB234" s="144"/>
      <c r="BC234" s="142"/>
    </row>
    <row r="235" spans="1:61" x14ac:dyDescent="0.25">
      <c r="A235" s="175" t="s">
        <v>127</v>
      </c>
      <c r="B235" s="176">
        <f>'2018'!B235+'2019'!B235+'2020'!B235+'2021'!B235+'2022'!B218</f>
        <v>177</v>
      </c>
      <c r="C235" s="176">
        <f>'2018'!C235+'2019'!C235+'2020'!C235+'2021'!C235+'2022'!C218</f>
        <v>174</v>
      </c>
      <c r="D235" s="176">
        <f>'2018'!D235+'2019'!D235+'2020'!D235+'2021'!D235+'2022'!D218</f>
        <v>350</v>
      </c>
      <c r="E235" s="176">
        <f>'2018'!E235+'2019'!E235+'2020'!E235+'2021'!E235+'2022'!E218</f>
        <v>347</v>
      </c>
      <c r="F235" s="176">
        <f>'2018'!F235+'2019'!F235+'2020'!F235+'2021'!F235+'2022'!F218</f>
        <v>0</v>
      </c>
      <c r="G235" s="176">
        <f>'2018'!G235+'2019'!G235+'2020'!G235+'2021'!G235+'2022'!G218</f>
        <v>0</v>
      </c>
      <c r="H235" s="176">
        <f>'2018'!H235+'2019'!H235+'2020'!H235+'2021'!H235+'2022'!H218</f>
        <v>0</v>
      </c>
      <c r="I235" s="176">
        <f>'2018'!I235+'2019'!I235+'2020'!I235+'2021'!I235+'2022'!I218</f>
        <v>0</v>
      </c>
      <c r="J235" s="176">
        <f>'2018'!J235+'2019'!J235+'2020'!J235+'2021'!J235+'2022'!J218</f>
        <v>4</v>
      </c>
      <c r="K235" s="176">
        <f>'2018'!K235+'2019'!K235+'2020'!K235+'2021'!K235+'2022'!K218</f>
        <v>0</v>
      </c>
      <c r="L235" s="176">
        <f>'2018'!L235+'2019'!L235+'2020'!L235+'2021'!L235+'2022'!L218</f>
        <v>0</v>
      </c>
      <c r="M235" s="176">
        <f>'2018'!M235+'2019'!M235+'2020'!M235+'2021'!M235+'2022'!M218</f>
        <v>1</v>
      </c>
      <c r="N235" s="176">
        <f>'2018'!N235+'2019'!N235+'2020'!N235+'2021'!N235+'2022'!N218</f>
        <v>0</v>
      </c>
      <c r="O235" s="176">
        <f>'2018'!O235+'2019'!O235+'2020'!O235+'2021'!O235+'2022'!O218</f>
        <v>35</v>
      </c>
      <c r="P235" s="176">
        <f>'2018'!P235+'2019'!P235+'2020'!P235+'2021'!P235+'2022'!P218</f>
        <v>0</v>
      </c>
      <c r="Q235" s="176">
        <f>'2018'!Q235+'2019'!Q235+'2020'!Q235+'2021'!Q235+'2022'!Q218</f>
        <v>1</v>
      </c>
      <c r="R235" s="176">
        <f>'2018'!R235+'2019'!R235+'2020'!R235+'2021'!R235+'2022'!R218</f>
        <v>21</v>
      </c>
      <c r="S235" s="176">
        <f>'2018'!S235+'2019'!S235+'2020'!S235+'2021'!S235+'2022'!S218</f>
        <v>0</v>
      </c>
      <c r="T235" s="176">
        <f>'2018'!T235+'2019'!T235+'2020'!T235+'2021'!T235+'2022'!T218</f>
        <v>189</v>
      </c>
      <c r="U235" s="176">
        <f>'2018'!U235+'2019'!U235+'2020'!U235+'2021'!U235+'2022'!U218</f>
        <v>8</v>
      </c>
      <c r="V235" s="176">
        <f>'2018'!V235+'2019'!V235+'2020'!V235+'2021'!V235+'2022'!V218</f>
        <v>84</v>
      </c>
      <c r="W235" s="176">
        <f>'2018'!W235+'2019'!W235+'2020'!W235+'2021'!W235+'2022'!W218</f>
        <v>7</v>
      </c>
      <c r="X235" s="176">
        <f>'2018'!X235+'2019'!X235+'2020'!X235+'2021'!X235+'2022'!X218</f>
        <v>0</v>
      </c>
      <c r="Y235" s="174">
        <f t="shared" si="34"/>
        <v>350</v>
      </c>
      <c r="Z235" s="174">
        <f>'2018'!Z235+'2019'!Z235+'2020'!Z235+'2021'!Z235+'2022'!Z218</f>
        <v>141</v>
      </c>
      <c r="AA235" s="174">
        <f>'2018'!AA235+'2019'!AA235+'2020'!AA235+'2021'!AA235+'2022'!AA218</f>
        <v>141</v>
      </c>
      <c r="AB235" s="174">
        <f>'2018'!AB235+'2019'!AB235+'2020'!AB235+'2021'!AB235+'2022'!AB218</f>
        <v>329</v>
      </c>
      <c r="AC235" s="174">
        <f>'2018'!AC235+'2019'!AC235+'2020'!AC235+'2021'!AC235+'2022'!AC218</f>
        <v>328</v>
      </c>
      <c r="AD235" s="174">
        <f>'2018'!AD235+'2019'!AD235+'2020'!AD235+'2021'!AD235+'2022'!AD218</f>
        <v>0</v>
      </c>
      <c r="AE235" s="174">
        <f>'2018'!AE235+'2019'!AE235+'2020'!AE235+'2021'!AE235+'2022'!AE218</f>
        <v>0</v>
      </c>
      <c r="AF235" s="174">
        <f>'2018'!AF235+'2019'!AF235+'2020'!AF235+'2021'!AF235+'2022'!AF218</f>
        <v>0</v>
      </c>
      <c r="AG235" s="174">
        <f>'2018'!AG235+'2019'!AG235+'2020'!AG235+'2021'!AG235+'2022'!AG218</f>
        <v>0</v>
      </c>
      <c r="AH235" s="174">
        <f>'2018'!AH235+'2019'!AH235+'2020'!AH235+'2021'!AH235+'2022'!AH218</f>
        <v>1</v>
      </c>
      <c r="AI235" s="174">
        <f>'2018'!AI235+'2019'!AI235+'2020'!AI235+'2021'!AI235+'2022'!AI218</f>
        <v>0</v>
      </c>
      <c r="AJ235" s="174">
        <f>'2018'!AJ235+'2019'!AJ235+'2020'!AJ235+'2021'!AJ235+'2022'!AJ218</f>
        <v>0</v>
      </c>
      <c r="AK235" s="174">
        <f>'2018'!AK235+'2019'!AK235+'2020'!AK235+'2021'!AK235+'2022'!AK218</f>
        <v>0</v>
      </c>
      <c r="AL235" s="174">
        <f>'2018'!AL235+'2019'!AL235+'2020'!AL235+'2021'!AL235+'2022'!AL218</f>
        <v>0</v>
      </c>
      <c r="AM235" s="174">
        <f>'2018'!AM235+'2019'!AM235+'2020'!AM235+'2021'!AM235+'2022'!AM218</f>
        <v>1</v>
      </c>
      <c r="AN235" s="174">
        <f>'2018'!AN235+'2019'!AN235+'2020'!AN235+'2021'!AN235+'2022'!AN218</f>
        <v>0</v>
      </c>
      <c r="AO235" s="174">
        <f>'2018'!AO235+'2019'!AO235+'2020'!AO235+'2021'!AO235+'2022'!AO218</f>
        <v>0</v>
      </c>
      <c r="AP235" s="174">
        <f>'2018'!AP235+'2019'!AP235+'2020'!AP235+'2021'!AP235+'2022'!AP218</f>
        <v>21</v>
      </c>
      <c r="AQ235" s="174">
        <f>'2018'!AQ235+'2019'!AQ235+'2020'!AQ235+'2021'!AQ235+'2022'!AQ218</f>
        <v>0</v>
      </c>
      <c r="AR235" s="174">
        <f>'2018'!AR235+'2019'!AR235+'2020'!AR235+'2021'!AR235+'2022'!AR218</f>
        <v>220</v>
      </c>
      <c r="AS235" s="174">
        <f>'2018'!AS235+'2019'!AS235+'2020'!AS235+'2021'!AS235+'2022'!AS218</f>
        <v>6</v>
      </c>
      <c r="AT235" s="174">
        <f>'2018'!AT235+'2019'!AT235+'2020'!AT235+'2021'!AT235+'2022'!AT218</f>
        <v>74</v>
      </c>
      <c r="AU235" s="174">
        <f>'2018'!AU235+'2019'!AU235+'2020'!AU235+'2021'!AU235+'2022'!AU218</f>
        <v>6</v>
      </c>
      <c r="AV235" s="174">
        <f>'2018'!AV235+'2019'!AV235+'2020'!AV235+'2021'!AV235+'2022'!AV218</f>
        <v>0</v>
      </c>
      <c r="AW235" s="174">
        <f t="shared" si="35"/>
        <v>329</v>
      </c>
      <c r="AX235" s="156">
        <f t="shared" si="36"/>
        <v>839.74661764705888</v>
      </c>
      <c r="AY235" s="14">
        <f>'2018'!AX235+'2019'!AX235+'2020'!AX235+'2021'!AX235+'2022'!AX218</f>
        <v>4198.7330882352944</v>
      </c>
      <c r="AZ235" s="14">
        <f t="shared" si="29"/>
        <v>94</v>
      </c>
      <c r="BA235" s="142"/>
      <c r="BB235" s="144"/>
      <c r="BC235" s="142"/>
    </row>
    <row r="236" spans="1:61" x14ac:dyDescent="0.25">
      <c r="A236" s="175" t="s">
        <v>103</v>
      </c>
      <c r="B236" s="176">
        <f>'2018'!B236+'2019'!B236+'2020'!B236+'2021'!B236+'2022'!B219</f>
        <v>78</v>
      </c>
      <c r="C236" s="176">
        <f>'2018'!C236+'2019'!C236+'2020'!C236+'2021'!C236+'2022'!C219</f>
        <v>7</v>
      </c>
      <c r="D236" s="176">
        <f>'2018'!D236+'2019'!D236+'2020'!D236+'2021'!D236+'2022'!D219</f>
        <v>102</v>
      </c>
      <c r="E236" s="176">
        <f>'2018'!E236+'2019'!E236+'2020'!E236+'2021'!E236+'2022'!E219</f>
        <v>12</v>
      </c>
      <c r="F236" s="176">
        <f>'2018'!F236+'2019'!F236+'2020'!F236+'2021'!F236+'2022'!F219</f>
        <v>0</v>
      </c>
      <c r="G236" s="176">
        <f>'2018'!G236+'2019'!G236+'2020'!G236+'2021'!G236+'2022'!G219</f>
        <v>0</v>
      </c>
      <c r="H236" s="176">
        <f>'2018'!H236+'2019'!H236+'2020'!H236+'2021'!H236+'2022'!H219</f>
        <v>23</v>
      </c>
      <c r="I236" s="176">
        <f>'2018'!I236+'2019'!I236+'2020'!I236+'2021'!I236+'2022'!I219</f>
        <v>0</v>
      </c>
      <c r="J236" s="176">
        <f>'2018'!J236+'2019'!J236+'2020'!J236+'2021'!J236+'2022'!J219</f>
        <v>9</v>
      </c>
      <c r="K236" s="176">
        <f>'2018'!K236+'2019'!K236+'2020'!K236+'2021'!K236+'2022'!K219</f>
        <v>3</v>
      </c>
      <c r="L236" s="176">
        <f>'2018'!L236+'2019'!L236+'2020'!L236+'2021'!L236+'2022'!L219</f>
        <v>13</v>
      </c>
      <c r="M236" s="176">
        <f>'2018'!M236+'2019'!M236+'2020'!M236+'2021'!M236+'2022'!M219</f>
        <v>4</v>
      </c>
      <c r="N236" s="176">
        <f>'2018'!N236+'2019'!N236+'2020'!N236+'2021'!N236+'2022'!N219</f>
        <v>0</v>
      </c>
      <c r="O236" s="176">
        <f>'2018'!O236+'2019'!O236+'2020'!O236+'2021'!O236+'2022'!O219</f>
        <v>2</v>
      </c>
      <c r="P236" s="176">
        <f>'2018'!P236+'2019'!P236+'2020'!P236+'2021'!P236+'2022'!P219</f>
        <v>0</v>
      </c>
      <c r="Q236" s="176">
        <f>'2018'!Q236+'2019'!Q236+'2020'!Q236+'2021'!Q236+'2022'!Q219</f>
        <v>3</v>
      </c>
      <c r="R236" s="176">
        <f>'2018'!R236+'2019'!R236+'2020'!R236+'2021'!R236+'2022'!R219</f>
        <v>32</v>
      </c>
      <c r="S236" s="176">
        <f>'2018'!S236+'2019'!S236+'2020'!S236+'2021'!S236+'2022'!S219</f>
        <v>2</v>
      </c>
      <c r="T236" s="176">
        <f>'2018'!T236+'2019'!T236+'2020'!T236+'2021'!T236+'2022'!T219</f>
        <v>1</v>
      </c>
      <c r="U236" s="176">
        <f>'2018'!U236+'2019'!U236+'2020'!U236+'2021'!U236+'2022'!U219</f>
        <v>7</v>
      </c>
      <c r="V236" s="176">
        <f>'2018'!V236+'2019'!V236+'2020'!V236+'2021'!V236+'2022'!V219</f>
        <v>1</v>
      </c>
      <c r="W236" s="176">
        <f>'2018'!W236+'2019'!W236+'2020'!W236+'2021'!W236+'2022'!W219</f>
        <v>0</v>
      </c>
      <c r="X236" s="176">
        <f>'2018'!X236+'2019'!X236+'2020'!X236+'2021'!X236+'2022'!X219</f>
        <v>2</v>
      </c>
      <c r="Y236" s="174">
        <f t="shared" si="34"/>
        <v>102</v>
      </c>
      <c r="Z236" s="174">
        <f>'2018'!Z236+'2019'!Z236+'2020'!Z236+'2021'!Z236+'2022'!Z219</f>
        <v>56</v>
      </c>
      <c r="AA236" s="174">
        <f>'2018'!AA236+'2019'!AA236+'2020'!AA236+'2021'!AA236+'2022'!AA219</f>
        <v>5</v>
      </c>
      <c r="AB236" s="174">
        <f>'2018'!AB236+'2019'!AB236+'2020'!AB236+'2021'!AB236+'2022'!AB219</f>
        <v>71</v>
      </c>
      <c r="AC236" s="174">
        <f>'2018'!AC236+'2019'!AC236+'2020'!AC236+'2021'!AC236+'2022'!AC219</f>
        <v>9</v>
      </c>
      <c r="AD236" s="174">
        <f>'2018'!AD236+'2019'!AD236+'2020'!AD236+'2021'!AD236+'2022'!AD219</f>
        <v>0</v>
      </c>
      <c r="AE236" s="174">
        <f>'2018'!AE236+'2019'!AE236+'2020'!AE236+'2021'!AE236+'2022'!AE219</f>
        <v>0</v>
      </c>
      <c r="AF236" s="174">
        <f>'2018'!AF236+'2019'!AF236+'2020'!AF236+'2021'!AF236+'2022'!AF219</f>
        <v>13</v>
      </c>
      <c r="AG236" s="174">
        <f>'2018'!AG236+'2019'!AG236+'2020'!AG236+'2021'!AG236+'2022'!AG219</f>
        <v>0</v>
      </c>
      <c r="AH236" s="174">
        <f>'2018'!AH236+'2019'!AH236+'2020'!AH236+'2021'!AH236+'2022'!AH219</f>
        <v>7</v>
      </c>
      <c r="AI236" s="174">
        <f>'2018'!AI236+'2019'!AI236+'2020'!AI236+'2021'!AI236+'2022'!AI219</f>
        <v>2</v>
      </c>
      <c r="AJ236" s="174">
        <f>'2018'!AJ236+'2019'!AJ236+'2020'!AJ236+'2021'!AJ236+'2022'!AJ219</f>
        <v>9</v>
      </c>
      <c r="AK236" s="174">
        <f>'2018'!AK236+'2019'!AK236+'2020'!AK236+'2021'!AK236+'2022'!AK219</f>
        <v>2</v>
      </c>
      <c r="AL236" s="174">
        <f>'2018'!AL236+'2019'!AL236+'2020'!AL236+'2021'!AL236+'2022'!AL219</f>
        <v>0</v>
      </c>
      <c r="AM236" s="174">
        <f>'2018'!AM236+'2019'!AM236+'2020'!AM236+'2021'!AM236+'2022'!AM219</f>
        <v>2</v>
      </c>
      <c r="AN236" s="174">
        <f>'2018'!AN236+'2019'!AN236+'2020'!AN236+'2021'!AN236+'2022'!AN219</f>
        <v>0</v>
      </c>
      <c r="AO236" s="174">
        <f>'2018'!AO236+'2019'!AO236+'2020'!AO236+'2021'!AO236+'2022'!AO219</f>
        <v>2</v>
      </c>
      <c r="AP236" s="174">
        <f>'2018'!AP236+'2019'!AP236+'2020'!AP236+'2021'!AP236+'2022'!AP219</f>
        <v>23</v>
      </c>
      <c r="AQ236" s="174">
        <f>'2018'!AQ236+'2019'!AQ236+'2020'!AQ236+'2021'!AQ236+'2022'!AQ219</f>
        <v>1</v>
      </c>
      <c r="AR236" s="174">
        <f>'2018'!AR236+'2019'!AR236+'2020'!AR236+'2021'!AR236+'2022'!AR219</f>
        <v>0</v>
      </c>
      <c r="AS236" s="174">
        <f>'2018'!AS236+'2019'!AS236+'2020'!AS236+'2021'!AS236+'2022'!AS219</f>
        <v>7</v>
      </c>
      <c r="AT236" s="174">
        <f>'2018'!AT236+'2019'!AT236+'2020'!AT236+'2021'!AT236+'2022'!AT219</f>
        <v>1</v>
      </c>
      <c r="AU236" s="174">
        <f>'2018'!AU236+'2019'!AU236+'2020'!AU236+'2021'!AU236+'2022'!AU219</f>
        <v>0</v>
      </c>
      <c r="AV236" s="174">
        <f>'2018'!AV236+'2019'!AV236+'2020'!AV236+'2021'!AV236+'2022'!AV219</f>
        <v>2</v>
      </c>
      <c r="AW236" s="174">
        <f t="shared" si="35"/>
        <v>71</v>
      </c>
      <c r="AX236" s="156">
        <f t="shared" si="36"/>
        <v>2325.8269898989897</v>
      </c>
      <c r="AY236" s="14">
        <f>'2018'!AX236+'2019'!AX236+'2020'!AX236+'2021'!AX236+'2022'!AX219</f>
        <v>11629.134949494948</v>
      </c>
      <c r="AZ236" s="14">
        <f t="shared" si="29"/>
        <v>69.607843137254903</v>
      </c>
      <c r="BA236" s="142"/>
      <c r="BB236" s="144"/>
      <c r="BC236" s="142"/>
    </row>
    <row r="237" spans="1:61" x14ac:dyDescent="0.25">
      <c r="A237" s="175" t="s">
        <v>104</v>
      </c>
      <c r="B237" s="176">
        <f>'2018'!B237+'2019'!B237+'2020'!B237+'2021'!B237+'2022'!B220</f>
        <v>23</v>
      </c>
      <c r="C237" s="176">
        <f>'2018'!C237+'2019'!C237+'2020'!C237+'2021'!C237+'2022'!C220</f>
        <v>5</v>
      </c>
      <c r="D237" s="176">
        <f>'2018'!D237+'2019'!D237+'2020'!D237+'2021'!D237+'2022'!D220</f>
        <v>44</v>
      </c>
      <c r="E237" s="176">
        <f>'2018'!E237+'2019'!E237+'2020'!E237+'2021'!E237+'2022'!E220</f>
        <v>16</v>
      </c>
      <c r="F237" s="176">
        <f>'2018'!F237+'2019'!F237+'2020'!F237+'2021'!F237+'2022'!F220</f>
        <v>0</v>
      </c>
      <c r="G237" s="176">
        <f>'2018'!G237+'2019'!G237+'2020'!G237+'2021'!G237+'2022'!G220</f>
        <v>0</v>
      </c>
      <c r="H237" s="176">
        <f>'2018'!H237+'2019'!H237+'2020'!H237+'2021'!H237+'2022'!H220</f>
        <v>10</v>
      </c>
      <c r="I237" s="176">
        <f>'2018'!I237+'2019'!I237+'2020'!I237+'2021'!I237+'2022'!I220</f>
        <v>0</v>
      </c>
      <c r="J237" s="176">
        <f>'2018'!J237+'2019'!J237+'2020'!J237+'2021'!J237+'2022'!J220</f>
        <v>0</v>
      </c>
      <c r="K237" s="176">
        <f>'2018'!K237+'2019'!K237+'2020'!K237+'2021'!K237+'2022'!K220</f>
        <v>0</v>
      </c>
      <c r="L237" s="176">
        <f>'2018'!L237+'2019'!L237+'2020'!L237+'2021'!L237+'2022'!L220</f>
        <v>8</v>
      </c>
      <c r="M237" s="176">
        <f>'2018'!M237+'2019'!M237+'2020'!M237+'2021'!M237+'2022'!M220</f>
        <v>0</v>
      </c>
      <c r="N237" s="176">
        <f>'2018'!N237+'2019'!N237+'2020'!N237+'2021'!N237+'2022'!N220</f>
        <v>0</v>
      </c>
      <c r="O237" s="176">
        <f>'2018'!O237+'2019'!O237+'2020'!O237+'2021'!O237+'2022'!O220</f>
        <v>0</v>
      </c>
      <c r="P237" s="176">
        <f>'2018'!P237+'2019'!P237+'2020'!P237+'2021'!P237+'2022'!P220</f>
        <v>0</v>
      </c>
      <c r="Q237" s="176">
        <f>'2018'!Q237+'2019'!Q237+'2020'!Q237+'2021'!Q237+'2022'!Q220</f>
        <v>0</v>
      </c>
      <c r="R237" s="176">
        <f>'2018'!R237+'2019'!R237+'2020'!R237+'2021'!R237+'2022'!R220</f>
        <v>3</v>
      </c>
      <c r="S237" s="176">
        <f>'2018'!S237+'2019'!S237+'2020'!S237+'2021'!S237+'2022'!S220</f>
        <v>0</v>
      </c>
      <c r="T237" s="176">
        <f>'2018'!T237+'2019'!T237+'2020'!T237+'2021'!T237+'2022'!T220</f>
        <v>11</v>
      </c>
      <c r="U237" s="176">
        <f>'2018'!U237+'2019'!U237+'2020'!U237+'2021'!U237+'2022'!U220</f>
        <v>5</v>
      </c>
      <c r="V237" s="176">
        <f>'2018'!V237+'2019'!V237+'2020'!V237+'2021'!V237+'2022'!V220</f>
        <v>0</v>
      </c>
      <c r="W237" s="176">
        <f>'2018'!W237+'2019'!W237+'2020'!W237+'2021'!W237+'2022'!W220</f>
        <v>0</v>
      </c>
      <c r="X237" s="176">
        <f>'2018'!X237+'2019'!X237+'2020'!X237+'2021'!X237+'2022'!X220</f>
        <v>7</v>
      </c>
      <c r="Y237" s="174">
        <f t="shared" si="34"/>
        <v>44</v>
      </c>
      <c r="Z237" s="174">
        <f>'2018'!Z237+'2019'!Z237+'2020'!Z237+'2021'!Z237+'2022'!Z220</f>
        <v>16</v>
      </c>
      <c r="AA237" s="174">
        <f>'2018'!AA237+'2019'!AA237+'2020'!AA237+'2021'!AA237+'2022'!AA220</f>
        <v>4</v>
      </c>
      <c r="AB237" s="174">
        <f>'2018'!AB237+'2019'!AB237+'2020'!AB237+'2021'!AB237+'2022'!AB220</f>
        <v>28</v>
      </c>
      <c r="AC237" s="174">
        <f>'2018'!AC237+'2019'!AC237+'2020'!AC237+'2021'!AC237+'2022'!AC220</f>
        <v>13</v>
      </c>
      <c r="AD237" s="174">
        <f>'2018'!AD237+'2019'!AD237+'2020'!AD237+'2021'!AD237+'2022'!AD220</f>
        <v>0</v>
      </c>
      <c r="AE237" s="174">
        <f>'2018'!AE237+'2019'!AE237+'2020'!AE237+'2021'!AE237+'2022'!AE220</f>
        <v>0</v>
      </c>
      <c r="AF237" s="174">
        <f>'2018'!AF237+'2019'!AF237+'2020'!AF237+'2021'!AF237+'2022'!AF220</f>
        <v>7</v>
      </c>
      <c r="AG237" s="174">
        <f>'2018'!AG237+'2019'!AG237+'2020'!AG237+'2021'!AG237+'2022'!AG220</f>
        <v>0</v>
      </c>
      <c r="AH237" s="174">
        <f>'2018'!AH237+'2019'!AH237+'2020'!AH237+'2021'!AH237+'2022'!AH220</f>
        <v>0</v>
      </c>
      <c r="AI237" s="174">
        <f>'2018'!AI237+'2019'!AI237+'2020'!AI237+'2021'!AI237+'2022'!AI220</f>
        <v>0</v>
      </c>
      <c r="AJ237" s="174">
        <f>'2018'!AJ237+'2019'!AJ237+'2020'!AJ237+'2021'!AJ237+'2022'!AJ220</f>
        <v>8</v>
      </c>
      <c r="AK237" s="174">
        <f>'2018'!AK237+'2019'!AK237+'2020'!AK237+'2021'!AK237+'2022'!AK220</f>
        <v>0</v>
      </c>
      <c r="AL237" s="174">
        <f>'2018'!AL237+'2019'!AL237+'2020'!AL237+'2021'!AL237+'2022'!AL220</f>
        <v>0</v>
      </c>
      <c r="AM237" s="174">
        <f>'2018'!AM237+'2019'!AM237+'2020'!AM237+'2021'!AM237+'2022'!AM220</f>
        <v>0</v>
      </c>
      <c r="AN237" s="174">
        <f>'2018'!AN237+'2019'!AN237+'2020'!AN237+'2021'!AN237+'2022'!AN220</f>
        <v>0</v>
      </c>
      <c r="AO237" s="174">
        <f>'2018'!AO237+'2019'!AO237+'2020'!AO237+'2021'!AO237+'2022'!AO220</f>
        <v>0</v>
      </c>
      <c r="AP237" s="174">
        <f>'2018'!AP237+'2019'!AP237+'2020'!AP237+'2021'!AP237+'2022'!AP220</f>
        <v>0</v>
      </c>
      <c r="AQ237" s="174">
        <f>'2018'!AQ237+'2019'!AQ237+'2020'!AQ237+'2021'!AQ237+'2022'!AQ220</f>
        <v>0</v>
      </c>
      <c r="AR237" s="174">
        <f>'2018'!AR237+'2019'!AR237+'2020'!AR237+'2021'!AR237+'2022'!AR220</f>
        <v>11</v>
      </c>
      <c r="AS237" s="174">
        <f>'2018'!AS237+'2019'!AS237+'2020'!AS237+'2021'!AS237+'2022'!AS220</f>
        <v>2</v>
      </c>
      <c r="AT237" s="174">
        <f>'2018'!AT237+'2019'!AT237+'2020'!AT237+'2021'!AT237+'2022'!AT220</f>
        <v>0</v>
      </c>
      <c r="AU237" s="174">
        <f>'2018'!AU237+'2019'!AU237+'2020'!AU237+'2021'!AU237+'2022'!AU220</f>
        <v>0</v>
      </c>
      <c r="AV237" s="174">
        <f>'2018'!AV237+'2019'!AV237+'2020'!AV237+'2021'!AV237+'2022'!AV220</f>
        <v>0</v>
      </c>
      <c r="AW237" s="174">
        <f t="shared" si="35"/>
        <v>28</v>
      </c>
      <c r="AX237" s="156">
        <f t="shared" si="36"/>
        <v>1644.3866666666668</v>
      </c>
      <c r="AY237" s="14">
        <f>'2018'!AX237+'2019'!AX237+'2020'!AX237+'2021'!AX237+'2022'!AX220</f>
        <v>8221.9333333333343</v>
      </c>
      <c r="AZ237" s="14">
        <f t="shared" ref="AZ237:AZ246" si="41">AB237*100/D237</f>
        <v>63.636363636363633</v>
      </c>
      <c r="BA237" s="142"/>
      <c r="BB237" s="144"/>
      <c r="BC237" s="142"/>
    </row>
    <row r="238" spans="1:61" x14ac:dyDescent="0.25">
      <c r="A238" s="175" t="s">
        <v>105</v>
      </c>
      <c r="B238" s="176">
        <f>'2018'!B238+'2019'!B238+'2020'!B238+'2021'!B238+'2022'!B221</f>
        <v>4</v>
      </c>
      <c r="C238" s="176">
        <f>'2018'!C238+'2019'!C238+'2020'!C238+'2021'!C238+'2022'!C221</f>
        <v>1</v>
      </c>
      <c r="D238" s="176">
        <f>'2018'!D238+'2019'!D238+'2020'!D238+'2021'!D238+'2022'!D221</f>
        <v>8</v>
      </c>
      <c r="E238" s="176">
        <f>'2018'!E238+'2019'!E238+'2020'!E238+'2021'!E238+'2022'!E221</f>
        <v>5</v>
      </c>
      <c r="F238" s="176">
        <f>'2018'!F238+'2019'!F238+'2020'!F238+'2021'!F238+'2022'!F221</f>
        <v>0</v>
      </c>
      <c r="G238" s="176">
        <f>'2018'!G238+'2019'!G238+'2020'!G238+'2021'!G238+'2022'!G221</f>
        <v>0</v>
      </c>
      <c r="H238" s="176">
        <f>'2018'!H238+'2019'!H238+'2020'!H238+'2021'!H238+'2022'!H221</f>
        <v>1</v>
      </c>
      <c r="I238" s="176">
        <f>'2018'!I238+'2019'!I238+'2020'!I238+'2021'!I238+'2022'!I221</f>
        <v>1</v>
      </c>
      <c r="J238" s="176">
        <f>'2018'!J238+'2019'!J238+'2020'!J238+'2021'!J238+'2022'!J221</f>
        <v>0</v>
      </c>
      <c r="K238" s="176">
        <f>'2018'!K238+'2019'!K238+'2020'!K238+'2021'!K238+'2022'!K221</f>
        <v>0</v>
      </c>
      <c r="L238" s="176">
        <f>'2018'!L238+'2019'!L238+'2020'!L238+'2021'!L238+'2022'!L221</f>
        <v>0</v>
      </c>
      <c r="M238" s="176">
        <f>'2018'!M238+'2019'!M238+'2020'!M238+'2021'!M238+'2022'!M221</f>
        <v>0</v>
      </c>
      <c r="N238" s="176">
        <f>'2018'!N238+'2019'!N238+'2020'!N238+'2021'!N238+'2022'!N221</f>
        <v>0</v>
      </c>
      <c r="O238" s="176">
        <f>'2018'!O238+'2019'!O238+'2020'!O238+'2021'!O238+'2022'!O221</f>
        <v>1</v>
      </c>
      <c r="P238" s="176">
        <f>'2018'!P238+'2019'!P238+'2020'!P238+'2021'!P238+'2022'!P221</f>
        <v>0</v>
      </c>
      <c r="Q238" s="176">
        <f>'2018'!Q238+'2019'!Q238+'2020'!Q238+'2021'!Q238+'2022'!Q221</f>
        <v>0</v>
      </c>
      <c r="R238" s="176">
        <f>'2018'!R238+'2019'!R238+'2020'!R238+'2021'!R238+'2022'!R221</f>
        <v>0</v>
      </c>
      <c r="S238" s="176">
        <f>'2018'!S238+'2019'!S238+'2020'!S238+'2021'!S238+'2022'!S221</f>
        <v>0</v>
      </c>
      <c r="T238" s="176">
        <f>'2018'!T238+'2019'!T238+'2020'!T238+'2021'!T238+'2022'!T221</f>
        <v>5</v>
      </c>
      <c r="U238" s="176">
        <f>'2018'!U238+'2019'!U238+'2020'!U238+'2021'!U238+'2022'!U221</f>
        <v>0</v>
      </c>
      <c r="V238" s="176">
        <f>'2018'!V238+'2019'!V238+'2020'!V238+'2021'!V238+'2022'!V221</f>
        <v>0</v>
      </c>
      <c r="W238" s="176">
        <f>'2018'!W238+'2019'!W238+'2020'!W238+'2021'!W238+'2022'!W221</f>
        <v>0</v>
      </c>
      <c r="X238" s="176">
        <f>'2018'!X238+'2019'!X238+'2020'!X238+'2021'!X238+'2022'!X221</f>
        <v>0</v>
      </c>
      <c r="Y238" s="174">
        <f t="shared" si="34"/>
        <v>8</v>
      </c>
      <c r="Z238" s="174">
        <f>'2018'!Z238+'2019'!Z238+'2020'!Z238+'2021'!Z238+'2022'!Z221</f>
        <v>3</v>
      </c>
      <c r="AA238" s="174">
        <f>'2018'!AA238+'2019'!AA238+'2020'!AA238+'2021'!AA238+'2022'!AA221</f>
        <v>1</v>
      </c>
      <c r="AB238" s="174">
        <f>'2018'!AB238+'2019'!AB238+'2020'!AB238+'2021'!AB238+'2022'!AB221</f>
        <v>7</v>
      </c>
      <c r="AC238" s="174">
        <f>'2018'!AC238+'2019'!AC238+'2020'!AC238+'2021'!AC238+'2022'!AC221</f>
        <v>5</v>
      </c>
      <c r="AD238" s="174">
        <f>'2018'!AD238+'2019'!AD238+'2020'!AD238+'2021'!AD238+'2022'!AD221</f>
        <v>0</v>
      </c>
      <c r="AE238" s="174">
        <f>'2018'!AE238+'2019'!AE238+'2020'!AE238+'2021'!AE238+'2022'!AE221</f>
        <v>0</v>
      </c>
      <c r="AF238" s="174">
        <f>'2018'!AF238+'2019'!AF238+'2020'!AF238+'2021'!AF238+'2022'!AF221</f>
        <v>0</v>
      </c>
      <c r="AG238" s="174">
        <f>'2018'!AG238+'2019'!AG238+'2020'!AG238+'2021'!AG238+'2022'!AG221</f>
        <v>1</v>
      </c>
      <c r="AH238" s="174">
        <f>'2018'!AH238+'2019'!AH238+'2020'!AH238+'2021'!AH238+'2022'!AH221</f>
        <v>0</v>
      </c>
      <c r="AI238" s="174">
        <f>'2018'!AI238+'2019'!AI238+'2020'!AI238+'2021'!AI238+'2022'!AI221</f>
        <v>0</v>
      </c>
      <c r="AJ238" s="174">
        <f>'2018'!AJ238+'2019'!AJ238+'2020'!AJ238+'2021'!AJ238+'2022'!AJ221</f>
        <v>0</v>
      </c>
      <c r="AK238" s="174">
        <f>'2018'!AK238+'2019'!AK238+'2020'!AK238+'2021'!AK238+'2022'!AK221</f>
        <v>0</v>
      </c>
      <c r="AL238" s="174">
        <f>'2018'!AL238+'2019'!AL238+'2020'!AL238+'2021'!AL238+'2022'!AL221</f>
        <v>0</v>
      </c>
      <c r="AM238" s="174">
        <f>'2018'!AM238+'2019'!AM238+'2020'!AM238+'2021'!AM238+'2022'!AM221</f>
        <v>1</v>
      </c>
      <c r="AN238" s="174">
        <f>'2018'!AN238+'2019'!AN238+'2020'!AN238+'2021'!AN238+'2022'!AN221</f>
        <v>0</v>
      </c>
      <c r="AO238" s="174">
        <f>'2018'!AO238+'2019'!AO238+'2020'!AO238+'2021'!AO238+'2022'!AO221</f>
        <v>0</v>
      </c>
      <c r="AP238" s="174">
        <f>'2018'!AP238+'2019'!AP238+'2020'!AP238+'2021'!AP238+'2022'!AP221</f>
        <v>0</v>
      </c>
      <c r="AQ238" s="174">
        <f>'2018'!AQ238+'2019'!AQ238+'2020'!AQ238+'2021'!AQ238+'2022'!AQ221</f>
        <v>0</v>
      </c>
      <c r="AR238" s="174">
        <f>'2018'!AR238+'2019'!AR238+'2020'!AR238+'2021'!AR238+'2022'!AR221</f>
        <v>5</v>
      </c>
      <c r="AS238" s="174">
        <f>'2018'!AS238+'2019'!AS238+'2020'!AS238+'2021'!AS238+'2022'!AS221</f>
        <v>0</v>
      </c>
      <c r="AT238" s="174">
        <f>'2018'!AT238+'2019'!AT238+'2020'!AT238+'2021'!AT238+'2022'!AT221</f>
        <v>0</v>
      </c>
      <c r="AU238" s="174">
        <f>'2018'!AU238+'2019'!AU238+'2020'!AU238+'2021'!AU238+'2022'!AU221</f>
        <v>0</v>
      </c>
      <c r="AV238" s="174">
        <f>'2018'!AV238+'2019'!AV238+'2020'!AV238+'2021'!AV238+'2022'!AV221</f>
        <v>0</v>
      </c>
      <c r="AW238" s="174">
        <f t="shared" si="35"/>
        <v>7</v>
      </c>
      <c r="AX238" s="156">
        <f t="shared" si="36"/>
        <v>789</v>
      </c>
      <c r="AY238" s="14">
        <f>'2018'!AX238+'2019'!AX238+'2020'!AX238+'2021'!AX238+'2022'!AX221</f>
        <v>3945</v>
      </c>
      <c r="AZ238" s="14">
        <f t="shared" si="41"/>
        <v>87.5</v>
      </c>
      <c r="BA238" s="142"/>
      <c r="BB238" s="144"/>
      <c r="BC238" s="142"/>
    </row>
    <row r="239" spans="1:61" x14ac:dyDescent="0.25">
      <c r="A239" s="175" t="s">
        <v>106</v>
      </c>
      <c r="B239" s="176">
        <f>'2018'!B239+'2019'!B239+'2020'!B239+'2021'!B239+'2022'!B222</f>
        <v>207</v>
      </c>
      <c r="C239" s="176">
        <f>'2018'!C239+'2019'!C239+'2020'!C239+'2021'!C239+'2022'!C222</f>
        <v>45</v>
      </c>
      <c r="D239" s="176">
        <f>'2018'!D239+'2019'!D239+'2020'!D239+'2021'!D239+'2022'!D222</f>
        <v>324</v>
      </c>
      <c r="E239" s="176">
        <f>'2018'!E239+'2019'!E239+'2020'!E239+'2021'!E239+'2022'!E222</f>
        <v>167</v>
      </c>
      <c r="F239" s="176">
        <f>'2018'!F239+'2019'!F239+'2020'!F239+'2021'!F239+'2022'!F222</f>
        <v>0</v>
      </c>
      <c r="G239" s="176">
        <f>'2018'!G239+'2019'!G239+'2020'!G239+'2021'!G239+'2022'!G222</f>
        <v>0</v>
      </c>
      <c r="H239" s="176">
        <f>'2018'!H239+'2019'!H239+'2020'!H239+'2021'!H239+'2022'!H222</f>
        <v>52</v>
      </c>
      <c r="I239" s="176">
        <f>'2018'!I239+'2019'!I239+'2020'!I239+'2021'!I239+'2022'!I222</f>
        <v>1</v>
      </c>
      <c r="J239" s="176">
        <f>'2018'!J239+'2019'!J239+'2020'!J239+'2021'!J239+'2022'!J222</f>
        <v>9</v>
      </c>
      <c r="K239" s="176">
        <f>'2018'!K239+'2019'!K239+'2020'!K239+'2021'!K239+'2022'!K222</f>
        <v>31</v>
      </c>
      <c r="L239" s="176">
        <f>'2018'!L239+'2019'!L239+'2020'!L239+'2021'!L239+'2022'!L222</f>
        <v>15</v>
      </c>
      <c r="M239" s="176">
        <f>'2018'!M239+'2019'!M239+'2020'!M239+'2021'!M239+'2022'!M222</f>
        <v>4</v>
      </c>
      <c r="N239" s="176">
        <f>'2018'!N239+'2019'!N239+'2020'!N239+'2021'!N239+'2022'!N222</f>
        <v>7</v>
      </c>
      <c r="O239" s="176">
        <f>'2018'!O239+'2019'!O239+'2020'!O239+'2021'!O239+'2022'!O222</f>
        <v>3</v>
      </c>
      <c r="P239" s="176">
        <f>'2018'!P239+'2019'!P239+'2020'!P239+'2021'!P239+'2022'!P222</f>
        <v>2</v>
      </c>
      <c r="Q239" s="176">
        <f>'2018'!Q239+'2019'!Q239+'2020'!Q239+'2021'!Q239+'2022'!Q222</f>
        <v>10</v>
      </c>
      <c r="R239" s="176">
        <f>'2018'!R239+'2019'!R239+'2020'!R239+'2021'!R239+'2022'!R222</f>
        <v>107</v>
      </c>
      <c r="S239" s="176">
        <f>'2018'!S239+'2019'!S239+'2020'!S239+'2021'!S239+'2022'!S222</f>
        <v>9</v>
      </c>
      <c r="T239" s="176">
        <f>'2018'!T239+'2019'!T239+'2020'!T239+'2021'!T239+'2022'!T222</f>
        <v>18</v>
      </c>
      <c r="U239" s="176">
        <f>'2018'!U239+'2019'!U239+'2020'!U239+'2021'!U239+'2022'!U222</f>
        <v>7</v>
      </c>
      <c r="V239" s="176">
        <f>'2018'!V239+'2019'!V239+'2020'!V239+'2021'!V239+'2022'!V222</f>
        <v>37</v>
      </c>
      <c r="W239" s="176">
        <f>'2018'!W239+'2019'!W239+'2020'!W239+'2021'!W239+'2022'!W222</f>
        <v>4</v>
      </c>
      <c r="X239" s="176">
        <f>'2018'!X239+'2019'!X239+'2020'!X239+'2021'!X239+'2022'!X222</f>
        <v>8</v>
      </c>
      <c r="Y239" s="174">
        <f t="shared" si="34"/>
        <v>324</v>
      </c>
      <c r="Z239" s="174">
        <f>'2018'!Z239+'2019'!Z239+'2020'!Z239+'2021'!Z239+'2022'!Z222</f>
        <v>125</v>
      </c>
      <c r="AA239" s="174">
        <f>'2018'!AA239+'2019'!AA239+'2020'!AA239+'2021'!AA239+'2022'!AA222</f>
        <v>30</v>
      </c>
      <c r="AB239" s="174">
        <f>'2018'!AB239+'2019'!AB239+'2020'!AB239+'2021'!AB239+'2022'!AB222</f>
        <v>206</v>
      </c>
      <c r="AC239" s="174">
        <f>'2018'!AC239+'2019'!AC239+'2020'!AC239+'2021'!AC239+'2022'!AC222</f>
        <v>51</v>
      </c>
      <c r="AD239" s="174">
        <f>'2018'!AD239+'2019'!AD239+'2020'!AD239+'2021'!AD239+'2022'!AD222</f>
        <v>0</v>
      </c>
      <c r="AE239" s="174">
        <f>'2018'!AE239+'2019'!AE239+'2020'!AE239+'2021'!AE239+'2022'!AE222</f>
        <v>0</v>
      </c>
      <c r="AF239" s="174">
        <f>'2018'!AF239+'2019'!AF239+'2020'!AF239+'2021'!AF239+'2022'!AF222</f>
        <v>26</v>
      </c>
      <c r="AG239" s="174">
        <f>'2018'!AG239+'2019'!AG239+'2020'!AG239+'2021'!AG239+'2022'!AG222</f>
        <v>1</v>
      </c>
      <c r="AH239" s="174">
        <f>'2018'!AH239+'2019'!AH239+'2020'!AH239+'2021'!AH239+'2022'!AH222</f>
        <v>9</v>
      </c>
      <c r="AI239" s="174">
        <f>'2018'!AI239+'2019'!AI239+'2020'!AI239+'2021'!AI239+'2022'!AI222</f>
        <v>15</v>
      </c>
      <c r="AJ239" s="174">
        <f>'2018'!AJ239+'2019'!AJ239+'2020'!AJ239+'2021'!AJ239+'2022'!AJ222</f>
        <v>12</v>
      </c>
      <c r="AK239" s="174">
        <f>'2018'!AK239+'2019'!AK239+'2020'!AK239+'2021'!AK239+'2022'!AK222</f>
        <v>6</v>
      </c>
      <c r="AL239" s="174">
        <f>'2018'!AL239+'2019'!AL239+'2020'!AL239+'2021'!AL239+'2022'!AL222</f>
        <v>1</v>
      </c>
      <c r="AM239" s="174">
        <f>'2018'!AM239+'2019'!AM239+'2020'!AM239+'2021'!AM239+'2022'!AM222</f>
        <v>1</v>
      </c>
      <c r="AN239" s="174">
        <f>'2018'!AN239+'2019'!AN239+'2020'!AN239+'2021'!AN239+'2022'!AN222</f>
        <v>2</v>
      </c>
      <c r="AO239" s="174">
        <f>'2018'!AO239+'2019'!AO239+'2020'!AO239+'2021'!AO239+'2022'!AO222</f>
        <v>7</v>
      </c>
      <c r="AP239" s="174">
        <f>'2018'!AP239+'2019'!AP239+'2020'!AP239+'2021'!AP239+'2022'!AP222</f>
        <v>65</v>
      </c>
      <c r="AQ239" s="174">
        <f>'2018'!AQ239+'2019'!AQ239+'2020'!AQ239+'2021'!AQ239+'2022'!AQ222</f>
        <v>8</v>
      </c>
      <c r="AR239" s="174">
        <f>'2018'!AR239+'2019'!AR239+'2020'!AR239+'2021'!AR239+'2022'!AR222</f>
        <v>9</v>
      </c>
      <c r="AS239" s="174">
        <f>'2018'!AS239+'2019'!AS239+'2020'!AS239+'2021'!AS239+'2022'!AS222</f>
        <v>2</v>
      </c>
      <c r="AT239" s="174">
        <f>'2018'!AT239+'2019'!AT239+'2020'!AT239+'2021'!AT239+'2022'!AT222</f>
        <v>32</v>
      </c>
      <c r="AU239" s="174">
        <f>'2018'!AU239+'2019'!AU239+'2020'!AU239+'2021'!AU239+'2022'!AU222</f>
        <v>4</v>
      </c>
      <c r="AV239" s="174">
        <f>'2018'!AV239+'2019'!AV239+'2020'!AV239+'2021'!AV239+'2022'!AV222</f>
        <v>6</v>
      </c>
      <c r="AW239" s="174">
        <f t="shared" si="35"/>
        <v>206</v>
      </c>
      <c r="AX239" s="156">
        <f t="shared" si="36"/>
        <v>1548.3566851247224</v>
      </c>
      <c r="AY239" s="14">
        <f>'2018'!AX239+'2019'!AX239+'2020'!AX239+'2021'!AX239+'2022'!AX222</f>
        <v>7741.7834256236119</v>
      </c>
      <c r="AZ239" s="14">
        <f t="shared" si="41"/>
        <v>63.580246913580247</v>
      </c>
      <c r="BA239" s="142"/>
      <c r="BB239" s="144"/>
      <c r="BC239" s="142"/>
    </row>
    <row r="240" spans="1:61" x14ac:dyDescent="0.25">
      <c r="A240" s="175" t="s">
        <v>107</v>
      </c>
      <c r="B240" s="176">
        <f>'2018'!B240+'2019'!B240+'2020'!B240+'2021'!B240+'2022'!B198</f>
        <v>2</v>
      </c>
      <c r="C240" s="176">
        <f>'2018'!C240+'2019'!C240+'2020'!C240+'2021'!C240+'2022'!C198</f>
        <v>1</v>
      </c>
      <c r="D240" s="176">
        <f>'2018'!D240+'2019'!D240+'2020'!D240+'2021'!D240+'2022'!D198</f>
        <v>13</v>
      </c>
      <c r="E240" s="176">
        <f>'2018'!E240+'2019'!E240+'2020'!E240+'2021'!E240+'2022'!E198</f>
        <v>12</v>
      </c>
      <c r="F240" s="176">
        <f>'2018'!F240+'2019'!F240+'2020'!F240+'2021'!F240+'2022'!F198</f>
        <v>0</v>
      </c>
      <c r="G240" s="176">
        <f>'2018'!G240+'2019'!G240+'2020'!G240+'2021'!G240+'2022'!G198</f>
        <v>0</v>
      </c>
      <c r="H240" s="176">
        <f>'2018'!H240+'2019'!H240+'2020'!H240+'2021'!H240+'2022'!H198</f>
        <v>0</v>
      </c>
      <c r="I240" s="176">
        <f>'2018'!I240+'2019'!I240+'2020'!I240+'2021'!I240+'2022'!I198</f>
        <v>0</v>
      </c>
      <c r="J240" s="176">
        <f>'2018'!J240+'2019'!J240+'2020'!J240+'2021'!J240+'2022'!J198</f>
        <v>0</v>
      </c>
      <c r="K240" s="176">
        <f>'2018'!K240+'2019'!K240+'2020'!K240+'2021'!K240+'2022'!K198</f>
        <v>0</v>
      </c>
      <c r="L240" s="176">
        <f>'2018'!L240+'2019'!L240+'2020'!L240+'2021'!L240+'2022'!L198</f>
        <v>0</v>
      </c>
      <c r="M240" s="176">
        <f>'2018'!M240+'2019'!M240+'2020'!M240+'2021'!M240+'2022'!M198</f>
        <v>0</v>
      </c>
      <c r="N240" s="176">
        <f>'2018'!N240+'2019'!N240+'2020'!N240+'2021'!N240+'2022'!N198</f>
        <v>0</v>
      </c>
      <c r="O240" s="176">
        <f>'2018'!O240+'2019'!O240+'2020'!O240+'2021'!O240+'2022'!O198</f>
        <v>0</v>
      </c>
      <c r="P240" s="176">
        <f>'2018'!P240+'2019'!P240+'2020'!P240+'2021'!P240+'2022'!P198</f>
        <v>0</v>
      </c>
      <c r="Q240" s="176">
        <f>'2018'!Q240+'2019'!Q240+'2020'!Q240+'2021'!Q240+'2022'!Q198</f>
        <v>0</v>
      </c>
      <c r="R240" s="176">
        <f>'2018'!R240+'2019'!R240+'2020'!R240+'2021'!R240+'2022'!R198</f>
        <v>0</v>
      </c>
      <c r="S240" s="176">
        <f>'2018'!S240+'2019'!S240+'2020'!S240+'2021'!S240+'2022'!S198</f>
        <v>0</v>
      </c>
      <c r="T240" s="176">
        <f>'2018'!T240+'2019'!T240+'2020'!T240+'2021'!T240+'2022'!T198</f>
        <v>0</v>
      </c>
      <c r="U240" s="176">
        <f>'2018'!U240+'2019'!U240+'2020'!U240+'2021'!U240+'2022'!U198</f>
        <v>1</v>
      </c>
      <c r="V240" s="176">
        <f>'2018'!V240+'2019'!V240+'2020'!V240+'2021'!V240+'2022'!V198</f>
        <v>12</v>
      </c>
      <c r="W240" s="176">
        <f>'2018'!W240+'2019'!W240+'2020'!W240+'2021'!W240+'2022'!W198</f>
        <v>0</v>
      </c>
      <c r="X240" s="176">
        <f>'2018'!X240+'2019'!X240+'2020'!X240+'2021'!X240+'2022'!X198</f>
        <v>0</v>
      </c>
      <c r="Y240" s="174">
        <f t="shared" si="34"/>
        <v>13</v>
      </c>
      <c r="Z240" s="174">
        <f>'2018'!Z240+'2019'!Z240+'2020'!Z240+'2021'!Z240+'2022'!Z198</f>
        <v>1</v>
      </c>
      <c r="AA240" s="174">
        <f>'2018'!AA240+'2019'!AA240+'2020'!AA240+'2021'!AA240+'2022'!AA198</f>
        <v>1</v>
      </c>
      <c r="AB240" s="174">
        <f>'2018'!AB240+'2019'!AB240+'2020'!AB240+'2021'!AB240+'2022'!AB198</f>
        <v>11</v>
      </c>
      <c r="AC240" s="174">
        <f>'2018'!AC240+'2019'!AC240+'2020'!AC240+'2021'!AC240+'2022'!AC198</f>
        <v>11</v>
      </c>
      <c r="AD240" s="174">
        <f>'2018'!AD240+'2019'!AD240+'2020'!AD240+'2021'!AD240+'2022'!AD198</f>
        <v>0</v>
      </c>
      <c r="AE240" s="174">
        <f>'2018'!AE240+'2019'!AE240+'2020'!AE240+'2021'!AE240+'2022'!AE198</f>
        <v>0</v>
      </c>
      <c r="AF240" s="174">
        <f>'2018'!AF240+'2019'!AF240+'2020'!AF240+'2021'!AF240+'2022'!AF198</f>
        <v>0</v>
      </c>
      <c r="AG240" s="174">
        <f>'2018'!AG240+'2019'!AG240+'2020'!AG240+'2021'!AG240+'2022'!AG198</f>
        <v>0</v>
      </c>
      <c r="AH240" s="174">
        <f>'2018'!AH240+'2019'!AH240+'2020'!AH240+'2021'!AH240+'2022'!AH198</f>
        <v>0</v>
      </c>
      <c r="AI240" s="174">
        <f>'2018'!AI240+'2019'!AI240+'2020'!AI240+'2021'!AI240+'2022'!AI198</f>
        <v>0</v>
      </c>
      <c r="AJ240" s="174">
        <f>'2018'!AJ240+'2019'!AJ240+'2020'!AJ240+'2021'!AJ240+'2022'!AJ198</f>
        <v>0</v>
      </c>
      <c r="AK240" s="174">
        <f>'2018'!AK240+'2019'!AK240+'2020'!AK240+'2021'!AK240+'2022'!AK198</f>
        <v>0</v>
      </c>
      <c r="AL240" s="174">
        <f>'2018'!AL240+'2019'!AL240+'2020'!AL240+'2021'!AL240+'2022'!AL198</f>
        <v>0</v>
      </c>
      <c r="AM240" s="174">
        <f>'2018'!AM240+'2019'!AM240+'2020'!AM240+'2021'!AM240+'2022'!AM198</f>
        <v>0</v>
      </c>
      <c r="AN240" s="174">
        <f>'2018'!AN240+'2019'!AN240+'2020'!AN240+'2021'!AN240+'2022'!AN198</f>
        <v>0</v>
      </c>
      <c r="AO240" s="174">
        <f>'2018'!AO240+'2019'!AO240+'2020'!AO240+'2021'!AO240+'2022'!AO198</f>
        <v>0</v>
      </c>
      <c r="AP240" s="174">
        <f>'2018'!AP240+'2019'!AP240+'2020'!AP240+'2021'!AP240+'2022'!AP198</f>
        <v>0</v>
      </c>
      <c r="AQ240" s="174">
        <f>'2018'!AQ240+'2019'!AQ240+'2020'!AQ240+'2021'!AQ240+'2022'!AQ198</f>
        <v>0</v>
      </c>
      <c r="AR240" s="174">
        <f>'2018'!AR240+'2019'!AR240+'2020'!AR240+'2021'!AR240+'2022'!AR198</f>
        <v>0</v>
      </c>
      <c r="AS240" s="174">
        <f>'2018'!AS240+'2019'!AS240+'2020'!AS240+'2021'!AS240+'2022'!AS198</f>
        <v>0</v>
      </c>
      <c r="AT240" s="174">
        <f>'2018'!AT240+'2019'!AT240+'2020'!AT240+'2021'!AT240+'2022'!AT198</f>
        <v>11</v>
      </c>
      <c r="AU240" s="174">
        <f>'2018'!AU240+'2019'!AU240+'2020'!AU240+'2021'!AU240+'2022'!AU198</f>
        <v>0</v>
      </c>
      <c r="AV240" s="174">
        <f>'2018'!AV240+'2019'!AV240+'2020'!AV240+'2021'!AV240+'2022'!AV198</f>
        <v>0</v>
      </c>
      <c r="AW240" s="174">
        <f t="shared" si="35"/>
        <v>11</v>
      </c>
      <c r="AX240" s="156">
        <f t="shared" si="36"/>
        <v>560</v>
      </c>
      <c r="AY240" s="14">
        <f>'2018'!AX240+'2019'!AX240+'2020'!AX240+'2021'!AX240+'2022'!AX198</f>
        <v>2800</v>
      </c>
      <c r="AZ240" s="14">
        <f t="shared" si="41"/>
        <v>84.615384615384613</v>
      </c>
      <c r="BA240" s="142"/>
      <c r="BB240" s="142"/>
      <c r="BC240" s="142"/>
    </row>
    <row r="241" spans="1:55" x14ac:dyDescent="0.25">
      <c r="A241" s="175" t="s">
        <v>108</v>
      </c>
      <c r="B241" s="176">
        <f>'2018'!B241+'2019'!B241+'2020'!B241+'2021'!B241+'2022'!B199</f>
        <v>9</v>
      </c>
      <c r="C241" s="176">
        <f>'2018'!C241+'2019'!C241+'2020'!C241+'2021'!C241+'2022'!C199</f>
        <v>0</v>
      </c>
      <c r="D241" s="176">
        <f>'2018'!D241+'2019'!D241+'2020'!D241+'2021'!D241+'2022'!D199</f>
        <v>20</v>
      </c>
      <c r="E241" s="176">
        <f>'2018'!E241+'2019'!E241+'2020'!E241+'2021'!E241+'2022'!E199</f>
        <v>0</v>
      </c>
      <c r="F241" s="176">
        <f>'2018'!F241+'2019'!F241+'2020'!F241+'2021'!F241+'2022'!F199</f>
        <v>0</v>
      </c>
      <c r="G241" s="176">
        <f>'2018'!G241+'2019'!G241+'2020'!G241+'2021'!G241+'2022'!G199</f>
        <v>0</v>
      </c>
      <c r="H241" s="176">
        <f>'2018'!H241+'2019'!H241+'2020'!H241+'2021'!H241+'2022'!H199</f>
        <v>3</v>
      </c>
      <c r="I241" s="176">
        <f>'2018'!I241+'2019'!I241+'2020'!I241+'2021'!I241+'2022'!I199</f>
        <v>0</v>
      </c>
      <c r="J241" s="176">
        <f>'2018'!J241+'2019'!J241+'2020'!J241+'2021'!J241+'2022'!J199</f>
        <v>0</v>
      </c>
      <c r="K241" s="176">
        <f>'2018'!K241+'2019'!K241+'2020'!K241+'2021'!K241+'2022'!K199</f>
        <v>0</v>
      </c>
      <c r="L241" s="176">
        <f>'2018'!L241+'2019'!L241+'2020'!L241+'2021'!L241+'2022'!L199</f>
        <v>0</v>
      </c>
      <c r="M241" s="176">
        <f>'2018'!M241+'2019'!M241+'2020'!M241+'2021'!M241+'2022'!M199</f>
        <v>1</v>
      </c>
      <c r="N241" s="176">
        <f>'2018'!N241+'2019'!N241+'2020'!N241+'2021'!N241+'2022'!N199</f>
        <v>0</v>
      </c>
      <c r="O241" s="176">
        <f>'2018'!O241+'2019'!O241+'2020'!O241+'2021'!O241+'2022'!O199</f>
        <v>0</v>
      </c>
      <c r="P241" s="176">
        <f>'2018'!P241+'2019'!P241+'2020'!P241+'2021'!P241+'2022'!P199</f>
        <v>0</v>
      </c>
      <c r="Q241" s="176">
        <f>'2018'!Q241+'2019'!Q241+'2020'!Q241+'2021'!Q241+'2022'!Q199</f>
        <v>0</v>
      </c>
      <c r="R241" s="176">
        <f>'2018'!R241+'2019'!R241+'2020'!R241+'2021'!R241+'2022'!R199</f>
        <v>15</v>
      </c>
      <c r="S241" s="176">
        <f>'2018'!S241+'2019'!S241+'2020'!S241+'2021'!S241+'2022'!S199</f>
        <v>1</v>
      </c>
      <c r="T241" s="176">
        <f>'2018'!T241+'2019'!T241+'2020'!T241+'2021'!T241+'2022'!T199</f>
        <v>0</v>
      </c>
      <c r="U241" s="176">
        <f>'2018'!U241+'2019'!U241+'2020'!U241+'2021'!U241+'2022'!U199</f>
        <v>0</v>
      </c>
      <c r="V241" s="176">
        <f>'2018'!V241+'2019'!V241+'2020'!V241+'2021'!V241+'2022'!V199</f>
        <v>0</v>
      </c>
      <c r="W241" s="176">
        <f>'2018'!W241+'2019'!W241+'2020'!W241+'2021'!W241+'2022'!W199</f>
        <v>0</v>
      </c>
      <c r="X241" s="176">
        <f>'2018'!X241+'2019'!X241+'2020'!X241+'2021'!X241+'2022'!X199</f>
        <v>0</v>
      </c>
      <c r="Y241" s="174">
        <f t="shared" si="34"/>
        <v>20</v>
      </c>
      <c r="Z241" s="174">
        <f>'2018'!Z241+'2019'!Z241+'2020'!Z241+'2021'!Z241+'2022'!Z199</f>
        <v>4</v>
      </c>
      <c r="AA241" s="174">
        <f>'2018'!AA241+'2019'!AA241+'2020'!AA241+'2021'!AA241+'2022'!AA199</f>
        <v>0</v>
      </c>
      <c r="AB241" s="174">
        <f>'2018'!AB241+'2019'!AB241+'2020'!AB241+'2021'!AB241+'2022'!AB199</f>
        <v>15</v>
      </c>
      <c r="AC241" s="174">
        <f>'2018'!AC241+'2019'!AC241+'2020'!AC241+'2021'!AC241+'2022'!AC199</f>
        <v>0</v>
      </c>
      <c r="AD241" s="174">
        <f>'2018'!AD241+'2019'!AD241+'2020'!AD241+'2021'!AD241+'2022'!AD199</f>
        <v>0</v>
      </c>
      <c r="AE241" s="174">
        <f>'2018'!AE241+'2019'!AE241+'2020'!AE241+'2021'!AE241+'2022'!AE199</f>
        <v>0</v>
      </c>
      <c r="AF241" s="174">
        <f>'2018'!AF241+'2019'!AF241+'2020'!AF241+'2021'!AF241+'2022'!AF199</f>
        <v>0</v>
      </c>
      <c r="AG241" s="174">
        <f>'2018'!AG241+'2019'!AG241+'2020'!AG241+'2021'!AG241+'2022'!AG199</f>
        <v>0</v>
      </c>
      <c r="AH241" s="174">
        <f>'2018'!AH241+'2019'!AH241+'2020'!AH241+'2021'!AH241+'2022'!AH199</f>
        <v>0</v>
      </c>
      <c r="AI241" s="174">
        <f>'2018'!AI241+'2019'!AI241+'2020'!AI241+'2021'!AI241+'2022'!AI199</f>
        <v>0</v>
      </c>
      <c r="AJ241" s="174">
        <f>'2018'!AJ241+'2019'!AJ241+'2020'!AJ241+'2021'!AJ241+'2022'!AJ199</f>
        <v>0</v>
      </c>
      <c r="AK241" s="174">
        <f>'2018'!AK241+'2019'!AK241+'2020'!AK241+'2021'!AK241+'2022'!AK199</f>
        <v>1</v>
      </c>
      <c r="AL241" s="174">
        <f>'2018'!AL241+'2019'!AL241+'2020'!AL241+'2021'!AL241+'2022'!AL199</f>
        <v>0</v>
      </c>
      <c r="AM241" s="174">
        <f>'2018'!AM241+'2019'!AM241+'2020'!AM241+'2021'!AM241+'2022'!AM199</f>
        <v>0</v>
      </c>
      <c r="AN241" s="174">
        <f>'2018'!AN241+'2019'!AN241+'2020'!AN241+'2021'!AN241+'2022'!AN199</f>
        <v>0</v>
      </c>
      <c r="AO241" s="174">
        <f>'2018'!AO241+'2019'!AO241+'2020'!AO241+'2021'!AO241+'2022'!AO199</f>
        <v>0</v>
      </c>
      <c r="AP241" s="174">
        <f>'2018'!AP241+'2019'!AP241+'2020'!AP241+'2021'!AP241+'2022'!AP199</f>
        <v>14</v>
      </c>
      <c r="AQ241" s="174">
        <f>'2018'!AQ241+'2019'!AQ241+'2020'!AQ241+'2021'!AQ241+'2022'!AQ199</f>
        <v>0</v>
      </c>
      <c r="AR241" s="174">
        <f>'2018'!AR241+'2019'!AR241+'2020'!AR241+'2021'!AR241+'2022'!AR199</f>
        <v>0</v>
      </c>
      <c r="AS241" s="174">
        <f>'2018'!AS241+'2019'!AS241+'2020'!AS241+'2021'!AS241+'2022'!AS199</f>
        <v>0</v>
      </c>
      <c r="AT241" s="174">
        <f>'2018'!AT241+'2019'!AT241+'2020'!AT241+'2021'!AT241+'2022'!AT199</f>
        <v>0</v>
      </c>
      <c r="AU241" s="174">
        <f>'2018'!AU241+'2019'!AU241+'2020'!AU241+'2021'!AU241+'2022'!AU199</f>
        <v>0</v>
      </c>
      <c r="AV241" s="174">
        <f>'2018'!AV241+'2019'!AV241+'2020'!AV241+'2021'!AV241+'2022'!AV199</f>
        <v>0</v>
      </c>
      <c r="AW241" s="174">
        <f t="shared" si="35"/>
        <v>15</v>
      </c>
      <c r="AX241" s="156">
        <f t="shared" si="36"/>
        <v>534.4</v>
      </c>
      <c r="AY241" s="14">
        <f>'2018'!AX241+'2019'!AX241+'2020'!AX241+'2021'!AX241+'2022'!AX199</f>
        <v>2672</v>
      </c>
      <c r="AZ241" s="14">
        <f t="shared" si="41"/>
        <v>75</v>
      </c>
      <c r="BA241" s="142"/>
      <c r="BB241" s="144"/>
      <c r="BC241" s="142"/>
    </row>
    <row r="242" spans="1:55" x14ac:dyDescent="0.25">
      <c r="A242" s="175" t="s">
        <v>109</v>
      </c>
      <c r="B242" s="176">
        <f>'2018'!B242+'2019'!B242+'2020'!B242+'2021'!B242+'2022'!B200</f>
        <v>6</v>
      </c>
      <c r="C242" s="176">
        <f>'2018'!C242+'2019'!C242+'2020'!C242+'2021'!C242+'2022'!C200</f>
        <v>0</v>
      </c>
      <c r="D242" s="176">
        <f>'2018'!D242+'2019'!D242+'2020'!D242+'2021'!D242+'2022'!D200</f>
        <v>6</v>
      </c>
      <c r="E242" s="176">
        <f>'2018'!E242+'2019'!E242+'2020'!E242+'2021'!E242+'2022'!E200</f>
        <v>0</v>
      </c>
      <c r="F242" s="176">
        <f>'2018'!F242+'2019'!F242+'2020'!F242+'2021'!F242+'2022'!F200</f>
        <v>0</v>
      </c>
      <c r="G242" s="176">
        <f>'2018'!G242+'2019'!G242+'2020'!G242+'2021'!G242+'2022'!G200</f>
        <v>0</v>
      </c>
      <c r="H242" s="176">
        <f>'2018'!H242+'2019'!H242+'2020'!H242+'2021'!H242+'2022'!H200</f>
        <v>1</v>
      </c>
      <c r="I242" s="176">
        <f>'2018'!I242+'2019'!I242+'2020'!I242+'2021'!I242+'2022'!I200</f>
        <v>0</v>
      </c>
      <c r="J242" s="176">
        <f>'2018'!J242+'2019'!J242+'2020'!J242+'2021'!J242+'2022'!J200</f>
        <v>0</v>
      </c>
      <c r="K242" s="176">
        <f>'2018'!K242+'2019'!K242+'2020'!K242+'2021'!K242+'2022'!K200</f>
        <v>0</v>
      </c>
      <c r="L242" s="176">
        <f>'2018'!L242+'2019'!L242+'2020'!L242+'2021'!L242+'2022'!L200</f>
        <v>0</v>
      </c>
      <c r="M242" s="176">
        <f>'2018'!M242+'2019'!M242+'2020'!M242+'2021'!M242+'2022'!M200</f>
        <v>1</v>
      </c>
      <c r="N242" s="176">
        <f>'2018'!N242+'2019'!N242+'2020'!N242+'2021'!N242+'2022'!N200</f>
        <v>0</v>
      </c>
      <c r="O242" s="176">
        <f>'2018'!O242+'2019'!O242+'2020'!O242+'2021'!O242+'2022'!O200</f>
        <v>0</v>
      </c>
      <c r="P242" s="176">
        <f>'2018'!P242+'2019'!P242+'2020'!P242+'2021'!P242+'2022'!P200</f>
        <v>0</v>
      </c>
      <c r="Q242" s="176">
        <f>'2018'!Q242+'2019'!Q242+'2020'!Q242+'2021'!Q242+'2022'!Q200</f>
        <v>0</v>
      </c>
      <c r="R242" s="176">
        <f>'2018'!R242+'2019'!R242+'2020'!R242+'2021'!R242+'2022'!R200</f>
        <v>3</v>
      </c>
      <c r="S242" s="176">
        <f>'2018'!S242+'2019'!S242+'2020'!S242+'2021'!S242+'2022'!S200</f>
        <v>0</v>
      </c>
      <c r="T242" s="176">
        <f>'2018'!T242+'2019'!T242+'2020'!T242+'2021'!T242+'2022'!T200</f>
        <v>0</v>
      </c>
      <c r="U242" s="176">
        <f>'2018'!U242+'2019'!U242+'2020'!U242+'2021'!U242+'2022'!U200</f>
        <v>1</v>
      </c>
      <c r="V242" s="176">
        <f>'2018'!V242+'2019'!V242+'2020'!V242+'2021'!V242+'2022'!V200</f>
        <v>0</v>
      </c>
      <c r="W242" s="176">
        <f>'2018'!W242+'2019'!W242+'2020'!W242+'2021'!W242+'2022'!W200</f>
        <v>0</v>
      </c>
      <c r="X242" s="176">
        <f>'2018'!X242+'2019'!X242+'2020'!X242+'2021'!X242+'2022'!X200</f>
        <v>0</v>
      </c>
      <c r="Y242" s="174">
        <f t="shared" si="34"/>
        <v>6</v>
      </c>
      <c r="Z242" s="174">
        <f>'2018'!Z242+'2019'!Z242+'2020'!Z242+'2021'!Z242+'2022'!Z200</f>
        <v>4</v>
      </c>
      <c r="AA242" s="174">
        <f>'2018'!AA242+'2019'!AA242+'2020'!AA242+'2021'!AA242+'2022'!AA200</f>
        <v>0</v>
      </c>
      <c r="AB242" s="174">
        <f>'2018'!AB242+'2019'!AB242+'2020'!AB242+'2021'!AB242+'2022'!AB200</f>
        <v>4</v>
      </c>
      <c r="AC242" s="174">
        <f>'2018'!AC242+'2019'!AC242+'2020'!AC242+'2021'!AC242+'2022'!AC200</f>
        <v>0</v>
      </c>
      <c r="AD242" s="174">
        <f>'2018'!AD242+'2019'!AD242+'2020'!AD242+'2021'!AD242+'2022'!AD200</f>
        <v>0</v>
      </c>
      <c r="AE242" s="174">
        <f>'2018'!AE242+'2019'!AE242+'2020'!AE242+'2021'!AE242+'2022'!AE200</f>
        <v>0</v>
      </c>
      <c r="AF242" s="174">
        <f>'2018'!AF242+'2019'!AF242+'2020'!AF242+'2021'!AF242+'2022'!AF200</f>
        <v>1</v>
      </c>
      <c r="AG242" s="174">
        <f>'2018'!AG242+'2019'!AG242+'2020'!AG242+'2021'!AG242+'2022'!AG200</f>
        <v>0</v>
      </c>
      <c r="AH242" s="174">
        <f>'2018'!AH242+'2019'!AH242+'2020'!AH242+'2021'!AH242+'2022'!AH200</f>
        <v>0</v>
      </c>
      <c r="AI242" s="174">
        <f>'2018'!AI242+'2019'!AI242+'2020'!AI242+'2021'!AI242+'2022'!AI200</f>
        <v>0</v>
      </c>
      <c r="AJ242" s="174">
        <f>'2018'!AJ242+'2019'!AJ242+'2020'!AJ242+'2021'!AJ242+'2022'!AJ200</f>
        <v>0</v>
      </c>
      <c r="AK242" s="174">
        <f>'2018'!AK242+'2019'!AK242+'2020'!AK242+'2021'!AK242+'2022'!AK200</f>
        <v>0</v>
      </c>
      <c r="AL242" s="174">
        <f>'2018'!AL242+'2019'!AL242+'2020'!AL242+'2021'!AL242+'2022'!AL200</f>
        <v>0</v>
      </c>
      <c r="AM242" s="174">
        <f>'2018'!AM242+'2019'!AM242+'2020'!AM242+'2021'!AM242+'2022'!AM200</f>
        <v>0</v>
      </c>
      <c r="AN242" s="174">
        <f>'2018'!AN242+'2019'!AN242+'2020'!AN242+'2021'!AN242+'2022'!AN200</f>
        <v>0</v>
      </c>
      <c r="AO242" s="174">
        <f>'2018'!AO242+'2019'!AO242+'2020'!AO242+'2021'!AO242+'2022'!AO200</f>
        <v>0</v>
      </c>
      <c r="AP242" s="174">
        <f>'2018'!AP242+'2019'!AP242+'2020'!AP242+'2021'!AP242+'2022'!AP200</f>
        <v>2</v>
      </c>
      <c r="AQ242" s="174">
        <f>'2018'!AQ242+'2019'!AQ242+'2020'!AQ242+'2021'!AQ242+'2022'!AQ200</f>
        <v>0</v>
      </c>
      <c r="AR242" s="174">
        <f>'2018'!AR242+'2019'!AR242+'2020'!AR242+'2021'!AR242+'2022'!AR200</f>
        <v>0</v>
      </c>
      <c r="AS242" s="174">
        <f>'2018'!AS242+'2019'!AS242+'2020'!AS242+'2021'!AS242+'2022'!AS200</f>
        <v>1</v>
      </c>
      <c r="AT242" s="174">
        <f>'2018'!AT242+'2019'!AT242+'2020'!AT242+'2021'!AT242+'2022'!AT200</f>
        <v>0</v>
      </c>
      <c r="AU242" s="174">
        <f>'2018'!AU242+'2019'!AU242+'2020'!AU242+'2021'!AU242+'2022'!AU200</f>
        <v>0</v>
      </c>
      <c r="AV242" s="174">
        <f>'2018'!AV242+'2019'!AV242+'2020'!AV242+'2021'!AV242+'2022'!AV200</f>
        <v>0</v>
      </c>
      <c r="AW242" s="174">
        <f t="shared" si="35"/>
        <v>4</v>
      </c>
      <c r="AX242" s="156">
        <f t="shared" si="36"/>
        <v>897.4</v>
      </c>
      <c r="AY242" s="14">
        <f>'2018'!AX242+'2019'!AX242+'2020'!AX242+'2021'!AX242+'2022'!AX200</f>
        <v>4487</v>
      </c>
      <c r="AZ242" s="14">
        <f t="shared" si="41"/>
        <v>66.666666666666671</v>
      </c>
      <c r="BA242" s="142"/>
      <c r="BB242" s="144"/>
      <c r="BC242" s="142"/>
    </row>
    <row r="243" spans="1:55" x14ac:dyDescent="0.25">
      <c r="A243" s="175" t="s">
        <v>110</v>
      </c>
      <c r="B243" s="176">
        <f>'2018'!B243+'2019'!B243+'2020'!B243+'2021'!B243+'2022'!B201</f>
        <v>11</v>
      </c>
      <c r="C243" s="176">
        <f>'2018'!C243+'2019'!C243+'2020'!C243+'2021'!C243+'2022'!C201</f>
        <v>10</v>
      </c>
      <c r="D243" s="176">
        <f>'2018'!D243+'2019'!D243+'2020'!D243+'2021'!D243+'2022'!D201</f>
        <v>19</v>
      </c>
      <c r="E243" s="176">
        <f>'2018'!E243+'2019'!E243+'2020'!E243+'2021'!E243+'2022'!E201</f>
        <v>17</v>
      </c>
      <c r="F243" s="176">
        <f>'2018'!F243+'2019'!F243+'2020'!F243+'2021'!F243+'2022'!F201</f>
        <v>0</v>
      </c>
      <c r="G243" s="176">
        <f>'2018'!G243+'2019'!G243+'2020'!G243+'2021'!G243+'2022'!G201</f>
        <v>0</v>
      </c>
      <c r="H243" s="176">
        <f>'2018'!H243+'2019'!H243+'2020'!H243+'2021'!H243+'2022'!H201</f>
        <v>0</v>
      </c>
      <c r="I243" s="176">
        <f>'2018'!I243+'2019'!I243+'2020'!I243+'2021'!I243+'2022'!I201</f>
        <v>0</v>
      </c>
      <c r="J243" s="176">
        <f>'2018'!J243+'2019'!J243+'2020'!J243+'2021'!J243+'2022'!J201</f>
        <v>0</v>
      </c>
      <c r="K243" s="176">
        <f>'2018'!K243+'2019'!K243+'2020'!K243+'2021'!K243+'2022'!K201</f>
        <v>0</v>
      </c>
      <c r="L243" s="176">
        <f>'2018'!L243+'2019'!L243+'2020'!L243+'2021'!L243+'2022'!L201</f>
        <v>0</v>
      </c>
      <c r="M243" s="176">
        <f>'2018'!M243+'2019'!M243+'2020'!M243+'2021'!M243+'2022'!M201</f>
        <v>0</v>
      </c>
      <c r="N243" s="176">
        <f>'2018'!N243+'2019'!N243+'2020'!N243+'2021'!N243+'2022'!N201</f>
        <v>0</v>
      </c>
      <c r="O243" s="176">
        <f>'2018'!O243+'2019'!O243+'2020'!O243+'2021'!O243+'2022'!O201</f>
        <v>0</v>
      </c>
      <c r="P243" s="176">
        <f>'2018'!P243+'2019'!P243+'2020'!P243+'2021'!P243+'2022'!P201</f>
        <v>0</v>
      </c>
      <c r="Q243" s="176">
        <f>'2018'!Q243+'2019'!Q243+'2020'!Q243+'2021'!Q243+'2022'!Q201</f>
        <v>0</v>
      </c>
      <c r="R243" s="176">
        <f>'2018'!R243+'2019'!R243+'2020'!R243+'2021'!R243+'2022'!R201</f>
        <v>2</v>
      </c>
      <c r="S243" s="176">
        <f>'2018'!S243+'2019'!S243+'2020'!S243+'2021'!S243+'2022'!S201</f>
        <v>0</v>
      </c>
      <c r="T243" s="176">
        <f>'2018'!T243+'2019'!T243+'2020'!T243+'2021'!T243+'2022'!T201</f>
        <v>1</v>
      </c>
      <c r="U243" s="176">
        <f>'2018'!U243+'2019'!U243+'2020'!U243+'2021'!U243+'2022'!U201</f>
        <v>0</v>
      </c>
      <c r="V243" s="176">
        <f>'2018'!V243+'2019'!V243+'2020'!V243+'2021'!V243+'2022'!V201</f>
        <v>8</v>
      </c>
      <c r="W243" s="176">
        <f>'2018'!W243+'2019'!W243+'2020'!W243+'2021'!W243+'2022'!W201</f>
        <v>6</v>
      </c>
      <c r="X243" s="176">
        <f>'2018'!X243+'2019'!X243+'2020'!X243+'2021'!X243+'2022'!X201</f>
        <v>2</v>
      </c>
      <c r="Y243" s="174">
        <f t="shared" si="34"/>
        <v>19</v>
      </c>
      <c r="Z243" s="174">
        <f>'2018'!Z243+'2019'!Z243+'2020'!Z243+'2021'!Z243+'2022'!Z201</f>
        <v>5</v>
      </c>
      <c r="AA243" s="174">
        <f>'2018'!AA243+'2019'!AA243+'2020'!AA243+'2021'!AA243+'2022'!AA201</f>
        <v>4</v>
      </c>
      <c r="AB243" s="174">
        <f>'2018'!AB243+'2019'!AB243+'2020'!AB243+'2021'!AB243+'2022'!AB201</f>
        <v>7</v>
      </c>
      <c r="AC243" s="174">
        <f>'2018'!AC243+'2019'!AC243+'2020'!AC243+'2021'!AC243+'2022'!AC201</f>
        <v>5</v>
      </c>
      <c r="AD243" s="174">
        <f>'2018'!AD243+'2019'!AD243+'2020'!AD243+'2021'!AD243+'2022'!AD201</f>
        <v>0</v>
      </c>
      <c r="AE243" s="174">
        <f>'2018'!AE243+'2019'!AE243+'2020'!AE243+'2021'!AE243+'2022'!AE201</f>
        <v>0</v>
      </c>
      <c r="AF243" s="174">
        <f>'2018'!AF243+'2019'!AF243+'2020'!AF243+'2021'!AF243+'2022'!AF201</f>
        <v>0</v>
      </c>
      <c r="AG243" s="174">
        <f>'2018'!AG243+'2019'!AG243+'2020'!AG243+'2021'!AG243+'2022'!AG201</f>
        <v>0</v>
      </c>
      <c r="AH243" s="174">
        <f>'2018'!AH243+'2019'!AH243+'2020'!AH243+'2021'!AH243+'2022'!AH201</f>
        <v>0</v>
      </c>
      <c r="AI243" s="174">
        <f>'2018'!AI243+'2019'!AI243+'2020'!AI243+'2021'!AI243+'2022'!AI201</f>
        <v>0</v>
      </c>
      <c r="AJ243" s="174">
        <f>'2018'!AJ243+'2019'!AJ243+'2020'!AJ243+'2021'!AJ243+'2022'!AJ201</f>
        <v>0</v>
      </c>
      <c r="AK243" s="174">
        <f>'2018'!AK243+'2019'!AK243+'2020'!AK243+'2021'!AK243+'2022'!AK201</f>
        <v>0</v>
      </c>
      <c r="AL243" s="174">
        <f>'2018'!AL243+'2019'!AL243+'2020'!AL243+'2021'!AL243+'2022'!AL201</f>
        <v>0</v>
      </c>
      <c r="AM243" s="174">
        <f>'2018'!AM243+'2019'!AM243+'2020'!AM243+'2021'!AM243+'2022'!AM201</f>
        <v>0</v>
      </c>
      <c r="AN243" s="174">
        <f>'2018'!AN243+'2019'!AN243+'2020'!AN243+'2021'!AN243+'2022'!AN201</f>
        <v>0</v>
      </c>
      <c r="AO243" s="174">
        <f>'2018'!AO243+'2019'!AO243+'2020'!AO243+'2021'!AO243+'2022'!AO201</f>
        <v>0</v>
      </c>
      <c r="AP243" s="174">
        <f>'2018'!AP243+'2019'!AP243+'2020'!AP243+'2021'!AP243+'2022'!AP201</f>
        <v>2</v>
      </c>
      <c r="AQ243" s="174">
        <f>'2018'!AQ243+'2019'!AQ243+'2020'!AQ243+'2021'!AQ243+'2022'!AQ201</f>
        <v>0</v>
      </c>
      <c r="AR243" s="174">
        <f>'2018'!AR243+'2019'!AR243+'2020'!AR243+'2021'!AR243+'2022'!AR201</f>
        <v>1</v>
      </c>
      <c r="AS243" s="174">
        <f>'2018'!AS243+'2019'!AS243+'2020'!AS243+'2021'!AS243+'2022'!AS201</f>
        <v>0</v>
      </c>
      <c r="AT243" s="174">
        <f>'2018'!AT243+'2019'!AT243+'2020'!AT243+'2021'!AT243+'2022'!AT201</f>
        <v>2</v>
      </c>
      <c r="AU243" s="174">
        <f>'2018'!AU243+'2019'!AU243+'2020'!AU243+'2021'!AU243+'2022'!AU201</f>
        <v>0</v>
      </c>
      <c r="AV243" s="174">
        <f>'2018'!AV243+'2019'!AV243+'2020'!AV243+'2021'!AV243+'2022'!AV201</f>
        <v>2</v>
      </c>
      <c r="AW243" s="174">
        <f t="shared" si="35"/>
        <v>7</v>
      </c>
      <c r="AX243" s="156">
        <f t="shared" si="36"/>
        <v>342.24</v>
      </c>
      <c r="AY243" s="14">
        <f>'2018'!AX243+'2019'!AX243+'2020'!AX243+'2021'!AX243+'2022'!AX201</f>
        <v>1711.2</v>
      </c>
      <c r="AZ243" s="14">
        <f t="shared" si="41"/>
        <v>36.842105263157897</v>
      </c>
      <c r="BA243" s="142"/>
      <c r="BB243" s="144"/>
      <c r="BC243" s="142"/>
    </row>
    <row r="244" spans="1:55" x14ac:dyDescent="0.25">
      <c r="A244" s="175" t="s">
        <v>111</v>
      </c>
      <c r="B244" s="176">
        <f>'2018'!B244+'2019'!B244+'2020'!B244+'2021'!B244+'2022'!B202</f>
        <v>12</v>
      </c>
      <c r="C244" s="176">
        <f>'2018'!C244+'2019'!C244+'2020'!C244+'2021'!C244+'2022'!C202</f>
        <v>11</v>
      </c>
      <c r="D244" s="176">
        <f>'2018'!D244+'2019'!D244+'2020'!D244+'2021'!D244+'2022'!D202</f>
        <v>16</v>
      </c>
      <c r="E244" s="176">
        <f>'2018'!E244+'2019'!E244+'2020'!E244+'2021'!E244+'2022'!E202</f>
        <v>15</v>
      </c>
      <c r="F244" s="176">
        <f>'2018'!F244+'2019'!F244+'2020'!F244+'2021'!F244+'2022'!F202</f>
        <v>0</v>
      </c>
      <c r="G244" s="176">
        <f>'2018'!G244+'2019'!G244+'2020'!G244+'2021'!G244+'2022'!G202</f>
        <v>0</v>
      </c>
      <c r="H244" s="176">
        <f>'2018'!H244+'2019'!H244+'2020'!H244+'2021'!H244+'2022'!H202</f>
        <v>1</v>
      </c>
      <c r="I244" s="176">
        <f>'2018'!I244+'2019'!I244+'2020'!I244+'2021'!I244+'2022'!I202</f>
        <v>0</v>
      </c>
      <c r="J244" s="176">
        <f>'2018'!J244+'2019'!J244+'2020'!J244+'2021'!J244+'2022'!J202</f>
        <v>0</v>
      </c>
      <c r="K244" s="176">
        <f>'2018'!K244+'2019'!K244+'2020'!K244+'2021'!K244+'2022'!K202</f>
        <v>0</v>
      </c>
      <c r="L244" s="176">
        <f>'2018'!L244+'2019'!L244+'2020'!L244+'2021'!L244+'2022'!L202</f>
        <v>0</v>
      </c>
      <c r="M244" s="176">
        <f>'2018'!M244+'2019'!M244+'2020'!M244+'2021'!M244+'2022'!M202</f>
        <v>0</v>
      </c>
      <c r="N244" s="176">
        <f>'2018'!N244+'2019'!N244+'2020'!N244+'2021'!N244+'2022'!N202</f>
        <v>0</v>
      </c>
      <c r="O244" s="176">
        <f>'2018'!O244+'2019'!O244+'2020'!O244+'2021'!O244+'2022'!O202</f>
        <v>0</v>
      </c>
      <c r="P244" s="176">
        <f>'2018'!P244+'2019'!P244+'2020'!P244+'2021'!P244+'2022'!P202</f>
        <v>0</v>
      </c>
      <c r="Q244" s="176">
        <f>'2018'!Q244+'2019'!Q244+'2020'!Q244+'2021'!Q244+'2022'!Q202</f>
        <v>0</v>
      </c>
      <c r="R244" s="176">
        <f>'2018'!R244+'2019'!R244+'2020'!R244+'2021'!R244+'2022'!R202</f>
        <v>0</v>
      </c>
      <c r="S244" s="176">
        <f>'2018'!S244+'2019'!S244+'2020'!S244+'2021'!S244+'2022'!S202</f>
        <v>0</v>
      </c>
      <c r="T244" s="176">
        <f>'2018'!T244+'2019'!T244+'2020'!T244+'2021'!T244+'2022'!T202</f>
        <v>3</v>
      </c>
      <c r="U244" s="176">
        <f>'2018'!U244+'2019'!U244+'2020'!U244+'2021'!U244+'2022'!U202</f>
        <v>0</v>
      </c>
      <c r="V244" s="176">
        <f>'2018'!V244+'2019'!V244+'2020'!V244+'2021'!V244+'2022'!V202</f>
        <v>12</v>
      </c>
      <c r="W244" s="176">
        <f>'2018'!W244+'2019'!W244+'2020'!W244+'2021'!W244+'2022'!W202</f>
        <v>0</v>
      </c>
      <c r="X244" s="176">
        <f>'2018'!X244+'2019'!X244+'2020'!X244+'2021'!X244+'2022'!X202</f>
        <v>0</v>
      </c>
      <c r="Y244" s="174">
        <f t="shared" si="34"/>
        <v>16</v>
      </c>
      <c r="Z244" s="174">
        <f>'2018'!Z244+'2019'!Z244+'2020'!Z244+'2021'!Z244+'2022'!Z202</f>
        <v>10</v>
      </c>
      <c r="AA244" s="174">
        <f>'2018'!AA244+'2019'!AA244+'2020'!AA244+'2021'!AA244+'2022'!AA202</f>
        <v>9</v>
      </c>
      <c r="AB244" s="174">
        <f>'2018'!AB244+'2019'!AB244+'2020'!AB244+'2021'!AB244+'2022'!AB202</f>
        <v>13</v>
      </c>
      <c r="AC244" s="174">
        <f>'2018'!AC244+'2019'!AC244+'2020'!AC244+'2021'!AC244+'2022'!AC202</f>
        <v>12</v>
      </c>
      <c r="AD244" s="174">
        <f>'2018'!AD244+'2019'!AD244+'2020'!AD244+'2021'!AD244+'2022'!AD202</f>
        <v>0</v>
      </c>
      <c r="AE244" s="174">
        <f>'2018'!AE244+'2019'!AE244+'2020'!AE244+'2021'!AE244+'2022'!AE202</f>
        <v>0</v>
      </c>
      <c r="AF244" s="174">
        <f>'2018'!AF244+'2019'!AF244+'2020'!AF244+'2021'!AF244+'2022'!AF202</f>
        <v>1</v>
      </c>
      <c r="AG244" s="174">
        <f>'2018'!AG244+'2019'!AG244+'2020'!AG244+'2021'!AG244+'2022'!AG202</f>
        <v>0</v>
      </c>
      <c r="AH244" s="174">
        <f>'2018'!AH244+'2019'!AH244+'2020'!AH244+'2021'!AH244+'2022'!AH202</f>
        <v>0</v>
      </c>
      <c r="AI244" s="174">
        <f>'2018'!AI244+'2019'!AI244+'2020'!AI244+'2021'!AI244+'2022'!AI202</f>
        <v>0</v>
      </c>
      <c r="AJ244" s="174">
        <f>'2018'!AJ244+'2019'!AJ244+'2020'!AJ244+'2021'!AJ244+'2022'!AJ202</f>
        <v>0</v>
      </c>
      <c r="AK244" s="174">
        <f>'2018'!AK244+'2019'!AK244+'2020'!AK244+'2021'!AK244+'2022'!AK202</f>
        <v>0</v>
      </c>
      <c r="AL244" s="174">
        <f>'2018'!AL244+'2019'!AL244+'2020'!AL244+'2021'!AL244+'2022'!AL202</f>
        <v>0</v>
      </c>
      <c r="AM244" s="174">
        <f>'2018'!AM244+'2019'!AM244+'2020'!AM244+'2021'!AM244+'2022'!AM202</f>
        <v>0</v>
      </c>
      <c r="AN244" s="174">
        <f>'2018'!AN244+'2019'!AN244+'2020'!AN244+'2021'!AN244+'2022'!AN202</f>
        <v>0</v>
      </c>
      <c r="AO244" s="174">
        <f>'2018'!AO244+'2019'!AO244+'2020'!AO244+'2021'!AO244+'2022'!AO202</f>
        <v>0</v>
      </c>
      <c r="AP244" s="174">
        <f>'2018'!AP244+'2019'!AP244+'2020'!AP244+'2021'!AP244+'2022'!AP202</f>
        <v>0</v>
      </c>
      <c r="AQ244" s="174">
        <f>'2018'!AQ244+'2019'!AQ244+'2020'!AQ244+'2021'!AQ244+'2022'!AQ202</f>
        <v>0</v>
      </c>
      <c r="AR244" s="174">
        <f>'2018'!AR244+'2019'!AR244+'2020'!AR244+'2021'!AR244+'2022'!AR202</f>
        <v>0</v>
      </c>
      <c r="AS244" s="174">
        <f>'2018'!AS244+'2019'!AS244+'2020'!AS244+'2021'!AS244+'2022'!AS202</f>
        <v>0</v>
      </c>
      <c r="AT244" s="174">
        <f>'2018'!AT244+'2019'!AT244+'2020'!AT244+'2021'!AT244+'2022'!AT202</f>
        <v>12</v>
      </c>
      <c r="AU244" s="174">
        <f>'2018'!AU244+'2019'!AU244+'2020'!AU244+'2021'!AU244+'2022'!AU202</f>
        <v>0</v>
      </c>
      <c r="AV244" s="174">
        <f>'2018'!AV244+'2019'!AV244+'2020'!AV244+'2021'!AV244+'2022'!AV202</f>
        <v>0</v>
      </c>
      <c r="AW244" s="174">
        <f t="shared" si="35"/>
        <v>13</v>
      </c>
      <c r="AX244" s="156">
        <f t="shared" si="36"/>
        <v>88.2</v>
      </c>
      <c r="AY244" s="14">
        <f>'2018'!AX244+'2019'!AX244+'2020'!AX244+'2021'!AX244+'2022'!AX202</f>
        <v>441</v>
      </c>
      <c r="AZ244" s="14">
        <f t="shared" si="41"/>
        <v>81.25</v>
      </c>
      <c r="BA244" s="142"/>
      <c r="BB244" s="144"/>
      <c r="BC244" s="142"/>
    </row>
    <row r="245" spans="1:55" x14ac:dyDescent="0.25">
      <c r="A245" s="175" t="s">
        <v>112</v>
      </c>
      <c r="B245" s="176">
        <f>'2018'!B245+'2019'!B245+'2020'!B245+'2021'!B245+'2022'!B203</f>
        <v>7</v>
      </c>
      <c r="C245" s="176">
        <f>'2018'!C245+'2019'!C245+'2020'!C245+'2021'!C245+'2022'!C203</f>
        <v>0</v>
      </c>
      <c r="D245" s="176">
        <f>'2018'!D245+'2019'!D245+'2020'!D245+'2021'!D245+'2022'!D203</f>
        <v>23</v>
      </c>
      <c r="E245" s="176">
        <f>'2018'!E245+'2019'!E245+'2020'!E245+'2021'!E245+'2022'!E203</f>
        <v>0</v>
      </c>
      <c r="F245" s="176">
        <f>'2018'!F245+'2019'!F245+'2020'!F245+'2021'!F245+'2022'!F203</f>
        <v>0</v>
      </c>
      <c r="G245" s="176">
        <f>'2018'!G245+'2019'!G245+'2020'!G245+'2021'!G245+'2022'!G203</f>
        <v>0</v>
      </c>
      <c r="H245" s="176">
        <f>'2018'!H245+'2019'!H245+'2020'!H245+'2021'!H245+'2022'!H203</f>
        <v>6</v>
      </c>
      <c r="I245" s="176">
        <f>'2018'!I245+'2019'!I245+'2020'!I245+'2021'!I245+'2022'!I203</f>
        <v>4</v>
      </c>
      <c r="J245" s="176">
        <f>'2018'!J245+'2019'!J245+'2020'!J245+'2021'!J245+'2022'!J203</f>
        <v>0</v>
      </c>
      <c r="K245" s="176">
        <f>'2018'!K245+'2019'!K245+'2020'!K245+'2021'!K245+'2022'!K203</f>
        <v>0</v>
      </c>
      <c r="L245" s="176">
        <f>'2018'!L245+'2019'!L245+'2020'!L245+'2021'!L245+'2022'!L203</f>
        <v>0</v>
      </c>
      <c r="M245" s="176">
        <f>'2018'!M245+'2019'!M245+'2020'!M245+'2021'!M245+'2022'!M203</f>
        <v>0</v>
      </c>
      <c r="N245" s="176">
        <f>'2018'!N245+'2019'!N245+'2020'!N245+'2021'!N245+'2022'!N203</f>
        <v>0</v>
      </c>
      <c r="O245" s="176">
        <f>'2018'!O245+'2019'!O245+'2020'!O245+'2021'!O245+'2022'!O203</f>
        <v>0</v>
      </c>
      <c r="P245" s="176">
        <f>'2018'!P245+'2019'!P245+'2020'!P245+'2021'!P245+'2022'!P203</f>
        <v>0</v>
      </c>
      <c r="Q245" s="176">
        <f>'2018'!Q245+'2019'!Q245+'2020'!Q245+'2021'!Q245+'2022'!Q203</f>
        <v>0</v>
      </c>
      <c r="R245" s="176">
        <f>'2018'!R245+'2019'!R245+'2020'!R245+'2021'!R245+'2022'!R203</f>
        <v>0</v>
      </c>
      <c r="S245" s="176">
        <f>'2018'!S245+'2019'!S245+'2020'!S245+'2021'!S245+'2022'!S203</f>
        <v>0</v>
      </c>
      <c r="T245" s="176">
        <f>'2018'!T245+'2019'!T245+'2020'!T245+'2021'!T245+'2022'!T203</f>
        <v>0</v>
      </c>
      <c r="U245" s="176">
        <f>'2018'!U245+'2019'!U245+'2020'!U245+'2021'!U245+'2022'!U203</f>
        <v>0</v>
      </c>
      <c r="V245" s="176">
        <f>'2018'!V245+'2019'!V245+'2020'!V245+'2021'!V245+'2022'!V203</f>
        <v>0</v>
      </c>
      <c r="W245" s="176">
        <f>'2018'!W245+'2019'!W245+'2020'!W245+'2021'!W245+'2022'!W203</f>
        <v>0</v>
      </c>
      <c r="X245" s="176">
        <f>'2018'!X245+'2019'!X245+'2020'!X245+'2021'!X245+'2022'!X203</f>
        <v>13</v>
      </c>
      <c r="Y245" s="174">
        <f t="shared" si="34"/>
        <v>23</v>
      </c>
      <c r="Z245" s="174">
        <f>'2018'!Z245+'2019'!Z245+'2020'!Z245+'2021'!Z245+'2022'!Z203</f>
        <v>7</v>
      </c>
      <c r="AA245" s="174">
        <f>'2018'!AA245+'2019'!AA245+'2020'!AA245+'2021'!AA245+'2022'!AA203</f>
        <v>0</v>
      </c>
      <c r="AB245" s="174">
        <f>'2018'!AB245+'2019'!AB245+'2020'!AB245+'2021'!AB245+'2022'!AB203</f>
        <v>23</v>
      </c>
      <c r="AC245" s="174">
        <f>'2018'!AC245+'2019'!AC245+'2020'!AC245+'2021'!AC245+'2022'!AC203</f>
        <v>0</v>
      </c>
      <c r="AD245" s="174">
        <f>'2018'!AD245+'2019'!AD245+'2020'!AD245+'2021'!AD245+'2022'!AD203</f>
        <v>0</v>
      </c>
      <c r="AE245" s="174">
        <f>'2018'!AE245+'2019'!AE245+'2020'!AE245+'2021'!AE245+'2022'!AE203</f>
        <v>0</v>
      </c>
      <c r="AF245" s="174">
        <f>'2018'!AF245+'2019'!AF245+'2020'!AF245+'2021'!AF245+'2022'!AF203</f>
        <v>6</v>
      </c>
      <c r="AG245" s="174">
        <f>'2018'!AG245+'2019'!AG245+'2020'!AG245+'2021'!AG245+'2022'!AG203</f>
        <v>4</v>
      </c>
      <c r="AH245" s="174">
        <f>'2018'!AH245+'2019'!AH245+'2020'!AH245+'2021'!AH245+'2022'!AH203</f>
        <v>0</v>
      </c>
      <c r="AI245" s="174">
        <f>'2018'!AI245+'2019'!AI245+'2020'!AI245+'2021'!AI245+'2022'!AI203</f>
        <v>0</v>
      </c>
      <c r="AJ245" s="174">
        <f>'2018'!AJ245+'2019'!AJ245+'2020'!AJ245+'2021'!AJ245+'2022'!AJ203</f>
        <v>0</v>
      </c>
      <c r="AK245" s="174">
        <f>'2018'!AK245+'2019'!AK245+'2020'!AK245+'2021'!AK245+'2022'!AK203</f>
        <v>0</v>
      </c>
      <c r="AL245" s="174">
        <f>'2018'!AL245+'2019'!AL245+'2020'!AL245+'2021'!AL245+'2022'!AL203</f>
        <v>0</v>
      </c>
      <c r="AM245" s="174">
        <f>'2018'!AM245+'2019'!AM245+'2020'!AM245+'2021'!AM245+'2022'!AM203</f>
        <v>0</v>
      </c>
      <c r="AN245" s="174">
        <f>'2018'!AN245+'2019'!AN245+'2020'!AN245+'2021'!AN245+'2022'!AN203</f>
        <v>0</v>
      </c>
      <c r="AO245" s="174">
        <f>'2018'!AO245+'2019'!AO245+'2020'!AO245+'2021'!AO245+'2022'!AO203</f>
        <v>0</v>
      </c>
      <c r="AP245" s="174">
        <f>'2018'!AP245+'2019'!AP245+'2020'!AP245+'2021'!AP245+'2022'!AP203</f>
        <v>0</v>
      </c>
      <c r="AQ245" s="174">
        <f>'2018'!AQ245+'2019'!AQ245+'2020'!AQ245+'2021'!AQ245+'2022'!AQ203</f>
        <v>0</v>
      </c>
      <c r="AR245" s="174">
        <f>'2018'!AR245+'2019'!AR245+'2020'!AR245+'2021'!AR245+'2022'!AR203</f>
        <v>0</v>
      </c>
      <c r="AS245" s="174">
        <f>'2018'!AS245+'2019'!AS245+'2020'!AS245+'2021'!AS245+'2022'!AS203</f>
        <v>0</v>
      </c>
      <c r="AT245" s="174">
        <f>'2018'!AT245+'2019'!AT245+'2020'!AT245+'2021'!AT245+'2022'!AT203</f>
        <v>0</v>
      </c>
      <c r="AU245" s="174">
        <f>'2018'!AU245+'2019'!AU245+'2020'!AU245+'2021'!AU245+'2022'!AU203</f>
        <v>0</v>
      </c>
      <c r="AV245" s="174">
        <f>'2018'!AV245+'2019'!AV245+'2020'!AV245+'2021'!AV245+'2022'!AV203</f>
        <v>13</v>
      </c>
      <c r="AW245" s="174">
        <f t="shared" si="35"/>
        <v>23</v>
      </c>
      <c r="AX245" s="156">
        <f t="shared" si="36"/>
        <v>322.39999999999998</v>
      </c>
      <c r="AY245" s="14">
        <f>'2018'!AX245+'2019'!AX245+'2020'!AX245+'2021'!AX245+'2022'!AX203</f>
        <v>1612</v>
      </c>
      <c r="AZ245" s="14">
        <f t="shared" si="41"/>
        <v>100</v>
      </c>
      <c r="BA245" s="142"/>
      <c r="BB245" s="144"/>
      <c r="BC245" s="142"/>
    </row>
    <row r="246" spans="1:55" x14ac:dyDescent="0.25">
      <c r="A246" s="175" t="s">
        <v>113</v>
      </c>
      <c r="B246" s="176">
        <f>'2018'!B246+'2019'!B246+'2020'!B246+'2021'!B246+'2022'!B204</f>
        <v>17</v>
      </c>
      <c r="C246" s="176">
        <f>'2018'!C246+'2019'!C246+'2020'!C246+'2021'!C246+'2022'!C204</f>
        <v>10</v>
      </c>
      <c r="D246" s="176">
        <f>'2018'!D246+'2019'!D246+'2020'!D246+'2021'!D246+'2022'!D204</f>
        <v>23</v>
      </c>
      <c r="E246" s="176">
        <f>'2018'!E246+'2019'!E246+'2020'!E246+'2021'!E246+'2022'!E204</f>
        <v>10</v>
      </c>
      <c r="F246" s="176">
        <f>'2018'!F246+'2019'!F246+'2020'!F246+'2021'!F246+'2022'!F204</f>
        <v>0</v>
      </c>
      <c r="G246" s="176">
        <f>'2018'!G246+'2019'!G246+'2020'!G246+'2021'!G246+'2022'!G204</f>
        <v>0</v>
      </c>
      <c r="H246" s="176">
        <f>'2018'!H246+'2019'!H246+'2020'!H246+'2021'!H246+'2022'!H204</f>
        <v>0</v>
      </c>
      <c r="I246" s="176">
        <f>'2018'!I246+'2019'!I246+'2020'!I246+'2021'!I246+'2022'!I204</f>
        <v>0</v>
      </c>
      <c r="J246" s="176">
        <f>'2018'!J246+'2019'!J246+'2020'!J246+'2021'!J246+'2022'!J204</f>
        <v>0</v>
      </c>
      <c r="K246" s="176">
        <f>'2018'!K246+'2019'!K246+'2020'!K246+'2021'!K246+'2022'!K204</f>
        <v>0</v>
      </c>
      <c r="L246" s="176">
        <f>'2018'!L246+'2019'!L246+'2020'!L246+'2021'!L246+'2022'!L204</f>
        <v>1</v>
      </c>
      <c r="M246" s="176">
        <f>'2018'!M246+'2019'!M246+'2020'!M246+'2021'!M246+'2022'!M204</f>
        <v>0</v>
      </c>
      <c r="N246" s="176">
        <f>'2018'!N246+'2019'!N246+'2020'!N246+'2021'!N246+'2022'!N204</f>
        <v>0</v>
      </c>
      <c r="O246" s="176">
        <f>'2018'!O246+'2019'!O246+'2020'!O246+'2021'!O246+'2022'!O204</f>
        <v>0</v>
      </c>
      <c r="P246" s="176">
        <f>'2018'!P246+'2019'!P246+'2020'!P246+'2021'!P246+'2022'!P204</f>
        <v>1</v>
      </c>
      <c r="Q246" s="176">
        <f>'2018'!Q246+'2019'!Q246+'2020'!Q246+'2021'!Q246+'2022'!Q204</f>
        <v>0</v>
      </c>
      <c r="R246" s="176">
        <f>'2018'!R246+'2019'!R246+'2020'!R246+'2021'!R246+'2022'!R204</f>
        <v>1</v>
      </c>
      <c r="S246" s="176">
        <f>'2018'!S246+'2019'!S246+'2020'!S246+'2021'!S246+'2022'!S204</f>
        <v>0</v>
      </c>
      <c r="T246" s="176">
        <f>'2018'!T246+'2019'!T246+'2020'!T246+'2021'!T246+'2022'!T204</f>
        <v>7</v>
      </c>
      <c r="U246" s="176">
        <f>'2018'!U246+'2019'!U246+'2020'!U246+'2021'!U246+'2022'!U204</f>
        <v>2</v>
      </c>
      <c r="V246" s="176">
        <f>'2018'!V246+'2019'!V246+'2020'!V246+'2021'!V246+'2022'!V204</f>
        <v>8</v>
      </c>
      <c r="W246" s="176">
        <f>'2018'!W246+'2019'!W246+'2020'!W246+'2021'!W246+'2022'!W204</f>
        <v>0</v>
      </c>
      <c r="X246" s="176">
        <f>'2018'!X246+'2019'!X246+'2020'!X246+'2021'!X246+'2022'!X204</f>
        <v>3</v>
      </c>
      <c r="Y246" s="174">
        <f t="shared" si="34"/>
        <v>23</v>
      </c>
      <c r="Z246" s="174">
        <f>'2018'!Z246+'2019'!Z246+'2020'!Z246+'2021'!Z246+'2022'!Z204</f>
        <v>9</v>
      </c>
      <c r="AA246" s="174">
        <f>'2018'!AA246+'2019'!AA246+'2020'!AA246+'2021'!AA246+'2022'!AA204</f>
        <v>4</v>
      </c>
      <c r="AB246" s="174">
        <f>'2018'!AB246+'2019'!AB246+'2020'!AB246+'2021'!AB246+'2022'!AB204</f>
        <v>15</v>
      </c>
      <c r="AC246" s="174">
        <f>'2018'!AC246+'2019'!AC246+'2020'!AC246+'2021'!AC246+'2022'!AC204</f>
        <v>4</v>
      </c>
      <c r="AD246" s="174">
        <f>'2018'!AD246+'2019'!AD246+'2020'!AD246+'2021'!AD246+'2022'!AD204</f>
        <v>0</v>
      </c>
      <c r="AE246" s="174">
        <f>'2018'!AE246+'2019'!AE246+'2020'!AE246+'2021'!AE246+'2022'!AE204</f>
        <v>0</v>
      </c>
      <c r="AF246" s="174">
        <f>'2018'!AF246+'2019'!AF246+'2020'!AF246+'2021'!AF246+'2022'!AF204</f>
        <v>0</v>
      </c>
      <c r="AG246" s="174">
        <f>'2018'!AG246+'2019'!AG246+'2020'!AG246+'2021'!AG246+'2022'!AG204</f>
        <v>0</v>
      </c>
      <c r="AH246" s="174">
        <f>'2018'!AH246+'2019'!AH246+'2020'!AH246+'2021'!AH246+'2022'!AH204</f>
        <v>0</v>
      </c>
      <c r="AI246" s="174">
        <f>'2018'!AI246+'2019'!AI246+'2020'!AI246+'2021'!AI246+'2022'!AI204</f>
        <v>0</v>
      </c>
      <c r="AJ246" s="174">
        <f>'2018'!AJ246+'2019'!AJ246+'2020'!AJ246+'2021'!AJ246+'2022'!AJ204</f>
        <v>1</v>
      </c>
      <c r="AK246" s="174">
        <f>'2018'!AK246+'2019'!AK246+'2020'!AK246+'2021'!AK246+'2022'!AK204</f>
        <v>0</v>
      </c>
      <c r="AL246" s="174">
        <f>'2018'!AL246+'2019'!AL246+'2020'!AL246+'2021'!AL246+'2022'!AL204</f>
        <v>0</v>
      </c>
      <c r="AM246" s="174">
        <f>'2018'!AM246+'2019'!AM246+'2020'!AM246+'2021'!AM246+'2022'!AM204</f>
        <v>0</v>
      </c>
      <c r="AN246" s="174">
        <f>'2018'!AN246+'2019'!AN246+'2020'!AN246+'2021'!AN246+'2022'!AN204</f>
        <v>0</v>
      </c>
      <c r="AO246" s="174">
        <f>'2018'!AO246+'2019'!AO246+'2020'!AO246+'2021'!AO246+'2022'!AO204</f>
        <v>0</v>
      </c>
      <c r="AP246" s="174">
        <f>'2018'!AP246+'2019'!AP246+'2020'!AP246+'2021'!AP246+'2022'!AP204</f>
        <v>0</v>
      </c>
      <c r="AQ246" s="174">
        <f>'2018'!AQ246+'2019'!AQ246+'2020'!AQ246+'2021'!AQ246+'2022'!AQ204</f>
        <v>0</v>
      </c>
      <c r="AR246" s="174">
        <f>'2018'!AR246+'2019'!AR246+'2020'!AR246+'2021'!AR246+'2022'!AR204</f>
        <v>1</v>
      </c>
      <c r="AS246" s="174">
        <f>'2018'!AS246+'2019'!AS246+'2020'!AS246+'2021'!AS246+'2022'!AS204</f>
        <v>2</v>
      </c>
      <c r="AT246" s="174">
        <f>'2018'!AT246+'2019'!AT246+'2020'!AT246+'2021'!AT246+'2022'!AT204</f>
        <v>8</v>
      </c>
      <c r="AU246" s="174">
        <f>'2018'!AU246+'2019'!AU246+'2020'!AU246+'2021'!AU246+'2022'!AU204</f>
        <v>0</v>
      </c>
      <c r="AV246" s="174">
        <f>'2018'!AV246+'2019'!AV246+'2020'!AV246+'2021'!AV246+'2022'!AV204</f>
        <v>3</v>
      </c>
      <c r="AW246" s="174">
        <f t="shared" si="35"/>
        <v>15</v>
      </c>
      <c r="AX246" s="156">
        <f t="shared" si="36"/>
        <v>489.04800000000006</v>
      </c>
      <c r="AY246" s="14">
        <f>'2018'!AX246+'2019'!AX246+'2020'!AX246+'2021'!AX246+'2022'!AX204</f>
        <v>2445.2400000000002</v>
      </c>
      <c r="AZ246" s="14">
        <f t="shared" si="41"/>
        <v>65.217391304347828</v>
      </c>
      <c r="BA246" s="142"/>
      <c r="BB246" s="144"/>
      <c r="BC246" s="142"/>
    </row>
    <row r="247" spans="1:55" s="187" customFormat="1" x14ac:dyDescent="0.25">
      <c r="A247" s="177" t="s">
        <v>56</v>
      </c>
      <c r="B247" s="177">
        <f>'2018'!B247+'2019'!B247+'2020'!B247+'2021'!B247+'2022'!B247</f>
        <v>13937</v>
      </c>
      <c r="C247" s="177">
        <f>'2018'!C247+'2019'!C247+'2020'!C247+'2021'!C247+'2022'!C247</f>
        <v>2691</v>
      </c>
      <c r="D247" s="177">
        <f>'2018'!D247+'2019'!D247+'2020'!D247+'2021'!D247+'2022'!D247</f>
        <v>50133</v>
      </c>
      <c r="E247" s="177">
        <f>'2018'!E247+'2019'!E247+'2020'!E247+'2021'!E247+'2022'!E247</f>
        <v>12530</v>
      </c>
      <c r="F247" s="177">
        <f>'2018'!F247+'2019'!F247+'2020'!F247+'2021'!F247+'2022'!F247</f>
        <v>56</v>
      </c>
      <c r="G247" s="177">
        <f>'2018'!G247+'2019'!G247+'2020'!G247+'2021'!G247+'2022'!G247</f>
        <v>61</v>
      </c>
      <c r="H247" s="177">
        <f>'2018'!H247+'2019'!H247+'2020'!H247+'2021'!H247+'2022'!H247</f>
        <v>15411</v>
      </c>
      <c r="I247" s="177">
        <f>'2018'!I247+'2019'!I247+'2020'!I247+'2021'!I247+'2022'!I247</f>
        <v>92</v>
      </c>
      <c r="J247" s="177">
        <f>'2018'!J247+'2019'!J247+'2020'!J247+'2021'!J247+'2022'!J247</f>
        <v>689</v>
      </c>
      <c r="K247" s="177">
        <f>'2018'!K247+'2019'!K247+'2020'!K247+'2021'!K247+'2022'!K247</f>
        <v>2375</v>
      </c>
      <c r="L247" s="177">
        <f>'2018'!L247+'2019'!L247+'2020'!L247+'2021'!L247+'2022'!L247</f>
        <v>3175</v>
      </c>
      <c r="M247" s="177">
        <f>'2018'!M247+'2019'!M247+'2020'!M247+'2021'!M247+'2022'!M247</f>
        <v>648</v>
      </c>
      <c r="N247" s="177">
        <f>'2018'!N247+'2019'!N247+'2020'!N247+'2021'!N247+'2022'!N247</f>
        <v>2038</v>
      </c>
      <c r="O247" s="177">
        <f>'2018'!O247+'2019'!O247+'2020'!O247+'2021'!O247+'2022'!O247</f>
        <v>508</v>
      </c>
      <c r="P247" s="177">
        <f>'2018'!P247+'2019'!P247+'2020'!P247+'2021'!P247+'2022'!P247</f>
        <v>422</v>
      </c>
      <c r="Q247" s="177">
        <f>'2018'!Q247+'2019'!Q247+'2020'!Q247+'2021'!Q247+'2022'!Q247</f>
        <v>418</v>
      </c>
      <c r="R247" s="177">
        <f>'2018'!R247+'2019'!R247+'2020'!R247+'2021'!R247+'2022'!R247</f>
        <v>1755</v>
      </c>
      <c r="S247" s="177">
        <f>'2018'!S247+'2019'!S247+'2020'!S247+'2021'!S247+'2022'!S247</f>
        <v>488</v>
      </c>
      <c r="T247" s="177">
        <f>'2018'!T247+'2019'!T247+'2020'!T247+'2021'!T247+'2022'!T247</f>
        <v>1673</v>
      </c>
      <c r="U247" s="177">
        <f>'2018'!U247+'2019'!U247+'2020'!U247+'2021'!U247+'2022'!U247</f>
        <v>2211</v>
      </c>
      <c r="V247" s="177">
        <f>'2018'!V247+'2019'!V247+'2020'!V247+'2021'!V247+'2022'!V247</f>
        <v>13749</v>
      </c>
      <c r="W247" s="177">
        <f>'2018'!W247+'2019'!W247+'2020'!W247+'2021'!W247+'2022'!W247</f>
        <v>291</v>
      </c>
      <c r="X247" s="177">
        <f>'2018'!X247+'2019'!X247+'2020'!X247+'2021'!X247+'2022'!X247</f>
        <v>4073</v>
      </c>
      <c r="Y247" s="177">
        <f>'2018'!Y247+'2019'!Y247+'2020'!Y247+'2021'!Y247+'2022'!Y247</f>
        <v>50133</v>
      </c>
      <c r="Z247" s="177">
        <f>'2018'!Z247+'2019'!Z247+'2020'!Z247+'2021'!Z247+'2022'!Z247</f>
        <v>9892</v>
      </c>
      <c r="AA247" s="177">
        <f>'2018'!AA247+'2019'!AA247+'2020'!AA247+'2021'!AA247+'2022'!AA247</f>
        <v>2012</v>
      </c>
      <c r="AB247" s="177">
        <f>'2018'!AB247+'2019'!AB247+'2020'!AB247+'2021'!AB247+'2022'!AB247</f>
        <v>34385</v>
      </c>
      <c r="AC247" s="177">
        <f>'2018'!AC247+'2019'!AC247+'2020'!AC247+'2021'!AC247+'2022'!AC247</f>
        <v>9814</v>
      </c>
      <c r="AD247" s="177">
        <f>'2018'!AD247+'2019'!AD247+'2020'!AD247+'2021'!AD247+'2022'!AD247</f>
        <v>70</v>
      </c>
      <c r="AE247" s="177">
        <f>'2018'!AE247+'2019'!AE247+'2020'!AE247+'2021'!AE247+'2022'!AE247</f>
        <v>52</v>
      </c>
      <c r="AF247" s="177">
        <f>'2018'!AF247+'2019'!AF247+'2020'!AF247+'2021'!AF247+'2022'!AF247</f>
        <v>10910</v>
      </c>
      <c r="AG247" s="177">
        <f>'2018'!AG247+'2019'!AG247+'2020'!AG247+'2021'!AG247+'2022'!AG247</f>
        <v>78</v>
      </c>
      <c r="AH247" s="177">
        <f>'2018'!AH247+'2019'!AH247+'2020'!AH247+'2021'!AH247+'2022'!AH247</f>
        <v>549</v>
      </c>
      <c r="AI247" s="177">
        <f>'2018'!AI247+'2019'!AI247+'2020'!AI247+'2021'!AI247+'2022'!AI247</f>
        <v>1458</v>
      </c>
      <c r="AJ247" s="177">
        <f>'2018'!AJ247+'2019'!AJ247+'2020'!AJ247+'2021'!AJ247+'2022'!AJ247</f>
        <v>1870</v>
      </c>
      <c r="AK247" s="177">
        <f>'2018'!AK247+'2019'!AK247+'2020'!AK247+'2021'!AK247+'2022'!AK247</f>
        <v>401</v>
      </c>
      <c r="AL247" s="177">
        <f>'2018'!AL247+'2019'!AL247+'2020'!AL247+'2021'!AL247+'2022'!AL247</f>
        <v>1220</v>
      </c>
      <c r="AM247" s="177">
        <f>'2018'!AM247+'2019'!AM247+'2020'!AM247+'2021'!AM247+'2022'!AM247</f>
        <v>302</v>
      </c>
      <c r="AN247" s="177">
        <f>'2018'!AN247+'2019'!AN247+'2020'!AN247+'2021'!AN247+'2022'!AN247</f>
        <v>354</v>
      </c>
      <c r="AO247" s="177">
        <f>'2018'!AO247+'2019'!AO247+'2020'!AO247+'2021'!AO247+'2022'!AO247</f>
        <v>166</v>
      </c>
      <c r="AP247" s="177">
        <f>'2018'!AP247+'2019'!AP247+'2020'!AP247+'2021'!AP247+'2022'!AP247</f>
        <v>1052</v>
      </c>
      <c r="AQ247" s="177">
        <f>'2018'!AQ247+'2019'!AQ247+'2020'!AQ247+'2021'!AQ247+'2022'!AQ247</f>
        <v>302</v>
      </c>
      <c r="AR247" s="177">
        <f>'2018'!AR247+'2019'!AR247+'2020'!AR247+'2021'!AR247+'2022'!AR247</f>
        <v>1170</v>
      </c>
      <c r="AS247" s="177">
        <f>'2018'!AS247+'2019'!AS247+'2020'!AS247+'2021'!AS247+'2022'!AS247</f>
        <v>1651</v>
      </c>
      <c r="AT247" s="177">
        <f>'2018'!AT247+'2019'!AT247+'2020'!AT247+'2021'!AT247+'2022'!AT247</f>
        <v>10620</v>
      </c>
      <c r="AU247" s="177">
        <f>'2018'!AU247+'2019'!AU247+'2020'!AU247+'2021'!AU247+'2022'!AU247</f>
        <v>151</v>
      </c>
      <c r="AV247" s="177">
        <f>'2018'!AV247+'2019'!AV247+'2020'!AV247+'2021'!AV247+'2022'!AV247</f>
        <v>2007</v>
      </c>
      <c r="AW247" s="177">
        <f>'2018'!AW247+'2019'!AW247+'2020'!AW247+'2021'!AW247+'2022'!AW247</f>
        <v>34385</v>
      </c>
      <c r="AX247" s="178">
        <v>1651.26</v>
      </c>
      <c r="AY247" s="67">
        <f>'2018'!AX247+'2019'!AX247+'2020'!AX247+'2021'!AX247+'2022'!AX247</f>
        <v>12079.599999999999</v>
      </c>
      <c r="AZ247" s="67">
        <f t="shared" ref="AZ247" si="42">AB247*100/D247</f>
        <v>68.587557098119007</v>
      </c>
      <c r="BA247" s="184">
        <f>Z247*100/B247</f>
        <v>70.976537274879817</v>
      </c>
      <c r="BB247" s="185">
        <f>B247-Z247</f>
        <v>4045</v>
      </c>
      <c r="BC247" s="184">
        <f>BB247*100/B247</f>
        <v>29.023462725120183</v>
      </c>
    </row>
    <row r="248" spans="1:55" customFormat="1" hidden="1" x14ac:dyDescent="0.25">
      <c r="B248" s="2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22"/>
      <c r="AY248" s="22"/>
      <c r="AZ248" s="22"/>
      <c r="BB248" s="22"/>
    </row>
    <row r="250" spans="1:55" ht="24" customHeight="1" x14ac:dyDescent="0.25">
      <c r="C250" s="144"/>
      <c r="E250" s="144"/>
      <c r="AA250" s="144"/>
    </row>
    <row r="251" spans="1:55" s="188" customFormat="1" ht="44.45" customHeight="1" x14ac:dyDescent="0.25">
      <c r="B251" s="189"/>
      <c r="C251" s="190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0"/>
      <c r="AY251" s="53"/>
      <c r="AZ251" s="53"/>
      <c r="BA251" s="192"/>
      <c r="BB251" s="193"/>
      <c r="BC251" s="192"/>
    </row>
    <row r="252" spans="1:55" x14ac:dyDescent="0.25">
      <c r="E252" s="187"/>
      <c r="J252" s="187"/>
      <c r="P252" s="187"/>
      <c r="U252" s="187"/>
      <c r="Z252" s="187"/>
      <c r="AE252" s="187"/>
    </row>
    <row r="260" spans="2:52" x14ac:dyDescent="0.25"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87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/>
      <c r="AZ260"/>
    </row>
  </sheetData>
  <autoFilter ref="A5:EF248" xr:uid="{00000000-0009-0000-0000-000009000000}">
    <filterColumn colId="51">
      <colorFilter dxfId="0"/>
    </filterColumn>
  </autoFilter>
  <mergeCells count="9">
    <mergeCell ref="AW3:AW5"/>
    <mergeCell ref="A3:A5"/>
    <mergeCell ref="B3:C4"/>
    <mergeCell ref="D3:E4"/>
    <mergeCell ref="F3:X4"/>
    <mergeCell ref="Z3:AA4"/>
    <mergeCell ref="Y3:Y5"/>
    <mergeCell ref="AB3:AC4"/>
    <mergeCell ref="AD3:AV4"/>
  </mergeCells>
  <pageMargins left="0.7" right="0.7" top="0.75" bottom="0.75" header="0.3" footer="0.3"/>
  <pageSetup paperSize="9" orientation="portrait" r:id="rId1"/>
  <ignoredErrors>
    <ignoredError sqref="AU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2018</vt:lpstr>
      <vt:lpstr>2019</vt:lpstr>
      <vt:lpstr>2020</vt:lpstr>
      <vt:lpstr>2021</vt:lpstr>
      <vt:lpstr>2022 Iza</vt:lpstr>
      <vt:lpstr>2022 Natalia</vt:lpstr>
      <vt:lpstr>2022</vt:lpstr>
      <vt:lpstr>2018-2020</vt:lpstr>
      <vt:lpstr>2018-2022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barbra.woloszynska</dc:creator>
  <cp:lastModifiedBy>Barbara Wołoszyńska</cp:lastModifiedBy>
  <dcterms:created xsi:type="dcterms:W3CDTF">2022-01-10T07:15:13Z</dcterms:created>
  <dcterms:modified xsi:type="dcterms:W3CDTF">2024-01-04T12:29:39Z</dcterms:modified>
</cp:coreProperties>
</file>