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45" windowWidth="19035" windowHeight="8910" tabRatio="949"/>
  </bookViews>
  <sheets>
    <sheet name="T.I" sheetId="26" r:id="rId1"/>
    <sheet name="T.II" sheetId="2" r:id="rId2"/>
    <sheet name="T.III" sheetId="6" r:id="rId3"/>
    <sheet name="T.IV" sheetId="28" r:id="rId4"/>
    <sheet name="T.V" sheetId="27" r:id="rId5"/>
    <sheet name="T.VI" sheetId="31" r:id="rId6"/>
    <sheet name="T.VII" sheetId="29" r:id="rId7"/>
    <sheet name="T.VIII" sheetId="32" r:id="rId8"/>
    <sheet name="T.IX T.X T.XI" sheetId="12" r:id="rId9"/>
    <sheet name="T.XII" sheetId="48" r:id="rId10"/>
    <sheet name="T.XIII" sheetId="47" r:id="rId11"/>
    <sheet name="T.XIV A" sheetId="50" r:id="rId12"/>
    <sheet name="T.XIV B" sheetId="53" r:id="rId13"/>
    <sheet name="T.XIV C" sheetId="52" r:id="rId14"/>
    <sheet name="T.XV" sheetId="3" r:id="rId15"/>
    <sheet name="T.XVI" sheetId="15" r:id="rId16"/>
    <sheet name="T.XVII" sheetId="49" r:id="rId17"/>
    <sheet name="T.XVIII A" sheetId="55" r:id="rId18"/>
    <sheet name="T.XVIII B" sheetId="56" r:id="rId19"/>
    <sheet name="T.XVIII C" sheetId="54" r:id="rId20"/>
    <sheet name="T.XIX" sheetId="37" r:id="rId21"/>
    <sheet name="T.XX" sheetId="40" r:id="rId22"/>
    <sheet name="T.XXI" sheetId="39" r:id="rId23"/>
    <sheet name="T.XXII A" sheetId="34" r:id="rId24"/>
    <sheet name="T.XXII B" sheetId="57" r:id="rId25"/>
    <sheet name="T.XXIII" sheetId="41" r:id="rId26"/>
    <sheet name="T.XXIV" sheetId="42" r:id="rId27"/>
    <sheet name="T.XXV" sheetId="17" r:id="rId28"/>
    <sheet name="T.XXV A" sheetId="58" r:id="rId29"/>
    <sheet name="T.XXVI" sheetId="43" r:id="rId30"/>
    <sheet name="T.XXVII" sheetId="44" r:id="rId31"/>
    <sheet name="T.XXVIII" sheetId="45" r:id="rId32"/>
    <sheet name="T.XXIX" sheetId="18" r:id="rId33"/>
    <sheet name="T.XXX" sheetId="46" r:id="rId34"/>
    <sheet name="T.XXXI" sheetId="21" r:id="rId35"/>
  </sheets>
  <calcPr calcId="145621"/>
</workbook>
</file>

<file path=xl/calcChain.xml><?xml version="1.0" encoding="utf-8"?>
<calcChain xmlns="http://schemas.openxmlformats.org/spreadsheetml/2006/main">
  <c r="F12" i="34" l="1"/>
  <c r="F11" i="34"/>
  <c r="D11" i="34"/>
  <c r="H7" i="3" l="1"/>
  <c r="G7" i="3"/>
  <c r="F7" i="3"/>
  <c r="E7" i="3"/>
  <c r="D7" i="3"/>
  <c r="C7" i="3"/>
  <c r="C29" i="12"/>
  <c r="C28" i="12"/>
  <c r="L33" i="55" l="1"/>
  <c r="F33" i="55"/>
  <c r="F32" i="55"/>
  <c r="G33" i="55"/>
  <c r="E11" i="34"/>
  <c r="G29" i="56" l="1"/>
  <c r="F29" i="56"/>
  <c r="F11" i="55"/>
  <c r="F9" i="55"/>
  <c r="F7" i="55"/>
  <c r="C32" i="49"/>
  <c r="C31" i="49"/>
  <c r="C30" i="49"/>
  <c r="I32" i="15"/>
  <c r="H32" i="15"/>
  <c r="G32" i="15"/>
  <c r="F32" i="15"/>
  <c r="E32" i="15"/>
  <c r="D32" i="15"/>
  <c r="I31" i="15"/>
  <c r="H31" i="15"/>
  <c r="G31" i="15"/>
  <c r="F31" i="15"/>
  <c r="E31" i="15"/>
  <c r="D31" i="15"/>
  <c r="I30" i="15"/>
  <c r="H30" i="15"/>
  <c r="G30" i="15"/>
  <c r="F30" i="15"/>
  <c r="E30" i="15"/>
  <c r="D30" i="15"/>
  <c r="C32" i="15"/>
  <c r="C31" i="15"/>
  <c r="C30" i="15"/>
  <c r="I33" i="15"/>
  <c r="C35" i="15"/>
  <c r="E34" i="15"/>
  <c r="E33" i="15"/>
  <c r="C33" i="15"/>
  <c r="G31" i="3"/>
  <c r="H9" i="31"/>
  <c r="D12" i="27"/>
  <c r="D9" i="27"/>
  <c r="D8" i="27"/>
  <c r="F10" i="28"/>
  <c r="F29" i="53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36" i="50"/>
  <c r="F35" i="50"/>
  <c r="F33" i="50"/>
  <c r="F32" i="50"/>
  <c r="F31" i="50"/>
  <c r="F30" i="50"/>
  <c r="F29" i="50"/>
  <c r="F28" i="50"/>
  <c r="F27" i="50"/>
  <c r="F26" i="50"/>
  <c r="F25" i="50"/>
  <c r="F24" i="50"/>
  <c r="F23" i="50"/>
  <c r="F22" i="50"/>
  <c r="F21" i="50"/>
  <c r="F20" i="50"/>
  <c r="F19" i="50"/>
  <c r="F18" i="50"/>
  <c r="F17" i="50"/>
  <c r="F16" i="50"/>
  <c r="F15" i="50"/>
  <c r="F14" i="50"/>
  <c r="F13" i="50"/>
  <c r="F12" i="50"/>
  <c r="F11" i="50"/>
  <c r="F10" i="50"/>
  <c r="F9" i="50"/>
  <c r="F8" i="50"/>
  <c r="F7" i="50"/>
  <c r="F6" i="50"/>
  <c r="F9" i="52"/>
  <c r="F11" i="52"/>
  <c r="F13" i="52"/>
  <c r="F15" i="52"/>
  <c r="F17" i="52"/>
  <c r="F19" i="52"/>
  <c r="F21" i="52"/>
  <c r="F23" i="52"/>
  <c r="F25" i="52"/>
  <c r="F27" i="52"/>
  <c r="F29" i="52"/>
  <c r="F31" i="52"/>
  <c r="F33" i="52"/>
  <c r="F35" i="52"/>
  <c r="F37" i="52"/>
  <c r="L33" i="52"/>
  <c r="K33" i="52"/>
  <c r="J33" i="52"/>
  <c r="I33" i="52"/>
  <c r="H33" i="52"/>
  <c r="G33" i="52"/>
  <c r="F42" i="52"/>
  <c r="F41" i="52"/>
  <c r="H37" i="52"/>
  <c r="G37" i="52"/>
  <c r="L37" i="52"/>
  <c r="K37" i="52"/>
  <c r="J37" i="52"/>
  <c r="I37" i="52"/>
  <c r="G35" i="52"/>
  <c r="F36" i="52"/>
  <c r="I32" i="47"/>
  <c r="H32" i="47"/>
  <c r="G32" i="47"/>
  <c r="F32" i="47"/>
  <c r="E32" i="47"/>
  <c r="D32" i="47"/>
  <c r="C32" i="47"/>
  <c r="I31" i="47"/>
  <c r="H31" i="47"/>
  <c r="G31" i="47"/>
  <c r="F31" i="47"/>
  <c r="E31" i="47"/>
  <c r="D31" i="47"/>
  <c r="C31" i="47"/>
  <c r="I30" i="47"/>
  <c r="H30" i="47"/>
  <c r="G30" i="47"/>
  <c r="F30" i="47"/>
  <c r="E30" i="47"/>
  <c r="D30" i="47"/>
  <c r="C30" i="47"/>
  <c r="C30" i="48"/>
  <c r="D30" i="48"/>
  <c r="E30" i="48"/>
  <c r="F30" i="48"/>
  <c r="G30" i="48"/>
  <c r="H30" i="48"/>
  <c r="I30" i="48"/>
  <c r="C31" i="48"/>
  <c r="D31" i="48"/>
  <c r="E31" i="48"/>
  <c r="F31" i="48"/>
  <c r="G31" i="48"/>
  <c r="H31" i="48"/>
  <c r="I31" i="48"/>
  <c r="C32" i="48"/>
  <c r="D32" i="48"/>
  <c r="E32" i="48"/>
  <c r="F32" i="48"/>
  <c r="G32" i="48"/>
  <c r="H32" i="48"/>
  <c r="I32" i="48"/>
  <c r="F30" i="12"/>
  <c r="E30" i="12"/>
  <c r="D30" i="12"/>
  <c r="C30" i="12"/>
  <c r="F29" i="12"/>
  <c r="E29" i="12"/>
  <c r="D29" i="12"/>
  <c r="F28" i="12"/>
  <c r="E28" i="12"/>
  <c r="D28" i="12"/>
  <c r="N11" i="12"/>
  <c r="N10" i="12"/>
  <c r="N9" i="12"/>
  <c r="N8" i="12"/>
  <c r="N7" i="12"/>
  <c r="N6" i="12"/>
  <c r="N5" i="12"/>
  <c r="N4" i="12"/>
  <c r="N3" i="12"/>
  <c r="N12" i="47"/>
  <c r="N11" i="47"/>
  <c r="M10" i="47"/>
  <c r="M9" i="47"/>
  <c r="L30" i="47"/>
  <c r="K30" i="47"/>
  <c r="K31" i="47"/>
  <c r="J11" i="26"/>
  <c r="J10" i="26"/>
  <c r="J9" i="26"/>
  <c r="J8" i="26"/>
  <c r="I11" i="26"/>
  <c r="I10" i="26"/>
  <c r="I9" i="26"/>
  <c r="I8" i="26"/>
  <c r="H11" i="26"/>
  <c r="H10" i="26"/>
  <c r="H9" i="26"/>
  <c r="H8" i="26"/>
  <c r="E11" i="26"/>
  <c r="E10" i="26"/>
  <c r="E9" i="26"/>
  <c r="E8" i="26"/>
  <c r="N19" i="45" l="1"/>
  <c r="N18" i="45"/>
  <c r="N17" i="45"/>
  <c r="N16" i="45"/>
  <c r="N15" i="45"/>
  <c r="N14" i="45"/>
  <c r="N13" i="45"/>
  <c r="N12" i="45"/>
  <c r="N11" i="45"/>
  <c r="J8" i="43"/>
  <c r="F8" i="43"/>
  <c r="C8" i="43"/>
  <c r="T8" i="43"/>
  <c r="E8" i="17"/>
  <c r="D8" i="17"/>
  <c r="C8" i="17"/>
  <c r="D61" i="42"/>
  <c r="D60" i="42"/>
  <c r="E19" i="41"/>
  <c r="E18" i="41"/>
  <c r="L36" i="54" l="1"/>
  <c r="K36" i="54"/>
  <c r="J36" i="54"/>
  <c r="I36" i="54"/>
  <c r="H36" i="54"/>
  <c r="G36" i="54"/>
  <c r="L12" i="54"/>
  <c r="K12" i="54"/>
  <c r="J12" i="54"/>
  <c r="I12" i="54"/>
  <c r="H12" i="54"/>
  <c r="G12" i="54"/>
  <c r="I32" i="49"/>
  <c r="I31" i="49"/>
  <c r="I30" i="49"/>
  <c r="H32" i="49"/>
  <c r="H31" i="49"/>
  <c r="H30" i="49"/>
  <c r="G32" i="49"/>
  <c r="G31" i="49"/>
  <c r="G30" i="49"/>
  <c r="F32" i="49"/>
  <c r="F31" i="49"/>
  <c r="F30" i="49"/>
  <c r="E32" i="49"/>
  <c r="E31" i="49"/>
  <c r="E30" i="49"/>
  <c r="D32" i="49"/>
  <c r="D31" i="49"/>
  <c r="D30" i="49"/>
  <c r="C31" i="3"/>
  <c r="D31" i="3"/>
  <c r="E31" i="3"/>
  <c r="F31" i="3"/>
  <c r="F36" i="54" l="1"/>
  <c r="F12" i="54"/>
  <c r="F9" i="34"/>
  <c r="F8" i="34"/>
  <c r="I37" i="54" l="1"/>
  <c r="K37" i="54"/>
  <c r="G37" i="54"/>
  <c r="L37" i="54"/>
  <c r="J37" i="54"/>
  <c r="H37" i="54"/>
  <c r="F11" i="27"/>
  <c r="F12" i="27"/>
  <c r="F37" i="54" l="1"/>
  <c r="K11" i="37"/>
  <c r="L11" i="37"/>
  <c r="D34" i="15"/>
  <c r="D33" i="15"/>
  <c r="C34" i="15"/>
  <c r="C24" i="15"/>
  <c r="C23" i="15"/>
  <c r="C8" i="15"/>
  <c r="L31" i="47"/>
  <c r="J11" i="12" l="1"/>
  <c r="L11" i="12"/>
  <c r="C37" i="32"/>
  <c r="E37" i="32"/>
  <c r="E36" i="32"/>
  <c r="C36" i="32"/>
  <c r="H34" i="43"/>
  <c r="D34" i="43"/>
  <c r="K9" i="43"/>
  <c r="K8" i="43"/>
  <c r="K9" i="58"/>
  <c r="K10" i="58"/>
  <c r="K11" i="58"/>
  <c r="E38" i="44"/>
  <c r="E34" i="17"/>
  <c r="D34" i="17" l="1"/>
  <c r="H9" i="37" l="1"/>
  <c r="H11" i="37"/>
  <c r="G17" i="3" l="1"/>
  <c r="H17" i="3"/>
  <c r="K31" i="48"/>
  <c r="K30" i="48"/>
  <c r="P12" i="47"/>
  <c r="P11" i="47"/>
  <c r="O11" i="47"/>
  <c r="O12" i="47"/>
  <c r="M12" i="47"/>
  <c r="M11" i="47"/>
  <c r="M8" i="47"/>
  <c r="O10" i="47"/>
  <c r="O9" i="47"/>
  <c r="O8" i="47"/>
  <c r="N10" i="47"/>
  <c r="N9" i="47"/>
  <c r="N8" i="47"/>
  <c r="L12" i="47"/>
  <c r="L11" i="47"/>
  <c r="L10" i="47"/>
  <c r="L9" i="47"/>
  <c r="L8" i="47"/>
  <c r="C31" i="46" l="1"/>
  <c r="C30" i="46"/>
  <c r="C29" i="46"/>
  <c r="C19" i="46"/>
  <c r="C14" i="46"/>
  <c r="C8" i="46"/>
  <c r="C7" i="46"/>
  <c r="N20" i="17"/>
  <c r="N19" i="17"/>
  <c r="N18" i="17"/>
  <c r="N17" i="17"/>
  <c r="N16" i="17"/>
  <c r="N15" i="17"/>
  <c r="K29" i="17"/>
  <c r="K35" i="17" l="1"/>
  <c r="K34" i="17"/>
  <c r="K33" i="17"/>
  <c r="K32" i="17"/>
  <c r="K31" i="17"/>
  <c r="K30" i="17"/>
  <c r="K8" i="47" l="1"/>
  <c r="H10" i="6"/>
  <c r="H9" i="6"/>
  <c r="G9" i="6"/>
  <c r="F9" i="6"/>
  <c r="F18" i="6"/>
  <c r="D18" i="6"/>
  <c r="E18" i="6"/>
  <c r="C18" i="6"/>
  <c r="H7" i="2" l="1"/>
  <c r="G7" i="6" l="1"/>
  <c r="D18" i="44" l="1"/>
  <c r="D24" i="44"/>
  <c r="D34" i="42"/>
  <c r="D8" i="57"/>
  <c r="F8" i="57"/>
  <c r="F23" i="34"/>
  <c r="F22" i="34"/>
  <c r="F21" i="34"/>
  <c r="F20" i="34"/>
  <c r="F19" i="34"/>
  <c r="F18" i="34"/>
  <c r="F17" i="34"/>
  <c r="F16" i="34"/>
  <c r="F15" i="34"/>
  <c r="F14" i="34"/>
  <c r="F13" i="34"/>
  <c r="F10" i="34"/>
  <c r="E9" i="34"/>
  <c r="E8" i="34"/>
  <c r="C8" i="34"/>
  <c r="D22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0" i="34"/>
  <c r="D23" i="34"/>
  <c r="D19" i="34"/>
  <c r="D15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D12" i="34" l="1"/>
  <c r="D16" i="34"/>
  <c r="D20" i="34"/>
  <c r="D9" i="34"/>
  <c r="D13" i="34"/>
  <c r="D17" i="34"/>
  <c r="D21" i="34"/>
  <c r="D10" i="34"/>
  <c r="D14" i="34"/>
  <c r="D18" i="34"/>
  <c r="L8" i="34" l="1"/>
  <c r="K8" i="34" l="1"/>
  <c r="AG8" i="43" l="1"/>
  <c r="T9" i="43"/>
  <c r="AG9" i="43"/>
  <c r="C35" i="58"/>
  <c r="N35" i="17"/>
  <c r="N34" i="17"/>
  <c r="F9" i="18"/>
  <c r="C25" i="46"/>
  <c r="C32" i="46"/>
  <c r="C28" i="46"/>
  <c r="C27" i="46"/>
  <c r="C26" i="46"/>
  <c r="C24" i="46"/>
  <c r="C23" i="46"/>
  <c r="C22" i="46"/>
  <c r="C21" i="46"/>
  <c r="C20" i="46"/>
  <c r="C18" i="46"/>
  <c r="C17" i="46"/>
  <c r="C16" i="46"/>
  <c r="C15" i="46"/>
  <c r="C13" i="46"/>
  <c r="C12" i="46"/>
  <c r="C11" i="46"/>
  <c r="C10" i="46"/>
  <c r="C9" i="46"/>
  <c r="H10" i="37" l="1"/>
  <c r="H12" i="37"/>
  <c r="H13" i="37"/>
  <c r="H14" i="37"/>
  <c r="H15" i="37"/>
  <c r="H16" i="37"/>
  <c r="E7" i="32"/>
  <c r="D9" i="28"/>
  <c r="L34" i="54"/>
  <c r="K34" i="54"/>
  <c r="J34" i="54"/>
  <c r="I34" i="54"/>
  <c r="H34" i="54"/>
  <c r="G34" i="54"/>
  <c r="L32" i="54"/>
  <c r="K32" i="54"/>
  <c r="J32" i="54"/>
  <c r="I32" i="54"/>
  <c r="H32" i="54"/>
  <c r="G32" i="54"/>
  <c r="L30" i="54"/>
  <c r="K30" i="54"/>
  <c r="J30" i="54"/>
  <c r="I30" i="54"/>
  <c r="H30" i="54"/>
  <c r="G30" i="54"/>
  <c r="L28" i="54"/>
  <c r="K28" i="54"/>
  <c r="J28" i="54"/>
  <c r="I28" i="54"/>
  <c r="H28" i="54"/>
  <c r="G28" i="54"/>
  <c r="L26" i="54"/>
  <c r="K26" i="54"/>
  <c r="J26" i="54"/>
  <c r="I26" i="54"/>
  <c r="H26" i="54"/>
  <c r="G26" i="54"/>
  <c r="L24" i="54"/>
  <c r="K24" i="54"/>
  <c r="J24" i="54"/>
  <c r="I24" i="54"/>
  <c r="H24" i="54"/>
  <c r="G24" i="54"/>
  <c r="L22" i="54"/>
  <c r="K22" i="54"/>
  <c r="J22" i="54"/>
  <c r="I22" i="54"/>
  <c r="H22" i="54"/>
  <c r="G22" i="54"/>
  <c r="L20" i="54"/>
  <c r="K20" i="54"/>
  <c r="J20" i="54"/>
  <c r="I20" i="54"/>
  <c r="H20" i="54"/>
  <c r="G20" i="54"/>
  <c r="L18" i="54"/>
  <c r="K18" i="54"/>
  <c r="J18" i="54"/>
  <c r="I18" i="54"/>
  <c r="H18" i="54"/>
  <c r="G18" i="54"/>
  <c r="L16" i="54"/>
  <c r="L40" i="54" s="1"/>
  <c r="K16" i="54"/>
  <c r="K40" i="54" s="1"/>
  <c r="J16" i="54"/>
  <c r="J40" i="54" s="1"/>
  <c r="I16" i="54"/>
  <c r="I40" i="54" s="1"/>
  <c r="H16" i="54"/>
  <c r="H40" i="54" s="1"/>
  <c r="G16" i="54"/>
  <c r="L14" i="54"/>
  <c r="K14" i="54"/>
  <c r="J14" i="54"/>
  <c r="I14" i="54"/>
  <c r="H14" i="54"/>
  <c r="G14" i="54"/>
  <c r="L10" i="54"/>
  <c r="L39" i="54" s="1"/>
  <c r="K10" i="54"/>
  <c r="K39" i="54" s="1"/>
  <c r="J10" i="54"/>
  <c r="I10" i="54"/>
  <c r="H10" i="54"/>
  <c r="H39" i="54" s="1"/>
  <c r="G10" i="54"/>
  <c r="G39" i="54" s="1"/>
  <c r="L8" i="54"/>
  <c r="K8" i="54"/>
  <c r="J8" i="54"/>
  <c r="I8" i="54"/>
  <c r="H8" i="54"/>
  <c r="G8" i="54"/>
  <c r="L6" i="54"/>
  <c r="K6" i="54"/>
  <c r="J6" i="54"/>
  <c r="I6" i="54"/>
  <c r="H6" i="54"/>
  <c r="G6" i="54"/>
  <c r="L28" i="56"/>
  <c r="K28" i="56"/>
  <c r="J28" i="56"/>
  <c r="I28" i="56"/>
  <c r="H28" i="56"/>
  <c r="G28" i="56"/>
  <c r="L26" i="56"/>
  <c r="K26" i="56"/>
  <c r="J26" i="56"/>
  <c r="I26" i="56"/>
  <c r="H26" i="56"/>
  <c r="G26" i="56"/>
  <c r="L24" i="56"/>
  <c r="K24" i="56"/>
  <c r="J24" i="56"/>
  <c r="I24" i="56"/>
  <c r="H24" i="56"/>
  <c r="G24" i="56"/>
  <c r="L22" i="56"/>
  <c r="K22" i="56"/>
  <c r="J22" i="56"/>
  <c r="I22" i="56"/>
  <c r="H22" i="56"/>
  <c r="G22" i="56"/>
  <c r="L20" i="56"/>
  <c r="K20" i="56"/>
  <c r="J20" i="56"/>
  <c r="I20" i="56"/>
  <c r="H20" i="56"/>
  <c r="G20" i="56"/>
  <c r="L18" i="56"/>
  <c r="K18" i="56"/>
  <c r="J18" i="56"/>
  <c r="I18" i="56"/>
  <c r="H18" i="56"/>
  <c r="G18" i="56"/>
  <c r="L16" i="56"/>
  <c r="K16" i="56"/>
  <c r="J16" i="56"/>
  <c r="I16" i="56"/>
  <c r="H16" i="56"/>
  <c r="G16" i="56"/>
  <c r="L14" i="56"/>
  <c r="K14" i="56"/>
  <c r="J14" i="56"/>
  <c r="I14" i="56"/>
  <c r="H14" i="56"/>
  <c r="G14" i="56"/>
  <c r="L8" i="56"/>
  <c r="K8" i="56"/>
  <c r="J8" i="56"/>
  <c r="I8" i="56"/>
  <c r="H8" i="56"/>
  <c r="L10" i="56"/>
  <c r="K10" i="56"/>
  <c r="J10" i="56"/>
  <c r="J31" i="56" s="1"/>
  <c r="I10" i="56"/>
  <c r="H10" i="56"/>
  <c r="L12" i="56"/>
  <c r="K12" i="56"/>
  <c r="J12" i="56"/>
  <c r="J32" i="56" s="1"/>
  <c r="I12" i="56"/>
  <c r="I32" i="56" s="1"/>
  <c r="H12" i="56"/>
  <c r="G12" i="56"/>
  <c r="G10" i="56"/>
  <c r="G8" i="56"/>
  <c r="L6" i="56"/>
  <c r="K6" i="56"/>
  <c r="J6" i="56"/>
  <c r="I6" i="56"/>
  <c r="H6" i="56"/>
  <c r="G6" i="56"/>
  <c r="G38" i="55"/>
  <c r="C40" i="55"/>
  <c r="C38" i="55"/>
  <c r="K33" i="55"/>
  <c r="J33" i="55"/>
  <c r="L30" i="55"/>
  <c r="K30" i="55"/>
  <c r="J30" i="55"/>
  <c r="I30" i="55"/>
  <c r="H30" i="55"/>
  <c r="G30" i="55"/>
  <c r="L28" i="55"/>
  <c r="K28" i="55"/>
  <c r="J28" i="55"/>
  <c r="I28" i="55"/>
  <c r="H28" i="55"/>
  <c r="G28" i="55"/>
  <c r="L26" i="55"/>
  <c r="K26" i="55"/>
  <c r="J26" i="55"/>
  <c r="I26" i="55"/>
  <c r="H26" i="55"/>
  <c r="G26" i="55"/>
  <c r="L24" i="55"/>
  <c r="K24" i="55"/>
  <c r="J24" i="55"/>
  <c r="I24" i="55"/>
  <c r="H24" i="55"/>
  <c r="G24" i="55"/>
  <c r="L22" i="55"/>
  <c r="K22" i="55"/>
  <c r="J22" i="55"/>
  <c r="I22" i="55"/>
  <c r="H22" i="55"/>
  <c r="G22" i="55"/>
  <c r="L20" i="55"/>
  <c r="K20" i="55"/>
  <c r="J20" i="55"/>
  <c r="I20" i="55"/>
  <c r="H20" i="55"/>
  <c r="G20" i="55"/>
  <c r="L18" i="55"/>
  <c r="K18" i="55"/>
  <c r="J18" i="55"/>
  <c r="I18" i="55"/>
  <c r="H18" i="55"/>
  <c r="G18" i="55"/>
  <c r="L16" i="55"/>
  <c r="K16" i="55"/>
  <c r="J16" i="55"/>
  <c r="I16" i="55"/>
  <c r="H16" i="55"/>
  <c r="G16" i="55"/>
  <c r="L14" i="55"/>
  <c r="M33" i="55" s="1"/>
  <c r="K14" i="55"/>
  <c r="J14" i="55"/>
  <c r="I14" i="55"/>
  <c r="H14" i="55"/>
  <c r="G14" i="55"/>
  <c r="L12" i="55"/>
  <c r="L36" i="55" s="1"/>
  <c r="K12" i="55"/>
  <c r="K36" i="55" s="1"/>
  <c r="J12" i="55"/>
  <c r="J36" i="55" s="1"/>
  <c r="I12" i="55"/>
  <c r="I36" i="55" s="1"/>
  <c r="H12" i="55"/>
  <c r="H36" i="55" s="1"/>
  <c r="G12" i="55"/>
  <c r="G36" i="55" s="1"/>
  <c r="L10" i="55"/>
  <c r="L35" i="55" s="1"/>
  <c r="K10" i="55"/>
  <c r="K35" i="55" s="1"/>
  <c r="J10" i="55"/>
  <c r="J35" i="55" s="1"/>
  <c r="I10" i="55"/>
  <c r="I35" i="55" s="1"/>
  <c r="H10" i="55"/>
  <c r="H35" i="55" s="1"/>
  <c r="G10" i="55"/>
  <c r="G35" i="55" s="1"/>
  <c r="L8" i="55"/>
  <c r="K8" i="55"/>
  <c r="J8" i="55"/>
  <c r="I8" i="55"/>
  <c r="H8" i="55"/>
  <c r="G8" i="55"/>
  <c r="L6" i="55"/>
  <c r="N33" i="55" s="1"/>
  <c r="K6" i="55"/>
  <c r="J6" i="55"/>
  <c r="I6" i="55"/>
  <c r="H6" i="55"/>
  <c r="G6" i="55"/>
  <c r="C39" i="55"/>
  <c r="H33" i="55"/>
  <c r="G32" i="56" l="1"/>
  <c r="K32" i="56"/>
  <c r="F20" i="54"/>
  <c r="F24" i="54"/>
  <c r="F28" i="54"/>
  <c r="H32" i="56"/>
  <c r="L32" i="56"/>
  <c r="H31" i="56"/>
  <c r="L31" i="56"/>
  <c r="F16" i="54"/>
  <c r="K17" i="54" s="1"/>
  <c r="G40" i="54"/>
  <c r="F32" i="54"/>
  <c r="K33" i="54" s="1"/>
  <c r="F8" i="54"/>
  <c r="I39" i="54"/>
  <c r="I33" i="54"/>
  <c r="J39" i="54"/>
  <c r="K31" i="56"/>
  <c r="G31" i="56"/>
  <c r="I31" i="56"/>
  <c r="M46" i="55"/>
  <c r="I49" i="55"/>
  <c r="I43" i="55"/>
  <c r="M43" i="55"/>
  <c r="F16" i="55"/>
  <c r="I17" i="55" s="1"/>
  <c r="M45" i="55"/>
  <c r="I46" i="55"/>
  <c r="I47" i="55"/>
  <c r="M47" i="55"/>
  <c r="F28" i="55"/>
  <c r="J29" i="55" s="1"/>
  <c r="M48" i="55"/>
  <c r="M49" i="55"/>
  <c r="N49" i="55" s="1"/>
  <c r="I45" i="55"/>
  <c r="K44" i="55"/>
  <c r="K46" i="55"/>
  <c r="K49" i="55"/>
  <c r="G44" i="55"/>
  <c r="G45" i="55"/>
  <c r="K45" i="55"/>
  <c r="M32" i="55"/>
  <c r="N32" i="55" s="1"/>
  <c r="M31" i="55"/>
  <c r="N31" i="55" s="1"/>
  <c r="M44" i="55"/>
  <c r="I44" i="55"/>
  <c r="I48" i="55"/>
  <c r="K47" i="55"/>
  <c r="F18" i="55"/>
  <c r="H19" i="55" s="1"/>
  <c r="F22" i="55"/>
  <c r="L23" i="55" s="1"/>
  <c r="F26" i="55"/>
  <c r="F6" i="54"/>
  <c r="H7" i="54" s="1"/>
  <c r="F26" i="54"/>
  <c r="K27" i="54" s="1"/>
  <c r="F14" i="54"/>
  <c r="H15" i="54" s="1"/>
  <c r="F30" i="55"/>
  <c r="H31" i="55" s="1"/>
  <c r="F24" i="55"/>
  <c r="K25" i="55" s="1"/>
  <c r="F20" i="55"/>
  <c r="G46" i="55"/>
  <c r="F14" i="55"/>
  <c r="J15" i="55" s="1"/>
  <c r="F12" i="55"/>
  <c r="F10" i="55"/>
  <c r="G43" i="55"/>
  <c r="G48" i="55"/>
  <c r="G49" i="55"/>
  <c r="F10" i="54"/>
  <c r="F18" i="54"/>
  <c r="L19" i="54" s="1"/>
  <c r="F22" i="54"/>
  <c r="F30" i="54"/>
  <c r="F34" i="54"/>
  <c r="I35" i="54" s="1"/>
  <c r="K25" i="54"/>
  <c r="F8" i="56"/>
  <c r="G9" i="56" s="1"/>
  <c r="F12" i="56"/>
  <c r="F16" i="56"/>
  <c r="F20" i="56"/>
  <c r="K21" i="56" s="1"/>
  <c r="F24" i="56"/>
  <c r="G25" i="56" s="1"/>
  <c r="F28" i="56"/>
  <c r="K29" i="56" s="1"/>
  <c r="F6" i="56"/>
  <c r="I7" i="56" s="1"/>
  <c r="F10" i="56"/>
  <c r="F14" i="56"/>
  <c r="F18" i="56"/>
  <c r="I19" i="56" s="1"/>
  <c r="F22" i="56"/>
  <c r="G34" i="56" s="1"/>
  <c r="F26" i="56"/>
  <c r="K27" i="56" s="1"/>
  <c r="F6" i="55"/>
  <c r="K7" i="55" s="1"/>
  <c r="I33" i="55"/>
  <c r="K43" i="55"/>
  <c r="F8" i="55"/>
  <c r="G9" i="55" s="1"/>
  <c r="G47" i="55"/>
  <c r="K48" i="55"/>
  <c r="L36" i="52"/>
  <c r="K36" i="52"/>
  <c r="J36" i="52"/>
  <c r="I36" i="52"/>
  <c r="H36" i="52"/>
  <c r="G36" i="52"/>
  <c r="L34" i="52"/>
  <c r="K34" i="52"/>
  <c r="J34" i="52"/>
  <c r="I34" i="52"/>
  <c r="H34" i="52"/>
  <c r="G34" i="52"/>
  <c r="L32" i="52"/>
  <c r="K32" i="52"/>
  <c r="J32" i="52"/>
  <c r="I32" i="52"/>
  <c r="H32" i="52"/>
  <c r="G32" i="52"/>
  <c r="L30" i="52"/>
  <c r="K30" i="52"/>
  <c r="J30" i="52"/>
  <c r="I30" i="52"/>
  <c r="H30" i="52"/>
  <c r="G30" i="52"/>
  <c r="L28" i="52"/>
  <c r="K28" i="52"/>
  <c r="J28" i="52"/>
  <c r="I28" i="52"/>
  <c r="H28" i="52"/>
  <c r="G28" i="52"/>
  <c r="L26" i="52"/>
  <c r="K26" i="52"/>
  <c r="J26" i="52"/>
  <c r="I26" i="52"/>
  <c r="H26" i="52"/>
  <c r="G26" i="52"/>
  <c r="L24" i="52"/>
  <c r="K24" i="52"/>
  <c r="J24" i="52"/>
  <c r="I24" i="52"/>
  <c r="H24" i="52"/>
  <c r="G24" i="52"/>
  <c r="L22" i="52"/>
  <c r="K22" i="52"/>
  <c r="J22" i="52"/>
  <c r="I22" i="52"/>
  <c r="H22" i="52"/>
  <c r="G22" i="52"/>
  <c r="L20" i="52"/>
  <c r="K20" i="52"/>
  <c r="J20" i="52"/>
  <c r="I20" i="52"/>
  <c r="H20" i="52"/>
  <c r="G20" i="52"/>
  <c r="L18" i="52"/>
  <c r="K18" i="52"/>
  <c r="J18" i="52"/>
  <c r="I18" i="52"/>
  <c r="H18" i="52"/>
  <c r="G18" i="52"/>
  <c r="L16" i="52"/>
  <c r="K16" i="52"/>
  <c r="J16" i="52"/>
  <c r="I16" i="52"/>
  <c r="H16" i="52"/>
  <c r="G16" i="52"/>
  <c r="L14" i="52"/>
  <c r="K14" i="52"/>
  <c r="J14" i="52"/>
  <c r="I14" i="52"/>
  <c r="H14" i="52"/>
  <c r="G14" i="52"/>
  <c r="L12" i="52"/>
  <c r="L40" i="52" s="1"/>
  <c r="K12" i="52"/>
  <c r="K40" i="52" s="1"/>
  <c r="J12" i="52"/>
  <c r="J40" i="52" s="1"/>
  <c r="I12" i="52"/>
  <c r="I40" i="52" s="1"/>
  <c r="H12" i="52"/>
  <c r="H40" i="52" s="1"/>
  <c r="G12" i="52"/>
  <c r="G40" i="52" s="1"/>
  <c r="L10" i="52"/>
  <c r="L39" i="52" s="1"/>
  <c r="K10" i="52"/>
  <c r="K39" i="52" s="1"/>
  <c r="J10" i="52"/>
  <c r="J39" i="52" s="1"/>
  <c r="I10" i="52"/>
  <c r="I39" i="52" s="1"/>
  <c r="H10" i="52"/>
  <c r="H39" i="52" s="1"/>
  <c r="G10" i="52"/>
  <c r="G39" i="52" s="1"/>
  <c r="L8" i="52"/>
  <c r="K8" i="52"/>
  <c r="J8" i="52"/>
  <c r="I8" i="52"/>
  <c r="H8" i="52"/>
  <c r="G8" i="52"/>
  <c r="L6" i="52"/>
  <c r="K6" i="52"/>
  <c r="J6" i="52"/>
  <c r="I6" i="52"/>
  <c r="H6" i="52"/>
  <c r="G6" i="52"/>
  <c r="L28" i="53"/>
  <c r="K28" i="53"/>
  <c r="J28" i="53"/>
  <c r="I28" i="53"/>
  <c r="H28" i="53"/>
  <c r="G28" i="53"/>
  <c r="L26" i="53"/>
  <c r="K26" i="53"/>
  <c r="J26" i="53"/>
  <c r="I26" i="53"/>
  <c r="H26" i="53"/>
  <c r="G26" i="53"/>
  <c r="L24" i="53"/>
  <c r="K24" i="53"/>
  <c r="J24" i="53"/>
  <c r="I24" i="53"/>
  <c r="H24" i="53"/>
  <c r="G24" i="53"/>
  <c r="L22" i="53"/>
  <c r="K22" i="53"/>
  <c r="J22" i="53"/>
  <c r="I22" i="53"/>
  <c r="H22" i="53"/>
  <c r="G22" i="53"/>
  <c r="L20" i="53"/>
  <c r="K20" i="53"/>
  <c r="J20" i="53"/>
  <c r="I20" i="53"/>
  <c r="H20" i="53"/>
  <c r="G20" i="53"/>
  <c r="L18" i="53"/>
  <c r="K18" i="53"/>
  <c r="J18" i="53"/>
  <c r="I18" i="53"/>
  <c r="H18" i="53"/>
  <c r="G18" i="53"/>
  <c r="L16" i="53"/>
  <c r="K16" i="53"/>
  <c r="J16" i="53"/>
  <c r="I16" i="53"/>
  <c r="H16" i="53"/>
  <c r="G16" i="53"/>
  <c r="L14" i="53"/>
  <c r="K14" i="53"/>
  <c r="J14" i="53"/>
  <c r="I14" i="53"/>
  <c r="H14" i="53"/>
  <c r="G14" i="53"/>
  <c r="L12" i="53"/>
  <c r="L32" i="53" s="1"/>
  <c r="K12" i="53"/>
  <c r="K32" i="53" s="1"/>
  <c r="J12" i="53"/>
  <c r="J32" i="53" s="1"/>
  <c r="I12" i="53"/>
  <c r="I32" i="53" s="1"/>
  <c r="H12" i="53"/>
  <c r="H32" i="53" s="1"/>
  <c r="G12" i="53"/>
  <c r="G32" i="53" s="1"/>
  <c r="L10" i="53"/>
  <c r="L31" i="53" s="1"/>
  <c r="K10" i="53"/>
  <c r="K31" i="53" s="1"/>
  <c r="J10" i="53"/>
  <c r="J31" i="53" s="1"/>
  <c r="I10" i="53"/>
  <c r="I31" i="53" s="1"/>
  <c r="H10" i="53"/>
  <c r="H31" i="53" s="1"/>
  <c r="G10" i="53"/>
  <c r="G31" i="53" s="1"/>
  <c r="L8" i="53"/>
  <c r="K8" i="53"/>
  <c r="J8" i="53"/>
  <c r="I8" i="53"/>
  <c r="H8" i="53"/>
  <c r="G8" i="53"/>
  <c r="L6" i="53"/>
  <c r="K6" i="53"/>
  <c r="J6" i="53"/>
  <c r="I6" i="53"/>
  <c r="H6" i="53"/>
  <c r="G6" i="53"/>
  <c r="E46" i="55" l="1"/>
  <c r="H33" i="54"/>
  <c r="C49" i="55"/>
  <c r="S7" i="55"/>
  <c r="I27" i="54"/>
  <c r="J27" i="54"/>
  <c r="G7" i="54"/>
  <c r="G27" i="54"/>
  <c r="G35" i="54"/>
  <c r="L33" i="54"/>
  <c r="G33" i="54"/>
  <c r="H27" i="54"/>
  <c r="F39" i="54"/>
  <c r="F42" i="54"/>
  <c r="L27" i="54"/>
  <c r="J33" i="54"/>
  <c r="F43" i="54"/>
  <c r="F40" i="54"/>
  <c r="N46" i="55"/>
  <c r="E48" i="55"/>
  <c r="K11" i="56"/>
  <c r="F31" i="56"/>
  <c r="K13" i="56"/>
  <c r="F32" i="56"/>
  <c r="K29" i="55"/>
  <c r="K15" i="55"/>
  <c r="K11" i="55"/>
  <c r="F35" i="55"/>
  <c r="N45" i="55"/>
  <c r="E45" i="55"/>
  <c r="G17" i="55"/>
  <c r="K17" i="55"/>
  <c r="H45" i="55"/>
  <c r="E47" i="55"/>
  <c r="S5" i="55"/>
  <c r="R5" i="55"/>
  <c r="N48" i="55"/>
  <c r="E43" i="55"/>
  <c r="F44" i="55" s="1"/>
  <c r="N47" i="55"/>
  <c r="E44" i="55"/>
  <c r="C44" i="55"/>
  <c r="I15" i="55"/>
  <c r="G15" i="55"/>
  <c r="N44" i="55"/>
  <c r="S6" i="55"/>
  <c r="H15" i="55"/>
  <c r="I11" i="55"/>
  <c r="G11" i="55"/>
  <c r="R7" i="55"/>
  <c r="L13" i="55"/>
  <c r="F36" i="55"/>
  <c r="H11" i="54"/>
  <c r="G42" i="54"/>
  <c r="G43" i="54" s="1"/>
  <c r="K7" i="54"/>
  <c r="H49" i="55"/>
  <c r="J11" i="55"/>
  <c r="K15" i="56"/>
  <c r="G35" i="56"/>
  <c r="J7" i="54"/>
  <c r="L7" i="54"/>
  <c r="H48" i="55"/>
  <c r="C43" i="55"/>
  <c r="D49" i="55" s="1"/>
  <c r="H46" i="55"/>
  <c r="R6" i="55"/>
  <c r="I7" i="54"/>
  <c r="K15" i="54"/>
  <c r="H19" i="54"/>
  <c r="J15" i="54"/>
  <c r="G15" i="54"/>
  <c r="L15" i="54"/>
  <c r="I15" i="54"/>
  <c r="I11" i="54"/>
  <c r="G21" i="56"/>
  <c r="I19" i="54"/>
  <c r="L11" i="54"/>
  <c r="I27" i="56"/>
  <c r="I25" i="56"/>
  <c r="K19" i="56"/>
  <c r="G15" i="56"/>
  <c r="G13" i="56"/>
  <c r="I11" i="56"/>
  <c r="I9" i="56"/>
  <c r="C46" i="55"/>
  <c r="L15" i="55"/>
  <c r="C45" i="55"/>
  <c r="J13" i="55"/>
  <c r="H11" i="55"/>
  <c r="L11" i="55"/>
  <c r="L49" i="55"/>
  <c r="G7" i="55"/>
  <c r="J9" i="55"/>
  <c r="K9" i="55"/>
  <c r="J46" i="55"/>
  <c r="J44" i="55"/>
  <c r="J48" i="55"/>
  <c r="J47" i="55"/>
  <c r="L47" i="55"/>
  <c r="L45" i="55"/>
  <c r="L46" i="55"/>
  <c r="H13" i="54"/>
  <c r="I13" i="54"/>
  <c r="L13" i="54"/>
  <c r="L31" i="54"/>
  <c r="K31" i="54"/>
  <c r="G31" i="54"/>
  <c r="J31" i="54"/>
  <c r="G25" i="54"/>
  <c r="J25" i="54"/>
  <c r="I21" i="54"/>
  <c r="H21" i="54"/>
  <c r="L21" i="54"/>
  <c r="I9" i="54"/>
  <c r="H9" i="54"/>
  <c r="L9" i="54"/>
  <c r="G23" i="54"/>
  <c r="J23" i="54"/>
  <c r="K23" i="54"/>
  <c r="I31" i="54"/>
  <c r="I23" i="54"/>
  <c r="K9" i="54"/>
  <c r="L23" i="54"/>
  <c r="I29" i="54"/>
  <c r="L29" i="54"/>
  <c r="H29" i="54"/>
  <c r="I17" i="54"/>
  <c r="L17" i="54"/>
  <c r="H17" i="54"/>
  <c r="K19" i="54"/>
  <c r="G19" i="54"/>
  <c r="J19" i="54"/>
  <c r="K21" i="54"/>
  <c r="G17" i="54"/>
  <c r="K13" i="54"/>
  <c r="H31" i="54"/>
  <c r="H23" i="54"/>
  <c r="J17" i="54"/>
  <c r="L35" i="54"/>
  <c r="H35" i="54"/>
  <c r="K35" i="54"/>
  <c r="J35" i="54"/>
  <c r="K11" i="54"/>
  <c r="J11" i="54"/>
  <c r="G11" i="54"/>
  <c r="G29" i="54"/>
  <c r="G21" i="54"/>
  <c r="G13" i="54"/>
  <c r="F13" i="54" s="1"/>
  <c r="J29" i="54"/>
  <c r="J21" i="54"/>
  <c r="J13" i="54"/>
  <c r="L25" i="54"/>
  <c r="I25" i="54"/>
  <c r="H25" i="54"/>
  <c r="K29" i="54"/>
  <c r="G9" i="54"/>
  <c r="J9" i="54"/>
  <c r="J23" i="56"/>
  <c r="L23" i="56"/>
  <c r="H23" i="56"/>
  <c r="L17" i="56"/>
  <c r="H17" i="56"/>
  <c r="J17" i="56"/>
  <c r="I23" i="56"/>
  <c r="K17" i="56"/>
  <c r="I13" i="56"/>
  <c r="J27" i="56"/>
  <c r="L27" i="56"/>
  <c r="H27" i="56"/>
  <c r="F34" i="56"/>
  <c r="J11" i="56"/>
  <c r="L11" i="56"/>
  <c r="H11" i="56"/>
  <c r="L21" i="56"/>
  <c r="H21" i="56"/>
  <c r="J21" i="56"/>
  <c r="G27" i="56"/>
  <c r="I21" i="56"/>
  <c r="G11" i="56"/>
  <c r="J7" i="56"/>
  <c r="H7" i="56"/>
  <c r="L7" i="56"/>
  <c r="J19" i="56"/>
  <c r="L19" i="56"/>
  <c r="H19" i="56"/>
  <c r="L29" i="56"/>
  <c r="H29" i="56"/>
  <c r="J29" i="56"/>
  <c r="L13" i="56"/>
  <c r="H13" i="56"/>
  <c r="F35" i="56"/>
  <c r="J13" i="56"/>
  <c r="G17" i="56"/>
  <c r="I29" i="56"/>
  <c r="K23" i="56"/>
  <c r="G19" i="56"/>
  <c r="K7" i="56"/>
  <c r="J15" i="56"/>
  <c r="L15" i="56"/>
  <c r="H15" i="56"/>
  <c r="L25" i="56"/>
  <c r="H25" i="56"/>
  <c r="J25" i="56"/>
  <c r="L9" i="56"/>
  <c r="H9" i="56"/>
  <c r="J9" i="56"/>
  <c r="K25" i="56"/>
  <c r="I15" i="56"/>
  <c r="K9" i="56"/>
  <c r="G23" i="56"/>
  <c r="I17" i="56"/>
  <c r="G7" i="56"/>
  <c r="L44" i="55"/>
  <c r="K27" i="55"/>
  <c r="G27" i="55"/>
  <c r="J27" i="55"/>
  <c r="I27" i="55"/>
  <c r="I21" i="55"/>
  <c r="H21" i="55"/>
  <c r="G21" i="55"/>
  <c r="L21" i="55"/>
  <c r="H44" i="55"/>
  <c r="K21" i="55"/>
  <c r="C52" i="55"/>
  <c r="I13" i="55"/>
  <c r="H13" i="55"/>
  <c r="H47" i="55"/>
  <c r="C47" i="55"/>
  <c r="K31" i="55"/>
  <c r="G31" i="55"/>
  <c r="J31" i="55"/>
  <c r="I31" i="55"/>
  <c r="L27" i="55"/>
  <c r="I25" i="55"/>
  <c r="H25" i="55"/>
  <c r="G25" i="55"/>
  <c r="L25" i="55"/>
  <c r="J21" i="55"/>
  <c r="J49" i="55"/>
  <c r="E49" i="55"/>
  <c r="H7" i="55"/>
  <c r="I7" i="55"/>
  <c r="L7" i="55"/>
  <c r="H17" i="55"/>
  <c r="H27" i="55"/>
  <c r="K23" i="55"/>
  <c r="G23" i="55"/>
  <c r="J23" i="55"/>
  <c r="I23" i="55"/>
  <c r="L9" i="55"/>
  <c r="I9" i="55"/>
  <c r="H9" i="55"/>
  <c r="K19" i="55"/>
  <c r="J19" i="55"/>
  <c r="I19" i="55"/>
  <c r="G19" i="55"/>
  <c r="L48" i="55"/>
  <c r="C48" i="55"/>
  <c r="Q7" i="55" s="1"/>
  <c r="L31" i="55"/>
  <c r="I29" i="55"/>
  <c r="H29" i="55"/>
  <c r="G29" i="55"/>
  <c r="L29" i="55"/>
  <c r="J25" i="55"/>
  <c r="H23" i="55"/>
  <c r="G13" i="55"/>
  <c r="L19" i="55"/>
  <c r="J17" i="55"/>
  <c r="J7" i="55"/>
  <c r="K13" i="55"/>
  <c r="J45" i="55"/>
  <c r="L17" i="55"/>
  <c r="C51" i="55"/>
  <c r="F9" i="56" l="1"/>
  <c r="F33" i="54"/>
  <c r="F7" i="54"/>
  <c r="F11" i="54"/>
  <c r="F23" i="54"/>
  <c r="F9" i="54"/>
  <c r="F25" i="54"/>
  <c r="F21" i="54"/>
  <c r="F19" i="54"/>
  <c r="F31" i="54"/>
  <c r="F35" i="54"/>
  <c r="F29" i="54"/>
  <c r="F17" i="54"/>
  <c r="F15" i="54"/>
  <c r="F27" i="54"/>
  <c r="D47" i="55"/>
  <c r="D45" i="55"/>
  <c r="S8" i="55"/>
  <c r="D44" i="55"/>
  <c r="N43" i="55"/>
  <c r="F48" i="55"/>
  <c r="R8" i="55"/>
  <c r="F45" i="55"/>
  <c r="F47" i="55"/>
  <c r="F46" i="55"/>
  <c r="F15" i="55"/>
  <c r="F49" i="55"/>
  <c r="Q5" i="55"/>
  <c r="Q6" i="55"/>
  <c r="D46" i="55"/>
  <c r="F27" i="56"/>
  <c r="F25" i="56"/>
  <c r="F23" i="56"/>
  <c r="F21" i="56"/>
  <c r="F15" i="56"/>
  <c r="F13" i="56"/>
  <c r="L43" i="55"/>
  <c r="J43" i="55"/>
  <c r="F17" i="55"/>
  <c r="F23" i="55"/>
  <c r="F25" i="55"/>
  <c r="F29" i="55"/>
  <c r="F7" i="56"/>
  <c r="F17" i="56"/>
  <c r="F19" i="56"/>
  <c r="F11" i="56"/>
  <c r="F19" i="55"/>
  <c r="F13" i="55"/>
  <c r="D48" i="55"/>
  <c r="F21" i="55"/>
  <c r="F31" i="55"/>
  <c r="H43" i="55"/>
  <c r="F27" i="55"/>
  <c r="F34" i="52"/>
  <c r="J35" i="52" s="1"/>
  <c r="F32" i="52"/>
  <c r="F30" i="52"/>
  <c r="K31" i="52" s="1"/>
  <c r="F28" i="52"/>
  <c r="I29" i="52" s="1"/>
  <c r="F26" i="52"/>
  <c r="I27" i="52" s="1"/>
  <c r="F24" i="52"/>
  <c r="I25" i="52" s="1"/>
  <c r="F22" i="52"/>
  <c r="I23" i="52" s="1"/>
  <c r="F20" i="52"/>
  <c r="I21" i="52" s="1"/>
  <c r="F18" i="52"/>
  <c r="I19" i="52" s="1"/>
  <c r="F16" i="52"/>
  <c r="I17" i="52" s="1"/>
  <c r="F14" i="52"/>
  <c r="I15" i="52" s="1"/>
  <c r="F12" i="52"/>
  <c r="F10" i="52"/>
  <c r="F8" i="52"/>
  <c r="I9" i="52" s="1"/>
  <c r="F6" i="52"/>
  <c r="H7" i="52" s="1"/>
  <c r="L27" i="53"/>
  <c r="H19" i="53"/>
  <c r="H15" i="53"/>
  <c r="C39" i="50"/>
  <c r="G33" i="50"/>
  <c r="H33" i="50"/>
  <c r="L7" i="52" l="1"/>
  <c r="K27" i="52"/>
  <c r="F40" i="52"/>
  <c r="F43" i="55"/>
  <c r="I7" i="52"/>
  <c r="H31" i="3"/>
  <c r="G7" i="52"/>
  <c r="I11" i="52"/>
  <c r="F39" i="52"/>
  <c r="H11" i="53"/>
  <c r="D43" i="55"/>
  <c r="Q8" i="55"/>
  <c r="I13" i="52"/>
  <c r="H35" i="52"/>
  <c r="K35" i="52"/>
  <c r="L35" i="52"/>
  <c r="G31" i="52"/>
  <c r="H31" i="52"/>
  <c r="L31" i="52"/>
  <c r="H27" i="52"/>
  <c r="G25" i="52"/>
  <c r="L25" i="52"/>
  <c r="H23" i="52"/>
  <c r="G23" i="52"/>
  <c r="K23" i="52"/>
  <c r="L23" i="52"/>
  <c r="H19" i="52"/>
  <c r="K19" i="52"/>
  <c r="L17" i="52"/>
  <c r="G17" i="52"/>
  <c r="L15" i="52"/>
  <c r="H15" i="52"/>
  <c r="K15" i="52"/>
  <c r="G15" i="52"/>
  <c r="H11" i="52"/>
  <c r="K11" i="52"/>
  <c r="L9" i="52"/>
  <c r="G9" i="52"/>
  <c r="K7" i="52"/>
  <c r="I35" i="52"/>
  <c r="J13" i="52"/>
  <c r="J21" i="52"/>
  <c r="J29" i="52"/>
  <c r="H9" i="52"/>
  <c r="J11" i="52"/>
  <c r="K13" i="52"/>
  <c r="H17" i="52"/>
  <c r="J19" i="52"/>
  <c r="K21" i="52"/>
  <c r="H25" i="52"/>
  <c r="J27" i="52"/>
  <c r="K29" i="52"/>
  <c r="J9" i="52"/>
  <c r="G13" i="52"/>
  <c r="L13" i="52"/>
  <c r="J17" i="52"/>
  <c r="G21" i="52"/>
  <c r="L21" i="52"/>
  <c r="J25" i="52"/>
  <c r="G29" i="52"/>
  <c r="L29" i="52"/>
  <c r="J7" i="52"/>
  <c r="K9" i="52"/>
  <c r="G11" i="52"/>
  <c r="L11" i="52"/>
  <c r="H13" i="52"/>
  <c r="J15" i="52"/>
  <c r="K17" i="52"/>
  <c r="G19" i="52"/>
  <c r="L19" i="52"/>
  <c r="H21" i="52"/>
  <c r="J23" i="52"/>
  <c r="K25" i="52"/>
  <c r="G27" i="52"/>
  <c r="L27" i="52"/>
  <c r="H29" i="52"/>
  <c r="J31" i="52"/>
  <c r="I31" i="52"/>
  <c r="I27" i="53"/>
  <c r="J27" i="53"/>
  <c r="I19" i="53"/>
  <c r="J19" i="53"/>
  <c r="I15" i="53"/>
  <c r="J15" i="53"/>
  <c r="I11" i="53"/>
  <c r="J11" i="53"/>
  <c r="K9" i="53"/>
  <c r="G11" i="53"/>
  <c r="G15" i="53"/>
  <c r="K19" i="53"/>
  <c r="J23" i="53"/>
  <c r="K27" i="53"/>
  <c r="L11" i="53"/>
  <c r="L15" i="53"/>
  <c r="L19" i="53"/>
  <c r="H27" i="53"/>
  <c r="G9" i="53"/>
  <c r="G17" i="53"/>
  <c r="L21" i="53"/>
  <c r="G25" i="53"/>
  <c r="H29" i="53"/>
  <c r="I7" i="53"/>
  <c r="K11" i="53"/>
  <c r="K15" i="53"/>
  <c r="G19" i="53"/>
  <c r="G27" i="53"/>
  <c r="F33" i="53" l="1"/>
  <c r="F31" i="53"/>
  <c r="F32" i="53"/>
  <c r="L13" i="53"/>
  <c r="F34" i="53"/>
  <c r="F7" i="52"/>
  <c r="K21" i="53"/>
  <c r="J7" i="53"/>
  <c r="H9" i="53"/>
  <c r="I23" i="53"/>
  <c r="H25" i="53"/>
  <c r="L17" i="53"/>
  <c r="J29" i="53"/>
  <c r="I29" i="53"/>
  <c r="J13" i="53"/>
  <c r="I13" i="53"/>
  <c r="H17" i="53"/>
  <c r="H13" i="53"/>
  <c r="K13" i="53"/>
  <c r="J25" i="53"/>
  <c r="I25" i="53"/>
  <c r="I9" i="53"/>
  <c r="J9" i="53"/>
  <c r="L23" i="53"/>
  <c r="H23" i="53"/>
  <c r="K23" i="53"/>
  <c r="G23" i="53"/>
  <c r="G29" i="53"/>
  <c r="K17" i="53"/>
  <c r="G13" i="53"/>
  <c r="K29" i="53"/>
  <c r="K7" i="53"/>
  <c r="G7" i="53"/>
  <c r="L7" i="53"/>
  <c r="H7" i="53"/>
  <c r="J21" i="53"/>
  <c r="I21" i="53"/>
  <c r="K25" i="53"/>
  <c r="G21" i="53"/>
  <c r="L29" i="53"/>
  <c r="L9" i="53"/>
  <c r="L25" i="53"/>
  <c r="H21" i="53"/>
  <c r="J17" i="53"/>
  <c r="I17" i="53"/>
  <c r="L32" i="50" l="1"/>
  <c r="L33" i="50" s="1"/>
  <c r="K32" i="50"/>
  <c r="J32" i="50"/>
  <c r="J33" i="50" s="1"/>
  <c r="I32" i="50"/>
  <c r="L30" i="50"/>
  <c r="K30" i="50"/>
  <c r="J30" i="50"/>
  <c r="I30" i="50"/>
  <c r="H30" i="50"/>
  <c r="G30" i="50"/>
  <c r="L28" i="50"/>
  <c r="K28" i="50"/>
  <c r="J28" i="50"/>
  <c r="I28" i="50"/>
  <c r="H28" i="50"/>
  <c r="G28" i="50"/>
  <c r="L26" i="50"/>
  <c r="K26" i="50"/>
  <c r="J26" i="50"/>
  <c r="I26" i="50"/>
  <c r="H26" i="50"/>
  <c r="G26" i="50"/>
  <c r="L24" i="50"/>
  <c r="K24" i="50"/>
  <c r="J24" i="50"/>
  <c r="I24" i="50"/>
  <c r="H24" i="50"/>
  <c r="G24" i="50"/>
  <c r="L22" i="50"/>
  <c r="K22" i="50"/>
  <c r="J22" i="50"/>
  <c r="I22" i="50"/>
  <c r="H22" i="50"/>
  <c r="G22" i="50"/>
  <c r="L20" i="50"/>
  <c r="K20" i="50"/>
  <c r="J20" i="50"/>
  <c r="I20" i="50"/>
  <c r="H20" i="50"/>
  <c r="G20" i="50"/>
  <c r="L18" i="50"/>
  <c r="K18" i="50"/>
  <c r="J18" i="50"/>
  <c r="I18" i="50"/>
  <c r="H18" i="50"/>
  <c r="G18" i="50"/>
  <c r="L16" i="50"/>
  <c r="K16" i="50"/>
  <c r="J16" i="50"/>
  <c r="I16" i="50"/>
  <c r="H16" i="50"/>
  <c r="G16" i="50"/>
  <c r="L14" i="50"/>
  <c r="K14" i="50"/>
  <c r="J14" i="50"/>
  <c r="I14" i="50"/>
  <c r="H14" i="50"/>
  <c r="G14" i="50"/>
  <c r="L12" i="50"/>
  <c r="K12" i="50"/>
  <c r="J12" i="50"/>
  <c r="I12" i="50"/>
  <c r="H12" i="50"/>
  <c r="H36" i="50" s="1"/>
  <c r="G12" i="50"/>
  <c r="G36" i="50" s="1"/>
  <c r="L10" i="50"/>
  <c r="L35" i="50" s="1"/>
  <c r="K10" i="50"/>
  <c r="J10" i="50"/>
  <c r="J35" i="50" s="1"/>
  <c r="I10" i="50"/>
  <c r="I35" i="50" s="1"/>
  <c r="H10" i="50"/>
  <c r="H35" i="50" s="1"/>
  <c r="G10" i="50"/>
  <c r="G35" i="50" s="1"/>
  <c r="L8" i="50"/>
  <c r="K8" i="50"/>
  <c r="J8" i="50"/>
  <c r="I8" i="50"/>
  <c r="H8" i="50"/>
  <c r="G8" i="50"/>
  <c r="L6" i="50"/>
  <c r="K6" i="50"/>
  <c r="J6" i="50"/>
  <c r="I6" i="50"/>
  <c r="H6" i="50"/>
  <c r="G6" i="50"/>
  <c r="C15" i="47"/>
  <c r="K36" i="50" l="1"/>
  <c r="J36" i="50"/>
  <c r="L36" i="50"/>
  <c r="K43" i="50"/>
  <c r="K44" i="50"/>
  <c r="K35" i="50"/>
  <c r="I36" i="50"/>
  <c r="K45" i="50"/>
  <c r="L45" i="50" s="1"/>
  <c r="K46" i="50"/>
  <c r="K47" i="50"/>
  <c r="K48" i="50"/>
  <c r="K49" i="50"/>
  <c r="L49" i="50" s="1"/>
  <c r="G43" i="50"/>
  <c r="G44" i="50"/>
  <c r="G45" i="50"/>
  <c r="G46" i="50"/>
  <c r="G47" i="50"/>
  <c r="G48" i="50"/>
  <c r="G49" i="50"/>
  <c r="M43" i="50"/>
  <c r="K33" i="50"/>
  <c r="M49" i="50"/>
  <c r="I43" i="50"/>
  <c r="E43" i="50" s="1"/>
  <c r="I44" i="50"/>
  <c r="M44" i="50"/>
  <c r="I45" i="50"/>
  <c r="M45" i="50"/>
  <c r="N45" i="50" s="1"/>
  <c r="I46" i="50"/>
  <c r="M46" i="50"/>
  <c r="I47" i="50"/>
  <c r="M47" i="50"/>
  <c r="N47" i="50" s="1"/>
  <c r="I48" i="50"/>
  <c r="M48" i="50"/>
  <c r="I33" i="50"/>
  <c r="I49" i="50"/>
  <c r="F7" i="32"/>
  <c r="H7" i="32"/>
  <c r="H9" i="32"/>
  <c r="G9" i="32"/>
  <c r="C14" i="31"/>
  <c r="E14" i="31"/>
  <c r="S9" i="50" l="1"/>
  <c r="L47" i="50"/>
  <c r="L46" i="50"/>
  <c r="C43" i="50"/>
  <c r="S8" i="50"/>
  <c r="L48" i="50"/>
  <c r="L44" i="50"/>
  <c r="N48" i="50"/>
  <c r="N46" i="50"/>
  <c r="N44" i="50"/>
  <c r="S7" i="50"/>
  <c r="S10" i="50" s="1"/>
  <c r="N49" i="50"/>
  <c r="H48" i="50"/>
  <c r="R9" i="50"/>
  <c r="C48" i="50"/>
  <c r="C49" i="50"/>
  <c r="H49" i="50"/>
  <c r="H46" i="50"/>
  <c r="R8" i="50"/>
  <c r="C46" i="50"/>
  <c r="H47" i="50"/>
  <c r="C47" i="50"/>
  <c r="H44" i="50"/>
  <c r="C44" i="50"/>
  <c r="R7" i="50"/>
  <c r="H45" i="50"/>
  <c r="C45" i="50"/>
  <c r="D45" i="50" s="1"/>
  <c r="E49" i="50"/>
  <c r="F49" i="50" s="1"/>
  <c r="J49" i="50"/>
  <c r="E47" i="50"/>
  <c r="F47" i="50" s="1"/>
  <c r="J47" i="50"/>
  <c r="J45" i="50"/>
  <c r="E45" i="50"/>
  <c r="F45" i="50" s="1"/>
  <c r="E48" i="50"/>
  <c r="F48" i="50" s="1"/>
  <c r="J48" i="50"/>
  <c r="J46" i="50"/>
  <c r="E46" i="50"/>
  <c r="F46" i="50" s="1"/>
  <c r="J44" i="50"/>
  <c r="E44" i="50"/>
  <c r="F44" i="50" s="1"/>
  <c r="G7" i="32"/>
  <c r="Q19" i="21"/>
  <c r="Q18" i="21"/>
  <c r="Q17" i="21"/>
  <c r="Q16" i="21"/>
  <c r="Q15" i="21"/>
  <c r="Q13" i="21"/>
  <c r="Q12" i="21"/>
  <c r="Q7" i="21"/>
  <c r="Q6" i="21"/>
  <c r="Q11" i="21"/>
  <c r="Q10" i="21"/>
  <c r="Q9" i="21"/>
  <c r="L43" i="50" l="1"/>
  <c r="D47" i="50"/>
  <c r="D49" i="50"/>
  <c r="N43" i="50"/>
  <c r="Q7" i="50"/>
  <c r="D44" i="50"/>
  <c r="Q8" i="50"/>
  <c r="D46" i="50"/>
  <c r="H43" i="50"/>
  <c r="Q9" i="50"/>
  <c r="D48" i="50"/>
  <c r="R10" i="50"/>
  <c r="F43" i="50"/>
  <c r="J43" i="50"/>
  <c r="D7" i="45"/>
  <c r="D9" i="45"/>
  <c r="D6" i="44"/>
  <c r="D43" i="50" l="1"/>
  <c r="Q10" i="50"/>
  <c r="U8" i="43"/>
  <c r="G9" i="43"/>
  <c r="J9" i="58"/>
  <c r="I9" i="58"/>
  <c r="H9" i="58"/>
  <c r="D18" i="41"/>
  <c r="D19" i="41"/>
  <c r="C11" i="40"/>
  <c r="C7" i="32"/>
  <c r="C9" i="31"/>
  <c r="E9" i="31"/>
  <c r="C36" i="27"/>
  <c r="C26" i="27"/>
  <c r="C9" i="27"/>
  <c r="H12" i="27" s="1"/>
  <c r="E26" i="27"/>
  <c r="E8" i="2"/>
  <c r="C8" i="27" l="1"/>
  <c r="C45" i="27" s="1"/>
  <c r="J11" i="40"/>
  <c r="E15" i="45"/>
  <c r="E9" i="58"/>
  <c r="D9" i="58"/>
  <c r="C9" i="58"/>
  <c r="F11" i="37" l="1"/>
  <c r="F10" i="37"/>
  <c r="F9" i="37"/>
  <c r="Q12" i="40"/>
  <c r="I24" i="40"/>
  <c r="I23" i="40"/>
  <c r="G10" i="40"/>
  <c r="H10" i="40" s="1"/>
  <c r="F10" i="40"/>
  <c r="C35" i="40"/>
  <c r="Q35" i="40" s="1"/>
  <c r="C34" i="40"/>
  <c r="I34" i="40" s="1"/>
  <c r="C33" i="40"/>
  <c r="Q33" i="40" s="1"/>
  <c r="C32" i="40"/>
  <c r="Q32" i="40" s="1"/>
  <c r="C31" i="40"/>
  <c r="Q31" i="40" s="1"/>
  <c r="C30" i="40"/>
  <c r="I30" i="40" s="1"/>
  <c r="C29" i="40"/>
  <c r="I29" i="40" s="1"/>
  <c r="C28" i="40"/>
  <c r="Q28" i="40" s="1"/>
  <c r="C27" i="40"/>
  <c r="Q27" i="40" s="1"/>
  <c r="C26" i="40"/>
  <c r="I26" i="40" s="1"/>
  <c r="C25" i="40"/>
  <c r="I25" i="40" s="1"/>
  <c r="C24" i="40"/>
  <c r="Q24" i="40" s="1"/>
  <c r="C23" i="40"/>
  <c r="Q23" i="40" s="1"/>
  <c r="C22" i="40"/>
  <c r="I22" i="40" s="1"/>
  <c r="C21" i="40"/>
  <c r="I21" i="40" s="1"/>
  <c r="C20" i="40"/>
  <c r="Q20" i="40" s="1"/>
  <c r="C19" i="40"/>
  <c r="Q19" i="40" s="1"/>
  <c r="C18" i="40"/>
  <c r="I18" i="40" s="1"/>
  <c r="C17" i="40"/>
  <c r="I17" i="40" s="1"/>
  <c r="C16" i="40"/>
  <c r="Q16" i="40" s="1"/>
  <c r="C15" i="40"/>
  <c r="Q15" i="40" s="1"/>
  <c r="C14" i="40"/>
  <c r="I14" i="40" s="1"/>
  <c r="C13" i="40"/>
  <c r="I13" i="40" s="1"/>
  <c r="C12" i="40"/>
  <c r="M11" i="40"/>
  <c r="L31" i="39"/>
  <c r="L15" i="39"/>
  <c r="M11" i="39"/>
  <c r="N11" i="39" s="1"/>
  <c r="M10" i="39"/>
  <c r="H34" i="39"/>
  <c r="L34" i="39" s="1"/>
  <c r="H33" i="39"/>
  <c r="L33" i="39" s="1"/>
  <c r="H32" i="39"/>
  <c r="L32" i="39" s="1"/>
  <c r="H31" i="39"/>
  <c r="H30" i="39"/>
  <c r="L30" i="39" s="1"/>
  <c r="H29" i="39"/>
  <c r="L29" i="39" s="1"/>
  <c r="H28" i="39"/>
  <c r="L28" i="39" s="1"/>
  <c r="H27" i="39"/>
  <c r="L27" i="39" s="1"/>
  <c r="H26" i="39"/>
  <c r="L26" i="39" s="1"/>
  <c r="H25" i="39"/>
  <c r="L25" i="39" s="1"/>
  <c r="H24" i="39"/>
  <c r="L24" i="39" s="1"/>
  <c r="H23" i="39"/>
  <c r="L23" i="39" s="1"/>
  <c r="H22" i="39"/>
  <c r="L22" i="39" s="1"/>
  <c r="H21" i="39"/>
  <c r="L21" i="39" s="1"/>
  <c r="H20" i="39"/>
  <c r="L20" i="39" s="1"/>
  <c r="H19" i="39"/>
  <c r="L19" i="39" s="1"/>
  <c r="H18" i="39"/>
  <c r="L18" i="39" s="1"/>
  <c r="H17" i="39"/>
  <c r="L17" i="39" s="1"/>
  <c r="H16" i="39"/>
  <c r="L16" i="39" s="1"/>
  <c r="H15" i="39"/>
  <c r="H14" i="39"/>
  <c r="L14" i="39" s="1"/>
  <c r="H13" i="39"/>
  <c r="L13" i="39" s="1"/>
  <c r="H12" i="39"/>
  <c r="L12" i="39" s="1"/>
  <c r="H11" i="39"/>
  <c r="L11" i="39" s="1"/>
  <c r="H10" i="39"/>
  <c r="L10" i="39" s="1"/>
  <c r="C34" i="39"/>
  <c r="G34" i="39" s="1"/>
  <c r="C33" i="39"/>
  <c r="G33" i="39" s="1"/>
  <c r="C32" i="39"/>
  <c r="G32" i="39" s="1"/>
  <c r="C31" i="39"/>
  <c r="G31" i="39" s="1"/>
  <c r="C30" i="39"/>
  <c r="G30" i="39" s="1"/>
  <c r="C29" i="39"/>
  <c r="G29" i="39" s="1"/>
  <c r="C28" i="39"/>
  <c r="G28" i="39" s="1"/>
  <c r="C27" i="39"/>
  <c r="G27" i="39" s="1"/>
  <c r="C26" i="39"/>
  <c r="G26" i="39" s="1"/>
  <c r="C25" i="39"/>
  <c r="G25" i="39" s="1"/>
  <c r="C24" i="39"/>
  <c r="G24" i="39" s="1"/>
  <c r="C23" i="39"/>
  <c r="G23" i="39" s="1"/>
  <c r="C22" i="39"/>
  <c r="G22" i="39" s="1"/>
  <c r="C21" i="39"/>
  <c r="G21" i="39" s="1"/>
  <c r="C20" i="39"/>
  <c r="G20" i="39" s="1"/>
  <c r="C19" i="39"/>
  <c r="G19" i="39" s="1"/>
  <c r="C18" i="39"/>
  <c r="G18" i="39" s="1"/>
  <c r="C17" i="39"/>
  <c r="G17" i="39" s="1"/>
  <c r="C16" i="39"/>
  <c r="G16" i="39" s="1"/>
  <c r="C15" i="39"/>
  <c r="G15" i="39" s="1"/>
  <c r="C14" i="39"/>
  <c r="G14" i="39" s="1"/>
  <c r="C13" i="39"/>
  <c r="G13" i="39" s="1"/>
  <c r="C12" i="39"/>
  <c r="G12" i="39" s="1"/>
  <c r="C11" i="39"/>
  <c r="G11" i="39" s="1"/>
  <c r="C10" i="39"/>
  <c r="G10" i="39" s="1"/>
  <c r="I15" i="40" l="1"/>
  <c r="I31" i="40"/>
  <c r="I12" i="40"/>
  <c r="C10" i="40"/>
  <c r="I16" i="40"/>
  <c r="I32" i="40"/>
  <c r="I19" i="40"/>
  <c r="I27" i="40"/>
  <c r="I35" i="40"/>
  <c r="I20" i="40"/>
  <c r="I28" i="40"/>
  <c r="I11" i="40"/>
  <c r="Q17" i="40"/>
  <c r="Q21" i="40"/>
  <c r="Q25" i="40"/>
  <c r="Q29" i="40"/>
  <c r="Q13" i="40"/>
  <c r="Q18" i="40"/>
  <c r="Q26" i="40"/>
  <c r="Q30" i="40"/>
  <c r="Q34" i="40"/>
  <c r="I33" i="40"/>
  <c r="Q14" i="40"/>
  <c r="Q22" i="40"/>
  <c r="Q11" i="40"/>
  <c r="E19" i="45" l="1"/>
  <c r="F18" i="45"/>
  <c r="E18" i="45"/>
  <c r="F17" i="45"/>
  <c r="E17" i="45"/>
  <c r="F16" i="45"/>
  <c r="E16" i="45"/>
  <c r="F15" i="45"/>
  <c r="F14" i="45"/>
  <c r="E14" i="45"/>
  <c r="F13" i="45"/>
  <c r="E13" i="45"/>
  <c r="F12" i="45"/>
  <c r="E12" i="45"/>
  <c r="F11" i="45"/>
  <c r="E11" i="45"/>
  <c r="G9" i="45"/>
  <c r="I18" i="45" s="1"/>
  <c r="E9" i="45"/>
  <c r="E8" i="45"/>
  <c r="G7" i="45" l="1"/>
  <c r="H14" i="45" s="1"/>
  <c r="I11" i="45"/>
  <c r="I12" i="45"/>
  <c r="I13" i="45"/>
  <c r="I14" i="45"/>
  <c r="I15" i="45"/>
  <c r="I16" i="45"/>
  <c r="I17" i="45"/>
  <c r="H16" i="45" l="1"/>
  <c r="H9" i="45"/>
  <c r="H15" i="45"/>
  <c r="H18" i="45"/>
  <c r="H13" i="45"/>
  <c r="H17" i="45"/>
  <c r="H11" i="45"/>
  <c r="H8" i="45"/>
  <c r="H12" i="45"/>
  <c r="H19" i="45"/>
  <c r="M34" i="17"/>
  <c r="N33" i="17"/>
  <c r="M33" i="17"/>
  <c r="N32" i="17"/>
  <c r="M32" i="17"/>
  <c r="N31" i="17"/>
  <c r="M31" i="17"/>
  <c r="N30" i="17"/>
  <c r="M30" i="17"/>
  <c r="N29" i="17"/>
  <c r="M29" i="17"/>
  <c r="N28" i="17"/>
  <c r="M28" i="17"/>
  <c r="N27" i="17"/>
  <c r="M27" i="17"/>
  <c r="N26" i="17"/>
  <c r="M26" i="17"/>
  <c r="N25" i="17"/>
  <c r="M25" i="17"/>
  <c r="N24" i="17"/>
  <c r="M24" i="17"/>
  <c r="N23" i="17"/>
  <c r="M23" i="17"/>
  <c r="N22" i="17"/>
  <c r="M22" i="17"/>
  <c r="N21" i="17"/>
  <c r="M21" i="17"/>
  <c r="M20" i="17"/>
  <c r="M19" i="17"/>
  <c r="M18" i="17"/>
  <c r="M17" i="17"/>
  <c r="M16" i="17"/>
  <c r="M15" i="17"/>
  <c r="G17" i="41"/>
  <c r="G16" i="41"/>
  <c r="G15" i="41"/>
  <c r="G14" i="41"/>
  <c r="G13" i="41"/>
  <c r="G12" i="41"/>
  <c r="G11" i="41"/>
  <c r="G10" i="41"/>
  <c r="G9" i="41"/>
  <c r="G8" i="41"/>
  <c r="G7" i="41"/>
  <c r="F17" i="41"/>
  <c r="F16" i="41"/>
  <c r="F15" i="41"/>
  <c r="F14" i="41"/>
  <c r="F13" i="41"/>
  <c r="F12" i="41"/>
  <c r="F11" i="41"/>
  <c r="F10" i="41"/>
  <c r="F9" i="41"/>
  <c r="F8" i="41"/>
  <c r="F7" i="41"/>
  <c r="E14" i="57"/>
  <c r="F16" i="37"/>
  <c r="F15" i="37"/>
  <c r="F14" i="37"/>
  <c r="F13" i="37"/>
  <c r="F12" i="37"/>
  <c r="D16" i="37"/>
  <c r="D15" i="37"/>
  <c r="D14" i="37"/>
  <c r="D13" i="37"/>
  <c r="D12" i="37"/>
  <c r="D11" i="37"/>
  <c r="D10" i="37"/>
  <c r="D9" i="37"/>
  <c r="E58" i="57" l="1"/>
  <c r="E56" i="57"/>
  <c r="E30" i="57"/>
  <c r="E38" i="57"/>
  <c r="E46" i="57"/>
  <c r="E24" i="57"/>
  <c r="E54" i="57"/>
  <c r="E22" i="57"/>
  <c r="E40" i="57"/>
  <c r="E16" i="57"/>
  <c r="E32" i="57"/>
  <c r="E48" i="57"/>
  <c r="E12" i="57"/>
  <c r="E20" i="57"/>
  <c r="E28" i="57"/>
  <c r="E36" i="57"/>
  <c r="E44" i="57"/>
  <c r="E52" i="57"/>
  <c r="E10" i="57"/>
  <c r="E18" i="57"/>
  <c r="E26" i="57"/>
  <c r="E34" i="57"/>
  <c r="E42" i="57"/>
  <c r="E50" i="57"/>
  <c r="G18" i="41" l="1"/>
  <c r="F18" i="41"/>
  <c r="E8" i="57"/>
  <c r="L16" i="34"/>
  <c r="G26" i="57" s="1"/>
  <c r="G19" i="41" l="1"/>
  <c r="F19" i="41"/>
  <c r="O32" i="34"/>
  <c r="N32" i="34"/>
  <c r="O31" i="34"/>
  <c r="N31" i="34"/>
  <c r="O30" i="34"/>
  <c r="N30" i="34"/>
  <c r="O29" i="34"/>
  <c r="N29" i="34"/>
  <c r="O28" i="34"/>
  <c r="N28" i="34"/>
  <c r="O27" i="34"/>
  <c r="N27" i="34"/>
  <c r="O26" i="34"/>
  <c r="N26" i="34"/>
  <c r="O25" i="34"/>
  <c r="N25" i="34"/>
  <c r="O24" i="34"/>
  <c r="N24" i="34"/>
  <c r="O23" i="34"/>
  <c r="N23" i="34"/>
  <c r="O22" i="34"/>
  <c r="N22" i="34"/>
  <c r="O21" i="34"/>
  <c r="N21" i="34"/>
  <c r="O20" i="34"/>
  <c r="N20" i="34"/>
  <c r="O19" i="34"/>
  <c r="N19" i="34"/>
  <c r="O18" i="34"/>
  <c r="N18" i="34"/>
  <c r="O17" i="34"/>
  <c r="N17" i="34"/>
  <c r="O16" i="34"/>
  <c r="N16" i="34"/>
  <c r="O15" i="34"/>
  <c r="N15" i="34"/>
  <c r="O14" i="34"/>
  <c r="N14" i="34"/>
  <c r="O13" i="34"/>
  <c r="N13" i="34"/>
  <c r="O12" i="34"/>
  <c r="N12" i="34"/>
  <c r="O11" i="34"/>
  <c r="N11" i="34"/>
  <c r="O10" i="34"/>
  <c r="N10" i="34"/>
  <c r="O9" i="34"/>
  <c r="N9" i="34"/>
  <c r="L32" i="34"/>
  <c r="K32" i="34"/>
  <c r="L31" i="34"/>
  <c r="K31" i="34"/>
  <c r="L30" i="34"/>
  <c r="G54" i="57" s="1"/>
  <c r="K30" i="34"/>
  <c r="L29" i="34"/>
  <c r="K29" i="34"/>
  <c r="L28" i="34"/>
  <c r="G50" i="57" s="1"/>
  <c r="K28" i="34"/>
  <c r="L27" i="34"/>
  <c r="K27" i="34"/>
  <c r="L26" i="34"/>
  <c r="K26" i="34"/>
  <c r="L25" i="34"/>
  <c r="K25" i="34"/>
  <c r="L24" i="34"/>
  <c r="K24" i="34"/>
  <c r="L23" i="34"/>
  <c r="K23" i="34"/>
  <c r="L22" i="34"/>
  <c r="K22" i="34"/>
  <c r="L21" i="34"/>
  <c r="K21" i="34"/>
  <c r="L20" i="34"/>
  <c r="K20" i="34"/>
  <c r="L19" i="34"/>
  <c r="K19" i="34"/>
  <c r="L18" i="34"/>
  <c r="K18" i="34"/>
  <c r="L17" i="34"/>
  <c r="K17" i="34"/>
  <c r="K16" i="34"/>
  <c r="L15" i="34"/>
  <c r="K15" i="34"/>
  <c r="L14" i="34"/>
  <c r="K14" i="34"/>
  <c r="L13" i="34"/>
  <c r="K13" i="34"/>
  <c r="L12" i="34"/>
  <c r="G18" i="57" s="1"/>
  <c r="K12" i="34"/>
  <c r="L11" i="34"/>
  <c r="K11" i="34"/>
  <c r="L10" i="34"/>
  <c r="K10" i="34"/>
  <c r="L9" i="34"/>
  <c r="K9" i="34"/>
  <c r="O8" i="34"/>
  <c r="N8" i="34"/>
  <c r="M8" i="34"/>
  <c r="T32" i="34"/>
  <c r="T31" i="34"/>
  <c r="T30" i="34"/>
  <c r="T29" i="34"/>
  <c r="T28" i="34"/>
  <c r="T27" i="34"/>
  <c r="T26" i="34"/>
  <c r="T25" i="34"/>
  <c r="T24" i="34"/>
  <c r="T23" i="34"/>
  <c r="T22" i="34"/>
  <c r="T21" i="34"/>
  <c r="T20" i="34"/>
  <c r="T19" i="34"/>
  <c r="T18" i="34"/>
  <c r="T17" i="34"/>
  <c r="T16" i="34"/>
  <c r="T15" i="34"/>
  <c r="T14" i="34"/>
  <c r="T13" i="34"/>
  <c r="T12" i="34"/>
  <c r="T11" i="34"/>
  <c r="T10" i="34"/>
  <c r="T9" i="34"/>
  <c r="T8" i="34"/>
  <c r="AA32" i="34"/>
  <c r="AA31" i="34"/>
  <c r="AA30" i="34"/>
  <c r="AA29" i="34"/>
  <c r="AA28" i="34"/>
  <c r="AA27" i="34"/>
  <c r="AA26" i="34"/>
  <c r="AA25" i="34"/>
  <c r="AA24" i="34"/>
  <c r="AA23" i="34"/>
  <c r="AA22" i="34"/>
  <c r="AA21" i="34"/>
  <c r="AA20" i="34"/>
  <c r="AA19" i="34"/>
  <c r="AA18" i="34"/>
  <c r="AA17" i="34"/>
  <c r="AA16" i="34"/>
  <c r="AA15" i="34"/>
  <c r="AA14" i="34"/>
  <c r="AA13" i="34"/>
  <c r="AA12" i="34"/>
  <c r="AA11" i="34"/>
  <c r="AA10" i="34"/>
  <c r="AA9" i="34"/>
  <c r="AA8" i="34"/>
  <c r="M12" i="34" l="1"/>
  <c r="M16" i="34"/>
  <c r="M18" i="34"/>
  <c r="M20" i="34"/>
  <c r="M22" i="34"/>
  <c r="M26" i="34"/>
  <c r="M30" i="34"/>
  <c r="M10" i="34"/>
  <c r="M14" i="34"/>
  <c r="M17" i="34"/>
  <c r="G28" i="57"/>
  <c r="M19" i="34"/>
  <c r="G32" i="57"/>
  <c r="M21" i="34"/>
  <c r="G36" i="57"/>
  <c r="M23" i="34"/>
  <c r="G40" i="57"/>
  <c r="M25" i="34"/>
  <c r="G44" i="57"/>
  <c r="M27" i="34"/>
  <c r="G48" i="57"/>
  <c r="M29" i="34"/>
  <c r="G52" i="57"/>
  <c r="M31" i="34"/>
  <c r="G56" i="57"/>
  <c r="M28" i="34"/>
  <c r="G10" i="57"/>
  <c r="M9" i="34"/>
  <c r="G12" i="57"/>
  <c r="M11" i="34"/>
  <c r="G16" i="57"/>
  <c r="M13" i="34"/>
  <c r="G20" i="57"/>
  <c r="M15" i="34"/>
  <c r="G24" i="57"/>
  <c r="G30" i="57"/>
  <c r="G34" i="57"/>
  <c r="G38" i="57"/>
  <c r="G42" i="57"/>
  <c r="G46" i="57"/>
  <c r="G58" i="57"/>
  <c r="M24" i="34"/>
  <c r="M32" i="34"/>
  <c r="G14" i="57"/>
  <c r="G22" i="57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H33" i="43"/>
  <c r="H32" i="43"/>
  <c r="H31" i="43"/>
  <c r="H30" i="43"/>
  <c r="H29" i="43"/>
  <c r="H28" i="43"/>
  <c r="H27" i="43"/>
  <c r="H26" i="43"/>
  <c r="H25" i="43"/>
  <c r="H24" i="43"/>
  <c r="H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K16" i="43" s="1"/>
  <c r="G15" i="43"/>
  <c r="G14" i="43"/>
  <c r="G13" i="43"/>
  <c r="G12" i="43"/>
  <c r="G11" i="43"/>
  <c r="G10" i="43"/>
  <c r="G8" i="43" l="1"/>
  <c r="G8" i="57"/>
  <c r="I8" i="43"/>
  <c r="D36" i="27" l="1"/>
  <c r="C29" i="48" l="1"/>
  <c r="C28" i="48"/>
  <c r="C27" i="48"/>
  <c r="C26" i="48"/>
  <c r="C25" i="48"/>
  <c r="C24" i="48"/>
  <c r="C23" i="48"/>
  <c r="C21" i="48"/>
  <c r="C20" i="48"/>
  <c r="C19" i="48"/>
  <c r="C18" i="48"/>
  <c r="C17" i="48"/>
  <c r="C15" i="48"/>
  <c r="C14" i="48"/>
  <c r="C13" i="48"/>
  <c r="C12" i="48"/>
  <c r="C11" i="48"/>
  <c r="C10" i="48"/>
  <c r="C10" i="47"/>
  <c r="C11" i="47"/>
  <c r="C12" i="47"/>
  <c r="C13" i="47"/>
  <c r="C14" i="47"/>
  <c r="C17" i="47"/>
  <c r="C18" i="47"/>
  <c r="C19" i="47"/>
  <c r="C20" i="47"/>
  <c r="C21" i="47"/>
  <c r="C23" i="47"/>
  <c r="C5" i="12"/>
  <c r="E9" i="27" l="1"/>
  <c r="H15" i="27" l="1"/>
  <c r="F9" i="27"/>
  <c r="H14" i="27"/>
  <c r="H13" i="27"/>
  <c r="J25" i="50"/>
  <c r="J23" i="50"/>
  <c r="J21" i="50"/>
  <c r="J19" i="50"/>
  <c r="J17" i="50"/>
  <c r="J15" i="50"/>
  <c r="J7" i="50"/>
  <c r="C50" i="50" l="1"/>
  <c r="C51" i="50"/>
  <c r="G29" i="50"/>
  <c r="J13" i="50"/>
  <c r="J9" i="50"/>
  <c r="I9" i="50"/>
  <c r="H9" i="50"/>
  <c r="J11" i="50"/>
  <c r="H27" i="50"/>
  <c r="G27" i="50"/>
  <c r="J31" i="50"/>
  <c r="G31" i="50"/>
  <c r="K27" i="50"/>
  <c r="K19" i="50"/>
  <c r="K31" i="50"/>
  <c r="J29" i="50"/>
  <c r="J27" i="50"/>
  <c r="H25" i="50"/>
  <c r="K25" i="50"/>
  <c r="K23" i="50"/>
  <c r="G19" i="50"/>
  <c r="H19" i="50"/>
  <c r="H17" i="50"/>
  <c r="K17" i="50"/>
  <c r="K15" i="50"/>
  <c r="K11" i="50"/>
  <c r="G11" i="50"/>
  <c r="H11" i="50"/>
  <c r="K9" i="50"/>
  <c r="K7" i="50"/>
  <c r="L13" i="50"/>
  <c r="L21" i="50"/>
  <c r="L29" i="50"/>
  <c r="G7" i="50"/>
  <c r="L7" i="50"/>
  <c r="G13" i="50"/>
  <c r="L15" i="50"/>
  <c r="G21" i="50"/>
  <c r="L23" i="50"/>
  <c r="L31" i="50"/>
  <c r="H7" i="50"/>
  <c r="L9" i="50"/>
  <c r="H13" i="50"/>
  <c r="G15" i="50"/>
  <c r="L17" i="50"/>
  <c r="H21" i="50"/>
  <c r="G23" i="50"/>
  <c r="L25" i="50"/>
  <c r="H29" i="50"/>
  <c r="I7" i="50"/>
  <c r="G9" i="50"/>
  <c r="L11" i="50"/>
  <c r="K13" i="50"/>
  <c r="H15" i="50"/>
  <c r="G17" i="50"/>
  <c r="L19" i="50"/>
  <c r="K21" i="50"/>
  <c r="H23" i="50"/>
  <c r="G25" i="50"/>
  <c r="L27" i="50"/>
  <c r="K29" i="50"/>
  <c r="H31" i="50"/>
  <c r="I17" i="50"/>
  <c r="I19" i="50"/>
  <c r="I21" i="50"/>
  <c r="I23" i="50"/>
  <c r="I25" i="50"/>
  <c r="I27" i="50"/>
  <c r="I29" i="50"/>
  <c r="I31" i="50"/>
  <c r="I11" i="50"/>
  <c r="I13" i="50"/>
  <c r="I15" i="50"/>
  <c r="H33" i="32"/>
  <c r="E36" i="27"/>
  <c r="AG16" i="43" l="1"/>
  <c r="T16" i="43"/>
  <c r="J16" i="43" s="1"/>
  <c r="D7" i="32" l="1"/>
  <c r="D9" i="29" l="1"/>
  <c r="C9" i="29"/>
  <c r="D7" i="12" l="1"/>
  <c r="D11" i="12"/>
  <c r="D8" i="12"/>
  <c r="D12" i="12"/>
  <c r="D9" i="12"/>
  <c r="D10" i="12"/>
  <c r="E9" i="29"/>
  <c r="D5" i="12" l="1"/>
  <c r="E26" i="28"/>
  <c r="N10" i="40"/>
  <c r="I9" i="39"/>
  <c r="D9" i="39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K18" i="43"/>
  <c r="K17" i="43"/>
  <c r="K15" i="43"/>
  <c r="K14" i="43"/>
  <c r="K13" i="43"/>
  <c r="K12" i="43"/>
  <c r="K11" i="43"/>
  <c r="K10" i="43"/>
  <c r="M9" i="39" l="1"/>
  <c r="N9" i="39" s="1"/>
  <c r="C29" i="49"/>
  <c r="C28" i="49"/>
  <c r="C27" i="49"/>
  <c r="C26" i="49"/>
  <c r="C25" i="49"/>
  <c r="C24" i="49"/>
  <c r="C23" i="49"/>
  <c r="C21" i="49"/>
  <c r="C20" i="49"/>
  <c r="C19" i="49"/>
  <c r="C18" i="49"/>
  <c r="C17" i="49"/>
  <c r="C15" i="49"/>
  <c r="C14" i="49"/>
  <c r="C13" i="49"/>
  <c r="C12" i="49"/>
  <c r="C11" i="49"/>
  <c r="C10" i="49"/>
  <c r="I8" i="49"/>
  <c r="H8" i="49"/>
  <c r="G8" i="49"/>
  <c r="F8" i="49"/>
  <c r="E8" i="49"/>
  <c r="D8" i="49"/>
  <c r="C8" i="49" l="1"/>
  <c r="I8" i="48"/>
  <c r="H8" i="48"/>
  <c r="G8" i="48"/>
  <c r="F8" i="48"/>
  <c r="E8" i="48"/>
  <c r="D8" i="48"/>
  <c r="C29" i="47"/>
  <c r="C28" i="47"/>
  <c r="C27" i="47"/>
  <c r="C26" i="47"/>
  <c r="C25" i="47"/>
  <c r="C24" i="47"/>
  <c r="I8" i="47"/>
  <c r="H8" i="47"/>
  <c r="G8" i="47"/>
  <c r="F8" i="47"/>
  <c r="E8" i="47"/>
  <c r="D8" i="47"/>
  <c r="C8" i="47" l="1"/>
  <c r="C8" i="48"/>
  <c r="D8" i="15"/>
  <c r="E8" i="15"/>
  <c r="F8" i="15"/>
  <c r="G8" i="15"/>
  <c r="H8" i="15"/>
  <c r="I8" i="15"/>
  <c r="C10" i="15"/>
  <c r="C11" i="15"/>
  <c r="C12" i="15"/>
  <c r="C13" i="15"/>
  <c r="C14" i="15"/>
  <c r="C15" i="15"/>
  <c r="C17" i="15"/>
  <c r="C18" i="15"/>
  <c r="C19" i="15"/>
  <c r="C20" i="15"/>
  <c r="C21" i="15"/>
  <c r="C25" i="15"/>
  <c r="C26" i="15"/>
  <c r="C27" i="15"/>
  <c r="C28" i="15"/>
  <c r="C29" i="15"/>
  <c r="D29" i="27" l="1"/>
  <c r="F29" i="27"/>
  <c r="O26" i="43" l="1"/>
  <c r="O9" i="43"/>
  <c r="K12" i="37" l="1"/>
  <c r="K10" i="37"/>
  <c r="L10" i="37" s="1"/>
  <c r="K9" i="37"/>
  <c r="L9" i="37" s="1"/>
  <c r="G16" i="3"/>
  <c r="H16" i="3" s="1"/>
  <c r="F11" i="31" l="1"/>
  <c r="F13" i="31"/>
  <c r="F12" i="31"/>
  <c r="I9" i="18" l="1"/>
  <c r="H9" i="18"/>
  <c r="G9" i="18"/>
  <c r="E9" i="18"/>
  <c r="D9" i="18"/>
  <c r="C9" i="18"/>
  <c r="O11" i="43"/>
  <c r="M9" i="43"/>
  <c r="L9" i="43"/>
  <c r="M34" i="39"/>
  <c r="N34" i="39" s="1"/>
  <c r="M33" i="39"/>
  <c r="N33" i="39" s="1"/>
  <c r="M32" i="39"/>
  <c r="N32" i="39" s="1"/>
  <c r="M31" i="39"/>
  <c r="N31" i="39" s="1"/>
  <c r="M30" i="39"/>
  <c r="N30" i="39" s="1"/>
  <c r="M29" i="39"/>
  <c r="N29" i="39" s="1"/>
  <c r="M28" i="39"/>
  <c r="N28" i="39" s="1"/>
  <c r="M27" i="39"/>
  <c r="N27" i="39" s="1"/>
  <c r="M26" i="39"/>
  <c r="N26" i="39" s="1"/>
  <c r="M25" i="39"/>
  <c r="N25" i="39" s="1"/>
  <c r="M24" i="39"/>
  <c r="N24" i="39" s="1"/>
  <c r="M23" i="39"/>
  <c r="N23" i="39" s="1"/>
  <c r="M22" i="39"/>
  <c r="N22" i="39" s="1"/>
  <c r="M21" i="39"/>
  <c r="N21" i="39" s="1"/>
  <c r="M20" i="39"/>
  <c r="N20" i="39" s="1"/>
  <c r="M19" i="39"/>
  <c r="N19" i="39" s="1"/>
  <c r="M18" i="39"/>
  <c r="N18" i="39" s="1"/>
  <c r="M17" i="39"/>
  <c r="N17" i="39" s="1"/>
  <c r="M16" i="39"/>
  <c r="N16" i="39" s="1"/>
  <c r="M15" i="39"/>
  <c r="N15" i="39" s="1"/>
  <c r="M14" i="39"/>
  <c r="N14" i="39" s="1"/>
  <c r="M13" i="39"/>
  <c r="N13" i="39" s="1"/>
  <c r="M12" i="39"/>
  <c r="N12" i="39" s="1"/>
  <c r="N10" i="39"/>
  <c r="H13" i="40"/>
  <c r="H12" i="40"/>
  <c r="H11" i="40"/>
  <c r="E11" i="40"/>
  <c r="D10" i="40"/>
  <c r="L12" i="37"/>
  <c r="M16" i="37"/>
  <c r="M15" i="37"/>
  <c r="M14" i="37"/>
  <c r="M13" i="37"/>
  <c r="M12" i="37"/>
  <c r="M11" i="37"/>
  <c r="M10" i="37"/>
  <c r="M9" i="37"/>
  <c r="M7" i="37"/>
  <c r="N7" i="37" s="1"/>
  <c r="M6" i="37"/>
  <c r="N6" i="37" s="1"/>
  <c r="K16" i="37"/>
  <c r="K15" i="37"/>
  <c r="L15" i="37" s="1"/>
  <c r="K14" i="37"/>
  <c r="K13" i="37"/>
  <c r="K7" i="37"/>
  <c r="L7" i="37" s="1"/>
  <c r="K6" i="37"/>
  <c r="L6" i="37" s="1"/>
  <c r="G30" i="3"/>
  <c r="H30" i="3" s="1"/>
  <c r="G10" i="3"/>
  <c r="G8" i="3"/>
  <c r="H14" i="32"/>
  <c r="G14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3" i="32"/>
  <c r="G12" i="32"/>
  <c r="G11" i="32"/>
  <c r="G8" i="32"/>
  <c r="I34" i="29"/>
  <c r="J34" i="29" s="1"/>
  <c r="I33" i="29"/>
  <c r="J33" i="29" s="1"/>
  <c r="I32" i="29"/>
  <c r="J32" i="29" s="1"/>
  <c r="I31" i="29"/>
  <c r="J31" i="29" s="1"/>
  <c r="I30" i="29"/>
  <c r="J30" i="29" s="1"/>
  <c r="I29" i="29"/>
  <c r="J29" i="29" s="1"/>
  <c r="I28" i="29"/>
  <c r="J28" i="29" s="1"/>
  <c r="I27" i="29"/>
  <c r="J27" i="29" s="1"/>
  <c r="I26" i="29"/>
  <c r="J26" i="29" s="1"/>
  <c r="I25" i="29"/>
  <c r="J25" i="29" s="1"/>
  <c r="I24" i="29"/>
  <c r="J24" i="29" s="1"/>
  <c r="I23" i="29"/>
  <c r="J23" i="29" s="1"/>
  <c r="I22" i="29"/>
  <c r="J22" i="29" s="1"/>
  <c r="I21" i="29"/>
  <c r="J21" i="29" s="1"/>
  <c r="I20" i="29"/>
  <c r="J20" i="29" s="1"/>
  <c r="I19" i="29"/>
  <c r="J19" i="29" s="1"/>
  <c r="I18" i="29"/>
  <c r="J18" i="29" s="1"/>
  <c r="I17" i="29"/>
  <c r="J17" i="29" s="1"/>
  <c r="I16" i="29"/>
  <c r="J16" i="29" s="1"/>
  <c r="I15" i="29"/>
  <c r="J15" i="29" s="1"/>
  <c r="I14" i="29"/>
  <c r="J14" i="29" s="1"/>
  <c r="I13" i="29"/>
  <c r="J13" i="29" s="1"/>
  <c r="I12" i="29"/>
  <c r="J12" i="29" s="1"/>
  <c r="I11" i="29"/>
  <c r="J11" i="29" s="1"/>
  <c r="I10" i="29"/>
  <c r="J10" i="29" s="1"/>
  <c r="K11" i="29"/>
  <c r="L11" i="29" s="1"/>
  <c r="K10" i="29"/>
  <c r="L10" i="29" s="1"/>
  <c r="K34" i="29"/>
  <c r="L34" i="29" s="1"/>
  <c r="K33" i="29"/>
  <c r="L33" i="29" s="1"/>
  <c r="K32" i="29"/>
  <c r="L32" i="29" s="1"/>
  <c r="K31" i="29"/>
  <c r="L31" i="29" s="1"/>
  <c r="K30" i="29"/>
  <c r="L30" i="29" s="1"/>
  <c r="K29" i="29"/>
  <c r="L29" i="29" s="1"/>
  <c r="K28" i="29"/>
  <c r="L28" i="29" s="1"/>
  <c r="K27" i="29"/>
  <c r="L27" i="29" s="1"/>
  <c r="K26" i="29"/>
  <c r="L26" i="29" s="1"/>
  <c r="K25" i="29"/>
  <c r="L25" i="29" s="1"/>
  <c r="K24" i="29"/>
  <c r="L24" i="29" s="1"/>
  <c r="K23" i="29"/>
  <c r="L23" i="29" s="1"/>
  <c r="K22" i="29"/>
  <c r="L22" i="29" s="1"/>
  <c r="K21" i="29"/>
  <c r="L21" i="29" s="1"/>
  <c r="K20" i="29"/>
  <c r="L20" i="29" s="1"/>
  <c r="K19" i="29"/>
  <c r="L19" i="29" s="1"/>
  <c r="K18" i="29"/>
  <c r="L18" i="29" s="1"/>
  <c r="K17" i="29"/>
  <c r="L17" i="29" s="1"/>
  <c r="K16" i="29"/>
  <c r="L16" i="29" s="1"/>
  <c r="K15" i="29"/>
  <c r="L15" i="29" s="1"/>
  <c r="K14" i="29"/>
  <c r="L14" i="29" s="1"/>
  <c r="K13" i="29"/>
  <c r="L13" i="29" s="1"/>
  <c r="K12" i="29"/>
  <c r="L12" i="29" s="1"/>
  <c r="F8" i="31"/>
  <c r="G11" i="31"/>
  <c r="G8" i="31"/>
  <c r="H8" i="31"/>
  <c r="D17" i="27"/>
  <c r="D16" i="27"/>
  <c r="D15" i="27"/>
  <c r="D14" i="27"/>
  <c r="D11" i="27"/>
  <c r="F44" i="27"/>
  <c r="G7" i="27"/>
  <c r="F26" i="28"/>
  <c r="E34" i="28"/>
  <c r="F34" i="28" s="1"/>
  <c r="E33" i="28"/>
  <c r="F33" i="28" s="1"/>
  <c r="E32" i="28"/>
  <c r="F32" i="28" s="1"/>
  <c r="E31" i="28"/>
  <c r="F31" i="28" s="1"/>
  <c r="E30" i="28"/>
  <c r="F30" i="28" s="1"/>
  <c r="E29" i="28"/>
  <c r="F29" i="28" s="1"/>
  <c r="E28" i="28"/>
  <c r="F28" i="28" s="1"/>
  <c r="E27" i="28"/>
  <c r="F27" i="28" s="1"/>
  <c r="E25" i="28"/>
  <c r="F25" i="28" s="1"/>
  <c r="E24" i="28"/>
  <c r="F24" i="28" s="1"/>
  <c r="E23" i="28"/>
  <c r="F23" i="28" s="1"/>
  <c r="E22" i="28"/>
  <c r="F22" i="28" s="1"/>
  <c r="E21" i="28"/>
  <c r="F21" i="28" s="1"/>
  <c r="E20" i="28"/>
  <c r="F20" i="28" s="1"/>
  <c r="E19" i="28"/>
  <c r="F19" i="28" s="1"/>
  <c r="E18" i="28"/>
  <c r="F18" i="28" s="1"/>
  <c r="E17" i="28"/>
  <c r="F17" i="28" s="1"/>
  <c r="E16" i="28"/>
  <c r="F16" i="28" s="1"/>
  <c r="E15" i="28"/>
  <c r="F15" i="28" s="1"/>
  <c r="E14" i="28"/>
  <c r="F14" i="28" s="1"/>
  <c r="E13" i="28"/>
  <c r="F13" i="28" s="1"/>
  <c r="E12" i="28"/>
  <c r="F12" i="28" s="1"/>
  <c r="E11" i="28"/>
  <c r="F11" i="28" s="1"/>
  <c r="E10" i="28"/>
  <c r="G17" i="6"/>
  <c r="G16" i="6"/>
  <c r="G15" i="6"/>
  <c r="G14" i="6"/>
  <c r="G13" i="6"/>
  <c r="G12" i="6"/>
  <c r="G10" i="6"/>
  <c r="D17" i="6"/>
  <c r="D16" i="6"/>
  <c r="D15" i="6"/>
  <c r="D14" i="6"/>
  <c r="D13" i="6"/>
  <c r="D12" i="6"/>
  <c r="D10" i="6"/>
  <c r="D9" i="6"/>
  <c r="F17" i="6"/>
  <c r="F16" i="6"/>
  <c r="F15" i="6"/>
  <c r="F14" i="6"/>
  <c r="F13" i="6"/>
  <c r="F12" i="6"/>
  <c r="F10" i="6"/>
  <c r="H8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Q10" i="40" l="1"/>
  <c r="E10" i="40"/>
  <c r="I10" i="40"/>
  <c r="J9" i="39" l="1"/>
  <c r="K9" i="39" s="1"/>
  <c r="P20" i="40"/>
  <c r="P19" i="40"/>
  <c r="P18" i="40"/>
  <c r="P17" i="40"/>
  <c r="P15" i="40"/>
  <c r="H35" i="40"/>
  <c r="H34" i="40"/>
  <c r="H32" i="40"/>
  <c r="H28" i="40"/>
  <c r="H25" i="40"/>
  <c r="H21" i="40"/>
  <c r="H18" i="40"/>
  <c r="E17" i="40"/>
  <c r="H14" i="40"/>
  <c r="E12" i="40"/>
  <c r="O10" i="40"/>
  <c r="N16" i="37" l="1"/>
  <c r="N15" i="37"/>
  <c r="N14" i="37"/>
  <c r="N13" i="37"/>
  <c r="N12" i="37"/>
  <c r="N11" i="37"/>
  <c r="N10" i="37"/>
  <c r="N9" i="37"/>
  <c r="L16" i="37"/>
  <c r="L14" i="37"/>
  <c r="L13" i="37"/>
  <c r="J16" i="37"/>
  <c r="J15" i="37"/>
  <c r="J14" i="37"/>
  <c r="J13" i="37"/>
  <c r="J12" i="37"/>
  <c r="J11" i="37"/>
  <c r="J10" i="37"/>
  <c r="J9" i="37"/>
  <c r="M33" i="43" l="1"/>
  <c r="Q33" i="43" s="1"/>
  <c r="M32" i="43"/>
  <c r="Q32" i="43" s="1"/>
  <c r="M31" i="43"/>
  <c r="Q31" i="43" s="1"/>
  <c r="M30" i="43"/>
  <c r="Q30" i="43" s="1"/>
  <c r="M29" i="43"/>
  <c r="Q29" i="43" s="1"/>
  <c r="M28" i="43"/>
  <c r="Q28" i="43" s="1"/>
  <c r="M27" i="43"/>
  <c r="Q27" i="43" s="1"/>
  <c r="M26" i="43"/>
  <c r="Q26" i="43" s="1"/>
  <c r="M25" i="43"/>
  <c r="Q25" i="43" s="1"/>
  <c r="M24" i="43"/>
  <c r="Q24" i="43" s="1"/>
  <c r="M23" i="43"/>
  <c r="Q23" i="43" s="1"/>
  <c r="M22" i="43"/>
  <c r="Q22" i="43" s="1"/>
  <c r="M21" i="43"/>
  <c r="Q21" i="43" s="1"/>
  <c r="M20" i="43"/>
  <c r="Q20" i="43" s="1"/>
  <c r="M19" i="43"/>
  <c r="Q19" i="43" s="1"/>
  <c r="M18" i="43"/>
  <c r="Q18" i="43" s="1"/>
  <c r="M17" i="43"/>
  <c r="Q17" i="43" s="1"/>
  <c r="M16" i="43"/>
  <c r="Q16" i="43" s="1"/>
  <c r="M15" i="43"/>
  <c r="Q15" i="43" s="1"/>
  <c r="M14" i="43"/>
  <c r="Q14" i="43" s="1"/>
  <c r="M13" i="43"/>
  <c r="Q13" i="43" s="1"/>
  <c r="M12" i="43"/>
  <c r="Q12" i="43" s="1"/>
  <c r="M11" i="43"/>
  <c r="Q11" i="43" s="1"/>
  <c r="M10" i="43"/>
  <c r="Q9" i="43"/>
  <c r="L24" i="43"/>
  <c r="P24" i="43" s="1"/>
  <c r="L20" i="43"/>
  <c r="P20" i="43" s="1"/>
  <c r="L19" i="43"/>
  <c r="P19" i="43" s="1"/>
  <c r="L18" i="43"/>
  <c r="P18" i="43" s="1"/>
  <c r="L33" i="43"/>
  <c r="P33" i="43" s="1"/>
  <c r="L32" i="43"/>
  <c r="P32" i="43" s="1"/>
  <c r="L31" i="43"/>
  <c r="P31" i="43" s="1"/>
  <c r="L30" i="43"/>
  <c r="P30" i="43" s="1"/>
  <c r="L29" i="43"/>
  <c r="P29" i="43" s="1"/>
  <c r="L28" i="43"/>
  <c r="P28" i="43" s="1"/>
  <c r="L27" i="43"/>
  <c r="P27" i="43" s="1"/>
  <c r="L26" i="43"/>
  <c r="P26" i="43" s="1"/>
  <c r="L25" i="43"/>
  <c r="P25" i="43" s="1"/>
  <c r="L23" i="43"/>
  <c r="P23" i="43" s="1"/>
  <c r="L22" i="43"/>
  <c r="P22" i="43" s="1"/>
  <c r="L21" i="43"/>
  <c r="P21" i="43" s="1"/>
  <c r="L17" i="43"/>
  <c r="P17" i="43" s="1"/>
  <c r="L16" i="43"/>
  <c r="P16" i="43" s="1"/>
  <c r="L15" i="43"/>
  <c r="P15" i="43" s="1"/>
  <c r="L14" i="43"/>
  <c r="P14" i="43" s="1"/>
  <c r="L13" i="43"/>
  <c r="P13" i="43" s="1"/>
  <c r="L12" i="43"/>
  <c r="P12" i="43" s="1"/>
  <c r="L11" i="43"/>
  <c r="L10" i="43"/>
  <c r="P9" i="43"/>
  <c r="O33" i="43"/>
  <c r="O32" i="43"/>
  <c r="O31" i="43"/>
  <c r="O30" i="43"/>
  <c r="O29" i="43"/>
  <c r="O28" i="43"/>
  <c r="O27" i="43"/>
  <c r="O25" i="43"/>
  <c r="O24" i="43"/>
  <c r="O23" i="43"/>
  <c r="O22" i="43"/>
  <c r="O21" i="43"/>
  <c r="O20" i="43"/>
  <c r="O19" i="43"/>
  <c r="O18" i="43"/>
  <c r="O17" i="43"/>
  <c r="O16" i="43"/>
  <c r="O15" i="43"/>
  <c r="O14" i="43"/>
  <c r="O13" i="43"/>
  <c r="O12" i="43"/>
  <c r="O10" i="43"/>
  <c r="J9" i="43"/>
  <c r="T17" i="43"/>
  <c r="J17" i="43" s="1"/>
  <c r="T13" i="43"/>
  <c r="J13" i="43" s="1"/>
  <c r="AG33" i="43"/>
  <c r="F33" i="43" s="1"/>
  <c r="AG32" i="43"/>
  <c r="F32" i="43" s="1"/>
  <c r="AG31" i="43"/>
  <c r="F31" i="43" s="1"/>
  <c r="AG30" i="43"/>
  <c r="F30" i="43" s="1"/>
  <c r="AG29" i="43"/>
  <c r="F29" i="43" s="1"/>
  <c r="AG28" i="43"/>
  <c r="F28" i="43" s="1"/>
  <c r="AG27" i="43"/>
  <c r="F27" i="43" s="1"/>
  <c r="AG26" i="43"/>
  <c r="F26" i="43" s="1"/>
  <c r="AG25" i="43"/>
  <c r="F25" i="43" s="1"/>
  <c r="AG24" i="43"/>
  <c r="F24" i="43" s="1"/>
  <c r="AG23" i="43"/>
  <c r="F23" i="43" s="1"/>
  <c r="AG22" i="43"/>
  <c r="F22" i="43" s="1"/>
  <c r="AG21" i="43"/>
  <c r="F21" i="43" s="1"/>
  <c r="AG20" i="43"/>
  <c r="F20" i="43" s="1"/>
  <c r="AG19" i="43"/>
  <c r="F19" i="43" s="1"/>
  <c r="AG18" i="43"/>
  <c r="F18" i="43" s="1"/>
  <c r="AG17" i="43"/>
  <c r="F17" i="43" s="1"/>
  <c r="F16" i="43"/>
  <c r="AG15" i="43"/>
  <c r="F15" i="43" s="1"/>
  <c r="AG14" i="43"/>
  <c r="F14" i="43" s="1"/>
  <c r="AG13" i="43"/>
  <c r="F13" i="43" s="1"/>
  <c r="AG12" i="43"/>
  <c r="F12" i="43" s="1"/>
  <c r="AG11" i="43"/>
  <c r="F11" i="43" s="1"/>
  <c r="AG10" i="43"/>
  <c r="F10" i="43" s="1"/>
  <c r="T11" i="43"/>
  <c r="J11" i="43" s="1"/>
  <c r="T10" i="43"/>
  <c r="J10" i="43" s="1"/>
  <c r="AF8" i="43"/>
  <c r="AE8" i="43"/>
  <c r="AD8" i="43"/>
  <c r="AC8" i="43"/>
  <c r="AB8" i="43"/>
  <c r="AA8" i="43"/>
  <c r="Z8" i="43"/>
  <c r="Y8" i="43"/>
  <c r="X8" i="43"/>
  <c r="W8" i="43"/>
  <c r="V8" i="43"/>
  <c r="AR8" i="43"/>
  <c r="AQ8" i="43"/>
  <c r="AP8" i="43"/>
  <c r="AO8" i="43"/>
  <c r="AN8" i="43"/>
  <c r="AM8" i="43"/>
  <c r="AL8" i="43"/>
  <c r="AK8" i="43"/>
  <c r="AJ8" i="43"/>
  <c r="AI8" i="43"/>
  <c r="AH8" i="43"/>
  <c r="F9" i="43"/>
  <c r="T33" i="43"/>
  <c r="J33" i="43" s="1"/>
  <c r="T32" i="43"/>
  <c r="J32" i="43" s="1"/>
  <c r="T31" i="43"/>
  <c r="J31" i="43" s="1"/>
  <c r="T30" i="43"/>
  <c r="J30" i="43" s="1"/>
  <c r="T29" i="43"/>
  <c r="J29" i="43" s="1"/>
  <c r="T28" i="43"/>
  <c r="J28" i="43" s="1"/>
  <c r="T27" i="43"/>
  <c r="J27" i="43" s="1"/>
  <c r="T26" i="43"/>
  <c r="J26" i="43" s="1"/>
  <c r="T25" i="43"/>
  <c r="J25" i="43" s="1"/>
  <c r="T24" i="43"/>
  <c r="J24" i="43" s="1"/>
  <c r="T23" i="43"/>
  <c r="J23" i="43" s="1"/>
  <c r="T22" i="43"/>
  <c r="J22" i="43" s="1"/>
  <c r="T21" i="43"/>
  <c r="J21" i="43" s="1"/>
  <c r="T20" i="43"/>
  <c r="J20" i="43" s="1"/>
  <c r="T19" i="43"/>
  <c r="J19" i="43" s="1"/>
  <c r="T18" i="43"/>
  <c r="J18" i="43" s="1"/>
  <c r="T15" i="43"/>
  <c r="J15" i="43" s="1"/>
  <c r="T14" i="43"/>
  <c r="J14" i="43" s="1"/>
  <c r="T12" i="43"/>
  <c r="J12" i="43" s="1"/>
  <c r="AS8" i="43"/>
  <c r="D55" i="44"/>
  <c r="D48" i="44"/>
  <c r="E51" i="44" s="1"/>
  <c r="D44" i="44"/>
  <c r="E47" i="44" s="1"/>
  <c r="D38" i="44"/>
  <c r="E41" i="44" s="1"/>
  <c r="D34" i="44"/>
  <c r="E37" i="44" s="1"/>
  <c r="D29" i="44"/>
  <c r="E31" i="44" s="1"/>
  <c r="E27" i="44"/>
  <c r="E21" i="44"/>
  <c r="D11" i="44"/>
  <c r="E14" i="44" s="1"/>
  <c r="D55" i="42"/>
  <c r="E58" i="42" s="1"/>
  <c r="D48" i="42"/>
  <c r="E53" i="42" s="1"/>
  <c r="D44" i="42"/>
  <c r="E47" i="42" s="1"/>
  <c r="D38" i="42"/>
  <c r="E43" i="42" s="1"/>
  <c r="E37" i="42"/>
  <c r="D29" i="42"/>
  <c r="E32" i="42" s="1"/>
  <c r="D24" i="42"/>
  <c r="E28" i="42" s="1"/>
  <c r="D59" i="42"/>
  <c r="D18" i="42"/>
  <c r="E21" i="42" s="1"/>
  <c r="D11" i="42"/>
  <c r="E17" i="42" s="1"/>
  <c r="D6" i="42"/>
  <c r="E7" i="42" s="1"/>
  <c r="E7" i="46"/>
  <c r="D7" i="46"/>
  <c r="E8" i="43"/>
  <c r="D8" i="43"/>
  <c r="H8" i="43"/>
  <c r="P35" i="40"/>
  <c r="K35" i="40"/>
  <c r="J35" i="40"/>
  <c r="M35" i="40" s="1"/>
  <c r="E35" i="40"/>
  <c r="P34" i="40"/>
  <c r="K34" i="40"/>
  <c r="J34" i="40"/>
  <c r="M34" i="40" s="1"/>
  <c r="E34" i="40"/>
  <c r="P33" i="40"/>
  <c r="K33" i="40"/>
  <c r="J33" i="40"/>
  <c r="M33" i="40" s="1"/>
  <c r="H33" i="40"/>
  <c r="E33" i="40"/>
  <c r="P32" i="40"/>
  <c r="K32" i="40"/>
  <c r="J32" i="40"/>
  <c r="M32" i="40" s="1"/>
  <c r="E32" i="40"/>
  <c r="P31" i="40"/>
  <c r="K31" i="40"/>
  <c r="J31" i="40"/>
  <c r="M31" i="40" s="1"/>
  <c r="H31" i="40"/>
  <c r="E31" i="40"/>
  <c r="P30" i="40"/>
  <c r="K30" i="40"/>
  <c r="J30" i="40"/>
  <c r="M30" i="40" s="1"/>
  <c r="H30" i="40"/>
  <c r="E30" i="40"/>
  <c r="P29" i="40"/>
  <c r="K29" i="40"/>
  <c r="J29" i="40"/>
  <c r="M29" i="40" s="1"/>
  <c r="H29" i="40"/>
  <c r="E29" i="40"/>
  <c r="P28" i="40"/>
  <c r="K28" i="40"/>
  <c r="J28" i="40"/>
  <c r="M28" i="40" s="1"/>
  <c r="E28" i="40"/>
  <c r="P27" i="40"/>
  <c r="K27" i="40"/>
  <c r="J27" i="40"/>
  <c r="M27" i="40" s="1"/>
  <c r="H27" i="40"/>
  <c r="E27" i="40"/>
  <c r="P26" i="40"/>
  <c r="K26" i="40"/>
  <c r="J26" i="40"/>
  <c r="M26" i="40" s="1"/>
  <c r="H26" i="40"/>
  <c r="E26" i="40"/>
  <c r="P25" i="40"/>
  <c r="K25" i="40"/>
  <c r="J25" i="40"/>
  <c r="M25" i="40" s="1"/>
  <c r="E25" i="40"/>
  <c r="P24" i="40"/>
  <c r="K24" i="40"/>
  <c r="J24" i="40"/>
  <c r="M24" i="40" s="1"/>
  <c r="H24" i="40"/>
  <c r="E24" i="40"/>
  <c r="P23" i="40"/>
  <c r="K23" i="40"/>
  <c r="J23" i="40"/>
  <c r="M23" i="40" s="1"/>
  <c r="H23" i="40"/>
  <c r="E23" i="40"/>
  <c r="P22" i="40"/>
  <c r="K22" i="40"/>
  <c r="J22" i="40"/>
  <c r="M22" i="40" s="1"/>
  <c r="H22" i="40"/>
  <c r="E22" i="40"/>
  <c r="P21" i="40"/>
  <c r="K21" i="40"/>
  <c r="J21" i="40"/>
  <c r="M21" i="40" s="1"/>
  <c r="E21" i="40"/>
  <c r="K20" i="40"/>
  <c r="J20" i="40"/>
  <c r="M20" i="40" s="1"/>
  <c r="H20" i="40"/>
  <c r="E20" i="40"/>
  <c r="K19" i="40"/>
  <c r="J19" i="40"/>
  <c r="M19" i="40" s="1"/>
  <c r="H19" i="40"/>
  <c r="E19" i="40"/>
  <c r="K18" i="40"/>
  <c r="J18" i="40"/>
  <c r="M18" i="40" s="1"/>
  <c r="E18" i="40"/>
  <c r="K17" i="40"/>
  <c r="J17" i="40"/>
  <c r="M17" i="40" s="1"/>
  <c r="H17" i="40"/>
  <c r="P16" i="40"/>
  <c r="K16" i="40"/>
  <c r="J16" i="40"/>
  <c r="M16" i="40" s="1"/>
  <c r="H16" i="40"/>
  <c r="E16" i="40"/>
  <c r="K15" i="40"/>
  <c r="J15" i="40"/>
  <c r="M15" i="40" s="1"/>
  <c r="H15" i="40"/>
  <c r="E15" i="40"/>
  <c r="P14" i="40"/>
  <c r="K14" i="40"/>
  <c r="J14" i="40"/>
  <c r="M14" i="40" s="1"/>
  <c r="E14" i="40"/>
  <c r="P13" i="40"/>
  <c r="K13" i="40"/>
  <c r="J13" i="40"/>
  <c r="M13" i="40" s="1"/>
  <c r="E13" i="40"/>
  <c r="P12" i="40"/>
  <c r="K12" i="40"/>
  <c r="J12" i="40"/>
  <c r="M12" i="40" s="1"/>
  <c r="P11" i="40"/>
  <c r="K11" i="40"/>
  <c r="P10" i="40"/>
  <c r="F34" i="39"/>
  <c r="K34" i="39"/>
  <c r="F33" i="39"/>
  <c r="K33" i="39"/>
  <c r="F32" i="39"/>
  <c r="K32" i="39"/>
  <c r="F31" i="39"/>
  <c r="K31" i="39"/>
  <c r="F30" i="39"/>
  <c r="K30" i="39"/>
  <c r="F29" i="39"/>
  <c r="K29" i="39"/>
  <c r="F28" i="39"/>
  <c r="K28" i="39"/>
  <c r="F27" i="39"/>
  <c r="K27" i="39"/>
  <c r="F26" i="39"/>
  <c r="K26" i="39"/>
  <c r="F25" i="39"/>
  <c r="K25" i="39"/>
  <c r="F24" i="39"/>
  <c r="K24" i="39"/>
  <c r="F23" i="39"/>
  <c r="K23" i="39"/>
  <c r="F22" i="39"/>
  <c r="K22" i="39"/>
  <c r="F21" i="39"/>
  <c r="K21" i="39"/>
  <c r="F20" i="39"/>
  <c r="K20" i="39"/>
  <c r="F19" i="39"/>
  <c r="K19" i="39"/>
  <c r="F18" i="39"/>
  <c r="K18" i="39"/>
  <c r="F17" i="39"/>
  <c r="K17" i="39"/>
  <c r="F16" i="39"/>
  <c r="K16" i="39"/>
  <c r="F15" i="39"/>
  <c r="K15" i="39"/>
  <c r="F14" i="39"/>
  <c r="K14" i="39"/>
  <c r="F13" i="39"/>
  <c r="K13" i="39"/>
  <c r="F12" i="39"/>
  <c r="K12" i="39"/>
  <c r="F11" i="39"/>
  <c r="K11" i="39"/>
  <c r="F10" i="39"/>
  <c r="K10" i="39"/>
  <c r="E9" i="39"/>
  <c r="F9" i="39" s="1"/>
  <c r="J10" i="40" l="1"/>
  <c r="M10" i="40" s="1"/>
  <c r="E25" i="42"/>
  <c r="E7" i="44"/>
  <c r="D60" i="44"/>
  <c r="E6" i="44" s="1"/>
  <c r="E45" i="42"/>
  <c r="E46" i="42"/>
  <c r="E33" i="42"/>
  <c r="E30" i="42"/>
  <c r="E31" i="42"/>
  <c r="E26" i="42"/>
  <c r="E14" i="42"/>
  <c r="E15" i="42"/>
  <c r="N11" i="43"/>
  <c r="R11" i="43" s="1"/>
  <c r="N20" i="43"/>
  <c r="R20" i="43" s="1"/>
  <c r="N28" i="43"/>
  <c r="R28" i="43" s="1"/>
  <c r="N9" i="43"/>
  <c r="R9" i="43" s="1"/>
  <c r="N23" i="43"/>
  <c r="R23" i="43" s="1"/>
  <c r="N27" i="43"/>
  <c r="R27" i="43" s="1"/>
  <c r="N31" i="43"/>
  <c r="R31" i="43" s="1"/>
  <c r="N12" i="43"/>
  <c r="R12" i="43" s="1"/>
  <c r="Q10" i="43"/>
  <c r="M8" i="43"/>
  <c r="Q8" i="43" s="1"/>
  <c r="P10" i="43"/>
  <c r="L8" i="43"/>
  <c r="P8" i="43" s="1"/>
  <c r="O8" i="43"/>
  <c r="N19" i="43"/>
  <c r="R19" i="43" s="1"/>
  <c r="E56" i="42"/>
  <c r="E57" i="42"/>
  <c r="E50" i="42"/>
  <c r="E52" i="42"/>
  <c r="E54" i="42"/>
  <c r="E51" i="42"/>
  <c r="E49" i="42"/>
  <c r="E41" i="42"/>
  <c r="E42" i="42"/>
  <c r="E40" i="42"/>
  <c r="E39" i="42"/>
  <c r="E35" i="42"/>
  <c r="E36" i="42"/>
  <c r="E27" i="42"/>
  <c r="E22" i="42"/>
  <c r="E19" i="42"/>
  <c r="E23" i="42"/>
  <c r="E20" i="42"/>
  <c r="E12" i="42"/>
  <c r="E16" i="42"/>
  <c r="E13" i="42"/>
  <c r="E8" i="42"/>
  <c r="E9" i="42"/>
  <c r="E10" i="42"/>
  <c r="E59" i="42"/>
  <c r="L19" i="40"/>
  <c r="L16" i="40"/>
  <c r="L11" i="40"/>
  <c r="N16" i="43"/>
  <c r="R16" i="43" s="1"/>
  <c r="N32" i="43"/>
  <c r="R32" i="43" s="1"/>
  <c r="N15" i="43"/>
  <c r="R15" i="43" s="1"/>
  <c r="N24" i="43"/>
  <c r="R24" i="43" s="1"/>
  <c r="N25" i="43"/>
  <c r="R25" i="43" s="1"/>
  <c r="N33" i="43"/>
  <c r="R33" i="43" s="1"/>
  <c r="N13" i="43"/>
  <c r="R13" i="43" s="1"/>
  <c r="N17" i="43"/>
  <c r="R17" i="43" s="1"/>
  <c r="N22" i="43"/>
  <c r="R22" i="43" s="1"/>
  <c r="N26" i="43"/>
  <c r="R26" i="43" s="1"/>
  <c r="N30" i="43"/>
  <c r="R30" i="43" s="1"/>
  <c r="N21" i="43"/>
  <c r="R21" i="43" s="1"/>
  <c r="N29" i="43"/>
  <c r="R29" i="43" s="1"/>
  <c r="N10" i="43"/>
  <c r="R10" i="43" s="1"/>
  <c r="N14" i="43"/>
  <c r="R14" i="43" s="1"/>
  <c r="N18" i="43"/>
  <c r="R18" i="43" s="1"/>
  <c r="P11" i="43"/>
  <c r="L26" i="40"/>
  <c r="L18" i="40"/>
  <c r="K10" i="40"/>
  <c r="L20" i="40"/>
  <c r="L28" i="40"/>
  <c r="L25" i="40"/>
  <c r="L33" i="40"/>
  <c r="L15" i="40"/>
  <c r="L12" i="40"/>
  <c r="L23" i="40"/>
  <c r="L34" i="40"/>
  <c r="L17" i="40"/>
  <c r="L31" i="40"/>
  <c r="L32" i="40"/>
  <c r="L22" i="40"/>
  <c r="L14" i="40"/>
  <c r="L24" i="40"/>
  <c r="L30" i="40"/>
  <c r="L21" i="40"/>
  <c r="L29" i="40"/>
  <c r="L27" i="40"/>
  <c r="L35" i="40"/>
  <c r="L13" i="40"/>
  <c r="E23" i="44"/>
  <c r="E53" i="44"/>
  <c r="E43" i="44"/>
  <c r="E36" i="44"/>
  <c r="E28" i="44"/>
  <c r="E16" i="44"/>
  <c r="E49" i="44"/>
  <c r="E52" i="44"/>
  <c r="E46" i="44"/>
  <c r="E45" i="44"/>
  <c r="E42" i="44"/>
  <c r="E39" i="44"/>
  <c r="E35" i="44"/>
  <c r="E26" i="44"/>
  <c r="E25" i="44"/>
  <c r="E22" i="44"/>
  <c r="E19" i="44"/>
  <c r="E15" i="44"/>
  <c r="E12" i="44"/>
  <c r="E8" i="44"/>
  <c r="E9" i="44"/>
  <c r="E33" i="44"/>
  <c r="E10" i="44"/>
  <c r="E13" i="44"/>
  <c r="E17" i="44"/>
  <c r="E20" i="44"/>
  <c r="E30" i="44"/>
  <c r="E40" i="44"/>
  <c r="E50" i="44"/>
  <c r="E54" i="44"/>
  <c r="E32" i="44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5" i="3"/>
  <c r="H15" i="3" s="1"/>
  <c r="G14" i="3"/>
  <c r="H14" i="3" s="1"/>
  <c r="G13" i="3"/>
  <c r="H13" i="3" s="1"/>
  <c r="G12" i="3"/>
  <c r="H12" i="3" s="1"/>
  <c r="G11" i="3"/>
  <c r="H11" i="3" s="1"/>
  <c r="H10" i="3"/>
  <c r="H8" i="3"/>
  <c r="N8" i="43" l="1"/>
  <c r="R8" i="43" s="1"/>
  <c r="E38" i="42"/>
  <c r="E44" i="42"/>
  <c r="E55" i="42"/>
  <c r="E24" i="42"/>
  <c r="E48" i="42"/>
  <c r="E18" i="42"/>
  <c r="E34" i="42"/>
  <c r="E11" i="42"/>
  <c r="E29" i="42"/>
  <c r="E6" i="42"/>
  <c r="L10" i="40"/>
  <c r="D61" i="44"/>
  <c r="E59" i="44" s="1"/>
  <c r="E44" i="44"/>
  <c r="E34" i="44"/>
  <c r="E24" i="44"/>
  <c r="E55" i="44"/>
  <c r="E48" i="44"/>
  <c r="E18" i="44"/>
  <c r="E29" i="44"/>
  <c r="E11" i="44"/>
  <c r="E60" i="44" l="1"/>
  <c r="E60" i="42"/>
  <c r="H35" i="32" l="1"/>
  <c r="H34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3" i="32"/>
  <c r="H12" i="32"/>
  <c r="H11" i="32"/>
  <c r="H8" i="32"/>
  <c r="E34" i="29"/>
  <c r="H34" i="29"/>
  <c r="E33" i="29"/>
  <c r="H33" i="29"/>
  <c r="E32" i="29"/>
  <c r="H32" i="29"/>
  <c r="E31" i="29"/>
  <c r="H31" i="29"/>
  <c r="E30" i="29"/>
  <c r="H30" i="29"/>
  <c r="E29" i="29"/>
  <c r="H29" i="29"/>
  <c r="E28" i="29"/>
  <c r="H28" i="29"/>
  <c r="E27" i="29"/>
  <c r="H27" i="29"/>
  <c r="E26" i="29"/>
  <c r="H26" i="29"/>
  <c r="E25" i="29"/>
  <c r="H25" i="29"/>
  <c r="E24" i="29"/>
  <c r="H24" i="29"/>
  <c r="E23" i="29"/>
  <c r="H23" i="29"/>
  <c r="E22" i="29"/>
  <c r="H22" i="29"/>
  <c r="E21" i="29"/>
  <c r="H21" i="29"/>
  <c r="E20" i="29"/>
  <c r="H20" i="29"/>
  <c r="E19" i="29"/>
  <c r="H19" i="29"/>
  <c r="E18" i="29"/>
  <c r="H18" i="29"/>
  <c r="E17" i="29"/>
  <c r="H17" i="29"/>
  <c r="E16" i="29"/>
  <c r="H16" i="29"/>
  <c r="E15" i="29"/>
  <c r="H15" i="29"/>
  <c r="E14" i="29"/>
  <c r="H14" i="29"/>
  <c r="E13" i="29"/>
  <c r="H13" i="29"/>
  <c r="E12" i="29"/>
  <c r="H12" i="29"/>
  <c r="E11" i="29"/>
  <c r="H11" i="29"/>
  <c r="E10" i="29"/>
  <c r="H10" i="29"/>
  <c r="G9" i="29"/>
  <c r="K9" i="29" s="1"/>
  <c r="L9" i="29" s="1"/>
  <c r="F9" i="29"/>
  <c r="I9" i="29" s="1"/>
  <c r="J9" i="29" s="1"/>
  <c r="H13" i="31"/>
  <c r="H12" i="31"/>
  <c r="H11" i="31"/>
  <c r="G13" i="31"/>
  <c r="G12" i="31"/>
  <c r="F9" i="31"/>
  <c r="F7" i="31" s="1"/>
  <c r="G25" i="27"/>
  <c r="F25" i="27"/>
  <c r="F24" i="27"/>
  <c r="F23" i="27"/>
  <c r="F22" i="27"/>
  <c r="F21" i="27"/>
  <c r="F36" i="27"/>
  <c r="G38" i="27"/>
  <c r="G37" i="27"/>
  <c r="G34" i="27"/>
  <c r="G33" i="27"/>
  <c r="G32" i="27"/>
  <c r="G31" i="27"/>
  <c r="G30" i="27"/>
  <c r="G29" i="27"/>
  <c r="G28" i="27"/>
  <c r="G27" i="27"/>
  <c r="G24" i="27"/>
  <c r="G23" i="27"/>
  <c r="G15" i="27"/>
  <c r="G14" i="27"/>
  <c r="G12" i="27"/>
  <c r="G11" i="27"/>
  <c r="G44" i="27"/>
  <c r="G43" i="27"/>
  <c r="G42" i="27"/>
  <c r="G41" i="27"/>
  <c r="G40" i="27"/>
  <c r="G39" i="27"/>
  <c r="G35" i="27"/>
  <c r="G22" i="27"/>
  <c r="G21" i="27"/>
  <c r="G20" i="27"/>
  <c r="G19" i="27"/>
  <c r="G18" i="27"/>
  <c r="G17" i="27"/>
  <c r="G16" i="27"/>
  <c r="D44" i="27"/>
  <c r="D43" i="27"/>
  <c r="D42" i="27"/>
  <c r="D41" i="27"/>
  <c r="D40" i="27"/>
  <c r="D39" i="27"/>
  <c r="D38" i="27"/>
  <c r="D37" i="27"/>
  <c r="D35" i="27"/>
  <c r="D34" i="27"/>
  <c r="D33" i="27"/>
  <c r="D32" i="27"/>
  <c r="D31" i="27"/>
  <c r="D30" i="27"/>
  <c r="D28" i="27"/>
  <c r="D27" i="27"/>
  <c r="D25" i="27"/>
  <c r="D24" i="27"/>
  <c r="D23" i="27"/>
  <c r="D22" i="27"/>
  <c r="D21" i="27"/>
  <c r="D20" i="27"/>
  <c r="D19" i="27"/>
  <c r="D18" i="27"/>
  <c r="F38" i="27"/>
  <c r="F37" i="27"/>
  <c r="F35" i="27"/>
  <c r="F34" i="27"/>
  <c r="F33" i="27"/>
  <c r="F32" i="27"/>
  <c r="F31" i="27"/>
  <c r="F30" i="27"/>
  <c r="F28" i="27"/>
  <c r="F27" i="27"/>
  <c r="F43" i="27"/>
  <c r="F42" i="27"/>
  <c r="F41" i="27"/>
  <c r="F40" i="27"/>
  <c r="F39" i="27"/>
  <c r="F20" i="27"/>
  <c r="F19" i="27"/>
  <c r="F18" i="27"/>
  <c r="F17" i="27"/>
  <c r="F16" i="27"/>
  <c r="F15" i="27"/>
  <c r="F14" i="27"/>
  <c r="C9" i="28"/>
  <c r="F26" i="27" l="1"/>
  <c r="E8" i="27"/>
  <c r="E9" i="28"/>
  <c r="F9" i="28" s="1"/>
  <c r="G9" i="27"/>
  <c r="G26" i="27"/>
  <c r="G36" i="27"/>
  <c r="H9" i="29"/>
  <c r="D26" i="27"/>
  <c r="C7" i="2"/>
  <c r="C9" i="39" s="1"/>
  <c r="G9" i="39" s="1"/>
  <c r="D7" i="2"/>
  <c r="F8" i="27" l="1"/>
  <c r="E45" i="27"/>
  <c r="H9" i="39"/>
  <c r="L9" i="39" s="1"/>
  <c r="E7" i="2"/>
  <c r="G8" i="27"/>
  <c r="G45" i="27" s="1"/>
  <c r="C18" i="12" l="1"/>
  <c r="D26" i="12" s="1"/>
  <c r="E18" i="12"/>
  <c r="K5" i="12"/>
  <c r="I5" i="12"/>
  <c r="E5" i="12"/>
  <c r="L8" i="12" l="1"/>
  <c r="L7" i="12"/>
  <c r="L10" i="12"/>
  <c r="L9" i="12"/>
  <c r="F26" i="12"/>
  <c r="F22" i="12"/>
  <c r="F21" i="12"/>
  <c r="F20" i="12"/>
  <c r="F9" i="12"/>
  <c r="F12" i="12"/>
  <c r="F8" i="12"/>
  <c r="F11" i="12"/>
  <c r="F7" i="12"/>
  <c r="F10" i="12"/>
  <c r="D23" i="12"/>
  <c r="F23" i="12"/>
  <c r="D20" i="12"/>
  <c r="D24" i="12"/>
  <c r="F24" i="12"/>
  <c r="D21" i="12"/>
  <c r="D25" i="12"/>
  <c r="F25" i="12"/>
  <c r="D22" i="12"/>
  <c r="J7" i="12"/>
  <c r="J8" i="12"/>
  <c r="J9" i="12"/>
  <c r="J10" i="12"/>
  <c r="L5" i="12" l="1"/>
  <c r="D18" i="12"/>
  <c r="J5" i="12"/>
  <c r="F18" i="12"/>
  <c r="F5" i="12"/>
  <c r="D13" i="31"/>
  <c r="D12" i="31"/>
  <c r="D11" i="31"/>
  <c r="D8" i="31"/>
  <c r="G7" i="31"/>
  <c r="H7" i="31" s="1"/>
  <c r="D9" i="31" l="1"/>
  <c r="D7" i="31" s="1"/>
  <c r="G9" i="31"/>
</calcChain>
</file>

<file path=xl/sharedStrings.xml><?xml version="1.0" encoding="utf-8"?>
<sst xmlns="http://schemas.openxmlformats.org/spreadsheetml/2006/main" count="1803" uniqueCount="553">
  <si>
    <t>osoby poprzednio pracujące</t>
  </si>
  <si>
    <t>w tym:</t>
  </si>
  <si>
    <t>osoby dotychczas nie pracujące</t>
  </si>
  <si>
    <t>Wyszczególnienie</t>
  </si>
  <si>
    <t>ogółem</t>
  </si>
  <si>
    <t>kobiety</t>
  </si>
  <si>
    <t>mężczyźni</t>
  </si>
  <si>
    <t>25-34 lat</t>
  </si>
  <si>
    <t>35-44 lat</t>
  </si>
  <si>
    <t>45-54 lat</t>
  </si>
  <si>
    <t>55 lat i więcej</t>
  </si>
  <si>
    <t>wyzsze</t>
  </si>
  <si>
    <t>policealne i średnie zawodowe</t>
  </si>
  <si>
    <t>średnie ogólnokształcace</t>
  </si>
  <si>
    <t>zasadnicze-zawodowe</t>
  </si>
  <si>
    <t>gimnazjalne, podstawowe i niepełne podstawowe</t>
  </si>
  <si>
    <t>Wskaźnik zatrudnienia oblicza się jako udział osób pracujących w liczbie ludności ( 15 lat i więcej) ogółem oraz dla danej grupy.</t>
  </si>
  <si>
    <t xml:space="preserve">Opracowano na podstawie danych zawartych w "Aktywności ekonomicznej ludności w województwie podkarpackim" </t>
  </si>
  <si>
    <t>zasiłki dla bezrobotnych</t>
  </si>
  <si>
    <t>inne</t>
  </si>
  <si>
    <t>prace interwencyjne</t>
  </si>
  <si>
    <t>roboty publiczne</t>
  </si>
  <si>
    <t>środki dla pracodawców na wyposażenie i doposażenie stanowisk pracy</t>
  </si>
  <si>
    <t>stypendia i składki na ubezpieczenia społeczne **</t>
  </si>
  <si>
    <t>Powiaty</t>
  </si>
  <si>
    <t>województwo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</si>
  <si>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</si>
  <si>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</si>
  <si>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</si>
  <si>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</si>
  <si>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</si>
  <si>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</si>
  <si>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</si>
  <si>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</si>
  <si>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</si>
  <si>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</si>
  <si>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</si>
  <si>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</si>
  <si>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</si>
  <si>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</si>
  <si>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</si>
  <si>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</si>
  <si>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</si>
  <si>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</si>
  <si>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</si>
  <si>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</si>
  <si>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</si>
  <si>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Krosno</t>
  </si>
  <si>
    <t>Przemyśl</t>
  </si>
  <si>
    <t>Rzeszów</t>
  </si>
  <si>
    <t>Tarnobrzeg</t>
  </si>
  <si>
    <t>przy pracach interwencyjnych</t>
  </si>
  <si>
    <t>przy robotach publicznych</t>
  </si>
  <si>
    <t>bezrobotni skierowani na staż</t>
  </si>
  <si>
    <t>osoby zatrudnione</t>
  </si>
  <si>
    <t>bezrobotni, którzy rozpoczęli prace społecznie użyteczne</t>
  </si>
  <si>
    <t>bezrobotni, którzy podjęli działalność gospodarczą</t>
  </si>
  <si>
    <t>podjecia pracy w ramach refundacji kosztów utworzenia stanowiska pracy</t>
  </si>
  <si>
    <t>Razem</t>
  </si>
  <si>
    <t>pracy subsydiowanej</t>
  </si>
  <si>
    <t>z sektora publicznego</t>
  </si>
  <si>
    <t>w tym</t>
  </si>
  <si>
    <t>Ogółem</t>
  </si>
  <si>
    <t>Wiek w latach</t>
  </si>
  <si>
    <t>18-24</t>
  </si>
  <si>
    <t>25-34</t>
  </si>
  <si>
    <t>35-44</t>
  </si>
  <si>
    <t>45-54</t>
  </si>
  <si>
    <t>55-59</t>
  </si>
  <si>
    <t>60 i więcej</t>
  </si>
  <si>
    <t>Wykształcenie</t>
  </si>
  <si>
    <t>wyższe</t>
  </si>
  <si>
    <t>zasadnicze zawodowe</t>
  </si>
  <si>
    <t>gimnazjalne i poniżej</t>
  </si>
  <si>
    <t>Staż pracy</t>
  </si>
  <si>
    <t>do 1 roku</t>
  </si>
  <si>
    <t>bez stażu pracy</t>
  </si>
  <si>
    <t>od 1 do 3 m-cy</t>
  </si>
  <si>
    <t>śedenie ogólnokształcące</t>
  </si>
  <si>
    <t>1-5 lat</t>
  </si>
  <si>
    <t>5-10 lat</t>
  </si>
  <si>
    <t>10-20 lat</t>
  </si>
  <si>
    <t>20-30 lat</t>
  </si>
  <si>
    <t>30 lat i więcej</t>
  </si>
  <si>
    <t>od 3 do 6 m-cy</t>
  </si>
  <si>
    <t>od 6 do 12 m-cy</t>
  </si>
  <si>
    <t>od 12 do 24 m-cy</t>
  </si>
  <si>
    <t>pow. 24 m-cy</t>
  </si>
  <si>
    <t>do 1 m-ca</t>
  </si>
  <si>
    <t>Czas pozostawania bez pracy w miesiącach</t>
  </si>
  <si>
    <t>w odsetkach</t>
  </si>
  <si>
    <t>60 lat i więcej</t>
  </si>
  <si>
    <t>od 1 do 5 lat</t>
  </si>
  <si>
    <t>od 5 do 10 lat</t>
  </si>
  <si>
    <t>od 10 do 20 lat</t>
  </si>
  <si>
    <t>od 20 do 30 lat</t>
  </si>
  <si>
    <t>w tym osoby, które podjęły pracę</t>
  </si>
  <si>
    <t>- po raz pierwszy</t>
  </si>
  <si>
    <t>- po raz kolejny  (od 1990 r.)</t>
  </si>
  <si>
    <t>- po pracach interwencyjnych</t>
  </si>
  <si>
    <t>- po robotach publicznych</t>
  </si>
  <si>
    <t>- po stażu</t>
  </si>
  <si>
    <t>- po szkoleniu</t>
  </si>
  <si>
    <t>- podjęcia pracy w ramach refundacji kosztów zatrudnienia bezrobotnego</t>
  </si>
  <si>
    <t>- rozpoczęcia szkolenia</t>
  </si>
  <si>
    <t>- rozpoczęcia stażu</t>
  </si>
  <si>
    <t>- rozpoczęcia przygotowania zawodowego dorosłych</t>
  </si>
  <si>
    <t>- rozpoczęcia pracy społecznie użytecznej</t>
  </si>
  <si>
    <t>- nabycia praw emerytalnych lub rentowych</t>
  </si>
  <si>
    <t>- nabycia uprawnień do świadczenia przedemerytalnego</t>
  </si>
  <si>
    <t>- po odbyciu przygotowania zawodowego dorosłych</t>
  </si>
  <si>
    <t>- podjęcia pracy poza miejscem zamieszkania w ramach bonu na zasiedlenie</t>
  </si>
  <si>
    <t>- odmowy ustalenia profilu pomocy</t>
  </si>
  <si>
    <t>- skierowania do agencji zatrudnienia w ramach zlecania działań aktywizacyjnych</t>
  </si>
  <si>
    <t>- dobrowolnej rezygnacji ze statusu bezrobotnego</t>
  </si>
  <si>
    <t>- podjęcia nauki</t>
  </si>
  <si>
    <t>- osiągnięcia wieku emerytalnego</t>
  </si>
  <si>
    <t>- innych</t>
  </si>
  <si>
    <t>---</t>
  </si>
  <si>
    <t>w tym kobiety</t>
  </si>
  <si>
    <t>od 31 do 50 roku życia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</si>
  <si>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</si>
  <si>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</si>
  <si>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</si>
  <si>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</si>
  <si>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</si>
  <si>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</si>
  <si>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</si>
  <si>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</si>
  <si>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</si>
  <si>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</si>
  <si>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</si>
  <si>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wzrost-spadek*</t>
  </si>
  <si>
    <t>kategorie</t>
  </si>
  <si>
    <t>w tym osoby zwolnione z przyczyn dotyczących zakładu pracy</t>
  </si>
  <si>
    <t>w liczbach</t>
  </si>
  <si>
    <t>bezrobotni ogółem</t>
  </si>
  <si>
    <t>liczba</t>
  </si>
  <si>
    <t>%</t>
  </si>
  <si>
    <t>powiaty</t>
  </si>
  <si>
    <t>wzrost/spadek</t>
  </si>
  <si>
    <t>LICZBA BEZROBOTNYCH</t>
  </si>
  <si>
    <t>STOPA BEZROBOCIA</t>
  </si>
  <si>
    <t>wzrost/spadek (pkt. proc.)</t>
  </si>
  <si>
    <t>wzrost/spadek (liczba)</t>
  </si>
  <si>
    <t>*Bank Danych Loklanych www.stat.gov.pl</t>
  </si>
  <si>
    <t xml:space="preserve">  z tego rejestrujący się:</t>
  </si>
  <si>
    <t xml:space="preserve">   w tym powracający do rejestracji:</t>
  </si>
  <si>
    <t>- po pracach społecznie użytecznych</t>
  </si>
  <si>
    <t>"napływ" bezrobotnych</t>
  </si>
  <si>
    <t xml:space="preserve">                  w roku sprawozdawczym, województwo podkarpackie</t>
  </si>
  <si>
    <t>bezrobotni wyłączeni z rejestru "odpływ" (ogółem)</t>
  </si>
  <si>
    <t>wyłączeni z rejestru z utratą statusu bezrobotnych</t>
  </si>
  <si>
    <t>z powodu podjęcia pracy</t>
  </si>
  <si>
    <t>- pracy niesubsydiowanej</t>
  </si>
  <si>
    <t>- pracy subsydiowanej:</t>
  </si>
  <si>
    <t>-  prac interwencyjnych</t>
  </si>
  <si>
    <t>-  robót publicznych</t>
  </si>
  <si>
    <t>-  otrzymania dotacji na uruchomienie działalności gospodarczej</t>
  </si>
  <si>
    <t>w tym bonu na zasiedlenie</t>
  </si>
  <si>
    <t>- podjęcia pracy w ramach bonu zatrudnieniowego</t>
  </si>
  <si>
    <t>- podjęcia pracy w ramach świadczenia aktywizacyjnego</t>
  </si>
  <si>
    <t>- podjęcia pracy w ramach grantu na telepracę</t>
  </si>
  <si>
    <t>- podjęcia pracy w ramach refundacji składek na ubezpieczenia społeczne</t>
  </si>
  <si>
    <t>- podjęcia pracy w ramach dofinansowania wynagrodzenia za zatrudnienie skierowanego bezrobotnego powyżej 50 roku życia</t>
  </si>
  <si>
    <t xml:space="preserve"> z innego powodu niż podjęcie pracy</t>
  </si>
  <si>
    <t>- odmowy bez uzasadnionej przyczyny przyjęcia propozycji odpowiedniej pracy lub innej formy pomocy, w tym w ramach Programu Aktywizacja i Integracja</t>
  </si>
  <si>
    <t>- nie potwierdzenia gotowości do pracy</t>
  </si>
  <si>
    <t>wyłączeni z rejestru bez utraty statusu bezrobtnych</t>
  </si>
  <si>
    <t>w tym w ramach bonu szkoleniowego</t>
  </si>
  <si>
    <t>w tym w ramach bonu stażowego</t>
  </si>
  <si>
    <t>w tym w ramach Programu Aktywizacja i Integracja</t>
  </si>
  <si>
    <t xml:space="preserve"> - inne (podjęcia pracy subsydiowanej)</t>
  </si>
  <si>
    <t>Kategorie</t>
  </si>
  <si>
    <t>z ogółu bezrobotnych, którzy podjęli pracę</t>
  </si>
  <si>
    <t>poprzednio pracujący (ogółem)</t>
  </si>
  <si>
    <t>w tym zwolnieni z przyczyn dotyczących zakładu pracy</t>
  </si>
  <si>
    <t xml:space="preserve">                w roku sprawozdawczym, województwo podkarpackie</t>
  </si>
  <si>
    <t>poprzednio pracujący</t>
  </si>
  <si>
    <t>"odpływ" bezrobotnych, w tym osoby, które podjęły pracę</t>
  </si>
  <si>
    <t>wyszczególnienie</t>
  </si>
  <si>
    <t>wzrost/spadek
(liczba)</t>
  </si>
  <si>
    <t xml:space="preserve">                Stan w końcu okresu</t>
  </si>
  <si>
    <t>czas pozostawania bez pracy w miesiącach</t>
  </si>
  <si>
    <t>w tym bezrobotni posiadający gospodarstwo rolne</t>
  </si>
  <si>
    <t>wzrost/spadek liczba</t>
  </si>
  <si>
    <t>Bezrobotni zamieszkali na wsi w podziale na powiaty</t>
  </si>
  <si>
    <t>bezrobotni długotrwale*</t>
  </si>
  <si>
    <t>do 30 roku życia*</t>
  </si>
  <si>
    <t>powyżej 50 roku życia**</t>
  </si>
  <si>
    <t>* Bezrobotny do 30 roku życia – do dnia zastosowania wobec niego usług lub instrumentów rynku pracy nie ukończył 30 roku życia.</t>
  </si>
  <si>
    <t>** Bezrobotny powyżej 50 roku życia – w dniu zastosowania wobec niego usług lub instrumentów rynku pracy ukończył co najmniej 50 rok życia.</t>
  </si>
  <si>
    <t>grupy zawodów</t>
  </si>
  <si>
    <t>A</t>
  </si>
  <si>
    <t>B</t>
  </si>
  <si>
    <t>AB</t>
  </si>
  <si>
    <t>razem</t>
  </si>
  <si>
    <t>wzrost/spadek w %</t>
  </si>
  <si>
    <t>śregnia liczba osób bezrobotnych na 1 ofertę pracy w roku</t>
  </si>
  <si>
    <t>w mln zł</t>
  </si>
  <si>
    <t>środki na podjęcie działalności gospodarczej</t>
  </si>
  <si>
    <t>* Kategoria ta zawiera koszty należne instytucjom szkoleniowym, koszty egzaminów, licencji bez stypendiów i składek na ubezpieczenie społeczne.</t>
  </si>
  <si>
    <t>PRZEDSTAWICIELE WŁADZ PUBLICZNYCH, WYŻSI URZĘDNICY I KIEROWNICY</t>
  </si>
  <si>
    <t>SPECJALIŚCI</t>
  </si>
  <si>
    <t>TECHNICY I INNY ŚREDNI PERSONEL</t>
  </si>
  <si>
    <t>PRACOWNICY BIUROWI</t>
  </si>
  <si>
    <t>PRACOWNICY USŁUG I SPRZEDAWCY</t>
  </si>
  <si>
    <t>ROLNICY, OGRODNICY, LEŚNICY I RYBACY</t>
  </si>
  <si>
    <t>ROBOTNICY PRZEMYSŁOWI I RZEMIEŚLNICY</t>
  </si>
  <si>
    <t>OPERATORZY I MONTERZY MASZYN I URZĄDZEŃ</t>
  </si>
  <si>
    <t>PRACOWNICY WYKONUJĄCY PRACE PROSTE</t>
  </si>
  <si>
    <t>bezrobotni bez zawodu</t>
  </si>
  <si>
    <t>bezrobotni z zawodem</t>
  </si>
  <si>
    <t>kody zawodów (wg KZiS)</t>
  </si>
  <si>
    <t>Kierownicy do spraw zarządzania i handlu</t>
  </si>
  <si>
    <t>Kierownicy do spraw produkcji i usług</t>
  </si>
  <si>
    <t>Kierownicy w branży hotelarskiej, handlu i innych branżach usługowych</t>
  </si>
  <si>
    <t>SIŁY ZBROJNE</t>
  </si>
  <si>
    <t>BEZROBOTNI Z ZAWODEM</t>
  </si>
  <si>
    <t>Specjaliści nauk fizycznych, matematycznych i technicznych</t>
  </si>
  <si>
    <t>Specjaliści do spraw zdrowia</t>
  </si>
  <si>
    <t>Specjaliści nauczania i wychowania</t>
  </si>
  <si>
    <t>Specjaliści do spraw ekonomicznych i zarządzania</t>
  </si>
  <si>
    <t>Specjaliści do spraw technologii informacyjno-komunikacyjnych</t>
  </si>
  <si>
    <t>Specjaliści z dziedziny prawa, dziedzin społecznych i kultury</t>
  </si>
  <si>
    <t>Średni personel nauk fizycznych, chemicznych i technicznych</t>
  </si>
  <si>
    <t>Średni personel do spraw zdrowia</t>
  </si>
  <si>
    <t>Średni personel do spraw biznesu i administracji</t>
  </si>
  <si>
    <t>Średni personel z dziedziny prawa, spraw społecznych, kultury i pokrewny</t>
  </si>
  <si>
    <t>Technicy informatycy</t>
  </si>
  <si>
    <t>Sekretarki, operatorzy urządzeń biurowych i pokrewni</t>
  </si>
  <si>
    <t>Pracownicy obsługi klienta</t>
  </si>
  <si>
    <t>Pracownicy do spraw finansowo-statystycznych i ewidencji materiałowej</t>
  </si>
  <si>
    <t>Pozostali pracownicy obsługi biura</t>
  </si>
  <si>
    <t>Pracownicy usług osobistych</t>
  </si>
  <si>
    <t>Sprzedawcy i pokrewni</t>
  </si>
  <si>
    <t>Pracownicy opieki osobistej i pokrewni</t>
  </si>
  <si>
    <t>Pracownicy usług ochrony</t>
  </si>
  <si>
    <t>Rolnicy produkcji towarowej</t>
  </si>
  <si>
    <t>Leśnicy i rybacy</t>
  </si>
  <si>
    <t>Rolnicy i rybacy pracujący na własne potrzeby</t>
  </si>
  <si>
    <t>Robotnicy budowlani i pokrewni (z wyłączeniem elektryków)</t>
  </si>
  <si>
    <t>Robotnicy obróbki metali, mechanicy maszyn i urządzeń i pokrewni</t>
  </si>
  <si>
    <t>Rzemieślnicy i robotnicy poligraficzni</t>
  </si>
  <si>
    <t>Elektrycy i elektronicy</t>
  </si>
  <si>
    <t>Robotnicy w przetwórstwie spożywczym, obróbce drewna, produkcji wyrobów tekstylnych i pokrewni</t>
  </si>
  <si>
    <t>Operatorzy maszyn i urządzeń wydobywczych i przetwórczych</t>
  </si>
  <si>
    <t>Monterzy</t>
  </si>
  <si>
    <t>Kierowcy i operatorzy pojazdów</t>
  </si>
  <si>
    <t>Pomoce domowe i sprzątaczki</t>
  </si>
  <si>
    <t>Robotnicy wykonujący prace proste w rolnictwie, leśnictwie, leśnictwie i rybactwie</t>
  </si>
  <si>
    <t>Robotnicy wykonujący prace proste w górnictwie, przemyśle, budownictwie i transporcie</t>
  </si>
  <si>
    <t>Pracownicy wykonujący prace proste związane z przygotowywaniem posiłków</t>
  </si>
  <si>
    <t>Sprzedawcy uliczni i pracownicy świadczący usługi na ulicach</t>
  </si>
  <si>
    <t>Ładowacze nieczystości i inni pracownicy wykonujący prace proste</t>
  </si>
  <si>
    <t>Oficerowie sił zbrojnych</t>
  </si>
  <si>
    <t>Podoficerowie sił zbrojnych</t>
  </si>
  <si>
    <t>Żołnierze szeregowi</t>
  </si>
  <si>
    <t>PRZEDSTAWICIELE WŁADZ PUBLICZNYCH, WYŻSI URZĘDNICY I KIEROWNICY*</t>
  </si>
  <si>
    <t>Przedstawiciele władz publicznych, wyżsi urzędnicy i dyrektorzy generalni**</t>
  </si>
  <si>
    <t>BEZROBOTNI BEZ ZAWODU***</t>
  </si>
  <si>
    <t>** Wartości procentowe odpowiadające grupom dwucyfrowym obliczono dla danej grupy jednocyfrowej (GJ=100%).</t>
  </si>
  <si>
    <t>%*</t>
  </si>
  <si>
    <t>OFERTY BEZ ZAWODU***</t>
  </si>
  <si>
    <t>OFERTY Z ZAWODEM</t>
  </si>
  <si>
    <t>bezrobotni wg wieku</t>
  </si>
  <si>
    <t>bezrobotni poprzednio pracujący</t>
  </si>
  <si>
    <t xml:space="preserve"> %</t>
  </si>
  <si>
    <t>dot. zakładów pracy</t>
  </si>
  <si>
    <t>w tym zwolnieni z przyczyn</t>
  </si>
  <si>
    <t xml:space="preserve">* W jednocyfrowych grupach zawodów, odsetek w stosunku do liczby bezrobotnych ogółem z zawodem (B=100%). </t>
  </si>
  <si>
    <t xml:space="preserve">* W jednocyfrowych grupach zawodów, odsetek w stosunku do liczby ofert ogółem z zawodem (B=100%). </t>
  </si>
  <si>
    <t>Pracownicy (ogółem)</t>
  </si>
  <si>
    <t xml:space="preserve"> z zakładów sektora prywatnego</t>
  </si>
  <si>
    <t>z zakładów  sektora publicznego</t>
  </si>
  <si>
    <r>
      <t xml:space="preserve">Polska 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</si>
  <si>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r>
      <t xml:space="preserve">województwo podkarpackie 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</si>
  <si>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r>
      <t xml:space="preserve">15-24 lat </t>
    </r>
    <r>
      <rPr>
        <vertAlign val="superscript"/>
        <sz val="11"/>
        <color theme="1"/>
        <rFont val="Times New Roman"/>
        <family val="1"/>
        <charset val="238"/>
      </rPr>
      <t>1</t>
    </r>
  </si>
  <si>
    <t xml:space="preserve">       staże</t>
  </si>
  <si>
    <t>aktywne formy promocji zatrudnienia</t>
  </si>
  <si>
    <t>szkolenia*</t>
  </si>
  <si>
    <t xml:space="preserve"> z aktywnych form:</t>
  </si>
  <si>
    <r>
      <rPr>
        <vertAlign val="superscript"/>
        <sz val="9"/>
        <color theme="1"/>
        <rFont val="Times New Roman"/>
        <family val="1"/>
        <charset val="238"/>
      </rPr>
      <t>1</t>
    </r>
    <r>
      <rPr>
        <sz val="9"/>
        <color theme="1"/>
        <rFont val="Times New Roman"/>
        <family val="1"/>
        <charset val="238"/>
      </rPr>
      <t xml:space="preserve"> - BDL, GUS Warszawa 2017 r.</t>
    </r>
  </si>
  <si>
    <t>* Ostatni z opisywanych kwartałów do poprzedniego. Wzrost lub spadek w pkt. proc.</t>
  </si>
  <si>
    <t>Tabela II.     BEZROBOTNI W PUP ORAZ STOPA BEZROBOCIA WG POWIATÓW</t>
  </si>
  <si>
    <t xml:space="preserve">                   WYKSZTAŁCENIA I STAŻU PRACY ORAZ CZASU POZOSTAWANIA BEZ PRACY</t>
  </si>
  <si>
    <t>Tabela XIX. BEZROBOTNI W SZCZEGÓLNEJ SYTUACJI NA RYNKU PRACY</t>
  </si>
  <si>
    <t>Tabela XX. BEZROBOTNI WEDŁUG WIEKU, W TYM DO 30 ROKU ŻYCIA I POWYŻEJ 50 ROKU ŻYCIA</t>
  </si>
  <si>
    <t>Tabela XXI. BEZROBOTNI DŁUGOTRWALE</t>
  </si>
  <si>
    <t>Tabela XXV. Wolne miejsca pracy i miejsca aktywizacji zawodowej zgłoszone</t>
  </si>
  <si>
    <t>Tabela XXVI.   ZMIANY W LICZBIE WOLNYCH MIEJSC PRACY I MIEJSC AKTYWIZACJI ZAWODOWEJ ZGŁOSZONYCH PRZEZ PRACODAWCÓW DO PUP</t>
  </si>
  <si>
    <t xml:space="preserve">Tabela XXVII. WOLNE MIEJSCA PRACY I MIEJSCA AKTYWIZACJI ZAWODOWEJ  ZGŁOSZONE </t>
  </si>
  <si>
    <t>Tabela XXVIII.  WYDATKI REALIZOWANE Z FUNDUSZU PRACY</t>
  </si>
  <si>
    <t>Tabela XXIX   Aktywne formy promocji zatrudnienia wg powiatów. Liczba bezrobotnych aktywizowanych w ramach poszczególnych form,</t>
  </si>
  <si>
    <t>Tabela XXXI.  WSKAŹNIK  ZATRUDNIENIA</t>
  </si>
  <si>
    <t xml:space="preserve">                          województwo podkarpackie</t>
  </si>
  <si>
    <t xml:space="preserve">                         województwo podkarpackie, aktywne i pasywne formy promocji zatrudnieia</t>
  </si>
  <si>
    <t xml:space="preserve">                       PRZEZ PRACODAWCÓW DO PUP </t>
  </si>
  <si>
    <t xml:space="preserve">                       w okresie roku, województwo podkarpackie</t>
  </si>
  <si>
    <t xml:space="preserve">                           województwo podkarpackie, w okresie roku sprawozdawczego</t>
  </si>
  <si>
    <t xml:space="preserve">                     przez pracodawców do PUP</t>
  </si>
  <si>
    <t xml:space="preserve">                      stan w końcu roku, województwo podkarpackie</t>
  </si>
  <si>
    <t xml:space="preserve">                      województwo podkarpackie</t>
  </si>
  <si>
    <t xml:space="preserve">                      Stan w końcu roku, województwo podkarpackie</t>
  </si>
  <si>
    <t xml:space="preserve">                   stan w końcu roku, województwo podkarpackie</t>
  </si>
  <si>
    <t xml:space="preserve">                    WYKSZTAŁCENIA I STAŻU PRACY ORAZ CZASU POZOSTAWANIA BEZ PRACY</t>
  </si>
  <si>
    <t>Tabela XV.    BEZROBOTNI ZAMIESZKALI NA WSI</t>
  </si>
  <si>
    <t xml:space="preserve">                     Stan w końcu roku, województwo podkarpackie</t>
  </si>
  <si>
    <t xml:space="preserve">                 Stan w końcu okresu</t>
  </si>
  <si>
    <t>Tabela VIII.    BEZROBOTNI POSIADAJĄCY PRAWO DO ZASIŁKU</t>
  </si>
  <si>
    <t>Tabela VII.   "ODPŁYW" BEZROBOTNYCH W POWIATACH</t>
  </si>
  <si>
    <t xml:space="preserve">                     w roku sprawozdawczym, województwo podkarpackie</t>
  </si>
  <si>
    <t>Tabela VI.   BEZROBOTNI, KTÓRZY PODJĘLI PRACĘ</t>
  </si>
  <si>
    <t xml:space="preserve">                   w roku sprawozdawczym, województwo podkarpackie</t>
  </si>
  <si>
    <t xml:space="preserve">Tabela V.  BEZROBOTNI WYŁĄCZENI Z REJESTRU "ODPŁYW" </t>
  </si>
  <si>
    <t>Tabela IV.   "NAPŁYW" BEZROBOTNYCH W POWIATACH</t>
  </si>
  <si>
    <t xml:space="preserve">                    w roku sprawozdawczym, województwo podkarpackie</t>
  </si>
  <si>
    <t>Tabela III.   BEZROBOTNI ZAREJESTROWANI "NAPŁYW"</t>
  </si>
  <si>
    <t xml:space="preserve">                   Stan w końcu okresu</t>
  </si>
  <si>
    <t>Tabela I.     STAN I STRUKTURA OSÓB BEZROBOTNYCH ZAREJESTROWANYCH W PUP</t>
  </si>
  <si>
    <t xml:space="preserve">                  Stan w końcu okresu, województwo podkarpackie</t>
  </si>
  <si>
    <t>% do ogółem</t>
  </si>
  <si>
    <t>% aktywnych form</t>
  </si>
  <si>
    <t xml:space="preserve">% </t>
  </si>
  <si>
    <t>do 1</t>
  </si>
  <si>
    <t>od 1 do 3</t>
  </si>
  <si>
    <t>od 3 do 6</t>
  </si>
  <si>
    <t>od 6 do 12</t>
  </si>
  <si>
    <t>od 12 do 24</t>
  </si>
  <si>
    <t>pow. 24</t>
  </si>
  <si>
    <t>bezrobotne kobiety</t>
  </si>
  <si>
    <t>bezrobotni ogółem zam. na wsi</t>
  </si>
  <si>
    <t>bezrobotne kobiety zam. na wsi</t>
  </si>
  <si>
    <t>** Kategoria ta zawiera stypendia dla uczestników i składki na ubezpieczenie społeczne za okres stażu, przygotowania zawodowego dorosłych</t>
  </si>
  <si>
    <t xml:space="preserve">      realizacji studiów podyplomowych i szkolenia oraz stypendia i składki na ubezpieczenia społeczne za okres kontynuowania nauki. </t>
  </si>
  <si>
    <t>wzrost/spadek ogółem</t>
  </si>
  <si>
    <t>16</t>
  </si>
  <si>
    <t>W tablicy XXXI zostały wykorzystane również dane opublikowane na stronie internetowej GUS</t>
  </si>
  <si>
    <t>Liczba bezrobotnych ogółem</t>
  </si>
  <si>
    <t xml:space="preserve">                      Stan w końcu roku, województwo podkarpackie, rozkład liczbowy i procentowy</t>
  </si>
  <si>
    <t>zgłoszenia</t>
  </si>
  <si>
    <t>zwolnienia</t>
  </si>
  <si>
    <t>31 XII '18</t>
  </si>
  <si>
    <t>w okresie 2018 r.</t>
  </si>
  <si>
    <t>B 2018</t>
  </si>
  <si>
    <t>Aktywne formy promocji zatrudnienia zawierają również pozostałe aktywne formy.</t>
  </si>
  <si>
    <t>Formy aktywne i zasiłki dla bezrobotnych oraz kategoria "inne" sumują się do ogółem wydatków realizowanych z FP.</t>
  </si>
  <si>
    <t>17</t>
  </si>
  <si>
    <t xml:space="preserve">                       IV kwartał danego roku</t>
  </si>
  <si>
    <t>31 XII 2018</t>
  </si>
  <si>
    <t>pow. 12 m-cy</t>
  </si>
  <si>
    <t>18-34</t>
  </si>
  <si>
    <t>35-54</t>
  </si>
  <si>
    <t>55 i więcej</t>
  </si>
  <si>
    <t>* w tym wybrane sekcje PKD</t>
  </si>
  <si>
    <t>Ogółem*</t>
  </si>
  <si>
    <t>Bezrobotni</t>
  </si>
  <si>
    <t>oferty</t>
  </si>
  <si>
    <t>B/O</t>
  </si>
  <si>
    <t>napływ</t>
  </si>
  <si>
    <t>1A</t>
  </si>
  <si>
    <t>1B</t>
  </si>
  <si>
    <t>w.</t>
  </si>
  <si>
    <t>ze zwolnień grup. (k. p.)</t>
  </si>
  <si>
    <t>ze zwolnień grup. (k. r.)</t>
  </si>
  <si>
    <t>I półrocze</t>
  </si>
  <si>
    <t>II półrocze</t>
  </si>
  <si>
    <t>*** Odsetek dla bezrobotnych bez zawodu w stosunku do ogłóem tj. A+B=100%.</t>
  </si>
  <si>
    <t>*** Odsetek dla ofert bez zawodu w stosunku do ogółem tj. A+B=100%.</t>
  </si>
  <si>
    <t>ogółem (o) w tym kobiety (k)</t>
  </si>
  <si>
    <t>% (do ogółem)</t>
  </si>
  <si>
    <t xml:space="preserve">oferty pracy zgłoszone  </t>
  </si>
  <si>
    <t xml:space="preserve">z ogółem sekcje PKD: </t>
  </si>
  <si>
    <t>Rolnictwo, leśnictwo, łowiectwo i rybactwo</t>
  </si>
  <si>
    <t>O</t>
  </si>
  <si>
    <t>K</t>
  </si>
  <si>
    <t>Górnictwo i wydobywanie</t>
  </si>
  <si>
    <t>Przetwórstwo przemysłowe</t>
  </si>
  <si>
    <t>Wytwarzanie i zaopatrywanie w energię elektryczną, gaz, parę wodną, gorącą wodę i powietrze do układów klimatyzacyjnych</t>
  </si>
  <si>
    <t>Dostawa wody, gospodarowanie ściekami i odpadami oraz działalność związana z rekultywacją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</si>
  <si>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</si>
  <si>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</si>
  <si>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</si>
  <si>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</si>
  <si>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</si>
  <si>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</si>
  <si>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</si>
  <si>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</si>
  <si>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</si>
  <si>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</si>
  <si>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</si>
  <si>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</si>
  <si>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związana z kulturą, rozrywką i rekreacją</t>
  </si>
  <si>
    <t>Pozostała działalność usługowa</t>
  </si>
  <si>
    <t>Gospodarstwa domowe zatrudniające pracowników; gospodarstwa domowe produkujące wyroby i świadczące usługi na własne potrzeby</t>
  </si>
  <si>
    <t>Organizacje i zespoły eksterytorialne</t>
  </si>
  <si>
    <t>Działalność niezidentyfikowana</t>
  </si>
  <si>
    <t>A Razem dotychczas pracujący</t>
  </si>
  <si>
    <t>B Dotychczas niepracujący</t>
  </si>
  <si>
    <t>AB Ogółem</t>
  </si>
  <si>
    <t xml:space="preserve">Tabela XXII A.  BEZROBOTNI POPRZEDNIO PRACUJĄCY </t>
  </si>
  <si>
    <t xml:space="preserve">                         stan w końcu roku, województwo podkarpackie</t>
  </si>
  <si>
    <t xml:space="preserve">Tabela XXII B.  BEZROBOTNI POPRZEDNIO PRACUJĄCY </t>
  </si>
  <si>
    <t>lata</t>
  </si>
  <si>
    <t>ROK</t>
  </si>
  <si>
    <t xml:space="preserve">                         WEDŁUG POLSKIEJ KLASYFIKACJI DZIAŁALNOŚCI (PKD) Z PODZIAŁEM NA PŁEĆ</t>
  </si>
  <si>
    <t>Tabela XXX.   ZGŁOSZENIA ZWOLNIEŃ GRUPOWYCH</t>
  </si>
  <si>
    <t xml:space="preserve">                          w roku sprawozdawczym</t>
  </si>
  <si>
    <t>wzrost/spadek %</t>
  </si>
  <si>
    <t>% K</t>
  </si>
  <si>
    <t>w BO</t>
  </si>
  <si>
    <t>% w BO - oznacza udział danej kategorii wg wieku do ogólnej liczby bezrobotnych wg stanu na ostatni dzień roku.</t>
  </si>
  <si>
    <t>BO</t>
  </si>
  <si>
    <t>*Bezrobotny długotrwale – pozostający w rejestrze powiatowego urzędu pracy łącznie przez okres ponad 12 miesięcy w okresie ostatnich 2 lat,  z wyłączeniem okresów</t>
  </si>
  <si>
    <t xml:space="preserve">                                                  odbywania stażu  i przygotowania zawodowego dorosłych.</t>
  </si>
  <si>
    <t>z tego</t>
  </si>
  <si>
    <t>miejsca zatrudnienia i innej pracy zarobkowej</t>
  </si>
  <si>
    <t>miejsca aktywizacji zawodowej</t>
  </si>
  <si>
    <t>wliczbach bezwzględnych</t>
  </si>
  <si>
    <t>w liczbach bezwzględnych</t>
  </si>
  <si>
    <t>średnie ogólnokształcące</t>
  </si>
  <si>
    <t>31 XII 2019</t>
  </si>
  <si>
    <t>31 XII '19</t>
  </si>
  <si>
    <t>31 XII '18*</t>
  </si>
  <si>
    <t xml:space="preserve">                   Stan na 31 XII '19 r.</t>
  </si>
  <si>
    <t xml:space="preserve">                    Stan na 31 XII '19 r.</t>
  </si>
  <si>
    <t xml:space="preserve">                         Stan w końcu roku, województwo podkarpackie, rozkład liczbowy i procentowy</t>
  </si>
  <si>
    <t>31 XII  '19</t>
  </si>
  <si>
    <t>2019 rok</t>
  </si>
  <si>
    <t>liczba bezrobotnych 31 XII '19</t>
  </si>
  <si>
    <t>w okresie 2019 r.</t>
  </si>
  <si>
    <t>B 2019</t>
  </si>
  <si>
    <t>oferty pracy w '19 r.</t>
  </si>
  <si>
    <t>18</t>
  </si>
  <si>
    <t>wg poziomu wykształcenia</t>
  </si>
  <si>
    <t>wg wieku</t>
  </si>
  <si>
    <t>Dane sla Polski na podst. "Aktywność ekonomiczna ludności Polski IV kwartał 2018 r." Warszawa 2019.</t>
  </si>
  <si>
    <t>Wartości dla Polski 2013 r. na podst. "Monitoring Rynku Pracy. Informacja Kwartalna o aktywności ekonomicznej ludności" GUS Departament Rynku Pracy str. 6.</t>
  </si>
  <si>
    <t>www.stat.gov.pl,  Bank Danych Lokalnych.</t>
  </si>
  <si>
    <t>IV kw. wg poszczególnych lat. Publikacja sygnalna, Urząd Statystyczny w Rzeszowie</t>
  </si>
  <si>
    <t>nowo zarejestrowani bezrobotni   "napływ"</t>
  </si>
  <si>
    <t xml:space="preserve">   podjęcia pracy subsydiowanej w ramach następujących form:</t>
  </si>
  <si>
    <t>bezrobotni posiadający prawo do zasiłku wg powiatów</t>
  </si>
  <si>
    <t>z ogółem wg wieku</t>
  </si>
  <si>
    <t>z ogółem wg wykształcenia</t>
  </si>
  <si>
    <t>z ogółem wg stażu pracy:</t>
  </si>
  <si>
    <t>stan na 31 XII '19</t>
  </si>
  <si>
    <t>z ogółem wg czasu pozostawania bez pracy w miesiącach</t>
  </si>
  <si>
    <t>w proc.</t>
  </si>
  <si>
    <t>wg czasu pozostawania bez pracy</t>
  </si>
  <si>
    <t>bezrobocie</t>
  </si>
  <si>
    <t>krótkotrwałe  (do 12 m-cy)</t>
  </si>
  <si>
    <t>długotrwałe (powyżej 12 m-cy)</t>
  </si>
  <si>
    <t>i czasu</t>
  </si>
  <si>
    <t>do 12m-cy</t>
  </si>
  <si>
    <t>wg wykształcenia</t>
  </si>
  <si>
    <t>gimnazjalne/ podstawowe i poniżej</t>
  </si>
  <si>
    <t>gimnazjalne /podstawowe i poniżej</t>
  </si>
  <si>
    <t>gimnazjalne/podstawowe i poniżej</t>
  </si>
  <si>
    <t>wg stażu pracy</t>
  </si>
  <si>
    <t>Tabela XVIII A. BEZROBOTNI  ZAM. NA WSI WG WIEKU I CZASU POZOSTAWANIA BEZ PRACY</t>
  </si>
  <si>
    <t>Tabela XVIII B. BEZROBOTNI  ZAM. NA WSI WG WYKSZTAŁCENIA I CZASU POZOSTAWANIA BEZ PRACY</t>
  </si>
  <si>
    <t xml:space="preserve">                      Stan na 31 XII '19 r.</t>
  </si>
  <si>
    <t xml:space="preserve">                          Stan w końcu roku, województwo podkarpackie, rozkład liczbowy i procentowy</t>
  </si>
  <si>
    <t>Tabela XIV A. BEZROBOTNI  WG WIEKU I CZASU POZOSTAWANIA BEZ PRACY</t>
  </si>
  <si>
    <t>Tabela XIV B. BEZROBOTNI  WG WYKSZTAŁCENIA I CZASU POZOSTAWANIA BEZ PRACY</t>
  </si>
  <si>
    <t>Tabela XIV C. BEZROBOTNI  WG STAŻU PRACY I CZASU POZOSTAWANIA BEZ PRACY</t>
  </si>
  <si>
    <t>Tabela IX. BEZROBOTNI WG WIEKU</t>
  </si>
  <si>
    <t>Tabela X. BEZROBOTNI WG WYKSZTAŁCENIA</t>
  </si>
  <si>
    <t>Tabela XI. BEZROBOTNI WG STAŻU PRACY</t>
  </si>
  <si>
    <t xml:space="preserve">Tabela XII.  BEZROBOTNI WG WIEKU, </t>
  </si>
  <si>
    <t xml:space="preserve">Tabela XIII.  BEZROBOTNE KOBIETY WG WIEKU, </t>
  </si>
  <si>
    <t>Tabela XVI. BEZROBOTNI ZAM. NA WSI WG WIEKU, WYKSZTAŁCENIA I STAŻU PRACY</t>
  </si>
  <si>
    <t xml:space="preserve">                      ORAZ CZASU POZOSTAWANIA BEZ PRACY</t>
  </si>
  <si>
    <t>Tabela XVII.  BEZROBOTNE KOBIETY ZAM. NA WSI WG WIEKU, WYKSZTAŁCENIA I STAŻU PRACY</t>
  </si>
  <si>
    <t xml:space="preserve">                    ORAZ CZASU POZOSTAWANIA BEZ PRACY</t>
  </si>
  <si>
    <t>Tabela XVIII C. BEZROBOTNI  ZAM. NA WSI  WG STAŻU PRACY I CZASU POZOSTAWANIA BEZ PRACY</t>
  </si>
  <si>
    <t xml:space="preserve">                             Stan w końcu roku, województwo podkarpackie, rozkład liczbowy i procentowy</t>
  </si>
  <si>
    <t xml:space="preserve">Liczba bezrobotnych </t>
  </si>
  <si>
    <t>ogółem zam. na wsi</t>
  </si>
  <si>
    <t>Liczba bezrobotnych</t>
  </si>
  <si>
    <t xml:space="preserve">     posiadający co najmniej jedno dziecko niep. do 18 r. życia</t>
  </si>
  <si>
    <t xml:space="preserve">     niepełnosprawni</t>
  </si>
  <si>
    <t xml:space="preserve">     posiadający co najmniej jedno dziecko do 6 r. życia</t>
  </si>
  <si>
    <t xml:space="preserve">     korzystający ze świadczeń pomocy społecznej</t>
  </si>
  <si>
    <t xml:space="preserve">     powyżej 50 roku życia</t>
  </si>
  <si>
    <t xml:space="preserve">     długotrwale bezrobotni</t>
  </si>
  <si>
    <t xml:space="preserve">     do 25 roku życia</t>
  </si>
  <si>
    <t xml:space="preserve">     do 30 roku życia</t>
  </si>
  <si>
    <t xml:space="preserve">   z osób bezrobotnych w szczególnej syt. na rynku pracy</t>
  </si>
  <si>
    <t xml:space="preserve"> w tym w szczególnej sytuacji na rynku pracy</t>
  </si>
  <si>
    <t xml:space="preserve">    % w BO - oznacza udział danej kategorii wg wieku do ogólnej liczby bezrobotnych wg stanu na ostatni dzień roku.</t>
  </si>
  <si>
    <t>bezrobotni skierowani na szkolenia</t>
  </si>
  <si>
    <t>01</t>
  </si>
  <si>
    <t>02</t>
  </si>
  <si>
    <t>03</t>
  </si>
  <si>
    <t>04</t>
  </si>
  <si>
    <t>Działalność finansowa i ubazpieczeniowa</t>
  </si>
  <si>
    <t>19</t>
  </si>
  <si>
    <t>20</t>
  </si>
  <si>
    <t>21</t>
  </si>
  <si>
    <t>22</t>
  </si>
  <si>
    <t>Razem (w. od 01 do 22)</t>
  </si>
  <si>
    <t>23</t>
  </si>
  <si>
    <t>Dotychczas niepracujący</t>
  </si>
  <si>
    <t>24</t>
  </si>
  <si>
    <t>Ogółem (w. 23+24)</t>
  </si>
  <si>
    <t>25</t>
  </si>
  <si>
    <t>lok.</t>
  </si>
  <si>
    <t>nazwa wg PKD</t>
  </si>
  <si>
    <t>Tabela XXIII. ZMIANY ILOŚCI BEZROBOTNYCH WG GRUP ZAWODOWYCH</t>
  </si>
  <si>
    <t>oferty w roku</t>
  </si>
  <si>
    <t>subsydia w roku</t>
  </si>
  <si>
    <t>oferty w I pół.</t>
  </si>
  <si>
    <t>w/s Ip.</t>
  </si>
  <si>
    <t>subsydia Ip.</t>
  </si>
  <si>
    <t>subsydia IIp.</t>
  </si>
  <si>
    <t>% subs. w Ip.</t>
  </si>
  <si>
    <t>Ip '07</t>
  </si>
  <si>
    <t>Ip '08</t>
  </si>
  <si>
    <t>Ip '09</t>
  </si>
  <si>
    <t>Ip '10</t>
  </si>
  <si>
    <t>Ip '11</t>
  </si>
  <si>
    <t>Ip '12</t>
  </si>
  <si>
    <t>Ip '13</t>
  </si>
  <si>
    <t>Ip '14</t>
  </si>
  <si>
    <t>Ip '15</t>
  </si>
  <si>
    <t>Ip '16</t>
  </si>
  <si>
    <t>Ip '17</t>
  </si>
  <si>
    <t>Ip '18</t>
  </si>
  <si>
    <t>Ip '19</t>
  </si>
  <si>
    <t xml:space="preserve">W niektoprych okresach następuje kontynuacja zwolnień </t>
  </si>
  <si>
    <t>zgłoszonych z roku poprzedniego.</t>
  </si>
  <si>
    <t>m. Krosno</t>
  </si>
  <si>
    <t>m. Przemyśl</t>
  </si>
  <si>
    <t>m. Rzeszów</t>
  </si>
  <si>
    <t>m. Tarnobrzeg</t>
  </si>
  <si>
    <t>pracy</t>
  </si>
  <si>
    <t>wg stażu</t>
  </si>
  <si>
    <t>pozostałe aktywne formy ***</t>
  </si>
  <si>
    <t>*** Kategoria ta od 2016 r. zawiera refundację wynagrodzeń osobom będącym do 30 roku życia.</t>
  </si>
  <si>
    <t>dynamika spadków do 31 XII 2018 w poszcz. grupach</t>
  </si>
  <si>
    <t>oferty pracy zgłoszone  w 2019 r.</t>
  </si>
  <si>
    <t>w '19 r.</t>
  </si>
  <si>
    <t>Tabela XXIV. BEZROBOTNI WG GRUP ZAWODÓW</t>
  </si>
  <si>
    <t xml:space="preserve">                            WEDŁUG POLSKIEJ KLASYFIKACJI DZIAŁALNOŚCI (PKD)</t>
  </si>
  <si>
    <t xml:space="preserve">                            stan w końcu roku, województwo podkarpackie, uporządkowane wg największych kumulacji bezrobotnych</t>
  </si>
  <si>
    <t xml:space="preserve">                          przez pracodawców do PUP z wyszczególnieniem miejsc zatrudnienia i innej pracy zarobkowej oraz aktywizacji zawodowej</t>
  </si>
  <si>
    <t xml:space="preserve">                          ( i innej pracy zarobkowej ) oraz miejsc aktywizacji zawodowej</t>
  </si>
  <si>
    <t>Tabela XXV A.  Wolne miejsca pracy i miejsca aktywizacji zawodowej zgłoszone</t>
  </si>
  <si>
    <t>wzrost/spadek w roku (liczba)</t>
  </si>
  <si>
    <t>% (2018=100%)</t>
  </si>
  <si>
    <t>wzrost/spadek (w proc.)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</si>
</sst>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"/>
    <numFmt numFmtId="165" formatCode="#,##0.0"/>
    <numFmt numFmtId="166" formatCode="_-* #,##0.0\ _z_ł_-;\-* #,##0.0\ _z_ł_-;_-* &quot;-&quot;??\ _z_ł_-;_-@_-"/>
    <numFmt numFmtId="167" formatCode="_-* #,##0\ _z_ł_-;\-* #,##0\ _z_ł_-;_-* &quot;-&quot;??\ _z_ł_-;_-@_-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11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3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7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E7E2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EFDE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BE7F1"/>
        <bgColor indexed="64"/>
      </patternFill>
    </fill>
    <fill>
      <patternFill patternType="solid">
        <fgColor rgb="FFF5F3F7"/>
        <bgColor indexed="64"/>
      </patternFill>
    </fill>
    <fill>
      <patternFill patternType="solid">
        <fgColor rgb="FFE4DFEC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horizontal="righ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>
      <alignment horizontal="left" vertical="center"/>
    </xf>
    <xf numFmtId="0" fontId="2" fillId="0" borderId="0">
      <alignment horizontal="left" vertical="center"/>
    </xf>
    <xf numFmtId="0" fontId="22" fillId="0" borderId="0">
      <alignment horizontal="left" vertical="center"/>
    </xf>
    <xf numFmtId="0" fontId="32" fillId="0" borderId="0">
      <alignment horizontal="right" vertical="center"/>
    </xf>
  </cellStyleXfs>
  <cellXfs count="1274">
    <xf numFmtId="0" fontId="0" fillId="0" borderId="0" xfId="0"/>
    <xf numFmtId="0" fontId="1" fillId="2" borderId="0" xfId="0" applyFont="1" applyFill="1"/>
    <xf numFmtId="0" fontId="0" fillId="2" borderId="0" xfId="0" applyFill="1"/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8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33" xfId="0" applyFont="1" applyFill="1" applyBorder="1"/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 wrapText="1"/>
    </xf>
    <xf numFmtId="14" fontId="4" fillId="3" borderId="3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3" fontId="4" fillId="2" borderId="89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 wrapText="1"/>
    </xf>
    <xf numFmtId="3" fontId="6" fillId="2" borderId="89" xfId="0" applyNumberFormat="1" applyFont="1" applyFill="1" applyBorder="1" applyAlignment="1">
      <alignment horizontal="center" vertical="center"/>
    </xf>
    <xf numFmtId="3" fontId="6" fillId="2" borderId="88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164" fontId="6" fillId="2" borderId="88" xfId="0" applyNumberFormat="1" applyFont="1" applyFill="1" applyBorder="1" applyAlignment="1">
      <alignment horizontal="center" vertical="center"/>
    </xf>
    <xf numFmtId="164" fontId="6" fillId="2" borderId="25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 indent="5"/>
    </xf>
    <xf numFmtId="49" fontId="4" fillId="2" borderId="33" xfId="0" applyNumberFormat="1" applyFont="1" applyFill="1" applyBorder="1" applyAlignment="1">
      <alignment horizontal="left" vertical="center" wrapText="1" indent="5"/>
    </xf>
    <xf numFmtId="165" fontId="4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4" fillId="3" borderId="11" xfId="0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 vertical="center"/>
    </xf>
    <xf numFmtId="165" fontId="4" fillId="2" borderId="49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5"/>
    </xf>
    <xf numFmtId="3" fontId="4" fillId="2" borderId="7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left" vertical="center" wrapText="1" indent="3"/>
    </xf>
    <xf numFmtId="3" fontId="4" fillId="2" borderId="86" xfId="0" applyNumberFormat="1" applyFont="1" applyFill="1" applyBorder="1" applyAlignment="1">
      <alignment horizontal="center" vertical="center"/>
    </xf>
    <xf numFmtId="165" fontId="4" fillId="2" borderId="27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left" vertical="center" wrapText="1" indent="3"/>
    </xf>
    <xf numFmtId="49" fontId="4" fillId="2" borderId="44" xfId="0" applyNumberFormat="1" applyFont="1" applyFill="1" applyBorder="1" applyAlignment="1">
      <alignment horizontal="left" vertical="center" wrapText="1" indent="5"/>
    </xf>
    <xf numFmtId="3" fontId="4" fillId="2" borderId="22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3" fontId="6" fillId="2" borderId="56" xfId="0" applyNumberFormat="1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 wrapText="1"/>
    </xf>
    <xf numFmtId="3" fontId="6" fillId="2" borderId="26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0" fontId="7" fillId="2" borderId="0" xfId="0" applyFont="1" applyFill="1"/>
    <xf numFmtId="0" fontId="4" fillId="3" borderId="13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left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left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49" fontId="4" fillId="2" borderId="19" xfId="0" applyNumberFormat="1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left" vertical="center" wrapText="1" indent="2"/>
    </xf>
    <xf numFmtId="165" fontId="4" fillId="2" borderId="21" xfId="0" applyNumberFormat="1" applyFont="1" applyFill="1" applyBorder="1" applyAlignment="1">
      <alignment horizontal="center" vertical="center"/>
    </xf>
    <xf numFmtId="3" fontId="4" fillId="2" borderId="9" xfId="0" quotePrefix="1" applyNumberFormat="1" applyFont="1" applyFill="1" applyBorder="1" applyAlignment="1">
      <alignment horizontal="center" vertical="center"/>
    </xf>
    <xf numFmtId="165" fontId="4" fillId="2" borderId="21" xfId="0" quotePrefix="1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63" xfId="0" applyNumberFormat="1" applyFont="1" applyFill="1" applyBorder="1" applyAlignment="1">
      <alignment horizontal="left" vertical="center" wrapText="1"/>
    </xf>
    <xf numFmtId="165" fontId="4" fillId="2" borderId="82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/>
    </xf>
    <xf numFmtId="165" fontId="4" fillId="2" borderId="81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2"/>
    </xf>
    <xf numFmtId="49" fontId="4" fillId="2" borderId="63" xfId="0" applyNumberFormat="1" applyFont="1" applyFill="1" applyBorder="1" applyAlignment="1">
      <alignment horizontal="left" vertical="center" wrapText="1" indent="2"/>
    </xf>
    <xf numFmtId="3" fontId="4" fillId="2" borderId="51" xfId="0" quotePrefix="1" applyNumberFormat="1" applyFont="1" applyFill="1" applyBorder="1" applyAlignment="1">
      <alignment horizontal="center" vertical="center"/>
    </xf>
    <xf numFmtId="165" fontId="4" fillId="2" borderId="82" xfId="0" quotePrefix="1" applyNumberFormat="1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wrapText="1"/>
    </xf>
    <xf numFmtId="0" fontId="0" fillId="2" borderId="0" xfId="0" applyFont="1" applyFill="1"/>
    <xf numFmtId="3" fontId="6" fillId="2" borderId="4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8" xfId="0" quotePrefix="1" applyNumberFormat="1" applyFont="1" applyFill="1" applyBorder="1" applyAlignment="1">
      <alignment horizontal="center" vertical="center"/>
    </xf>
    <xf numFmtId="3" fontId="4" fillId="2" borderId="63" xfId="0" quotePrefix="1" applyNumberFormat="1" applyFont="1" applyFill="1" applyBorder="1" applyAlignment="1">
      <alignment horizontal="center" vertical="center"/>
    </xf>
    <xf numFmtId="3" fontId="6" fillId="2" borderId="89" xfId="0" applyNumberFormat="1" applyFont="1" applyFill="1" applyBorder="1" applyAlignment="1">
      <alignment horizontal="center" vertical="center" wrapText="1"/>
    </xf>
    <xf numFmtId="165" fontId="6" fillId="2" borderId="84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12" xfId="2" applyNumberFormat="1" applyFont="1" applyFill="1" applyBorder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44" xfId="0" applyFont="1" applyFill="1" applyBorder="1"/>
    <xf numFmtId="0" fontId="4" fillId="3" borderId="12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2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vertical="center" wrapText="1"/>
    </xf>
    <xf numFmtId="165" fontId="6" fillId="2" borderId="26" xfId="0" applyNumberFormat="1" applyFont="1" applyFill="1" applyBorder="1" applyAlignment="1">
      <alignment horizontal="center" vertical="center" wrapText="1"/>
    </xf>
    <xf numFmtId="165" fontId="6" fillId="2" borderId="27" xfId="0" applyNumberFormat="1" applyFont="1" applyFill="1" applyBorder="1" applyAlignment="1">
      <alignment horizontal="center" vertical="center" wrapText="1"/>
    </xf>
    <xf numFmtId="3" fontId="6" fillId="2" borderId="26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38" xfId="2" applyNumberFormat="1" applyFont="1" applyFill="1" applyBorder="1" applyAlignment="1">
      <alignment horizontal="center" vertical="center" wrapText="1"/>
    </xf>
    <xf numFmtId="165" fontId="4" fillId="2" borderId="8" xfId="3" applyNumberFormat="1" applyFont="1" applyFill="1" applyBorder="1" applyAlignment="1">
      <alignment horizontal="center" vertical="center" wrapText="1"/>
    </xf>
    <xf numFmtId="165" fontId="4" fillId="2" borderId="45" xfId="0" applyNumberFormat="1" applyFont="1" applyFill="1" applyBorder="1" applyAlignment="1">
      <alignment horizontal="center" vertical="center" wrapText="1"/>
    </xf>
    <xf numFmtId="165" fontId="4" fillId="2" borderId="39" xfId="3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3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wrapText="1" indent="1"/>
    </xf>
    <xf numFmtId="0" fontId="4" fillId="2" borderId="48" xfId="0" applyFont="1" applyFill="1" applyBorder="1" applyAlignment="1">
      <alignment horizontal="left" vertical="center" wrapText="1" indent="2"/>
    </xf>
    <xf numFmtId="3" fontId="4" fillId="2" borderId="90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 wrapText="1"/>
    </xf>
    <xf numFmtId="0" fontId="4" fillId="3" borderId="36" xfId="0" applyFont="1" applyFill="1" applyBorder="1"/>
    <xf numFmtId="0" fontId="6" fillId="2" borderId="36" xfId="0" applyFont="1" applyFill="1" applyBorder="1" applyAlignment="1">
      <alignment horizontal="left" vertical="center" wrapText="1"/>
    </xf>
    <xf numFmtId="3" fontId="6" fillId="2" borderId="50" xfId="0" applyNumberFormat="1" applyFont="1" applyFill="1" applyBorder="1" applyAlignment="1">
      <alignment horizontal="center" vertical="center"/>
    </xf>
    <xf numFmtId="165" fontId="6" fillId="2" borderId="3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 wrapText="1"/>
    </xf>
    <xf numFmtId="165" fontId="4" fillId="2" borderId="62" xfId="0" applyNumberFormat="1" applyFont="1" applyFill="1" applyBorder="1" applyAlignment="1">
      <alignment horizontal="center" vertical="center"/>
    </xf>
    <xf numFmtId="3" fontId="4" fillId="2" borderId="76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 wrapText="1"/>
    </xf>
    <xf numFmtId="3" fontId="4" fillId="2" borderId="77" xfId="0" applyNumberFormat="1" applyFont="1" applyFill="1" applyBorder="1" applyAlignment="1">
      <alignment horizontal="center" vertical="center"/>
    </xf>
    <xf numFmtId="166" fontId="4" fillId="2" borderId="0" xfId="2" applyNumberFormat="1" applyFont="1" applyFill="1"/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4" fillId="2" borderId="45" xfId="0" applyNumberFormat="1" applyFont="1" applyFill="1" applyBorder="1" applyAlignment="1">
      <alignment horizontal="center" vertical="center"/>
    </xf>
    <xf numFmtId="164" fontId="4" fillId="2" borderId="39" xfId="0" applyNumberFormat="1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horizontal="center" vertical="center"/>
    </xf>
    <xf numFmtId="3" fontId="4" fillId="2" borderId="47" xfId="0" applyNumberFormat="1" applyFont="1" applyFill="1" applyBorder="1" applyAlignment="1">
      <alignment horizontal="center" vertical="center"/>
    </xf>
    <xf numFmtId="3" fontId="4" fillId="2" borderId="8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8" fillId="4" borderId="2" xfId="0" quotePrefix="1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45" xfId="0" applyNumberFormat="1" applyFont="1" applyFill="1" applyBorder="1" applyAlignment="1">
      <alignment horizontal="center" vertical="center"/>
    </xf>
    <xf numFmtId="3" fontId="8" fillId="4" borderId="7" xfId="0" quotePrefix="1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wrapText="1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8" fillId="4" borderId="45" xfId="0" applyNumberFormat="1" applyFont="1" applyFill="1" applyBorder="1" applyAlignment="1">
      <alignment horizontal="center" vertical="center"/>
    </xf>
    <xf numFmtId="3" fontId="8" fillId="4" borderId="51" xfId="0" applyNumberFormat="1" applyFont="1" applyFill="1" applyBorder="1" applyAlignment="1">
      <alignment horizontal="center" vertical="center"/>
    </xf>
    <xf numFmtId="3" fontId="8" fillId="4" borderId="46" xfId="0" applyNumberFormat="1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wrapText="1"/>
    </xf>
    <xf numFmtId="3" fontId="8" fillId="4" borderId="11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/>
    </xf>
    <xf numFmtId="3" fontId="8" fillId="4" borderId="54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center" vertical="center"/>
    </xf>
    <xf numFmtId="165" fontId="8" fillId="4" borderId="0" xfId="0" applyNumberFormat="1" applyFont="1" applyFill="1" applyBorder="1" applyAlignment="1">
      <alignment horizontal="center" vertical="center"/>
    </xf>
    <xf numFmtId="3" fontId="8" fillId="4" borderId="0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wrapText="1"/>
    </xf>
    <xf numFmtId="0" fontId="6" fillId="2" borderId="55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164" fontId="6" fillId="2" borderId="38" xfId="0" applyNumberFormat="1" applyFont="1" applyFill="1" applyBorder="1" applyAlignment="1">
      <alignment horizontal="center" vertical="center"/>
    </xf>
    <xf numFmtId="164" fontId="6" fillId="2" borderId="39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 wrapText="1"/>
    </xf>
    <xf numFmtId="164" fontId="4" fillId="2" borderId="27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56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73" xfId="0" applyFont="1" applyFill="1" applyBorder="1"/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4" fillId="2" borderId="39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 indent="3"/>
    </xf>
    <xf numFmtId="4" fontId="4" fillId="2" borderId="1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justify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justify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5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0" fontId="4" fillId="3" borderId="55" xfId="0" applyFont="1" applyFill="1" applyBorder="1"/>
    <xf numFmtId="0" fontId="4" fillId="3" borderId="56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4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9" fillId="2" borderId="50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horizontal="center" vertical="center" wrapText="1"/>
    </xf>
    <xf numFmtId="3" fontId="9" fillId="2" borderId="38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86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10" fillId="2" borderId="49" xfId="0" applyNumberFormat="1" applyFont="1" applyFill="1" applyBorder="1" applyAlignment="1">
      <alignment horizontal="center" vertical="center" wrapText="1"/>
    </xf>
    <xf numFmtId="165" fontId="4" fillId="2" borderId="86" xfId="0" applyNumberFormat="1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3" fontId="6" fillId="2" borderId="92" xfId="0" applyNumberFormat="1" applyFont="1" applyFill="1" applyBorder="1" applyAlignment="1">
      <alignment horizontal="center" vertical="center"/>
    </xf>
    <xf numFmtId="3" fontId="6" fillId="2" borderId="91" xfId="0" applyNumberFormat="1" applyFont="1" applyFill="1" applyBorder="1" applyAlignment="1">
      <alignment horizontal="center" vertical="center"/>
    </xf>
    <xf numFmtId="165" fontId="6" fillId="2" borderId="89" xfId="0" applyNumberFormat="1" applyFont="1" applyFill="1" applyBorder="1" applyAlignment="1">
      <alignment horizontal="center" vertical="center"/>
    </xf>
    <xf numFmtId="165" fontId="6" fillId="2" borderId="88" xfId="0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/>
    <xf numFmtId="0" fontId="8" fillId="4" borderId="41" xfId="0" applyFont="1" applyFill="1" applyBorder="1" applyAlignment="1">
      <alignment wrapText="1"/>
    </xf>
    <xf numFmtId="3" fontId="8" fillId="4" borderId="86" xfId="0" applyNumberFormat="1" applyFont="1" applyFill="1" applyBorder="1" applyAlignment="1">
      <alignment horizontal="center" vertical="center"/>
    </xf>
    <xf numFmtId="3" fontId="8" fillId="4" borderId="26" xfId="0" quotePrefix="1" applyNumberFormat="1" applyFont="1" applyFill="1" applyBorder="1" applyAlignment="1">
      <alignment horizontal="center" vertical="center"/>
    </xf>
    <xf numFmtId="3" fontId="8" fillId="4" borderId="26" xfId="0" applyNumberFormat="1" applyFont="1" applyFill="1" applyBorder="1" applyAlignment="1">
      <alignment horizontal="center" vertical="center"/>
    </xf>
    <xf numFmtId="165" fontId="8" fillId="4" borderId="26" xfId="0" applyNumberFormat="1" applyFont="1" applyFill="1" applyBorder="1" applyAlignment="1">
      <alignment horizontal="center" vertical="center"/>
    </xf>
    <xf numFmtId="3" fontId="8" fillId="4" borderId="85" xfId="0" applyNumberFormat="1" applyFont="1" applyFill="1" applyBorder="1" applyAlignment="1">
      <alignment horizontal="center" vertical="center"/>
    </xf>
    <xf numFmtId="165" fontId="8" fillId="4" borderId="85" xfId="0" applyNumberFormat="1" applyFont="1" applyFill="1" applyBorder="1" applyAlignment="1">
      <alignment horizontal="center" vertical="center"/>
    </xf>
    <xf numFmtId="3" fontId="8" fillId="4" borderId="86" xfId="0" quotePrefix="1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5" fontId="4" fillId="2" borderId="12" xfId="0" quotePrefix="1" applyNumberFormat="1" applyFont="1" applyFill="1" applyBorder="1" applyAlignment="1">
      <alignment horizontal="center" vertical="center" wrapText="1"/>
    </xf>
    <xf numFmtId="164" fontId="4" fillId="2" borderId="12" xfId="0" quotePrefix="1" applyNumberFormat="1" applyFont="1" applyFill="1" applyBorder="1" applyAlignment="1">
      <alignment horizontal="center"/>
    </xf>
    <xf numFmtId="164" fontId="4" fillId="2" borderId="13" xfId="0" quotePrefix="1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wrapText="1"/>
    </xf>
    <xf numFmtId="165" fontId="4" fillId="2" borderId="13" xfId="0" quotePrefix="1" applyNumberFormat="1" applyFont="1" applyFill="1" applyBorder="1" applyAlignment="1">
      <alignment horizontal="center" vertical="center" wrapText="1"/>
    </xf>
    <xf numFmtId="165" fontId="8" fillId="4" borderId="54" xfId="0" applyNumberFormat="1" applyFont="1" applyFill="1" applyBorder="1" applyAlignment="1">
      <alignment horizontal="center" vertical="center"/>
    </xf>
    <xf numFmtId="165" fontId="8" fillId="4" borderId="26" xfId="0" quotePrefix="1" applyNumberFormat="1" applyFont="1" applyFill="1" applyBorder="1" applyAlignment="1">
      <alignment horizontal="center" vertical="center"/>
    </xf>
    <xf numFmtId="165" fontId="8" fillId="4" borderId="2" xfId="0" quotePrefix="1" applyNumberFormat="1" applyFont="1" applyFill="1" applyBorder="1" applyAlignment="1">
      <alignment horizontal="center" vertical="center"/>
    </xf>
    <xf numFmtId="165" fontId="8" fillId="4" borderId="27" xfId="0" quotePrefix="1" applyNumberFormat="1" applyFont="1" applyFill="1" applyBorder="1" applyAlignment="1">
      <alignment horizontal="center" vertical="center"/>
    </xf>
    <xf numFmtId="165" fontId="8" fillId="4" borderId="8" xfId="0" quotePrefix="1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3" fontId="6" fillId="2" borderId="86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3" fontId="6" fillId="2" borderId="26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94" xfId="0" applyNumberFormat="1" applyFont="1" applyFill="1" applyBorder="1" applyAlignment="1">
      <alignment horizontal="center" vertical="center" wrapText="1"/>
    </xf>
    <xf numFmtId="165" fontId="6" fillId="2" borderId="95" xfId="0" applyNumberFormat="1" applyFont="1" applyFill="1" applyBorder="1" applyAlignment="1">
      <alignment horizontal="center" vertical="center" wrapText="1"/>
    </xf>
    <xf numFmtId="165" fontId="6" fillId="2" borderId="96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3" fontId="8" fillId="2" borderId="12" xfId="2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84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 indent="2"/>
    </xf>
    <xf numFmtId="49" fontId="4" fillId="2" borderId="84" xfId="0" applyNumberFormat="1" applyFont="1" applyFill="1" applyBorder="1" applyAlignment="1">
      <alignment horizontal="left" vertical="center" wrapText="1" indent="2"/>
    </xf>
    <xf numFmtId="0" fontId="4" fillId="3" borderId="3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center" vertical="center" wrapText="1"/>
    </xf>
    <xf numFmtId="166" fontId="8" fillId="3" borderId="23" xfId="2" applyNumberFormat="1" applyFont="1" applyFill="1" applyBorder="1" applyAlignment="1">
      <alignment horizontal="center" vertical="center" wrapText="1"/>
    </xf>
    <xf numFmtId="2" fontId="4" fillId="3" borderId="23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 wrapText="1"/>
    </xf>
    <xf numFmtId="165" fontId="4" fillId="2" borderId="21" xfId="0" applyNumberFormat="1" applyFont="1" applyFill="1" applyBorder="1" applyAlignment="1">
      <alignment horizontal="center" vertical="center" wrapText="1"/>
    </xf>
    <xf numFmtId="165" fontId="6" fillId="2" borderId="81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52" xfId="0" applyNumberFormat="1" applyFont="1" applyFill="1" applyBorder="1" applyAlignment="1">
      <alignment horizontal="center" vertical="center" wrapText="1"/>
    </xf>
    <xf numFmtId="14" fontId="4" fillId="3" borderId="50" xfId="0" applyNumberFormat="1" applyFont="1" applyFill="1" applyBorder="1" applyAlignment="1">
      <alignment horizontal="center" vertical="center" wrapText="1"/>
    </xf>
    <xf numFmtId="14" fontId="4" fillId="3" borderId="58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/>
    </xf>
    <xf numFmtId="3" fontId="4" fillId="2" borderId="43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59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74" xfId="0" applyNumberFormat="1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wrapText="1"/>
    </xf>
    <xf numFmtId="0" fontId="4" fillId="3" borderId="90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right" vertical="center" wrapText="1"/>
    </xf>
    <xf numFmtId="164" fontId="8" fillId="2" borderId="10" xfId="0" quotePrefix="1" applyNumberFormat="1" applyFont="1" applyFill="1" applyBorder="1" applyAlignment="1">
      <alignment horizontal="center" vertical="center" wrapText="1"/>
    </xf>
    <xf numFmtId="164" fontId="8" fillId="2" borderId="13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28" xfId="0" quotePrefix="1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indent="3"/>
    </xf>
    <xf numFmtId="4" fontId="4" fillId="2" borderId="27" xfId="0" applyNumberFormat="1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left" vertical="center" wrapText="1" indent="3"/>
    </xf>
    <xf numFmtId="0" fontId="4" fillId="3" borderId="41" xfId="0" applyFont="1" applyFill="1" applyBorder="1" applyAlignment="1">
      <alignment horizontal="left" vertical="center" wrapText="1"/>
    </xf>
    <xf numFmtId="0" fontId="4" fillId="3" borderId="73" xfId="0" applyFont="1" applyFill="1" applyBorder="1" applyAlignment="1">
      <alignment horizontal="left" vertical="center" wrapText="1"/>
    </xf>
    <xf numFmtId="4" fontId="4" fillId="3" borderId="13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/>
    <xf numFmtId="0" fontId="0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/>
    <xf numFmtId="0" fontId="4" fillId="2" borderId="9" xfId="0" applyFont="1" applyFill="1" applyBorder="1" applyAlignment="1">
      <alignment horizontal="center" vertical="center" wrapText="1"/>
    </xf>
    <xf numFmtId="164" fontId="0" fillId="2" borderId="0" xfId="0" applyNumberFormat="1" applyFont="1" applyFill="1" applyAlignment="1">
      <alignment horizontal="center" vertical="center"/>
    </xf>
    <xf numFmtId="0" fontId="4" fillId="2" borderId="8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4" fontId="6" fillId="2" borderId="47" xfId="0" applyNumberFormat="1" applyFont="1" applyFill="1" applyBorder="1" applyAlignment="1">
      <alignment horizontal="center" vertical="center"/>
    </xf>
    <xf numFmtId="4" fontId="4" fillId="3" borderId="85" xfId="0" applyNumberFormat="1" applyFont="1" applyFill="1" applyBorder="1" applyAlignment="1">
      <alignment horizontal="center" vertical="center"/>
    </xf>
    <xf numFmtId="4" fontId="4" fillId="3" borderId="54" xfId="0" applyNumberFormat="1" applyFont="1" applyFill="1" applyBorder="1" applyAlignment="1">
      <alignment horizontal="center" vertical="center"/>
    </xf>
    <xf numFmtId="4" fontId="4" fillId="2" borderId="85" xfId="0" applyNumberFormat="1" applyFont="1" applyFill="1" applyBorder="1" applyAlignment="1">
      <alignment horizontal="center" vertical="center"/>
    </xf>
    <xf numFmtId="4" fontId="4" fillId="2" borderId="45" xfId="0" applyNumberFormat="1" applyFont="1" applyFill="1" applyBorder="1" applyAlignment="1">
      <alignment horizontal="center" vertical="center"/>
    </xf>
    <xf numFmtId="4" fontId="4" fillId="2" borderId="54" xfId="0" applyNumberFormat="1" applyFont="1" applyFill="1" applyBorder="1" applyAlignment="1">
      <alignment horizontal="center" vertical="center"/>
    </xf>
    <xf numFmtId="4" fontId="4" fillId="3" borderId="47" xfId="0" applyNumberFormat="1" applyFont="1" applyFill="1" applyBorder="1" applyAlignment="1">
      <alignment horizontal="center" vertical="center"/>
    </xf>
    <xf numFmtId="4" fontId="6" fillId="2" borderId="39" xfId="0" quotePrefix="1" applyNumberFormat="1" applyFont="1" applyFill="1" applyBorder="1" applyAlignment="1">
      <alignment horizontal="center" vertical="center"/>
    </xf>
    <xf numFmtId="4" fontId="4" fillId="3" borderId="27" xfId="0" quotePrefix="1" applyNumberFormat="1" applyFont="1" applyFill="1" applyBorder="1" applyAlignment="1">
      <alignment horizontal="center" vertical="center"/>
    </xf>
    <xf numFmtId="4" fontId="6" fillId="2" borderId="47" xfId="0" quotePrefix="1" applyNumberFormat="1" applyFont="1" applyFill="1" applyBorder="1" applyAlignment="1">
      <alignment horizontal="center" vertical="center"/>
    </xf>
    <xf numFmtId="4" fontId="4" fillId="3" borderId="85" xfId="0" quotePrefix="1" applyNumberFormat="1" applyFont="1" applyFill="1" applyBorder="1" applyAlignment="1">
      <alignment horizontal="center" vertical="center"/>
    </xf>
    <xf numFmtId="4" fontId="4" fillId="2" borderId="56" xfId="0" applyNumberFormat="1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left" vertical="center" wrapText="1"/>
    </xf>
    <xf numFmtId="4" fontId="4" fillId="2" borderId="57" xfId="0" applyNumberFormat="1" applyFont="1" applyFill="1" applyBorder="1" applyAlignment="1">
      <alignment horizontal="center" vertical="center"/>
    </xf>
    <xf numFmtId="4" fontId="4" fillId="3" borderId="39" xfId="0" quotePrefix="1" applyNumberFormat="1" applyFont="1" applyFill="1" applyBorder="1" applyAlignment="1">
      <alignment horizontal="center" vertical="center"/>
    </xf>
    <xf numFmtId="4" fontId="4" fillId="3" borderId="47" xfId="0" quotePrefix="1" applyNumberFormat="1" applyFont="1" applyFill="1" applyBorder="1" applyAlignment="1">
      <alignment horizontal="center" vertical="center"/>
    </xf>
    <xf numFmtId="4" fontId="0" fillId="2" borderId="0" xfId="0" applyNumberFormat="1" applyFont="1" applyFill="1" applyAlignment="1">
      <alignment horizontal="center"/>
    </xf>
    <xf numFmtId="3" fontId="0" fillId="2" borderId="0" xfId="0" applyNumberFormat="1" applyFont="1" applyFill="1"/>
    <xf numFmtId="164" fontId="4" fillId="2" borderId="0" xfId="0" applyNumberFormat="1" applyFont="1" applyFill="1"/>
    <xf numFmtId="0" fontId="17" fillId="2" borderId="36" xfId="0" applyFont="1" applyFill="1" applyBorder="1" applyAlignment="1">
      <alignment horizontal="left" vertical="center" wrapText="1"/>
    </xf>
    <xf numFmtId="3" fontId="17" fillId="2" borderId="36" xfId="0" applyNumberFormat="1" applyFont="1" applyFill="1" applyBorder="1" applyAlignment="1">
      <alignment horizontal="center" vertical="center"/>
    </xf>
    <xf numFmtId="3" fontId="17" fillId="2" borderId="50" xfId="0" applyNumberFormat="1" applyFont="1" applyFill="1" applyBorder="1" applyAlignment="1">
      <alignment horizontal="center" vertical="center"/>
    </xf>
    <xf numFmtId="3" fontId="17" fillId="2" borderId="38" xfId="0" applyNumberFormat="1" applyFont="1" applyFill="1" applyBorder="1" applyAlignment="1">
      <alignment horizontal="center" vertical="center"/>
    </xf>
    <xf numFmtId="3" fontId="17" fillId="2" borderId="39" xfId="0" applyNumberFormat="1" applyFont="1" applyFill="1" applyBorder="1" applyAlignment="1">
      <alignment horizontal="center" vertical="center"/>
    </xf>
    <xf numFmtId="3" fontId="16" fillId="2" borderId="61" xfId="0" applyNumberFormat="1" applyFont="1" applyFill="1" applyBorder="1" applyAlignment="1">
      <alignment horizontal="center" vertical="center"/>
    </xf>
    <xf numFmtId="3" fontId="16" fillId="2" borderId="75" xfId="0" applyNumberFormat="1" applyFont="1" applyFill="1" applyBorder="1" applyAlignment="1">
      <alignment horizontal="center" vertical="center"/>
    </xf>
    <xf numFmtId="3" fontId="16" fillId="2" borderId="62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7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3" fontId="16" fillId="2" borderId="13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/>
    <xf numFmtId="0" fontId="16" fillId="3" borderId="64" xfId="0" applyFont="1" applyFill="1" applyBorder="1" applyAlignment="1">
      <alignment horizontal="center" vertical="center"/>
    </xf>
    <xf numFmtId="0" fontId="16" fillId="3" borderId="44" xfId="0" applyFont="1" applyFill="1" applyBorder="1"/>
    <xf numFmtId="0" fontId="16" fillId="3" borderId="69" xfId="0" applyFont="1" applyFill="1" applyBorder="1" applyAlignment="1">
      <alignment horizontal="center" vertical="center"/>
    </xf>
    <xf numFmtId="0" fontId="16" fillId="3" borderId="48" xfId="0" applyFont="1" applyFill="1" applyBorder="1"/>
    <xf numFmtId="0" fontId="16" fillId="3" borderId="67" xfId="0" applyFont="1" applyFill="1" applyBorder="1"/>
    <xf numFmtId="0" fontId="16" fillId="3" borderId="28" xfId="0" applyFont="1" applyFill="1" applyBorder="1" applyAlignment="1">
      <alignment horizontal="center" vertical="center" wrapText="1"/>
    </xf>
    <xf numFmtId="16" fontId="16" fillId="3" borderId="5" xfId="0" applyNumberFormat="1" applyFont="1" applyFill="1" applyBorder="1" applyAlignment="1">
      <alignment horizontal="center" vertical="center" wrapText="1"/>
    </xf>
    <xf numFmtId="16" fontId="16" fillId="3" borderId="6" xfId="0" applyNumberFormat="1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 wrapText="1"/>
    </xf>
    <xf numFmtId="0" fontId="16" fillId="2" borderId="60" xfId="0" applyFont="1" applyFill="1" applyBorder="1" applyAlignment="1">
      <alignment horizontal="left" vertical="center" wrapText="1"/>
    </xf>
    <xf numFmtId="3" fontId="16" fillId="2" borderId="60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 wrapText="1"/>
    </xf>
    <xf numFmtId="3" fontId="16" fillId="2" borderId="18" xfId="0" applyNumberFormat="1" applyFont="1" applyFill="1" applyBorder="1" applyAlignment="1">
      <alignment horizontal="center" vertical="center"/>
    </xf>
    <xf numFmtId="0" fontId="16" fillId="2" borderId="34" xfId="0" applyFont="1" applyFill="1" applyBorder="1"/>
    <xf numFmtId="3" fontId="16" fillId="2" borderId="34" xfId="0" applyNumberFormat="1" applyFont="1" applyFill="1" applyBorder="1" applyAlignment="1">
      <alignment horizontal="center" vertical="center"/>
    </xf>
    <xf numFmtId="0" fontId="16" fillId="2" borderId="18" xfId="0" applyFont="1" applyFill="1" applyBorder="1"/>
    <xf numFmtId="16" fontId="16" fillId="2" borderId="18" xfId="0" applyNumberFormat="1" applyFont="1" applyFill="1" applyBorder="1"/>
    <xf numFmtId="0" fontId="16" fillId="2" borderId="33" xfId="0" applyFont="1" applyFill="1" applyBorder="1"/>
    <xf numFmtId="3" fontId="16" fillId="2" borderId="33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/>
    <xf numFmtId="0" fontId="18" fillId="3" borderId="64" xfId="0" applyFont="1" applyFill="1" applyBorder="1" applyAlignment="1">
      <alignment horizontal="center" vertical="center"/>
    </xf>
    <xf numFmtId="0" fontId="18" fillId="3" borderId="69" xfId="0" applyFont="1" applyFill="1" applyBorder="1" applyAlignment="1">
      <alignment horizontal="center" vertical="center"/>
    </xf>
    <xf numFmtId="0" fontId="18" fillId="3" borderId="67" xfId="0" applyFont="1" applyFill="1" applyBorder="1"/>
    <xf numFmtId="0" fontId="18" fillId="3" borderId="28" xfId="0" applyFont="1" applyFill="1" applyBorder="1" applyAlignment="1">
      <alignment horizontal="center" vertical="center" wrapText="1"/>
    </xf>
    <xf numFmtId="16" fontId="18" fillId="3" borderId="5" xfId="0" applyNumberFormat="1" applyFont="1" applyFill="1" applyBorder="1" applyAlignment="1">
      <alignment horizontal="center" vertical="center" wrapText="1"/>
    </xf>
    <xf numFmtId="16" fontId="18" fillId="3" borderId="6" xfId="0" applyNumberFormat="1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left" vertical="center" wrapText="1"/>
    </xf>
    <xf numFmtId="3" fontId="20" fillId="2" borderId="36" xfId="0" applyNumberFormat="1" applyFont="1" applyFill="1" applyBorder="1" applyAlignment="1">
      <alignment horizontal="center" vertical="center"/>
    </xf>
    <xf numFmtId="3" fontId="20" fillId="2" borderId="50" xfId="0" applyNumberFormat="1" applyFont="1" applyFill="1" applyBorder="1" applyAlignment="1">
      <alignment horizontal="center" vertical="center"/>
    </xf>
    <xf numFmtId="3" fontId="20" fillId="2" borderId="38" xfId="0" applyNumberFormat="1" applyFont="1" applyFill="1" applyBorder="1" applyAlignment="1">
      <alignment horizontal="center" vertical="center"/>
    </xf>
    <xf numFmtId="3" fontId="20" fillId="2" borderId="39" xfId="0" applyNumberFormat="1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left" vertical="center" wrapText="1"/>
    </xf>
    <xf numFmtId="3" fontId="18" fillId="2" borderId="60" xfId="0" applyNumberFormat="1" applyFont="1" applyFill="1" applyBorder="1" applyAlignment="1">
      <alignment horizontal="center" vertical="center"/>
    </xf>
    <xf numFmtId="3" fontId="18" fillId="2" borderId="61" xfId="0" applyNumberFormat="1" applyFont="1" applyFill="1" applyBorder="1" applyAlignment="1">
      <alignment horizontal="center" vertical="center"/>
    </xf>
    <xf numFmtId="3" fontId="18" fillId="2" borderId="75" xfId="0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 wrapText="1"/>
    </xf>
    <xf numFmtId="3" fontId="18" fillId="2" borderId="18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8" fillId="2" borderId="10" xfId="0" applyNumberFormat="1" applyFont="1" applyFill="1" applyBorder="1" applyAlignment="1">
      <alignment horizontal="center" vertical="center"/>
    </xf>
    <xf numFmtId="0" fontId="18" fillId="2" borderId="60" xfId="0" applyFont="1" applyFill="1" applyBorder="1"/>
    <xf numFmtId="0" fontId="18" fillId="2" borderId="18" xfId="0" applyFont="1" applyFill="1" applyBorder="1"/>
    <xf numFmtId="16" fontId="18" fillId="2" borderId="18" xfId="0" applyNumberFormat="1" applyFont="1" applyFill="1" applyBorder="1"/>
    <xf numFmtId="0" fontId="18" fillId="2" borderId="33" xfId="0" applyFont="1" applyFill="1" applyBorder="1"/>
    <xf numFmtId="3" fontId="18" fillId="2" borderId="33" xfId="0" applyNumberFormat="1" applyFont="1" applyFill="1" applyBorder="1" applyAlignment="1">
      <alignment horizontal="center" vertical="center"/>
    </xf>
    <xf numFmtId="3" fontId="18" fillId="2" borderId="11" xfId="0" applyNumberFormat="1" applyFont="1" applyFill="1" applyBorder="1" applyAlignment="1">
      <alignment horizontal="center" vertical="center"/>
    </xf>
    <xf numFmtId="3" fontId="18" fillId="2" borderId="12" xfId="0" applyNumberFormat="1" applyFont="1" applyFill="1" applyBorder="1" applyAlignment="1">
      <alignment horizontal="center" vertical="center"/>
    </xf>
    <xf numFmtId="3" fontId="18" fillId="2" borderId="13" xfId="0" applyNumberFormat="1" applyFont="1" applyFill="1" applyBorder="1" applyAlignment="1">
      <alignment horizontal="center" vertical="center"/>
    </xf>
    <xf numFmtId="3" fontId="16" fillId="2" borderId="0" xfId="0" applyNumberFormat="1" applyFont="1" applyFill="1"/>
    <xf numFmtId="2" fontId="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/>
    </xf>
    <xf numFmtId="165" fontId="4" fillId="6" borderId="21" xfId="0" applyNumberFormat="1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>
      <alignment horizontal="center" vertical="center"/>
    </xf>
    <xf numFmtId="49" fontId="14" fillId="2" borderId="18" xfId="0" applyNumberFormat="1" applyFont="1" applyFill="1" applyBorder="1" applyAlignment="1">
      <alignment horizontal="left" vertical="center" wrapText="1" indent="1"/>
    </xf>
    <xf numFmtId="0" fontId="4" fillId="2" borderId="63" xfId="0" applyFont="1" applyFill="1" applyBorder="1" applyAlignment="1">
      <alignment horizontal="left" vertical="center" wrapText="1" indent="2"/>
    </xf>
    <xf numFmtId="3" fontId="4" fillId="2" borderId="7" xfId="0" quotePrefix="1" applyNumberFormat="1" applyFont="1" applyFill="1" applyBorder="1" applyAlignment="1">
      <alignment horizontal="center" vertical="center"/>
    </xf>
    <xf numFmtId="49" fontId="4" fillId="6" borderId="18" xfId="0" applyNumberFormat="1" applyFont="1" applyFill="1" applyBorder="1" applyAlignment="1">
      <alignment horizontal="left" vertical="center" wrapText="1"/>
    </xf>
    <xf numFmtId="49" fontId="4" fillId="6" borderId="83" xfId="0" applyNumberFormat="1" applyFont="1" applyFill="1" applyBorder="1" applyAlignment="1">
      <alignment horizontal="left" vertical="center" wrapText="1"/>
    </xf>
    <xf numFmtId="3" fontId="4" fillId="6" borderId="78" xfId="0" applyNumberFormat="1" applyFont="1" applyFill="1" applyBorder="1" applyAlignment="1">
      <alignment horizontal="center" vertical="center"/>
    </xf>
    <xf numFmtId="165" fontId="4" fillId="6" borderId="72" xfId="0" applyNumberFormat="1" applyFont="1" applyFill="1" applyBorder="1" applyAlignment="1">
      <alignment horizontal="center" vertical="center"/>
    </xf>
    <xf numFmtId="3" fontId="4" fillId="6" borderId="83" xfId="0" applyNumberFormat="1" applyFont="1" applyFill="1" applyBorder="1" applyAlignment="1">
      <alignment horizontal="center" vertical="center"/>
    </xf>
    <xf numFmtId="49" fontId="5" fillId="2" borderId="98" xfId="0" applyNumberFormat="1" applyFont="1" applyFill="1" applyBorder="1" applyAlignment="1">
      <alignment horizontal="left" vertical="center" wrapText="1" indent="1"/>
    </xf>
    <xf numFmtId="3" fontId="5" fillId="2" borderId="99" xfId="0" applyNumberFormat="1" applyFont="1" applyFill="1" applyBorder="1" applyAlignment="1">
      <alignment horizontal="center" vertical="center" wrapText="1"/>
    </xf>
    <xf numFmtId="165" fontId="5" fillId="2" borderId="99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left" vertical="center" wrapText="1" indent="3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3" fontId="16" fillId="3" borderId="16" xfId="0" applyNumberFormat="1" applyFont="1" applyFill="1" applyBorder="1" applyAlignment="1">
      <alignment horizontal="center" vertical="center"/>
    </xf>
    <xf numFmtId="3" fontId="16" fillId="3" borderId="17" xfId="0" applyNumberFormat="1" applyFont="1" applyFill="1" applyBorder="1" applyAlignment="1">
      <alignment horizontal="center" vertical="center"/>
    </xf>
    <xf numFmtId="3" fontId="16" fillId="3" borderId="71" xfId="0" applyNumberFormat="1" applyFont="1" applyFill="1" applyBorder="1" applyAlignment="1">
      <alignment horizontal="center" vertical="center"/>
    </xf>
    <xf numFmtId="3" fontId="16" fillId="3" borderId="72" xfId="0" applyNumberFormat="1" applyFont="1" applyFill="1" applyBorder="1" applyAlignment="1">
      <alignment horizontal="center" vertical="center"/>
    </xf>
    <xf numFmtId="3" fontId="16" fillId="3" borderId="71" xfId="0" applyNumberFormat="1" applyFont="1" applyFill="1" applyBorder="1"/>
    <xf numFmtId="3" fontId="16" fillId="3" borderId="71" xfId="0" applyNumberFormat="1" applyFont="1" applyFill="1" applyBorder="1" applyAlignment="1">
      <alignment vertical="center"/>
    </xf>
    <xf numFmtId="3" fontId="18" fillId="3" borderId="16" xfId="0" applyNumberFormat="1" applyFont="1" applyFill="1" applyBorder="1" applyAlignment="1">
      <alignment horizontal="center" vertical="center"/>
    </xf>
    <xf numFmtId="3" fontId="18" fillId="3" borderId="17" xfId="0" applyNumberFormat="1" applyFont="1" applyFill="1" applyBorder="1" applyAlignment="1">
      <alignment horizontal="center" vertical="center"/>
    </xf>
    <xf numFmtId="3" fontId="18" fillId="3" borderId="71" xfId="0" applyNumberFormat="1" applyFont="1" applyFill="1" applyBorder="1" applyAlignment="1">
      <alignment horizontal="center" vertical="center"/>
    </xf>
    <xf numFmtId="3" fontId="18" fillId="3" borderId="72" xfId="0" applyNumberFormat="1" applyFont="1" applyFill="1" applyBorder="1" applyAlignment="1">
      <alignment horizontal="center" vertical="center"/>
    </xf>
    <xf numFmtId="3" fontId="18" fillId="3" borderId="87" xfId="0" applyNumberFormat="1" applyFont="1" applyFill="1" applyBorder="1" applyAlignment="1">
      <alignment horizontal="center" vertical="center"/>
    </xf>
    <xf numFmtId="3" fontId="18" fillId="3" borderId="82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84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30" xfId="0" applyNumberFormat="1" applyFont="1" applyFill="1" applyBorder="1" applyAlignment="1">
      <alignment horizontal="center" vertical="center"/>
    </xf>
    <xf numFmtId="164" fontId="5" fillId="2" borderId="3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0" fillId="2" borderId="84" xfId="0" applyFill="1" applyBorder="1"/>
    <xf numFmtId="1" fontId="4" fillId="2" borderId="0" xfId="0" applyNumberFormat="1" applyFont="1" applyFill="1"/>
    <xf numFmtId="164" fontId="0" fillId="2" borderId="0" xfId="0" applyNumberFormat="1" applyFill="1" applyAlignment="1">
      <alignment horizontal="center" vertical="center"/>
    </xf>
    <xf numFmtId="164" fontId="16" fillId="2" borderId="0" xfId="0" applyNumberFormat="1" applyFont="1" applyFill="1"/>
    <xf numFmtId="164" fontId="16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left" vertical="center"/>
    </xf>
    <xf numFmtId="0" fontId="16" fillId="3" borderId="6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Border="1" applyAlignment="1">
      <alignment horizontal="left" vertical="center" wrapText="1"/>
    </xf>
    <xf numFmtId="0" fontId="4" fillId="3" borderId="69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 wrapText="1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50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39" xfId="0" applyNumberFormat="1" applyFont="1" applyFill="1" applyBorder="1" applyAlignment="1">
      <alignment horizontal="center" vertical="center"/>
    </xf>
    <xf numFmtId="0" fontId="21" fillId="2" borderId="0" xfId="0" applyFont="1" applyFill="1"/>
    <xf numFmtId="3" fontId="21" fillId="2" borderId="0" xfId="0" applyNumberFormat="1" applyFont="1" applyFill="1" applyBorder="1" applyAlignment="1">
      <alignment horizontal="center" vertical="center"/>
    </xf>
    <xf numFmtId="3" fontId="4" fillId="3" borderId="29" xfId="0" applyNumberFormat="1" applyFont="1" applyFill="1" applyBorder="1" applyAlignment="1">
      <alignment horizontal="center" vertical="center"/>
    </xf>
    <xf numFmtId="3" fontId="4" fillId="3" borderId="26" xfId="0" applyNumberFormat="1" applyFont="1" applyFill="1" applyBorder="1" applyAlignment="1">
      <alignment horizontal="center" vertical="center"/>
    </xf>
    <xf numFmtId="3" fontId="4" fillId="3" borderId="27" xfId="0" applyNumberFormat="1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3" fontId="4" fillId="3" borderId="35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3" borderId="76" xfId="0" applyNumberFormat="1" applyFont="1" applyFill="1" applyBorder="1" applyAlignment="1">
      <alignment horizontal="center" vertical="center"/>
    </xf>
    <xf numFmtId="3" fontId="4" fillId="3" borderId="75" xfId="0" applyNumberFormat="1" applyFont="1" applyFill="1" applyBorder="1" applyAlignment="1">
      <alignment horizontal="center" vertical="center"/>
    </xf>
    <xf numFmtId="3" fontId="4" fillId="3" borderId="62" xfId="0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left" vertical="center"/>
    </xf>
    <xf numFmtId="0" fontId="0" fillId="2" borderId="65" xfId="0" applyFont="1" applyFill="1" applyBorder="1"/>
    <xf numFmtId="3" fontId="4" fillId="3" borderId="9" xfId="0" applyNumberFormat="1" applyFont="1" applyFill="1" applyBorder="1" applyAlignment="1">
      <alignment horizontal="center" vertical="center"/>
    </xf>
    <xf numFmtId="2" fontId="9" fillId="2" borderId="22" xfId="0" applyNumberFormat="1" applyFont="1" applyFill="1" applyBorder="1" applyAlignment="1">
      <alignment horizontal="left" vertical="center" wrapText="1"/>
    </xf>
    <xf numFmtId="3" fontId="9" fillId="2" borderId="23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/>
    </xf>
    <xf numFmtId="2" fontId="8" fillId="3" borderId="24" xfId="0" applyNumberFormat="1" applyFont="1" applyFill="1" applyBorder="1" applyAlignment="1">
      <alignment horizontal="center" vertical="center" wrapText="1"/>
    </xf>
    <xf numFmtId="3" fontId="4" fillId="2" borderId="50" xfId="0" applyNumberFormat="1" applyFont="1" applyFill="1" applyBorder="1" applyAlignment="1">
      <alignment horizontal="center" vertical="center"/>
    </xf>
    <xf numFmtId="3" fontId="4" fillId="2" borderId="58" xfId="0" applyNumberFormat="1" applyFont="1" applyFill="1" applyBorder="1" applyAlignment="1">
      <alignment horizontal="center" vertical="center"/>
    </xf>
    <xf numFmtId="3" fontId="4" fillId="2" borderId="68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left" vertical="center" wrapText="1" indent="3"/>
    </xf>
    <xf numFmtId="0" fontId="4" fillId="3" borderId="25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left" vertical="center" wrapText="1"/>
    </xf>
    <xf numFmtId="2" fontId="9" fillId="2" borderId="28" xfId="0" applyNumberFormat="1" applyFont="1" applyFill="1" applyBorder="1" applyAlignment="1">
      <alignment horizontal="left" vertical="center" wrapText="1"/>
    </xf>
    <xf numFmtId="167" fontId="9" fillId="2" borderId="5" xfId="2" applyNumberFormat="1" applyFont="1" applyFill="1" applyBorder="1" applyAlignment="1">
      <alignment horizontal="center" vertical="center" wrapText="1"/>
    </xf>
    <xf numFmtId="166" fontId="9" fillId="2" borderId="5" xfId="2" applyNumberFormat="1" applyFont="1" applyFill="1" applyBorder="1" applyAlignment="1">
      <alignment horizontal="center" vertical="center" wrapText="1"/>
    </xf>
    <xf numFmtId="167" fontId="9" fillId="2" borderId="5" xfId="2" applyNumberFormat="1" applyFont="1" applyFill="1" applyBorder="1" applyAlignment="1">
      <alignment horizontal="left" vertical="center" wrapText="1"/>
    </xf>
    <xf numFmtId="167" fontId="9" fillId="2" borderId="6" xfId="2" applyNumberFormat="1" applyFont="1" applyFill="1" applyBorder="1" applyAlignment="1">
      <alignment horizontal="center" vertical="center" wrapText="1"/>
    </xf>
    <xf numFmtId="2" fontId="8" fillId="3" borderId="65" xfId="0" applyNumberFormat="1" applyFont="1" applyFill="1" applyBorder="1" applyAlignment="1">
      <alignment horizontal="left" vertical="center" wrapText="1"/>
    </xf>
    <xf numFmtId="3" fontId="4" fillId="3" borderId="65" xfId="0" applyNumberFormat="1" applyFont="1" applyFill="1" applyBorder="1" applyAlignment="1">
      <alignment horizontal="center" vertical="center"/>
    </xf>
    <xf numFmtId="3" fontId="4" fillId="3" borderId="66" xfId="0" applyNumberFormat="1" applyFont="1" applyFill="1" applyBorder="1" applyAlignment="1">
      <alignment horizontal="center" vertical="center"/>
    </xf>
    <xf numFmtId="0" fontId="23" fillId="0" borderId="26" xfId="4" quotePrefix="1" applyFont="1" applyBorder="1" applyAlignment="1">
      <alignment horizontal="center" vertical="center" wrapText="1"/>
    </xf>
    <xf numFmtId="3" fontId="10" fillId="2" borderId="29" xfId="0" applyNumberFormat="1" applyFont="1" applyFill="1" applyBorder="1" applyAlignment="1">
      <alignment horizontal="center" vertical="center" wrapText="1"/>
    </xf>
    <xf numFmtId="165" fontId="10" fillId="2" borderId="26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/>
    </xf>
    <xf numFmtId="3" fontId="10" fillId="2" borderId="27" xfId="0" applyNumberFormat="1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3" fontId="8" fillId="2" borderId="86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9" fillId="2" borderId="50" xfId="0" applyNumberFormat="1" applyFont="1" applyFill="1" applyBorder="1" applyAlignment="1">
      <alignment horizontal="center" vertical="center" wrapText="1"/>
    </xf>
    <xf numFmtId="164" fontId="9" fillId="2" borderId="39" xfId="0" applyNumberFormat="1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23" fillId="0" borderId="2" xfId="4" quotePrefix="1" applyFont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center" vertical="center" wrapText="1"/>
    </xf>
    <xf numFmtId="3" fontId="8" fillId="2" borderId="31" xfId="0" applyNumberFormat="1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center" vertical="center" wrapText="1"/>
    </xf>
    <xf numFmtId="3" fontId="8" fillId="2" borderId="38" xfId="0" applyNumberFormat="1" applyFont="1" applyFill="1" applyBorder="1" applyAlignment="1">
      <alignment horizontal="center" vertical="center"/>
    </xf>
    <xf numFmtId="3" fontId="8" fillId="2" borderId="39" xfId="0" quotePrefix="1" applyNumberFormat="1" applyFont="1" applyFill="1" applyBorder="1" applyAlignment="1">
      <alignment horizontal="center" vertical="center" wrapText="1"/>
    </xf>
    <xf numFmtId="3" fontId="10" fillId="2" borderId="26" xfId="2" applyNumberFormat="1" applyFont="1" applyFill="1" applyBorder="1" applyAlignment="1">
      <alignment horizontal="center" vertical="center" wrapText="1"/>
    </xf>
    <xf numFmtId="3" fontId="8" fillId="2" borderId="13" xfId="0" quotePrefix="1" applyNumberFormat="1" applyFont="1" applyFill="1" applyBorder="1" applyAlignment="1">
      <alignment horizontal="center" vertical="center" wrapText="1"/>
    </xf>
    <xf numFmtId="3" fontId="10" fillId="2" borderId="23" xfId="0" applyNumberFormat="1" applyFont="1" applyFill="1" applyBorder="1" applyAlignment="1">
      <alignment horizontal="center" vertical="center"/>
    </xf>
    <xf numFmtId="2" fontId="6" fillId="2" borderId="50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/>
    <xf numFmtId="0" fontId="4" fillId="3" borderId="5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6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4" fillId="3" borderId="5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65" fontId="6" fillId="2" borderId="105" xfId="0" applyNumberFormat="1" applyFont="1" applyFill="1" applyBorder="1" applyAlignment="1">
      <alignment horizontal="center" vertical="center" wrapText="1"/>
    </xf>
    <xf numFmtId="165" fontId="4" fillId="2" borderId="34" xfId="0" applyNumberFormat="1" applyFont="1" applyFill="1" applyBorder="1" applyAlignment="1">
      <alignment horizontal="center" vertical="center" wrapText="1"/>
    </xf>
    <xf numFmtId="165" fontId="4" fillId="2" borderId="36" xfId="0" applyNumberFormat="1" applyFont="1" applyFill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3" fontId="4" fillId="2" borderId="80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/>
    </xf>
    <xf numFmtId="3" fontId="4" fillId="2" borderId="73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 vertical="center" wrapText="1"/>
    </xf>
    <xf numFmtId="3" fontId="4" fillId="2" borderId="104" xfId="0" applyNumberFormat="1" applyFont="1" applyFill="1" applyBorder="1" applyAlignment="1">
      <alignment horizontal="center" vertical="center" wrapText="1"/>
    </xf>
    <xf numFmtId="3" fontId="4" fillId="2" borderId="68" xfId="0" applyNumberFormat="1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/>
    </xf>
    <xf numFmtId="165" fontId="4" fillId="2" borderId="54" xfId="0" applyNumberFormat="1" applyFont="1" applyFill="1" applyBorder="1" applyAlignment="1">
      <alignment horizontal="center" vertical="center" wrapText="1"/>
    </xf>
    <xf numFmtId="165" fontId="4" fillId="2" borderId="18" xfId="0" applyNumberFormat="1" applyFont="1" applyFill="1" applyBorder="1" applyAlignment="1">
      <alignment horizontal="center" vertical="center" wrapText="1"/>
    </xf>
    <xf numFmtId="165" fontId="4" fillId="2" borderId="33" xfId="0" applyNumberFormat="1" applyFont="1" applyFill="1" applyBorder="1" applyAlignment="1">
      <alignment horizontal="center" vertical="center" wrapText="1"/>
    </xf>
    <xf numFmtId="0" fontId="0" fillId="3" borderId="56" xfId="0" applyFont="1" applyFill="1" applyBorder="1"/>
    <xf numFmtId="165" fontId="6" fillId="3" borderId="27" xfId="0" applyNumberFormat="1" applyFont="1" applyFill="1" applyBorder="1" applyAlignment="1">
      <alignment horizontal="center" vertical="center" wrapText="1"/>
    </xf>
    <xf numFmtId="165" fontId="6" fillId="3" borderId="26" xfId="0" applyNumberFormat="1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/>
    </xf>
    <xf numFmtId="49" fontId="4" fillId="3" borderId="34" xfId="0" applyNumberFormat="1" applyFont="1" applyFill="1" applyBorder="1" applyAlignment="1">
      <alignment horizontal="left" vertical="center" wrapText="1"/>
    </xf>
    <xf numFmtId="3" fontId="4" fillId="3" borderId="7" xfId="0" applyNumberFormat="1" applyFont="1" applyFill="1" applyBorder="1" applyAlignment="1">
      <alignment horizontal="center" vertical="center"/>
    </xf>
    <xf numFmtId="165" fontId="4" fillId="3" borderId="81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left" vertical="center" wrapText="1"/>
    </xf>
    <xf numFmtId="165" fontId="4" fillId="3" borderId="21" xfId="0" applyNumberFormat="1" applyFont="1" applyFill="1" applyBorder="1" applyAlignment="1">
      <alignment horizontal="center" vertical="center"/>
    </xf>
    <xf numFmtId="49" fontId="4" fillId="3" borderId="33" xfId="0" applyNumberFormat="1" applyFont="1" applyFill="1" applyBorder="1" applyAlignment="1">
      <alignment horizontal="left" vertical="center" wrapText="1"/>
    </xf>
    <xf numFmtId="3" fontId="4" fillId="3" borderId="11" xfId="0" quotePrefix="1" applyNumberFormat="1" applyFont="1" applyFill="1" applyBorder="1" applyAlignment="1">
      <alignment horizontal="center" vertical="center"/>
    </xf>
    <xf numFmtId="165" fontId="4" fillId="3" borderId="59" xfId="0" applyNumberFormat="1" applyFont="1" applyFill="1" applyBorder="1" applyAlignment="1">
      <alignment horizontal="center" vertical="center"/>
    </xf>
    <xf numFmtId="165" fontId="4" fillId="3" borderId="59" xfId="0" quotePrefix="1" applyNumberFormat="1" applyFont="1" applyFill="1" applyBorder="1" applyAlignment="1">
      <alignment horizontal="center" vertical="center"/>
    </xf>
    <xf numFmtId="3" fontId="4" fillId="3" borderId="33" xfId="0" quotePrefix="1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6" fillId="2" borderId="90" xfId="0" applyNumberFormat="1" applyFont="1" applyFill="1" applyBorder="1" applyAlignment="1">
      <alignment horizontal="center" vertical="center"/>
    </xf>
    <xf numFmtId="14" fontId="4" fillId="3" borderId="74" xfId="0" applyNumberFormat="1" applyFont="1" applyFill="1" applyBorder="1" applyAlignment="1">
      <alignment horizontal="center" vertical="center" wrapText="1"/>
    </xf>
    <xf numFmtId="164" fontId="6" fillId="2" borderId="91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164" fontId="4" fillId="2" borderId="73" xfId="0" applyNumberFormat="1" applyFont="1" applyFill="1" applyBorder="1" applyAlignment="1">
      <alignment horizontal="center" vertical="center"/>
    </xf>
    <xf numFmtId="3" fontId="6" fillId="2" borderId="53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wrapText="1"/>
    </xf>
    <xf numFmtId="3" fontId="4" fillId="2" borderId="73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2" xfId="0" applyNumberFormat="1" applyFont="1" applyFill="1" applyBorder="1" applyAlignment="1">
      <alignment horizontal="center" wrapText="1"/>
    </xf>
    <xf numFmtId="3" fontId="4" fillId="2" borderId="4" xfId="0" applyNumberFormat="1" applyFont="1" applyFill="1" applyBorder="1" applyAlignment="1">
      <alignment horizontal="center" vertical="center"/>
    </xf>
    <xf numFmtId="164" fontId="4" fillId="2" borderId="8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59" xfId="0" applyNumberFormat="1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left" vertical="center" wrapText="1"/>
    </xf>
    <xf numFmtId="0" fontId="4" fillId="3" borderId="69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center" wrapText="1"/>
    </xf>
    <xf numFmtId="49" fontId="14" fillId="2" borderId="69" xfId="0" applyNumberFormat="1" applyFont="1" applyFill="1" applyBorder="1" applyAlignment="1">
      <alignment horizontal="left" vertical="center" wrapText="1"/>
    </xf>
    <xf numFmtId="49" fontId="14" fillId="2" borderId="69" xfId="0" applyNumberFormat="1" applyFont="1" applyFill="1" applyBorder="1" applyAlignment="1">
      <alignment horizontal="left" vertical="center" wrapText="1" indent="2"/>
    </xf>
    <xf numFmtId="49" fontId="25" fillId="8" borderId="4" xfId="0" applyNumberFormat="1" applyFont="1" applyFill="1" applyBorder="1" applyAlignment="1">
      <alignment horizontal="left" vertical="center" wrapText="1"/>
    </xf>
    <xf numFmtId="3" fontId="25" fillId="8" borderId="4" xfId="0" applyNumberFormat="1" applyFont="1" applyFill="1" applyBorder="1" applyAlignment="1">
      <alignment horizontal="center" vertical="center" wrapText="1"/>
    </xf>
    <xf numFmtId="165" fontId="25" fillId="8" borderId="56" xfId="0" applyNumberFormat="1" applyFont="1" applyFill="1" applyBorder="1" applyAlignment="1">
      <alignment horizontal="center" vertical="center" wrapText="1"/>
    </xf>
    <xf numFmtId="3" fontId="25" fillId="8" borderId="3" xfId="0" applyNumberFormat="1" applyFont="1" applyFill="1" applyBorder="1" applyAlignment="1">
      <alignment horizontal="center" vertical="center" wrapText="1"/>
    </xf>
    <xf numFmtId="49" fontId="25" fillId="8" borderId="3" xfId="0" applyNumberFormat="1" applyFont="1" applyFill="1" applyBorder="1" applyAlignment="1">
      <alignment horizontal="left" vertical="center" wrapText="1"/>
    </xf>
    <xf numFmtId="3" fontId="25" fillId="8" borderId="4" xfId="0" applyNumberFormat="1" applyFont="1" applyFill="1" applyBorder="1" applyAlignment="1">
      <alignment horizontal="center" vertical="center"/>
    </xf>
    <xf numFmtId="165" fontId="25" fillId="8" borderId="56" xfId="0" applyNumberFormat="1" applyFont="1" applyFill="1" applyBorder="1" applyAlignment="1">
      <alignment horizontal="center" vertical="center"/>
    </xf>
    <xf numFmtId="3" fontId="25" fillId="8" borderId="3" xfId="0" applyNumberFormat="1" applyFont="1" applyFill="1" applyBorder="1" applyAlignment="1">
      <alignment horizontal="center" vertical="center"/>
    </xf>
    <xf numFmtId="49" fontId="24" fillId="3" borderId="34" xfId="0" applyNumberFormat="1" applyFont="1" applyFill="1" applyBorder="1" applyAlignment="1">
      <alignment horizontal="left" vertical="center" wrapText="1"/>
    </xf>
    <xf numFmtId="3" fontId="24" fillId="3" borderId="7" xfId="0" applyNumberFormat="1" applyFont="1" applyFill="1" applyBorder="1" applyAlignment="1">
      <alignment horizontal="center" vertical="center"/>
    </xf>
    <xf numFmtId="165" fontId="24" fillId="3" borderId="81" xfId="0" applyNumberFormat="1" applyFont="1" applyFill="1" applyBorder="1" applyAlignment="1">
      <alignment horizontal="center" vertical="center"/>
    </xf>
    <xf numFmtId="3" fontId="24" fillId="3" borderId="34" xfId="0" applyNumberFormat="1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left" vertical="center" wrapText="1"/>
    </xf>
    <xf numFmtId="3" fontId="24" fillId="3" borderId="4" xfId="0" applyNumberFormat="1" applyFont="1" applyFill="1" applyBorder="1" applyAlignment="1">
      <alignment horizontal="center" vertical="center"/>
    </xf>
    <xf numFmtId="165" fontId="24" fillId="3" borderId="56" xfId="0" applyNumberFormat="1" applyFont="1" applyFill="1" applyBorder="1" applyAlignment="1">
      <alignment horizontal="center" vertical="center"/>
    </xf>
    <xf numFmtId="3" fontId="24" fillId="3" borderId="3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4" fontId="4" fillId="3" borderId="13" xfId="0" applyNumberFormat="1" applyFont="1" applyFill="1" applyBorder="1" applyAlignment="1">
      <alignment horizontal="center" vertical="center" wrapText="1"/>
    </xf>
    <xf numFmtId="3" fontId="4" fillId="2" borderId="81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/>
    </xf>
    <xf numFmtId="0" fontId="14" fillId="2" borderId="15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70" xfId="0" applyFont="1" applyFill="1" applyBorder="1" applyAlignment="1">
      <alignment horizontal="left" vertical="center" wrapText="1"/>
    </xf>
    <xf numFmtId="0" fontId="26" fillId="3" borderId="70" xfId="0" applyFont="1" applyFill="1" applyBorder="1"/>
    <xf numFmtId="3" fontId="4" fillId="3" borderId="107" xfId="0" applyNumberFormat="1" applyFont="1" applyFill="1" applyBorder="1" applyAlignment="1">
      <alignment horizontal="center" vertical="center"/>
    </xf>
    <xf numFmtId="3" fontId="4" fillId="3" borderId="108" xfId="0" applyNumberFormat="1" applyFont="1" applyFill="1" applyBorder="1" applyAlignment="1">
      <alignment horizontal="center" vertical="center"/>
    </xf>
    <xf numFmtId="3" fontId="4" fillId="3" borderId="109" xfId="0" applyNumberFormat="1" applyFont="1" applyFill="1" applyBorder="1" applyAlignment="1">
      <alignment horizontal="center" vertical="center"/>
    </xf>
    <xf numFmtId="0" fontId="4" fillId="3" borderId="85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164" fontId="4" fillId="2" borderId="108" xfId="0" applyNumberFormat="1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164" fontId="4" fillId="2" borderId="106" xfId="0" applyNumberFormat="1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10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3" borderId="111" xfId="0" applyFont="1" applyFill="1" applyBorder="1" applyAlignment="1">
      <alignment horizontal="left" vertical="center"/>
    </xf>
    <xf numFmtId="0" fontId="4" fillId="3" borderId="112" xfId="0" applyFont="1" applyFill="1" applyBorder="1" applyAlignment="1">
      <alignment horizontal="center" vertical="center" wrapText="1"/>
    </xf>
    <xf numFmtId="3" fontId="4" fillId="3" borderId="113" xfId="0" applyNumberFormat="1" applyFont="1" applyFill="1" applyBorder="1" applyAlignment="1">
      <alignment horizontal="center" vertical="center"/>
    </xf>
    <xf numFmtId="0" fontId="4" fillId="3" borderId="114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 wrapText="1"/>
    </xf>
    <xf numFmtId="164" fontId="4" fillId="2" borderId="116" xfId="0" applyNumberFormat="1" applyFont="1" applyFill="1" applyBorder="1" applyAlignment="1">
      <alignment horizontal="center" vertical="center"/>
    </xf>
    <xf numFmtId="164" fontId="4" fillId="2" borderId="102" xfId="0" applyNumberFormat="1" applyFont="1" applyFill="1" applyBorder="1" applyAlignment="1">
      <alignment horizontal="center" vertical="center"/>
    </xf>
    <xf numFmtId="164" fontId="4" fillId="2" borderId="100" xfId="0" applyNumberFormat="1" applyFont="1" applyFill="1" applyBorder="1" applyAlignment="1">
      <alignment horizontal="center" vertical="center"/>
    </xf>
    <xf numFmtId="164" fontId="4" fillId="2" borderId="101" xfId="0" applyNumberFormat="1" applyFont="1" applyFill="1" applyBorder="1" applyAlignment="1">
      <alignment horizontal="center" vertical="center"/>
    </xf>
    <xf numFmtId="0" fontId="0" fillId="2" borderId="117" xfId="0" applyFont="1" applyFill="1" applyBorder="1"/>
    <xf numFmtId="0" fontId="4" fillId="2" borderId="118" xfId="0" applyFont="1" applyFill="1" applyBorder="1" applyAlignment="1">
      <alignment horizontal="center" vertical="center" wrapText="1"/>
    </xf>
    <xf numFmtId="3" fontId="4" fillId="3" borderId="119" xfId="0" applyNumberFormat="1" applyFont="1" applyFill="1" applyBorder="1" applyAlignment="1">
      <alignment horizontal="center" vertical="center"/>
    </xf>
    <xf numFmtId="164" fontId="4" fillId="2" borderId="120" xfId="0" applyNumberFormat="1" applyFont="1" applyFill="1" applyBorder="1" applyAlignment="1">
      <alignment horizontal="center" vertical="center"/>
    </xf>
    <xf numFmtId="164" fontId="4" fillId="2" borderId="121" xfId="0" applyNumberFormat="1" applyFont="1" applyFill="1" applyBorder="1" applyAlignment="1">
      <alignment horizontal="center" vertical="center"/>
    </xf>
    <xf numFmtId="3" fontId="4" fillId="3" borderId="122" xfId="0" applyNumberFormat="1" applyFont="1" applyFill="1" applyBorder="1" applyAlignment="1">
      <alignment horizontal="center" vertical="center"/>
    </xf>
    <xf numFmtId="3" fontId="4" fillId="3" borderId="120" xfId="0" applyNumberFormat="1" applyFont="1" applyFill="1" applyBorder="1" applyAlignment="1">
      <alignment horizontal="center" vertical="center"/>
    </xf>
    <xf numFmtId="164" fontId="4" fillId="2" borderId="123" xfId="0" applyNumberFormat="1" applyFont="1" applyFill="1" applyBorder="1" applyAlignment="1">
      <alignment horizontal="center" vertical="center"/>
    </xf>
    <xf numFmtId="0" fontId="4" fillId="3" borderId="124" xfId="0" applyFont="1" applyFill="1" applyBorder="1" applyAlignment="1">
      <alignment horizontal="center" vertical="center"/>
    </xf>
    <xf numFmtId="0" fontId="4" fillId="3" borderId="125" xfId="0" applyFont="1" applyFill="1" applyBorder="1" applyAlignment="1">
      <alignment horizontal="center" vertical="center"/>
    </xf>
    <xf numFmtId="0" fontId="4" fillId="3" borderId="126" xfId="0" applyFont="1" applyFill="1" applyBorder="1" applyAlignment="1">
      <alignment horizontal="center" vertical="center"/>
    </xf>
    <xf numFmtId="0" fontId="4" fillId="10" borderId="45" xfId="0" applyFont="1" applyFill="1" applyBorder="1" applyAlignment="1">
      <alignment horizontal="center" vertical="center" wrapText="1"/>
    </xf>
    <xf numFmtId="3" fontId="4" fillId="10" borderId="120" xfId="0" applyNumberFormat="1" applyFont="1" applyFill="1" applyBorder="1" applyAlignment="1">
      <alignment horizontal="center" vertical="center"/>
    </xf>
    <xf numFmtId="3" fontId="4" fillId="10" borderId="30" xfId="0" applyNumberFormat="1" applyFont="1" applyFill="1" applyBorder="1" applyAlignment="1">
      <alignment horizontal="center" vertical="center"/>
    </xf>
    <xf numFmtId="3" fontId="4" fillId="10" borderId="1" xfId="0" applyNumberFormat="1" applyFont="1" applyFill="1" applyBorder="1" applyAlignment="1">
      <alignment horizontal="center" vertical="center"/>
    </xf>
    <xf numFmtId="3" fontId="4" fillId="10" borderId="108" xfId="0" applyNumberFormat="1" applyFont="1" applyFill="1" applyBorder="1" applyAlignment="1">
      <alignment horizontal="center" vertical="center"/>
    </xf>
    <xf numFmtId="3" fontId="4" fillId="10" borderId="1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0" fillId="2" borderId="65" xfId="0" applyFill="1" applyBorder="1"/>
    <xf numFmtId="0" fontId="4" fillId="2" borderId="84" xfId="0" applyFont="1" applyFill="1" applyBorder="1" applyAlignment="1">
      <alignment horizontal="left" vertical="center" wrapText="1"/>
    </xf>
    <xf numFmtId="0" fontId="4" fillId="2" borderId="65" xfId="0" applyFont="1" applyFill="1" applyBorder="1" applyAlignment="1">
      <alignment horizontal="left" vertical="center"/>
    </xf>
    <xf numFmtId="16" fontId="4" fillId="2" borderId="0" xfId="0" applyNumberFormat="1" applyFont="1" applyFill="1" applyBorder="1" applyAlignment="1">
      <alignment horizontal="left" vertical="center"/>
    </xf>
    <xf numFmtId="16" fontId="4" fillId="2" borderId="84" xfId="0" applyNumberFormat="1" applyFont="1" applyFill="1" applyBorder="1" applyAlignment="1">
      <alignment horizontal="left" vertical="center"/>
    </xf>
    <xf numFmtId="3" fontId="4" fillId="3" borderId="31" xfId="0" applyNumberFormat="1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left" vertical="center"/>
    </xf>
    <xf numFmtId="0" fontId="4" fillId="2" borderId="87" xfId="0" applyFont="1" applyFill="1" applyBorder="1" applyAlignment="1">
      <alignment horizontal="left" vertical="center" wrapText="1"/>
    </xf>
    <xf numFmtId="0" fontId="0" fillId="2" borderId="42" xfId="0" applyFill="1" applyBorder="1"/>
    <xf numFmtId="164" fontId="5" fillId="2" borderId="2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0" fillId="2" borderId="43" xfId="0" applyFill="1" applyBorder="1"/>
    <xf numFmtId="3" fontId="4" fillId="10" borderId="2" xfId="0" applyNumberFormat="1" applyFont="1" applyFill="1" applyBorder="1" applyAlignment="1">
      <alignment horizontal="center" vertical="center"/>
    </xf>
    <xf numFmtId="3" fontId="4" fillId="10" borderId="12" xfId="0" applyNumberFormat="1" applyFont="1" applyFill="1" applyBorder="1" applyAlignment="1">
      <alignment horizontal="center" vertical="center"/>
    </xf>
    <xf numFmtId="0" fontId="4" fillId="2" borderId="104" xfId="0" applyFont="1" applyFill="1" applyBorder="1"/>
    <xf numFmtId="0" fontId="4" fillId="2" borderId="42" xfId="0" applyFont="1" applyFill="1" applyBorder="1"/>
    <xf numFmtId="0" fontId="4" fillId="2" borderId="77" xfId="0" applyFont="1" applyFill="1" applyBorder="1" applyAlignment="1">
      <alignment horizontal="left" vertical="center" wrapText="1"/>
    </xf>
    <xf numFmtId="0" fontId="4" fillId="2" borderId="90" xfId="0" applyFont="1" applyFill="1" applyBorder="1" applyAlignment="1">
      <alignment horizontal="left" vertical="center"/>
    </xf>
    <xf numFmtId="164" fontId="5" fillId="2" borderId="35" xfId="0" applyNumberFormat="1" applyFont="1" applyFill="1" applyBorder="1" applyAlignment="1">
      <alignment horizontal="center" vertical="center"/>
    </xf>
    <xf numFmtId="0" fontId="0" fillId="2" borderId="50" xfId="0" applyFill="1" applyBorder="1"/>
    <xf numFmtId="0" fontId="4" fillId="2" borderId="38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/>
    </xf>
    <xf numFmtId="0" fontId="0" fillId="2" borderId="36" xfId="0" applyFill="1" applyBorder="1"/>
    <xf numFmtId="0" fontId="4" fillId="2" borderId="47" xfId="0" applyFont="1" applyFill="1" applyBorder="1" applyAlignment="1">
      <alignment horizontal="center" vertical="center"/>
    </xf>
    <xf numFmtId="164" fontId="5" fillId="2" borderId="53" xfId="0" applyNumberFormat="1" applyFont="1" applyFill="1" applyBorder="1" applyAlignment="1">
      <alignment horizontal="center" vertical="center"/>
    </xf>
    <xf numFmtId="164" fontId="5" fillId="2" borderId="45" xfId="0" applyNumberFormat="1" applyFont="1" applyFill="1" applyBorder="1" applyAlignment="1">
      <alignment horizontal="center" vertical="center"/>
    </xf>
    <xf numFmtId="164" fontId="5" fillId="2" borderId="54" xfId="0" applyNumberFormat="1" applyFont="1" applyFill="1" applyBorder="1" applyAlignment="1">
      <alignment horizontal="center" vertical="center"/>
    </xf>
    <xf numFmtId="0" fontId="4" fillId="10" borderId="47" xfId="0" applyFont="1" applyFill="1" applyBorder="1" applyAlignment="1">
      <alignment horizontal="center" vertical="center"/>
    </xf>
    <xf numFmtId="3" fontId="5" fillId="3" borderId="119" xfId="0" applyNumberFormat="1" applyFont="1" applyFill="1" applyBorder="1" applyAlignment="1">
      <alignment horizontal="center" vertical="center"/>
    </xf>
    <xf numFmtId="3" fontId="5" fillId="3" borderId="76" xfId="0" applyNumberFormat="1" applyFont="1" applyFill="1" applyBorder="1" applyAlignment="1">
      <alignment horizontal="center" vertical="center"/>
    </xf>
    <xf numFmtId="3" fontId="5" fillId="3" borderId="75" xfId="0" applyNumberFormat="1" applyFont="1" applyFill="1" applyBorder="1" applyAlignment="1">
      <alignment horizontal="center" vertical="center"/>
    </xf>
    <xf numFmtId="3" fontId="5" fillId="3" borderId="113" xfId="0" applyNumberFormat="1" applyFont="1" applyFill="1" applyBorder="1" applyAlignment="1">
      <alignment horizontal="center" vertical="center"/>
    </xf>
    <xf numFmtId="3" fontId="5" fillId="3" borderId="62" xfId="0" applyNumberFormat="1" applyFont="1" applyFill="1" applyBorder="1" applyAlignment="1">
      <alignment horizontal="center" vertical="center"/>
    </xf>
    <xf numFmtId="3" fontId="5" fillId="10" borderId="120" xfId="0" applyNumberFormat="1" applyFont="1" applyFill="1" applyBorder="1" applyAlignment="1">
      <alignment horizontal="center" vertical="center"/>
    </xf>
    <xf numFmtId="3" fontId="5" fillId="10" borderId="30" xfId="0" applyNumberFormat="1" applyFont="1" applyFill="1" applyBorder="1" applyAlignment="1">
      <alignment horizontal="center" vertical="center"/>
    </xf>
    <xf numFmtId="3" fontId="5" fillId="10" borderId="1" xfId="0" applyNumberFormat="1" applyFont="1" applyFill="1" applyBorder="1" applyAlignment="1">
      <alignment horizontal="center" vertical="center"/>
    </xf>
    <xf numFmtId="3" fontId="5" fillId="10" borderId="108" xfId="0" applyNumberFormat="1" applyFont="1" applyFill="1" applyBorder="1" applyAlignment="1">
      <alignment horizontal="center" vertical="center"/>
    </xf>
    <xf numFmtId="3" fontId="5" fillId="10" borderId="21" xfId="0" applyNumberFormat="1" applyFont="1" applyFill="1" applyBorder="1" applyAlignment="1">
      <alignment horizontal="center" vertical="center"/>
    </xf>
    <xf numFmtId="3" fontId="5" fillId="10" borderId="10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/>
    </xf>
    <xf numFmtId="0" fontId="4" fillId="2" borderId="69" xfId="0" applyFont="1" applyFill="1" applyBorder="1"/>
    <xf numFmtId="0" fontId="4" fillId="2" borderId="84" xfId="0" applyFont="1" applyFill="1" applyBorder="1" applyAlignment="1">
      <alignment horizontal="center" vertical="center"/>
    </xf>
    <xf numFmtId="0" fontId="4" fillId="2" borderId="80" xfId="0" applyFont="1" applyFill="1" applyBorder="1"/>
    <xf numFmtId="0" fontId="4" fillId="2" borderId="81" xfId="0" applyFont="1" applyFill="1" applyBorder="1"/>
    <xf numFmtId="3" fontId="4" fillId="3" borderId="80" xfId="0" applyNumberFormat="1" applyFont="1" applyFill="1" applyBorder="1" applyAlignment="1">
      <alignment horizontal="center" vertical="center"/>
    </xf>
    <xf numFmtId="164" fontId="5" fillId="2" borderId="81" xfId="0" applyNumberFormat="1" applyFont="1" applyFill="1" applyBorder="1" applyAlignment="1">
      <alignment horizontal="center" vertical="center"/>
    </xf>
    <xf numFmtId="3" fontId="4" fillId="3" borderId="19" xfId="0" applyNumberFormat="1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3" fontId="4" fillId="3" borderId="73" xfId="0" applyNumberFormat="1" applyFont="1" applyFill="1" applyBorder="1" applyAlignment="1">
      <alignment horizontal="center" vertical="center"/>
    </xf>
    <xf numFmtId="164" fontId="5" fillId="2" borderId="59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9" borderId="33" xfId="0" applyFont="1" applyFill="1" applyBorder="1" applyAlignment="1">
      <alignment horizontal="left" vertical="center" wrapText="1"/>
    </xf>
    <xf numFmtId="0" fontId="4" fillId="9" borderId="0" xfId="0" applyFont="1" applyFill="1" applyBorder="1" applyAlignment="1">
      <alignment horizontal="left" vertical="center" wrapText="1"/>
    </xf>
    <xf numFmtId="3" fontId="4" fillId="9" borderId="0" xfId="0" applyNumberFormat="1" applyFont="1" applyFill="1" applyBorder="1" applyAlignment="1">
      <alignment horizontal="center" vertical="center" wrapText="1"/>
    </xf>
    <xf numFmtId="3" fontId="4" fillId="9" borderId="0" xfId="0" applyNumberFormat="1" applyFont="1" applyFill="1" applyAlignment="1">
      <alignment horizontal="center"/>
    </xf>
    <xf numFmtId="3" fontId="4" fillId="10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10" borderId="0" xfId="0" applyFont="1" applyFill="1"/>
    <xf numFmtId="0" fontId="4" fillId="9" borderId="0" xfId="0" applyFont="1" applyFill="1"/>
    <xf numFmtId="3" fontId="4" fillId="9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/>
    <xf numFmtId="3" fontId="21" fillId="2" borderId="0" xfId="0" applyNumberFormat="1" applyFont="1" applyFill="1" applyBorder="1"/>
    <xf numFmtId="0" fontId="4" fillId="2" borderId="46" xfId="0" applyFont="1" applyFill="1" applyBorder="1" applyAlignment="1">
      <alignment horizontal="center" vertical="center" wrapText="1"/>
    </xf>
    <xf numFmtId="164" fontId="4" fillId="2" borderId="127" xfId="0" applyNumberFormat="1" applyFont="1" applyFill="1" applyBorder="1" applyAlignment="1">
      <alignment horizontal="center" vertical="center"/>
    </xf>
    <xf numFmtId="164" fontId="4" fillId="2" borderId="77" xfId="0" applyNumberFormat="1" applyFont="1" applyFill="1" applyBorder="1" applyAlignment="1">
      <alignment horizontal="center" vertical="center"/>
    </xf>
    <xf numFmtId="164" fontId="4" fillId="2" borderId="40" xfId="0" applyNumberFormat="1" applyFont="1" applyFill="1" applyBorder="1" applyAlignment="1">
      <alignment horizontal="center" vertical="center"/>
    </xf>
    <xf numFmtId="164" fontId="4" fillId="2" borderId="110" xfId="0" applyNumberFormat="1" applyFont="1" applyFill="1" applyBorder="1" applyAlignment="1">
      <alignment horizontal="center" vertical="center"/>
    </xf>
    <xf numFmtId="164" fontId="4" fillId="2" borderId="49" xfId="0" applyNumberFormat="1" applyFont="1" applyFill="1" applyBorder="1" applyAlignment="1">
      <alignment horizontal="center" vertical="center"/>
    </xf>
    <xf numFmtId="3" fontId="4" fillId="3" borderId="128" xfId="0" applyNumberFormat="1" applyFont="1" applyFill="1" applyBorder="1" applyAlignment="1">
      <alignment horizontal="center" vertical="center"/>
    </xf>
    <xf numFmtId="0" fontId="0" fillId="2" borderId="89" xfId="0" applyFill="1" applyBorder="1"/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wrapText="1"/>
    </xf>
    <xf numFmtId="0" fontId="4" fillId="3" borderId="69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3" fontId="0" fillId="2" borderId="0" xfId="0" applyNumberFormat="1" applyFont="1" applyFill="1" applyAlignment="1">
      <alignment horizontal="center" vertical="center"/>
    </xf>
    <xf numFmtId="0" fontId="14" fillId="2" borderId="55" xfId="0" applyFont="1" applyFill="1" applyBorder="1" applyAlignment="1">
      <alignment horizontal="left" vertical="center"/>
    </xf>
    <xf numFmtId="0" fontId="26" fillId="3" borderId="70" xfId="0" applyFont="1" applyFill="1" applyBorder="1" applyAlignment="1">
      <alignment vertical="center"/>
    </xf>
    <xf numFmtId="0" fontId="16" fillId="2" borderId="34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16" fontId="16" fillId="2" borderId="18" xfId="0" applyNumberFormat="1" applyFont="1" applyFill="1" applyBorder="1" applyAlignment="1">
      <alignment horizontal="left" vertical="center"/>
    </xf>
    <xf numFmtId="0" fontId="16" fillId="2" borderId="33" xfId="0" applyFont="1" applyFill="1" applyBorder="1" applyAlignment="1">
      <alignment horizontal="left" vertical="center"/>
    </xf>
    <xf numFmtId="0" fontId="16" fillId="2" borderId="60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28" fillId="3" borderId="15" xfId="0" applyFont="1" applyFill="1" applyBorder="1" applyAlignment="1">
      <alignment horizontal="left" vertical="center" wrapText="1"/>
    </xf>
    <xf numFmtId="0" fontId="28" fillId="3" borderId="70" xfId="0" applyFont="1" applyFill="1" applyBorder="1" applyAlignment="1">
      <alignment horizontal="left" vertical="center" wrapText="1"/>
    </xf>
    <xf numFmtId="0" fontId="28" fillId="3" borderId="79" xfId="0" applyFont="1" applyFill="1" applyBorder="1" applyAlignment="1">
      <alignment horizontal="left" vertical="center"/>
    </xf>
    <xf numFmtId="3" fontId="21" fillId="2" borderId="0" xfId="0" applyNumberFormat="1" applyFont="1" applyFill="1"/>
    <xf numFmtId="0" fontId="14" fillId="3" borderId="69" xfId="0" applyFont="1" applyFill="1" applyBorder="1" applyAlignment="1">
      <alignment horizontal="left" vertical="center" wrapText="1"/>
    </xf>
    <xf numFmtId="3" fontId="4" fillId="2" borderId="34" xfId="0" applyNumberFormat="1" applyFont="1" applyFill="1" applyBorder="1" applyAlignment="1">
      <alignment horizontal="left" vertical="center"/>
    </xf>
    <xf numFmtId="3" fontId="4" fillId="2" borderId="18" xfId="0" applyNumberFormat="1" applyFont="1" applyFill="1" applyBorder="1" applyAlignment="1">
      <alignment horizontal="left" vertical="center"/>
    </xf>
    <xf numFmtId="3" fontId="4" fillId="2" borderId="63" xfId="0" applyNumberFormat="1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left" vertical="center"/>
    </xf>
    <xf numFmtId="3" fontId="4" fillId="2" borderId="28" xfId="0" applyNumberFormat="1" applyFont="1" applyFill="1" applyBorder="1" applyAlignment="1">
      <alignment horizontal="center" vertical="center"/>
    </xf>
    <xf numFmtId="165" fontId="4" fillId="2" borderId="40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2" fontId="29" fillId="3" borderId="22" xfId="0" applyNumberFormat="1" applyFont="1" applyFill="1" applyBorder="1" applyAlignment="1">
      <alignment horizontal="center" vertical="center" wrapText="1"/>
    </xf>
    <xf numFmtId="166" fontId="29" fillId="3" borderId="23" xfId="2" applyNumberFormat="1" applyFont="1" applyFill="1" applyBorder="1" applyAlignment="1">
      <alignment horizontal="center" vertical="center" wrapText="1"/>
    </xf>
    <xf numFmtId="2" fontId="7" fillId="3" borderId="23" xfId="0" applyNumberFormat="1" applyFont="1" applyFill="1" applyBorder="1" applyAlignment="1">
      <alignment horizontal="center" vertical="center" wrapText="1"/>
    </xf>
    <xf numFmtId="0" fontId="7" fillId="2" borderId="103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89" xfId="0" applyFont="1" applyFill="1" applyBorder="1" applyAlignment="1">
      <alignment wrapText="1"/>
    </xf>
    <xf numFmtId="0" fontId="7" fillId="3" borderId="9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22" fillId="3" borderId="40" xfId="4" quotePrefix="1" applyFont="1" applyFill="1" applyBorder="1" applyAlignment="1">
      <alignment horizontal="left" vertical="center" wrapText="1"/>
    </xf>
    <xf numFmtId="0" fontId="22" fillId="0" borderId="40" xfId="4" quotePrefix="1" applyFont="1" applyBorder="1" applyAlignment="1">
      <alignment horizontal="left" vertical="center" wrapText="1"/>
    </xf>
    <xf numFmtId="2" fontId="29" fillId="2" borderId="61" xfId="0" applyNumberFormat="1" applyFont="1" applyFill="1" applyBorder="1" applyAlignment="1">
      <alignment horizontal="left" vertical="center" wrapText="1"/>
    </xf>
    <xf numFmtId="3" fontId="29" fillId="2" borderId="76" xfId="0" applyNumberFormat="1" applyFont="1" applyFill="1" applyBorder="1" applyAlignment="1">
      <alignment horizontal="center" vertical="center" wrapText="1"/>
    </xf>
    <xf numFmtId="3" fontId="29" fillId="2" borderId="75" xfId="0" applyNumberFormat="1" applyFont="1" applyFill="1" applyBorder="1" applyAlignment="1">
      <alignment horizontal="center" vertical="center"/>
    </xf>
    <xf numFmtId="3" fontId="29" fillId="2" borderId="62" xfId="0" applyNumberFormat="1" applyFont="1" applyFill="1" applyBorder="1" applyAlignment="1">
      <alignment horizontal="center" vertical="center" wrapText="1"/>
    </xf>
    <xf numFmtId="2" fontId="29" fillId="2" borderId="7" xfId="0" applyNumberFormat="1" applyFont="1" applyFill="1" applyBorder="1" applyAlignment="1">
      <alignment horizontal="left" vertical="center" wrapText="1"/>
    </xf>
    <xf numFmtId="3" fontId="29" fillId="2" borderId="35" xfId="0" applyNumberFormat="1" applyFont="1" applyFill="1" applyBorder="1" applyAlignment="1">
      <alignment horizontal="center" vertical="center" wrapText="1"/>
    </xf>
    <xf numFmtId="3" fontId="29" fillId="2" borderId="2" xfId="0" applyNumberFormat="1" applyFont="1" applyFill="1" applyBorder="1" applyAlignment="1">
      <alignment horizontal="center" vertical="center"/>
    </xf>
    <xf numFmtId="3" fontId="29" fillId="2" borderId="8" xfId="0" applyNumberFormat="1" applyFont="1" applyFill="1" applyBorder="1" applyAlignment="1">
      <alignment horizontal="center" vertical="center" wrapText="1"/>
    </xf>
    <xf numFmtId="2" fontId="29" fillId="2" borderId="9" xfId="0" applyNumberFormat="1" applyFont="1" applyFill="1" applyBorder="1" applyAlignment="1">
      <alignment horizontal="left" vertical="center" wrapText="1"/>
    </xf>
    <xf numFmtId="3" fontId="29" fillId="2" borderId="1" xfId="0" applyNumberFormat="1" applyFont="1" applyFill="1" applyBorder="1" applyAlignment="1">
      <alignment horizontal="center" vertical="center"/>
    </xf>
    <xf numFmtId="3" fontId="29" fillId="2" borderId="10" xfId="0" applyNumberFormat="1" applyFont="1" applyFill="1" applyBorder="1" applyAlignment="1">
      <alignment horizontal="center" vertical="center" wrapText="1"/>
    </xf>
    <xf numFmtId="0" fontId="22" fillId="3" borderId="40" xfId="5" quotePrefix="1" applyFont="1" applyFill="1" applyBorder="1" applyAlignment="1">
      <alignment horizontal="left" vertical="center" wrapText="1"/>
    </xf>
    <xf numFmtId="0" fontId="22" fillId="3" borderId="40" xfId="6" quotePrefix="1" applyFont="1" applyFill="1" applyBorder="1" applyAlignment="1">
      <alignment horizontal="left" vertical="center" wrapText="1"/>
    </xf>
    <xf numFmtId="0" fontId="22" fillId="3" borderId="130" xfId="4" quotePrefix="1" applyFont="1" applyFill="1" applyBorder="1" applyAlignment="1">
      <alignment horizontal="left" vertical="center" wrapText="1"/>
    </xf>
    <xf numFmtId="3" fontId="29" fillId="2" borderId="10" xfId="0" quotePrefix="1" applyNumberFormat="1" applyFont="1" applyFill="1" applyBorder="1" applyAlignment="1">
      <alignment horizontal="center" vertical="center" wrapText="1"/>
    </xf>
    <xf numFmtId="2" fontId="29" fillId="2" borderId="11" xfId="0" applyNumberFormat="1" applyFont="1" applyFill="1" applyBorder="1" applyAlignment="1">
      <alignment horizontal="left" vertical="center" wrapText="1"/>
    </xf>
    <xf numFmtId="3" fontId="29" fillId="2" borderId="12" xfId="0" applyNumberFormat="1" applyFont="1" applyFill="1" applyBorder="1" applyAlignment="1">
      <alignment horizontal="center" vertical="center"/>
    </xf>
    <xf numFmtId="3" fontId="29" fillId="2" borderId="13" xfId="0" applyNumberFormat="1" applyFont="1" applyFill="1" applyBorder="1" applyAlignment="1">
      <alignment horizontal="center" vertical="center" wrapText="1"/>
    </xf>
    <xf numFmtId="3" fontId="7" fillId="2" borderId="1" xfId="0" quotePrefix="1" applyNumberFormat="1" applyFont="1" applyFill="1" applyBorder="1" applyAlignment="1">
      <alignment horizontal="center" vertical="center"/>
    </xf>
    <xf numFmtId="0" fontId="22" fillId="0" borderId="1" xfId="4" quotePrefix="1" applyFont="1" applyBorder="1" applyAlignment="1">
      <alignment horizontal="center" vertical="center" wrapText="1"/>
    </xf>
    <xf numFmtId="0" fontId="22" fillId="0" borderId="1" xfId="6" quotePrefix="1" applyFont="1" applyBorder="1" applyAlignment="1">
      <alignment horizontal="center" vertical="center" wrapText="1"/>
    </xf>
    <xf numFmtId="0" fontId="22" fillId="0" borderId="1" xfId="6" quotePrefix="1" applyFont="1" applyBorder="1" applyAlignment="1">
      <alignment horizontal="left" vertical="center" wrapText="1"/>
    </xf>
    <xf numFmtId="3" fontId="7" fillId="11" borderId="1" xfId="0" applyNumberFormat="1" applyFont="1" applyFill="1" applyBorder="1" applyAlignment="1">
      <alignment horizontal="center" vertical="center"/>
    </xf>
    <xf numFmtId="3" fontId="7" fillId="9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3" fontId="29" fillId="2" borderId="30" xfId="0" applyNumberFormat="1" applyFont="1" applyFill="1" applyBorder="1" applyAlignment="1">
      <alignment horizontal="center" vertical="center" wrapText="1"/>
    </xf>
    <xf numFmtId="3" fontId="29" fillId="2" borderId="3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/>
    <xf numFmtId="0" fontId="7" fillId="3" borderId="103" xfId="0" applyFont="1" applyFill="1" applyBorder="1"/>
    <xf numFmtId="0" fontId="7" fillId="2" borderId="0" xfId="0" applyFont="1" applyFill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3" fontId="9" fillId="2" borderId="97" xfId="0" applyNumberFormat="1" applyFont="1" applyFill="1" applyBorder="1" applyAlignment="1">
      <alignment horizontal="center" vertical="center" wrapText="1"/>
    </xf>
    <xf numFmtId="165" fontId="30" fillId="2" borderId="23" xfId="0" applyNumberFormat="1" applyFont="1" applyFill="1" applyBorder="1" applyAlignment="1">
      <alignment horizontal="center" vertical="center" wrapText="1"/>
    </xf>
    <xf numFmtId="3" fontId="30" fillId="2" borderId="24" xfId="0" applyNumberFormat="1" applyFont="1" applyFill="1" applyBorder="1" applyAlignment="1">
      <alignment horizontal="center" vertical="center" wrapText="1"/>
    </xf>
    <xf numFmtId="165" fontId="29" fillId="2" borderId="2" xfId="0" applyNumberFormat="1" applyFont="1" applyFill="1" applyBorder="1" applyAlignment="1">
      <alignment horizontal="center" vertical="center" wrapText="1"/>
    </xf>
    <xf numFmtId="165" fontId="29" fillId="2" borderId="1" xfId="0" applyNumberFormat="1" applyFont="1" applyFill="1" applyBorder="1" applyAlignment="1">
      <alignment horizontal="center" vertical="center" wrapText="1"/>
    </xf>
    <xf numFmtId="165" fontId="29" fillId="2" borderId="12" xfId="0" applyNumberFormat="1" applyFont="1" applyFill="1" applyBorder="1" applyAlignment="1">
      <alignment horizontal="center" vertical="center" wrapText="1"/>
    </xf>
    <xf numFmtId="165" fontId="29" fillId="2" borderId="75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/>
    </xf>
    <xf numFmtId="2" fontId="31" fillId="3" borderId="64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2" fontId="4" fillId="3" borderId="86" xfId="0" applyNumberFormat="1" applyFont="1" applyFill="1" applyBorder="1" applyAlignment="1">
      <alignment horizontal="center" vertical="center" wrapText="1"/>
    </xf>
    <xf numFmtId="2" fontId="4" fillId="3" borderId="65" xfId="0" applyNumberFormat="1" applyFont="1" applyFill="1" applyBorder="1" applyAlignment="1">
      <alignment horizontal="center" vertical="center" wrapText="1"/>
    </xf>
    <xf numFmtId="2" fontId="4" fillId="3" borderId="26" xfId="0" applyNumberFormat="1" applyFont="1" applyFill="1" applyBorder="1" applyAlignment="1">
      <alignment horizontal="center" vertical="center" wrapText="1"/>
    </xf>
    <xf numFmtId="3" fontId="4" fillId="2" borderId="46" xfId="0" applyNumberFormat="1" applyFont="1" applyFill="1" applyBorder="1" applyAlignment="1">
      <alignment horizontal="center" vertical="center"/>
    </xf>
    <xf numFmtId="3" fontId="4" fillId="2" borderId="52" xfId="0" applyNumberFormat="1" applyFont="1" applyFill="1" applyBorder="1" applyAlignment="1">
      <alignment horizontal="center" vertical="center"/>
    </xf>
    <xf numFmtId="2" fontId="4" fillId="3" borderId="27" xfId="0" applyNumberFormat="1" applyFont="1" applyFill="1" applyBorder="1" applyAlignment="1">
      <alignment wrapText="1"/>
    </xf>
    <xf numFmtId="3" fontId="4" fillId="2" borderId="40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2" fontId="4" fillId="3" borderId="32" xfId="0" applyNumberFormat="1" applyFont="1" applyFill="1" applyBorder="1" applyAlignment="1">
      <alignment horizontal="left" vertical="center" wrapText="1"/>
    </xf>
    <xf numFmtId="2" fontId="4" fillId="3" borderId="85" xfId="0" applyNumberFormat="1" applyFont="1" applyFill="1" applyBorder="1" applyAlignment="1">
      <alignment horizontal="center" vertical="center" wrapText="1"/>
    </xf>
    <xf numFmtId="3" fontId="4" fillId="2" borderId="53" xfId="0" quotePrefix="1" applyNumberFormat="1" applyFont="1" applyFill="1" applyBorder="1" applyAlignment="1">
      <alignment horizontal="center" vertical="center"/>
    </xf>
    <xf numFmtId="3" fontId="4" fillId="2" borderId="2" xfId="0" quotePrefix="1" applyNumberFormat="1" applyFont="1" applyFill="1" applyBorder="1" applyAlignment="1">
      <alignment horizontal="center" vertical="center"/>
    </xf>
    <xf numFmtId="3" fontId="4" fillId="2" borderId="35" xfId="0" quotePrefix="1" applyNumberFormat="1" applyFont="1" applyFill="1" applyBorder="1" applyAlignment="1">
      <alignment horizontal="center" vertical="center"/>
    </xf>
    <xf numFmtId="165" fontId="4" fillId="2" borderId="8" xfId="0" quotePrefix="1" applyNumberFormat="1" applyFont="1" applyFill="1" applyBorder="1" applyAlignment="1">
      <alignment horizontal="center" vertical="center"/>
    </xf>
    <xf numFmtId="3" fontId="4" fillId="2" borderId="1" xfId="0" quotePrefix="1" applyNumberFormat="1" applyFont="1" applyFill="1" applyBorder="1" applyAlignment="1">
      <alignment horizontal="center" vertical="center"/>
    </xf>
    <xf numFmtId="3" fontId="4" fillId="9" borderId="30" xfId="0" applyNumberFormat="1" applyFont="1" applyFill="1" applyBorder="1" applyAlignment="1">
      <alignment horizontal="center" vertical="center"/>
    </xf>
    <xf numFmtId="3" fontId="4" fillId="12" borderId="1" xfId="0" applyNumberFormat="1" applyFont="1" applyFill="1" applyBorder="1" applyAlignment="1">
      <alignment horizontal="center" vertical="center"/>
    </xf>
    <xf numFmtId="165" fontId="4" fillId="12" borderId="1" xfId="0" applyNumberFormat="1" applyFont="1" applyFill="1" applyBorder="1" applyAlignment="1">
      <alignment horizontal="center" vertical="center"/>
    </xf>
    <xf numFmtId="3" fontId="4" fillId="12" borderId="9" xfId="0" applyNumberFormat="1" applyFont="1" applyFill="1" applyBorder="1" applyAlignment="1">
      <alignment horizontal="center" vertical="center"/>
    </xf>
    <xf numFmtId="3" fontId="4" fillId="12" borderId="18" xfId="0" applyNumberFormat="1" applyFont="1" applyFill="1" applyBorder="1" applyAlignment="1">
      <alignment horizontal="left" vertical="center"/>
    </xf>
    <xf numFmtId="165" fontId="4" fillId="2" borderId="6" xfId="0" applyNumberFormat="1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2" fontId="15" fillId="2" borderId="9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6" fillId="2" borderId="0" xfId="0" applyFont="1" applyFill="1" applyBorder="1" applyAlignment="1">
      <alignment vertical="center" wrapText="1"/>
    </xf>
    <xf numFmtId="3" fontId="16" fillId="2" borderId="0" xfId="0" applyNumberFormat="1" applyFont="1" applyFill="1" applyBorder="1" applyAlignment="1">
      <alignment vertical="center" wrapText="1"/>
    </xf>
    <xf numFmtId="0" fontId="16" fillId="9" borderId="0" xfId="0" applyFont="1" applyFill="1" applyBorder="1" applyAlignment="1">
      <alignment horizontal="left" vertical="center" wrapText="1"/>
    </xf>
    <xf numFmtId="3" fontId="16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center" vertical="center"/>
    </xf>
    <xf numFmtId="3" fontId="16" fillId="10" borderId="0" xfId="0" applyNumberFormat="1" applyFont="1" applyFill="1" applyAlignment="1">
      <alignment horizontal="center"/>
    </xf>
    <xf numFmtId="3" fontId="16" fillId="9" borderId="0" xfId="0" applyNumberFormat="1" applyFont="1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0" fillId="2" borderId="129" xfId="0" applyFill="1" applyBorder="1"/>
    <xf numFmtId="0" fontId="1" fillId="2" borderId="0" xfId="0" applyFont="1" applyFill="1" applyAlignment="1">
      <alignment horizontal="center" vertical="center"/>
    </xf>
    <xf numFmtId="165" fontId="4" fillId="9" borderId="10" xfId="0" applyNumberFormat="1" applyFont="1" applyFill="1" applyBorder="1" applyAlignment="1">
      <alignment horizontal="center" vertical="center"/>
    </xf>
    <xf numFmtId="165" fontId="4" fillId="9" borderId="13" xfId="0" applyNumberFormat="1" applyFont="1" applyFill="1" applyBorder="1" applyAlignment="1">
      <alignment horizontal="center" vertical="center"/>
    </xf>
    <xf numFmtId="165" fontId="4" fillId="9" borderId="62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3" fontId="5" fillId="10" borderId="20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16" fontId="4" fillId="2" borderId="0" xfId="0" applyNumberFormat="1" applyFont="1" applyFill="1" applyBorder="1" applyAlignment="1">
      <alignment horizontal="left" vertical="center" wrapText="1"/>
    </xf>
    <xf numFmtId="0" fontId="14" fillId="10" borderId="0" xfId="0" applyFont="1" applyFill="1" applyBorder="1" applyAlignment="1">
      <alignment horizontal="left" vertical="center" wrapText="1"/>
    </xf>
    <xf numFmtId="3" fontId="21" fillId="2" borderId="0" xfId="0" applyNumberFormat="1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164" fontId="21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3" fontId="4" fillId="2" borderId="13" xfId="0" quotePrefix="1" applyNumberFormat="1" applyFont="1" applyFill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10" fillId="13" borderId="86" xfId="0" applyFont="1" applyFill="1" applyBorder="1" applyAlignment="1">
      <alignment vertical="center" wrapText="1"/>
    </xf>
    <xf numFmtId="0" fontId="10" fillId="13" borderId="26" xfId="0" applyFont="1" applyFill="1" applyBorder="1" applyAlignment="1">
      <alignment horizontal="center" vertical="center" wrapText="1"/>
    </xf>
    <xf numFmtId="164" fontId="10" fillId="13" borderId="27" xfId="0" applyNumberFormat="1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vertical="center" wrapText="1"/>
    </xf>
    <xf numFmtId="0" fontId="10" fillId="13" borderId="1" xfId="0" applyFont="1" applyFill="1" applyBorder="1" applyAlignment="1">
      <alignment horizontal="center" vertical="center" wrapText="1"/>
    </xf>
    <xf numFmtId="3" fontId="10" fillId="13" borderId="1" xfId="0" applyNumberFormat="1" applyFont="1" applyFill="1" applyBorder="1" applyAlignment="1">
      <alignment horizontal="center" vertical="center" wrapText="1"/>
    </xf>
    <xf numFmtId="164" fontId="10" fillId="13" borderId="10" xfId="0" applyNumberFormat="1" applyFont="1" applyFill="1" applyBorder="1" applyAlignment="1">
      <alignment horizontal="center" vertical="center" wrapText="1"/>
    </xf>
    <xf numFmtId="2" fontId="10" fillId="13" borderId="10" xfId="0" applyNumberFormat="1" applyFont="1" applyFill="1" applyBorder="1" applyAlignment="1">
      <alignment horizontal="center" vertical="center" wrapText="1"/>
    </xf>
    <xf numFmtId="3" fontId="10" fillId="13" borderId="26" xfId="0" applyNumberFormat="1" applyFont="1" applyFill="1" applyBorder="1" applyAlignment="1">
      <alignment horizontal="center" vertical="center" wrapText="1"/>
    </xf>
    <xf numFmtId="0" fontId="10" fillId="13" borderId="51" xfId="0" applyFont="1" applyFill="1" applyBorder="1" applyAlignment="1">
      <alignment vertical="center" wrapText="1"/>
    </xf>
    <xf numFmtId="0" fontId="10" fillId="13" borderId="40" xfId="0" applyFont="1" applyFill="1" applyBorder="1" applyAlignment="1">
      <alignment horizontal="center" vertical="center" wrapText="1"/>
    </xf>
    <xf numFmtId="3" fontId="10" fillId="13" borderId="40" xfId="0" applyNumberFormat="1" applyFont="1" applyFill="1" applyBorder="1" applyAlignment="1">
      <alignment horizontal="center" vertical="center" wrapText="1"/>
    </xf>
    <xf numFmtId="164" fontId="10" fillId="13" borderId="49" xfId="0" applyNumberFormat="1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vertical="center" wrapText="1"/>
    </xf>
    <xf numFmtId="0" fontId="9" fillId="14" borderId="5" xfId="0" applyFont="1" applyFill="1" applyBorder="1" applyAlignment="1">
      <alignment horizontal="center" vertical="center" wrapText="1"/>
    </xf>
    <xf numFmtId="3" fontId="9" fillId="14" borderId="5" xfId="0" applyNumberFormat="1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165" fontId="16" fillId="2" borderId="0" xfId="0" applyNumberFormat="1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left" vertical="center"/>
    </xf>
    <xf numFmtId="164" fontId="4" fillId="2" borderId="131" xfId="0" applyNumberFormat="1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4" fillId="2" borderId="89" xfId="0" applyFont="1" applyFill="1" applyBorder="1" applyAlignment="1">
      <alignment horizontal="left" vertical="center" wrapText="1"/>
    </xf>
    <xf numFmtId="3" fontId="4" fillId="10" borderId="45" xfId="0" applyNumberFormat="1" applyFont="1" applyFill="1" applyBorder="1" applyAlignment="1">
      <alignment horizontal="center" vertical="center"/>
    </xf>
    <xf numFmtId="164" fontId="4" fillId="2" borderId="74" xfId="0" applyNumberFormat="1" applyFont="1" applyFill="1" applyBorder="1" applyAlignment="1">
      <alignment horizontal="center" vertical="center"/>
    </xf>
    <xf numFmtId="3" fontId="4" fillId="3" borderId="112" xfId="0" applyNumberFormat="1" applyFont="1" applyFill="1" applyBorder="1" applyAlignment="1">
      <alignment horizontal="center" vertical="center"/>
    </xf>
    <xf numFmtId="3" fontId="4" fillId="10" borderId="132" xfId="0" applyNumberFormat="1" applyFont="1" applyFill="1" applyBorder="1" applyAlignment="1">
      <alignment horizontal="center" vertical="center"/>
    </xf>
    <xf numFmtId="3" fontId="4" fillId="3" borderId="133" xfId="0" applyNumberFormat="1" applyFont="1" applyFill="1" applyBorder="1" applyAlignment="1">
      <alignment horizontal="center" vertical="center"/>
    </xf>
    <xf numFmtId="164" fontId="4" fillId="2" borderId="132" xfId="0" applyNumberFormat="1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8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left" vertical="center" wrapText="1"/>
    </xf>
    <xf numFmtId="0" fontId="14" fillId="2" borderId="57" xfId="0" applyFont="1" applyFill="1" applyBorder="1" applyAlignment="1">
      <alignment horizontal="left" vertical="center" wrapText="1"/>
    </xf>
    <xf numFmtId="0" fontId="14" fillId="2" borderId="56" xfId="0" applyFont="1" applyFill="1" applyBorder="1" applyAlignment="1">
      <alignment horizontal="left" vertical="center" wrapText="1"/>
    </xf>
    <xf numFmtId="0" fontId="4" fillId="3" borderId="67" xfId="0" applyFont="1" applyFill="1" applyBorder="1" applyAlignment="1">
      <alignment horizontal="center" vertical="center"/>
    </xf>
    <xf numFmtId="14" fontId="4" fillId="3" borderId="86" xfId="0" applyNumberFormat="1" applyFont="1" applyFill="1" applyBorder="1" applyAlignment="1">
      <alignment horizontal="center" vertical="center" wrapText="1"/>
    </xf>
    <xf numFmtId="14" fontId="4" fillId="3" borderId="27" xfId="0" applyNumberFormat="1" applyFont="1" applyFill="1" applyBorder="1" applyAlignment="1">
      <alignment horizontal="center" vertical="center" wrapText="1"/>
    </xf>
    <xf numFmtId="0" fontId="4" fillId="3" borderId="9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4" fontId="4" fillId="3" borderId="55" xfId="0" applyNumberFormat="1" applyFont="1" applyFill="1" applyBorder="1" applyAlignment="1">
      <alignment horizontal="center" vertical="center"/>
    </xf>
    <xf numFmtId="14" fontId="4" fillId="3" borderId="56" xfId="0" applyNumberFormat="1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16" fillId="3" borderId="65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24" fillId="3" borderId="76" xfId="0" applyFont="1" applyFill="1" applyBorder="1" applyAlignment="1">
      <alignment horizontal="left" vertical="center" wrapText="1"/>
    </xf>
    <xf numFmtId="0" fontId="24" fillId="3" borderId="30" xfId="0" applyFont="1" applyFill="1" applyBorder="1" applyAlignment="1">
      <alignment horizontal="left" vertical="center" wrapText="1"/>
    </xf>
    <xf numFmtId="0" fontId="14" fillId="10" borderId="30" xfId="0" applyFont="1" applyFill="1" applyBorder="1" applyAlignment="1">
      <alignment horizontal="left" vertical="center" wrapText="1"/>
    </xf>
    <xf numFmtId="0" fontId="14" fillId="10" borderId="102" xfId="0" applyFont="1" applyFill="1" applyBorder="1" applyAlignment="1">
      <alignment horizontal="left" vertical="center" wrapText="1"/>
    </xf>
    <xf numFmtId="0" fontId="27" fillId="2" borderId="89" xfId="0" applyFont="1" applyFill="1" applyBorder="1" applyAlignment="1">
      <alignment horizontal="left" vertical="center" wrapText="1"/>
    </xf>
    <xf numFmtId="0" fontId="27" fillId="2" borderId="50" xfId="0" applyFont="1" applyFill="1" applyBorder="1" applyAlignment="1">
      <alignment horizontal="left" vertical="center" wrapText="1"/>
    </xf>
    <xf numFmtId="0" fontId="4" fillId="2" borderId="109" xfId="0" applyFont="1" applyFill="1" applyBorder="1" applyAlignment="1">
      <alignment horizontal="left" vertical="center" wrapText="1"/>
    </xf>
    <xf numFmtId="0" fontId="4" fillId="2" borderId="108" xfId="0" applyFont="1" applyFill="1" applyBorder="1" applyAlignment="1">
      <alignment horizontal="left" vertical="center" wrapText="1"/>
    </xf>
    <xf numFmtId="0" fontId="24" fillId="3" borderId="35" xfId="0" applyFont="1" applyFill="1" applyBorder="1" applyAlignment="1">
      <alignment horizontal="left" vertical="center" wrapText="1"/>
    </xf>
    <xf numFmtId="16" fontId="4" fillId="2" borderId="108" xfId="0" applyNumberFormat="1" applyFont="1" applyFill="1" applyBorder="1" applyAlignment="1">
      <alignment horizontal="left" vertical="center" wrapText="1"/>
    </xf>
    <xf numFmtId="16" fontId="4" fillId="2" borderId="106" xfId="0" applyNumberFormat="1" applyFont="1" applyFill="1" applyBorder="1" applyAlignment="1">
      <alignment horizontal="left" vertical="center" wrapText="1"/>
    </xf>
    <xf numFmtId="0" fontId="14" fillId="10" borderId="31" xfId="0" applyFont="1" applyFill="1" applyBorder="1" applyAlignment="1">
      <alignment horizontal="left"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16" fontId="4" fillId="2" borderId="109" xfId="0" applyNumberFormat="1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left" vertical="center" wrapText="1"/>
    </xf>
    <xf numFmtId="0" fontId="4" fillId="2" borderId="107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8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14" fillId="10" borderId="77" xfId="0" applyFont="1" applyFill="1" applyBorder="1" applyAlignment="1">
      <alignment horizontal="left" vertical="center" wrapText="1"/>
    </xf>
    <xf numFmtId="16" fontId="4" fillId="2" borderId="110" xfId="0" applyNumberFormat="1" applyFont="1" applyFill="1" applyBorder="1" applyAlignment="1">
      <alignment horizontal="left" vertical="center" wrapText="1"/>
    </xf>
    <xf numFmtId="16" fontId="4" fillId="2" borderId="113" xfId="0" applyNumberFormat="1" applyFont="1" applyFill="1" applyBorder="1" applyAlignment="1">
      <alignment horizontal="left" vertical="center" wrapText="1"/>
    </xf>
    <xf numFmtId="14" fontId="4" fillId="3" borderId="41" xfId="0" applyNumberFormat="1" applyFont="1" applyFill="1" applyBorder="1" applyAlignment="1">
      <alignment horizontal="center" vertical="center" wrapText="1"/>
    </xf>
    <xf numFmtId="14" fontId="4" fillId="3" borderId="43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8" fillId="3" borderId="65" xfId="0" applyFont="1" applyFill="1" applyBorder="1" applyAlignment="1">
      <alignment horizontal="center" vertical="center"/>
    </xf>
    <xf numFmtId="0" fontId="18" fillId="3" borderId="66" xfId="0" applyFont="1" applyFill="1" applyBorder="1" applyAlignment="1">
      <alignment horizontal="center" vertical="center"/>
    </xf>
    <xf numFmtId="0" fontId="18" fillId="3" borderId="68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4" fillId="2" borderId="129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86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9" xfId="0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6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2" borderId="0" xfId="0" applyFont="1" applyFill="1" applyAlignment="1">
      <alignment horizontal="left" wrapText="1"/>
    </xf>
    <xf numFmtId="2" fontId="29" fillId="3" borderId="23" xfId="0" applyNumberFormat="1" applyFont="1" applyFill="1" applyBorder="1" applyAlignment="1">
      <alignment horizontal="center" vertical="center" wrapText="1"/>
    </xf>
    <xf numFmtId="2" fontId="29" fillId="3" borderId="38" xfId="0" applyNumberFormat="1" applyFont="1" applyFill="1" applyBorder="1" applyAlignment="1">
      <alignment horizontal="center" vertical="center" wrapText="1"/>
    </xf>
    <xf numFmtId="2" fontId="29" fillId="3" borderId="24" xfId="0" applyNumberFormat="1" applyFont="1" applyFill="1" applyBorder="1" applyAlignment="1">
      <alignment horizontal="center" vertical="center" wrapText="1"/>
    </xf>
    <xf numFmtId="2" fontId="29" fillId="3" borderId="39" xfId="0" applyNumberFormat="1" applyFont="1" applyFill="1" applyBorder="1" applyAlignment="1">
      <alignment horizontal="center" vertical="center" wrapText="1"/>
    </xf>
    <xf numFmtId="0" fontId="22" fillId="0" borderId="22" xfId="4" quotePrefix="1" applyBorder="1" applyAlignment="1">
      <alignment horizontal="left" vertical="center" wrapText="1"/>
    </xf>
    <xf numFmtId="0" fontId="0" fillId="0" borderId="50" xfId="0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2" fontId="8" fillId="3" borderId="23" xfId="0" applyNumberFormat="1" applyFont="1" applyFill="1" applyBorder="1" applyAlignment="1">
      <alignment horizontal="center" vertical="center" wrapText="1"/>
    </xf>
    <xf numFmtId="2" fontId="8" fillId="3" borderId="38" xfId="0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left" vertical="center" wrapText="1"/>
    </xf>
    <xf numFmtId="0" fontId="2" fillId="0" borderId="22" xfId="5" quotePrefix="1" applyBorder="1" applyAlignment="1">
      <alignment horizontal="left" vertical="center" wrapText="1"/>
    </xf>
    <xf numFmtId="0" fontId="22" fillId="0" borderId="22" xfId="6" quotePrefix="1" applyBorder="1" applyAlignment="1">
      <alignment horizontal="left" vertical="center" wrapText="1"/>
    </xf>
    <xf numFmtId="0" fontId="22" fillId="0" borderId="89" xfId="6" quotePrefix="1" applyBorder="1" applyAlignment="1">
      <alignment horizontal="left" vertical="center" wrapText="1"/>
    </xf>
    <xf numFmtId="0" fontId="8" fillId="14" borderId="22" xfId="0" applyFont="1" applyFill="1" applyBorder="1" applyAlignment="1">
      <alignment horizontal="center" vertical="center" wrapText="1"/>
    </xf>
    <xf numFmtId="0" fontId="4" fillId="14" borderId="50" xfId="0" applyFont="1" applyFill="1" applyBorder="1"/>
    <xf numFmtId="0" fontId="8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/>
    <xf numFmtId="0" fontId="8" fillId="3" borderId="85" xfId="0" applyFont="1" applyFill="1" applyBorder="1" applyAlignment="1">
      <alignment horizontal="center" vertical="center" wrapText="1"/>
    </xf>
    <xf numFmtId="0" fontId="4" fillId="3" borderId="29" xfId="0" applyFont="1" applyFill="1" applyBorder="1"/>
    <xf numFmtId="0" fontId="8" fillId="3" borderId="64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/>
    <xf numFmtId="0" fontId="4" fillId="2" borderId="0" xfId="0" applyFont="1" applyFill="1" applyBorder="1" applyAlignment="1"/>
    <xf numFmtId="0" fontId="4" fillId="3" borderId="8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9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8">
    <cellStyle name="Dziesiętny" xfId="2" builtinId="3"/>
    <cellStyle name="Normalny" xfId="0" builtinId="0"/>
    <cellStyle name="Procentowy" xfId="3" builtinId="5"/>
    <cellStyle name="S10" xfId="5"/>
    <cellStyle name="S11" xfId="6"/>
    <cellStyle name="S14" xfId="7"/>
    <cellStyle name="S6" xfId="1"/>
    <cellStyle name="S8" xfId="4"/>
  </cellStyles>
  <dxfs count="0"/>
  <tableStyles count="0" defaultTableStyle="TableStyleMedium2" defaultPivotStyle="PivotStyleLight16"/>
  <colors>
    <mruColors>
      <color rgb="FFE4DFEC"/>
      <color rgb="FFF5F3F7"/>
      <color rgb="FFEDEAF2"/>
      <color rgb="FFEAEAEA"/>
      <color rgb="FFEBE7F1"/>
      <color rgb="FFFEFDE3"/>
      <color rgb="FF0033CC"/>
      <color rgb="FFFFFFCC"/>
      <color rgb="FFEBE6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87017307030593E-2"/>
          <c:y val="2.4211122969993271E-2"/>
          <c:w val="0.7904078694015485"/>
          <c:h val="0.91438952164756115"/>
        </c:manualLayout>
      </c:layout>
      <c:lineChart>
        <c:grouping val="standard"/>
        <c:varyColors val="0"/>
        <c:ser>
          <c:idx val="0"/>
          <c:order val="0"/>
          <c:tx>
            <c:strRef>
              <c:f>T.XIII!$L$8</c:f>
              <c:strCache>
                <c:ptCount val="1"/>
                <c:pt idx="0">
                  <c:v>wyższe</c:v>
                </c:pt>
              </c:strCache>
            </c:strRef>
          </c:tx>
          <c:spPr>
            <a:ln w="111125" cmpd="sng">
              <a:solidFill>
                <a:srgbClr val="FFC000">
                  <a:alpha val="59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6615482509096025E-2"/>
                  <c:y val="-5.5913957664768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978886535002109"/>
                  <c:y val="-2.795697883238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T.XIII!$N$7:$O$7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T.XIII!$N$8:$O$8</c:f>
              <c:numCache>
                <c:formatCode>#,##0</c:formatCode>
                <c:ptCount val="2"/>
                <c:pt idx="0">
                  <c:v>4949</c:v>
                </c:pt>
                <c:pt idx="1">
                  <c:v>3409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T.XIII!$L$9</c:f>
              <c:strCache>
                <c:ptCount val="1"/>
                <c:pt idx="0">
                  <c:v>policealne i średnie zawodowe</c:v>
                </c:pt>
              </c:strCache>
            </c:strRef>
          </c:tx>
          <c:spPr>
            <a:ln w="2540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T.XIII!$N$7:$O$7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T.XIII!$N$9:$O$9</c:f>
              <c:numCache>
                <c:formatCode>#,##0</c:formatCode>
                <c:ptCount val="2"/>
                <c:pt idx="0">
                  <c:v>6084</c:v>
                </c:pt>
                <c:pt idx="1">
                  <c:v>5898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T.XIII!$L$10</c:f>
              <c:strCache>
                <c:ptCount val="1"/>
                <c:pt idx="0">
                  <c:v>śedenie ogólnokształcące</c:v>
                </c:pt>
              </c:strCache>
            </c:strRef>
          </c:tx>
          <c:spPr>
            <a:ln w="60325" cmpd="sng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T.XIII!$N$7:$O$7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T.XIII!$N$10:$O$10</c:f>
              <c:numCache>
                <c:formatCode>#,##0</c:formatCode>
                <c:ptCount val="2"/>
                <c:pt idx="0">
                  <c:v>2870</c:v>
                </c:pt>
                <c:pt idx="1">
                  <c:v>2665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T.XIII!$L$11</c:f>
              <c:strCache>
                <c:ptCount val="1"/>
                <c:pt idx="0">
                  <c:v>zasadnicze zawodowe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T.XIII!$N$7:$O$7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T.XIII!$N$11:$O$11</c:f>
              <c:numCache>
                <c:formatCode>#,##0</c:formatCode>
                <c:ptCount val="2"/>
                <c:pt idx="0">
                  <c:v>3931</c:v>
                </c:pt>
                <c:pt idx="1">
                  <c:v>4828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T.XIII!$L$12</c:f>
              <c:strCache>
                <c:ptCount val="1"/>
                <c:pt idx="0">
                  <c:v>gimnazjalne/podstawowe i poniżej</c:v>
                </c:pt>
              </c:strCache>
            </c:strRef>
          </c:tx>
          <c:spPr>
            <a:ln w="50800" cmpd="dbl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T.XIII!$N$7:$O$7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T.XIII!$N$12:$O$12</c:f>
              <c:numCache>
                <c:formatCode>#,##0</c:formatCode>
                <c:ptCount val="2"/>
                <c:pt idx="0">
                  <c:v>2256</c:v>
                </c:pt>
                <c:pt idx="1">
                  <c:v>3394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83328"/>
        <c:axId val="50084864"/>
      </c:lineChart>
      <c:catAx>
        <c:axId val="500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0084864"/>
        <c:crosses val="autoZero"/>
        <c:auto val="1"/>
        <c:lblAlgn val="ctr"/>
        <c:lblOffset val="100"/>
        <c:noMultiLvlLbl val="0"/>
      </c:catAx>
      <c:valAx>
        <c:axId val="50084864"/>
        <c:scaling>
          <c:orientation val="minMax"/>
        </c:scaling>
        <c:delete val="0"/>
        <c:axPos val="l"/>
        <c:majorGridlines>
          <c:spPr>
            <a:ln>
              <a:solidFill>
                <a:srgbClr val="794D73">
                  <a:alpha val="28000"/>
                </a:srgb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  <a:alpha val="57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72000"/>
              </a:schemeClr>
            </a:solidFill>
          </a:ln>
        </c:spPr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0083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5929950460099432"/>
          <c:y val="0.62668671937841292"/>
          <c:w val="0.53212365616044943"/>
          <c:h val="0.35313274457843735"/>
        </c:manualLayout>
      </c:layout>
      <c:overlay val="0"/>
      <c:txPr>
        <a:bodyPr/>
        <a:lstStyle/>
        <a:p>
          <a:pPr>
            <a:defRPr sz="800" b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pl-PL" b="0"/>
              <a:t>w okresie danego roku</a:t>
            </a:r>
          </a:p>
        </c:rich>
      </c:tx>
      <c:layout>
        <c:manualLayout>
          <c:xMode val="edge"/>
          <c:yMode val="edge"/>
          <c:x val="0.33291902983358179"/>
          <c:y val="7.14894000278237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T.XXX!$H$7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T.XXX!$G$8:$G$20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T.XXX!$H$8:$H$20</c:f>
              <c:numCache>
                <c:formatCode>#,##0</c:formatCode>
                <c:ptCount val="13"/>
                <c:pt idx="0">
                  <c:v>479</c:v>
                </c:pt>
                <c:pt idx="1">
                  <c:v>4570</c:v>
                </c:pt>
                <c:pt idx="2">
                  <c:v>9176</c:v>
                </c:pt>
                <c:pt idx="3">
                  <c:v>1412</c:v>
                </c:pt>
                <c:pt idx="4">
                  <c:v>2730</c:v>
                </c:pt>
                <c:pt idx="5">
                  <c:v>1273</c:v>
                </c:pt>
                <c:pt idx="6">
                  <c:v>2106</c:v>
                </c:pt>
                <c:pt idx="7">
                  <c:v>1311</c:v>
                </c:pt>
                <c:pt idx="8">
                  <c:v>1204</c:v>
                </c:pt>
                <c:pt idx="9">
                  <c:v>720</c:v>
                </c:pt>
                <c:pt idx="10">
                  <c:v>819</c:v>
                </c:pt>
                <c:pt idx="11">
                  <c:v>587</c:v>
                </c:pt>
                <c:pt idx="12">
                  <c:v>1053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T.XXX!$I$7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numRef>
              <c:f>T.XXX!$G$8:$G$20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T.XXX!$I$8:$I$20</c:f>
              <c:numCache>
                <c:formatCode>#,##0</c:formatCode>
                <c:ptCount val="13"/>
                <c:pt idx="0">
                  <c:v>437</c:v>
                </c:pt>
                <c:pt idx="1">
                  <c:v>2154</c:v>
                </c:pt>
                <c:pt idx="2">
                  <c:v>6255</c:v>
                </c:pt>
                <c:pt idx="3">
                  <c:v>1120</c:v>
                </c:pt>
                <c:pt idx="4">
                  <c:v>2048</c:v>
                </c:pt>
                <c:pt idx="5">
                  <c:v>1050</c:v>
                </c:pt>
                <c:pt idx="6">
                  <c:v>1235</c:v>
                </c:pt>
                <c:pt idx="7">
                  <c:v>651</c:v>
                </c:pt>
                <c:pt idx="8">
                  <c:v>1108</c:v>
                </c:pt>
                <c:pt idx="9">
                  <c:v>609</c:v>
                </c:pt>
                <c:pt idx="10">
                  <c:v>557</c:v>
                </c:pt>
                <c:pt idx="11">
                  <c:v>530</c:v>
                </c:pt>
                <c:pt idx="12">
                  <c:v>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1088"/>
        <c:axId val="52922624"/>
      </c:lineChart>
      <c:catAx>
        <c:axId val="52921088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2922624"/>
        <c:crosses val="autoZero"/>
        <c:auto val="1"/>
        <c:lblAlgn val="ctr"/>
        <c:lblOffset val="100"/>
        <c:noMultiLvlLbl val="0"/>
      </c:catAx>
      <c:valAx>
        <c:axId val="52922624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52921088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9154225869056061"/>
          <c:y val="0.19262935440005596"/>
          <c:w val="0.4739847536548904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Wskaźnik zatrudnienia w IV kwartale</a:t>
            </a:r>
          </a:p>
        </c:rich>
      </c:tx>
      <c:layout>
        <c:manualLayout>
          <c:xMode val="edge"/>
          <c:yMode val="edge"/>
          <c:x val="0.25952717448780444"/>
          <c:y val="2.96296296296296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0.10183066005638183"/>
          <c:w val="0.91506134116682847"/>
          <c:h val="0.80594886750267336"/>
        </c:manualLayout>
      </c:layout>
      <c:lineChart>
        <c:grouping val="standard"/>
        <c:varyColors val="0"/>
        <c:ser>
          <c:idx val="0"/>
          <c:order val="0"/>
          <c:tx>
            <c:v>POLSKA</c:v>
          </c:tx>
          <c:spPr>
            <a:ln w="41275">
              <a:solidFill>
                <a:srgbClr val="FA0000"/>
              </a:solidFill>
              <a:prstDash val="sysDot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007963334607989E-2"/>
                  <c:y val="-5.676657115708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07963334607989E-2"/>
                  <c:y val="-5.053021319014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50616251393177E-2"/>
                  <c:y val="4.0956547098279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384190318776738E-2"/>
                  <c:y val="4.6654223777583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644735164928203E-2"/>
                  <c:y val="-5.053021319014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44735164928203E-2"/>
                  <c:y val="-4.4293855223195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007963334607989E-2"/>
                  <c:y val="-5.053021319014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281506995248423E-2"/>
                  <c:y val="-5.676657115708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644735164928203E-2"/>
                  <c:y val="-6.3002929124037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281506995248423E-2"/>
                  <c:y val="-6.3002929124037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644735164928203E-2"/>
                  <c:y val="-6.3002929124037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1007963334607989E-2"/>
                  <c:y val="-5.676657115708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2871162925380844E-2"/>
                  <c:y val="-3.2593370273160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4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</c:strLit>
          </c:cat>
          <c:val>
            <c:numLit>
              <c:formatCode>General</c:formatCode>
              <c:ptCount val="14"/>
              <c:pt idx="0">
                <c:v>45.9</c:v>
              </c:pt>
              <c:pt idx="1">
                <c:v>47.5</c:v>
              </c:pt>
              <c:pt idx="2">
                <c:v>49.5</c:v>
              </c:pt>
              <c:pt idx="3">
                <c:v>51</c:v>
              </c:pt>
              <c:pt idx="4">
                <c:v>50.4</c:v>
              </c:pt>
              <c:pt idx="5">
                <c:v>50.2</c:v>
              </c:pt>
              <c:pt idx="6">
                <c:v>50.3</c:v>
              </c:pt>
              <c:pt idx="7">
                <c:v>50.4</c:v>
              </c:pt>
              <c:pt idx="8">
                <c:v>50.6</c:v>
              </c:pt>
              <c:pt idx="9">
                <c:v>51.7</c:v>
              </c:pt>
              <c:pt idx="10">
                <c:v>52.6</c:v>
              </c:pt>
              <c:pt idx="11">
                <c:v>53.2</c:v>
              </c:pt>
              <c:pt idx="12">
                <c:v>53.7</c:v>
              </c:pt>
              <c:pt idx="13">
                <c:v>54</c:v>
              </c:pt>
            </c:numLit>
          </c:val>
          <c:smooth val="1"/>
        </c:ser>
        <c:ser>
          <c:idx val="1"/>
          <c:order val="1"/>
          <c:tx>
            <c:v>PODKARPACKIE</c:v>
          </c:tx>
          <c:spPr>
            <a:ln w="66675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71298593879239E-3"/>
                  <c:y val="6.23635796694718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724211272598392E-2"/>
                  <c:y val="1.8709073900841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993264799716411E-2"/>
                  <c:y val="-3.7418147801683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6630036630036632E-2"/>
                  <c:y val="-4.9890863735578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630036630036632E-2"/>
                  <c:y val="4.365450576863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266808460356846E-2"/>
                  <c:y val="3.741814780168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630036630036632E-2"/>
                  <c:y val="3.7418147801683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903580290677067E-2"/>
                  <c:y val="3.1181789834736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6630036630036715E-2"/>
                  <c:y val="3.7418147801683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630036630036632E-2"/>
                  <c:y val="3.1181789834736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9540352120997284E-2"/>
                  <c:y val="4.365450576863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4266808460356846E-2"/>
                  <c:y val="4.9890863735578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0159329294291055E-2"/>
                  <c:y val="5.6127150772820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684472778127734E-2"/>
                  <c:y val="-5.9259259259259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4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</c:strLit>
          </c:cat>
          <c:val>
            <c:numLit>
              <c:formatCode>General</c:formatCode>
              <c:ptCount val="14"/>
              <c:pt idx="0">
                <c:v>44.9</c:v>
              </c:pt>
              <c:pt idx="1">
                <c:v>47</c:v>
              </c:pt>
              <c:pt idx="2">
                <c:v>51</c:v>
              </c:pt>
              <c:pt idx="3">
                <c:v>51.8</c:v>
              </c:pt>
              <c:pt idx="4">
                <c:v>50.2</c:v>
              </c:pt>
              <c:pt idx="5">
                <c:v>49.8</c:v>
              </c:pt>
              <c:pt idx="6">
                <c:v>49.3</c:v>
              </c:pt>
              <c:pt idx="7">
                <c:v>48.6</c:v>
              </c:pt>
              <c:pt idx="8">
                <c:v>48.1</c:v>
              </c:pt>
              <c:pt idx="9">
                <c:v>46.7</c:v>
              </c:pt>
              <c:pt idx="10">
                <c:v>48</c:v>
              </c:pt>
              <c:pt idx="11">
                <c:v>50.9</c:v>
              </c:pt>
              <c:pt idx="12">
                <c:v>52.6</c:v>
              </c:pt>
              <c:pt idx="13">
                <c:v>52.2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89344"/>
        <c:axId val="53290880"/>
      </c:lineChart>
      <c:catAx>
        <c:axId val="53289344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minorGridlines>
          <c:spPr>
            <a:ln w="19050" cmpd="sng">
              <a:solidFill>
                <a:schemeClr val="bg1"/>
              </a:solidFill>
            </a:ln>
          </c:spPr>
        </c:minorGridlines>
        <c:numFmt formatCode="General" sourceLinked="1"/>
        <c:majorTickMark val="none"/>
        <c:minorTickMark val="none"/>
        <c:tickLblPos val="nextTo"/>
        <c:spPr>
          <a:ln w="9525">
            <a:solidFill>
              <a:schemeClr val="accent4">
                <a:lumMod val="60000"/>
                <a:lumOff val="4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9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3290880"/>
        <c:crosses val="autoZero"/>
        <c:auto val="1"/>
        <c:lblAlgn val="ctr"/>
        <c:lblOffset val="100"/>
        <c:noMultiLvlLbl val="0"/>
      </c:catAx>
      <c:valAx>
        <c:axId val="53290880"/>
        <c:scaling>
          <c:orientation val="minMax"/>
          <c:max val="54"/>
          <c:min val="44"/>
        </c:scaling>
        <c:delete val="0"/>
        <c:axPos val="l"/>
        <c:majorGridlines>
          <c:spPr>
            <a:ln>
              <a:solidFill>
                <a:schemeClr val="accent4">
                  <a:lumMod val="75000"/>
                  <a:alpha val="33000"/>
                </a:schemeClr>
              </a:solidFill>
            </a:ln>
          </c:spPr>
        </c:majorGridlines>
        <c:minorGridlines>
          <c:spPr>
            <a:ln w="6350">
              <a:solidFill>
                <a:schemeClr val="tx2">
                  <a:lumMod val="60000"/>
                  <a:lumOff val="40000"/>
                  <a:alpha val="53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53289344"/>
        <c:crosses val="autoZero"/>
        <c:crossBetween val="between"/>
        <c:majorUnit val="1"/>
        <c:minorUnit val="0.1"/>
      </c:valAx>
      <c:spPr>
        <a:noFill/>
      </c:spPr>
    </c:plotArea>
    <c:legend>
      <c:legendPos val="t"/>
      <c:layout>
        <c:manualLayout>
          <c:xMode val="edge"/>
          <c:yMode val="edge"/>
          <c:x val="0.22634908178428415"/>
          <c:y val="0.70931933508311462"/>
          <c:w val="0.45066102369802241"/>
          <c:h val="7.604252171181305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Wskaźnik zatrudnienia IV kw. 2018 r. wg wieku</a:t>
            </a:r>
          </a:p>
        </c:rich>
      </c:tx>
      <c:layout>
        <c:manualLayout>
          <c:xMode val="edge"/>
          <c:yMode val="edge"/>
          <c:x val="0.19955223549569057"/>
          <c:y val="4.938271604938271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0.10183066005638183"/>
          <c:w val="0.91506134116682847"/>
          <c:h val="0.805948867502673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T.XXXI!$P$5</c:f>
              <c:strCache>
                <c:ptCount val="1"/>
                <c:pt idx="0">
                  <c:v>18</c:v>
                </c:pt>
              </c:strCache>
            </c:strRef>
          </c:tx>
          <c:spPr>
            <a:gradFill>
              <a:gsLst>
                <a:gs pos="0">
                  <a:schemeClr val="bg1"/>
                </a:gs>
                <a:gs pos="57000">
                  <a:schemeClr val="accent4">
                    <a:lumMod val="40000"/>
                    <a:lumOff val="60000"/>
                  </a:schemeClr>
                </a:gs>
                <a:gs pos="93000">
                  <a:schemeClr val="accent4">
                    <a:lumMod val="60000"/>
                    <a:lumOff val="40000"/>
                  </a:schemeClr>
                </a:gs>
                <a:gs pos="100000">
                  <a:schemeClr val="accent4">
                    <a:lumMod val="75000"/>
                  </a:schemeClr>
                </a:gs>
              </a:gsLst>
              <a:lin ang="5400000" scaled="0"/>
            </a:gradFill>
            <a:ln w="12700" cmpd="sng">
              <a:solidFill>
                <a:schemeClr val="tx1"/>
              </a:solidFill>
              <a:prstDash val="solid"/>
            </a:ln>
            <a:effectLst>
              <a:innerShdw blurRad="63500" dist="50800" dir="2700000">
                <a:srgbClr val="5C1A1C">
                  <a:alpha val="60000"/>
                </a:srgbClr>
              </a:inn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11000">
                    <a:srgbClr val="EBE600"/>
                  </a:gs>
                  <a:gs pos="0">
                    <a:srgbClr val="FFFF00"/>
                  </a:gs>
                  <a:gs pos="42000">
                    <a:srgbClr val="EBE600"/>
                  </a:gs>
                  <a:gs pos="93000">
                    <a:srgbClr val="B8B400">
                      <a:alpha val="94000"/>
                    </a:srgbClr>
                  </a:gs>
                  <a:gs pos="100000">
                    <a:srgbClr val="A8A400"/>
                  </a:gs>
                </a:gsLst>
                <a:lin ang="5400000" scaled="0"/>
              </a:gradFill>
              <a:ln w="12700" cmpd="sng">
                <a:solidFill>
                  <a:schemeClr val="tx1"/>
                </a:solidFill>
                <a:prstDash val="solid"/>
              </a:ln>
              <a:effectLst>
                <a:innerShdw blurRad="63500" dist="50800" dir="2700000">
                  <a:srgbClr val="5C1A1C">
                    <a:alpha val="60000"/>
                  </a:srgbClr>
                </a:innerShdw>
              </a:effectLst>
            </c:spPr>
          </c:dPt>
          <c:dLbls>
            <c:dLbl>
              <c:idx val="0"/>
              <c:layout>
                <c:manualLayout>
                  <c:x val="2.6324457016618195E-3"/>
                  <c:y val="0.10370370370370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1851851851851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324457016618195E-3"/>
                  <c:y val="0.10864197530864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0864197530864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.10370370370370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T.XXXI!$B$9:$B$13</c:f>
              <c:strCache>
                <c:ptCount val="5"/>
                <c:pt idx="0">
                  <c:v>15-24 lat 1</c:v>
                </c:pt>
                <c:pt idx="1">
                  <c:v>25-34 lat</c:v>
                </c:pt>
                <c:pt idx="2">
                  <c:v>35-44 lat</c:v>
                </c:pt>
                <c:pt idx="3">
                  <c:v>45-54 lat</c:v>
                </c:pt>
                <c:pt idx="4">
                  <c:v>55 lat i więcej</c:v>
                </c:pt>
              </c:strCache>
            </c:strRef>
          </c:cat>
          <c:val>
            <c:numRef>
              <c:f>T.XXXI!$P$9:$P$13</c:f>
              <c:numCache>
                <c:formatCode>General</c:formatCode>
                <c:ptCount val="5"/>
                <c:pt idx="0">
                  <c:v>24.5</c:v>
                </c:pt>
                <c:pt idx="1">
                  <c:v>77.2</c:v>
                </c:pt>
                <c:pt idx="2">
                  <c:v>81.3</c:v>
                </c:pt>
                <c:pt idx="3">
                  <c:v>80.599999999999994</c:v>
                </c:pt>
                <c:pt idx="4">
                  <c:v>25.2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40800"/>
        <c:axId val="53342592"/>
      </c:barChart>
      <c:catAx>
        <c:axId val="5334080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minorGridlines>
          <c:spPr>
            <a:ln w="19050" cmpd="sng">
              <a:solidFill>
                <a:schemeClr val="bg1"/>
              </a:solidFill>
            </a:ln>
          </c:spPr>
        </c:minorGridlines>
        <c:numFmt formatCode="General" sourceLinked="1"/>
        <c:majorTickMark val="none"/>
        <c:minorTickMark val="none"/>
        <c:tickLblPos val="nextTo"/>
        <c:spPr>
          <a:ln w="9525">
            <a:solidFill>
              <a:schemeClr val="accent4">
                <a:lumMod val="60000"/>
                <a:lumOff val="4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11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53342592"/>
        <c:crosses val="autoZero"/>
        <c:auto val="1"/>
        <c:lblAlgn val="ctr"/>
        <c:lblOffset val="100"/>
        <c:noMultiLvlLbl val="0"/>
      </c:catAx>
      <c:valAx>
        <c:axId val="53342592"/>
        <c:scaling>
          <c:orientation val="minMax"/>
        </c:scaling>
        <c:delete val="0"/>
        <c:axPos val="l"/>
        <c:majorGridlines>
          <c:spPr>
            <a:ln>
              <a:solidFill>
                <a:schemeClr val="accent4">
                  <a:lumMod val="75000"/>
                  <a:alpha val="33000"/>
                </a:schemeClr>
              </a:solidFill>
            </a:ln>
          </c:spPr>
        </c:majorGridlines>
        <c:minorGridlines>
          <c:spPr>
            <a:ln w="6350">
              <a:solidFill>
                <a:schemeClr val="tx2">
                  <a:lumMod val="60000"/>
                  <a:lumOff val="40000"/>
                  <a:alpha val="53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533408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Wskaźnik zatrudnienia IV kw. 2018 r. wg wykształcenia</a:t>
            </a:r>
          </a:p>
        </c:rich>
      </c:tx>
      <c:layout>
        <c:manualLayout>
          <c:xMode val="edge"/>
          <c:yMode val="edge"/>
          <c:x val="0.14952529060771916"/>
          <c:y val="9.87654320987654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0.10183066005638183"/>
          <c:w val="0.91506134116682847"/>
          <c:h val="0.805948867502673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T.XXXI!$P$5</c:f>
              <c:strCache>
                <c:ptCount val="1"/>
                <c:pt idx="0">
                  <c:v>18</c:v>
                </c:pt>
              </c:strCache>
            </c:strRef>
          </c:tx>
          <c:spPr>
            <a:gradFill>
              <a:gsLst>
                <a:gs pos="0">
                  <a:schemeClr val="bg1"/>
                </a:gs>
                <a:gs pos="57000">
                  <a:schemeClr val="accent4">
                    <a:lumMod val="40000"/>
                    <a:lumOff val="60000"/>
                  </a:schemeClr>
                </a:gs>
                <a:gs pos="93000">
                  <a:schemeClr val="accent4">
                    <a:lumMod val="60000"/>
                    <a:lumOff val="40000"/>
                  </a:schemeClr>
                </a:gs>
                <a:gs pos="100000">
                  <a:schemeClr val="accent4">
                    <a:lumMod val="75000"/>
                  </a:schemeClr>
                </a:gs>
              </a:gsLst>
              <a:lin ang="5400000" scaled="0"/>
            </a:gradFill>
            <a:ln w="12700" cmpd="sng">
              <a:solidFill>
                <a:schemeClr val="tx1"/>
              </a:solidFill>
              <a:prstDash val="solid"/>
            </a:ln>
            <a:effectLst>
              <a:innerShdw blurRad="63500" dist="50800" dir="2700000">
                <a:srgbClr val="5C1A1C">
                  <a:alpha val="60000"/>
                </a:srgb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EBE600"/>
                  </a:gs>
                  <a:gs pos="39000">
                    <a:srgbClr val="DBD600"/>
                  </a:gs>
                  <a:gs pos="93000">
                    <a:srgbClr val="A8A400"/>
                  </a:gs>
                  <a:gs pos="100000">
                    <a:srgbClr val="A8A400"/>
                  </a:gs>
                </a:gsLst>
                <a:lin ang="5400000" scaled="0"/>
              </a:gradFill>
              <a:ln w="12700" cmpd="sng">
                <a:solidFill>
                  <a:schemeClr val="tx1"/>
                </a:solidFill>
                <a:prstDash val="solid"/>
              </a:ln>
              <a:effectLst>
                <a:innerShdw blurRad="63500" dist="50800" dir="2700000">
                  <a:srgbClr val="5C1A1C">
                    <a:alpha val="60000"/>
                  </a:srgbClr>
                </a:innerShdw>
              </a:effectLst>
            </c:spPr>
          </c:dPt>
          <c:dLbls>
            <c:dLbl>
              <c:idx val="0"/>
              <c:layout>
                <c:manualLayout>
                  <c:x val="2.6324457016618195E-3"/>
                  <c:y val="0.10370370370370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1851851851851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324457016618195E-3"/>
                  <c:y val="0.10864197530864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0864197530864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.10370370370370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T.XXXI!$B$15:$B$19</c:f>
              <c:strCache>
                <c:ptCount val="5"/>
                <c:pt idx="0">
                  <c:v>wyzsze</c:v>
                </c:pt>
                <c:pt idx="1">
                  <c:v>policealne i średnie zawodowe</c:v>
                </c:pt>
                <c:pt idx="2">
                  <c:v>średnie ogólnokształcace</c:v>
                </c:pt>
                <c:pt idx="3">
                  <c:v>zasadnicze-zawodowe</c:v>
                </c:pt>
                <c:pt idx="4">
                  <c:v>gimnazjalne, podstawowe i niepełne podstawowe</c:v>
                </c:pt>
              </c:strCache>
            </c:strRef>
          </c:cat>
          <c:val>
            <c:numRef>
              <c:f>T.XXXI!$P$15:$P$19</c:f>
              <c:numCache>
                <c:formatCode>0.0</c:formatCode>
                <c:ptCount val="5"/>
                <c:pt idx="0" formatCode="General">
                  <c:v>77.099999999999994</c:v>
                </c:pt>
                <c:pt idx="1">
                  <c:v>60.6</c:v>
                </c:pt>
                <c:pt idx="2" formatCode="General">
                  <c:v>47.2</c:v>
                </c:pt>
                <c:pt idx="3">
                  <c:v>56.3</c:v>
                </c:pt>
                <c:pt idx="4" formatCode="General">
                  <c:v>12.4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0560"/>
        <c:axId val="53652096"/>
      </c:barChart>
      <c:catAx>
        <c:axId val="5365056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minorGridlines>
          <c:spPr>
            <a:ln w="19050" cmpd="sng">
              <a:solidFill>
                <a:schemeClr val="bg1"/>
              </a:solidFill>
            </a:ln>
          </c:spPr>
        </c:minorGridlines>
        <c:numFmt formatCode="General" sourceLinked="1"/>
        <c:majorTickMark val="none"/>
        <c:minorTickMark val="none"/>
        <c:tickLblPos val="nextTo"/>
        <c:spPr>
          <a:ln w="9525">
            <a:solidFill>
              <a:schemeClr val="accent4">
                <a:lumMod val="60000"/>
                <a:lumOff val="4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53652096"/>
        <c:crosses val="autoZero"/>
        <c:auto val="1"/>
        <c:lblAlgn val="ctr"/>
        <c:lblOffset val="100"/>
        <c:noMultiLvlLbl val="0"/>
      </c:catAx>
      <c:valAx>
        <c:axId val="53652096"/>
        <c:scaling>
          <c:orientation val="minMax"/>
        </c:scaling>
        <c:delete val="0"/>
        <c:axPos val="l"/>
        <c:majorGridlines>
          <c:spPr>
            <a:ln>
              <a:solidFill>
                <a:schemeClr val="accent4">
                  <a:lumMod val="75000"/>
                  <a:alpha val="33000"/>
                </a:schemeClr>
              </a:solidFill>
            </a:ln>
          </c:spPr>
        </c:majorGridlines>
        <c:minorGridlines>
          <c:spPr>
            <a:ln w="6350">
              <a:solidFill>
                <a:schemeClr val="tx2">
                  <a:lumMod val="60000"/>
                  <a:lumOff val="40000"/>
                  <a:alpha val="53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536505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u="none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100" b="0" u="none">
                <a:latin typeface="Arial" panose="020B0604020202020204" pitchFamily="34" charset="0"/>
                <a:cs typeface="Arial" panose="020B0604020202020204" pitchFamily="34" charset="0"/>
              </a:rPr>
              <a:t>Wskaźnik zatrudnienia (ogółem, średniorocznie)</a:t>
            </a:r>
          </a:p>
        </c:rich>
      </c:tx>
      <c:layout>
        <c:manualLayout>
          <c:xMode val="edge"/>
          <c:yMode val="edge"/>
          <c:x val="0.20969133464604378"/>
          <c:y val="1.94685697732599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0.10350888494582269"/>
          <c:w val="0.89758467178336754"/>
          <c:h val="0.80427106912905355"/>
        </c:manualLayout>
      </c:layout>
      <c:lineChart>
        <c:grouping val="standard"/>
        <c:varyColors val="0"/>
        <c:ser>
          <c:idx val="0"/>
          <c:order val="0"/>
          <c:tx>
            <c:v>POLSKA</c:v>
          </c:tx>
          <c:spPr>
            <a:ln w="44450">
              <a:solidFill>
                <a:srgbClr val="FA0000"/>
              </a:solidFill>
              <a:prstDash val="sysDot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cat>
            <c:strLit>
              <c:ptCount val="24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</c:strLit>
          </c:cat>
          <c:val>
            <c:numLit>
              <c:formatCode>General</c:formatCode>
              <c:ptCount val="24"/>
              <c:pt idx="0">
                <c:v>50.9</c:v>
              </c:pt>
              <c:pt idx="1">
                <c:v>51</c:v>
              </c:pt>
              <c:pt idx="2">
                <c:v>51.2</c:v>
              </c:pt>
              <c:pt idx="3">
                <c:v>51.3</c:v>
              </c:pt>
              <c:pt idx="4">
                <c:v>48.8</c:v>
              </c:pt>
              <c:pt idx="5">
                <c:v>47.5</c:v>
              </c:pt>
              <c:pt idx="6">
                <c:v>46.1</c:v>
              </c:pt>
              <c:pt idx="7">
                <c:v>44.4</c:v>
              </c:pt>
              <c:pt idx="8">
                <c:v>44</c:v>
              </c:pt>
              <c:pt idx="9">
                <c:v>44.3</c:v>
              </c:pt>
              <c:pt idx="10">
                <c:v>45.2</c:v>
              </c:pt>
              <c:pt idx="11">
                <c:v>46.5</c:v>
              </c:pt>
              <c:pt idx="12">
                <c:v>48.6</c:v>
              </c:pt>
              <c:pt idx="13">
                <c:v>50.4</c:v>
              </c:pt>
              <c:pt idx="14">
                <c:v>50.4</c:v>
              </c:pt>
              <c:pt idx="15">
                <c:v>50</c:v>
              </c:pt>
              <c:pt idx="16">
                <c:v>50.2</c:v>
              </c:pt>
              <c:pt idx="17">
                <c:v>50.2</c:v>
              </c:pt>
              <c:pt idx="18">
                <c:v>50.2</c:v>
              </c:pt>
              <c:pt idx="19">
                <c:v>51.2</c:v>
              </c:pt>
              <c:pt idx="20">
                <c:v>51.9</c:v>
              </c:pt>
              <c:pt idx="21">
                <c:v>52.8</c:v>
              </c:pt>
              <c:pt idx="22">
                <c:v>53.7</c:v>
              </c:pt>
              <c:pt idx="23">
                <c:v>54.2</c:v>
              </c:pt>
            </c:numLit>
          </c:val>
          <c:smooth val="1"/>
        </c:ser>
        <c:ser>
          <c:idx val="1"/>
          <c:order val="1"/>
          <c:tx>
            <c:v>PODKARPACKIE</c:v>
          </c:tx>
          <c:spPr>
            <a:ln w="73025">
              <a:solidFill>
                <a:schemeClr val="accent4">
                  <a:lumMod val="60000"/>
                  <a:lumOff val="40000"/>
                  <a:alpha val="82000"/>
                </a:schemeClr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</c:strLit>
          </c:cat>
          <c:val>
            <c:numLit>
              <c:formatCode>General</c:formatCode>
              <c:ptCount val="24"/>
              <c:pt idx="0">
                <c:v>54.6</c:v>
              </c:pt>
              <c:pt idx="1">
                <c:v>55</c:v>
              </c:pt>
              <c:pt idx="2">
                <c:v>54.2</c:v>
              </c:pt>
              <c:pt idx="3">
                <c:v>53.4</c:v>
              </c:pt>
              <c:pt idx="4">
                <c:v>48.7</c:v>
              </c:pt>
              <c:pt idx="5">
                <c:v>48.2</c:v>
              </c:pt>
              <c:pt idx="6">
                <c:v>47.8</c:v>
              </c:pt>
              <c:pt idx="7">
                <c:v>47.1</c:v>
              </c:pt>
              <c:pt idx="8">
                <c:v>46.1</c:v>
              </c:pt>
              <c:pt idx="9">
                <c:v>44.8</c:v>
              </c:pt>
              <c:pt idx="10">
                <c:v>45.2</c:v>
              </c:pt>
              <c:pt idx="11">
                <c:v>46.7</c:v>
              </c:pt>
              <c:pt idx="12">
                <c:v>49.3</c:v>
              </c:pt>
              <c:pt idx="13">
                <c:v>50.2</c:v>
              </c:pt>
              <c:pt idx="14">
                <c:v>50.9</c:v>
              </c:pt>
              <c:pt idx="15">
                <c:v>50</c:v>
              </c:pt>
              <c:pt idx="16">
                <c:v>49.3</c:v>
              </c:pt>
              <c:pt idx="17">
                <c:v>48.8</c:v>
              </c:pt>
              <c:pt idx="18">
                <c:v>48.1</c:v>
              </c:pt>
              <c:pt idx="19">
                <c:v>46.9</c:v>
              </c:pt>
              <c:pt idx="20">
                <c:v>48</c:v>
              </c:pt>
              <c:pt idx="21">
                <c:v>50.6</c:v>
              </c:pt>
              <c:pt idx="22">
                <c:v>51.8</c:v>
              </c:pt>
              <c:pt idx="23">
                <c:v>51.4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32320"/>
        <c:axId val="53433856"/>
      </c:lineChart>
      <c:catAx>
        <c:axId val="53432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minorGridlines>
          <c:spPr>
            <a:ln w="22225" cmpd="sng">
              <a:solidFill>
                <a:schemeClr val="bg1">
                  <a:alpha val="78000"/>
                </a:schemeClr>
              </a:solidFill>
            </a:ln>
          </c:spPr>
        </c:min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bg1">
                <a:lumMod val="85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3433856"/>
        <c:crosses val="autoZero"/>
        <c:auto val="1"/>
        <c:lblAlgn val="ctr"/>
        <c:lblOffset val="100"/>
        <c:noMultiLvlLbl val="0"/>
      </c:catAx>
      <c:valAx>
        <c:axId val="53433856"/>
        <c:scaling>
          <c:orientation val="minMax"/>
          <c:max val="56"/>
          <c:min val="42"/>
        </c:scaling>
        <c:delete val="0"/>
        <c:axPos val="l"/>
        <c:majorGridlines>
          <c:spPr>
            <a:ln>
              <a:solidFill>
                <a:schemeClr val="accent4">
                  <a:lumMod val="75000"/>
                  <a:alpha val="33000"/>
                </a:schemeClr>
              </a:solidFill>
            </a:ln>
          </c:spPr>
        </c:majorGridlines>
        <c:minorGridlines>
          <c:spPr>
            <a:ln w="6350">
              <a:solidFill>
                <a:schemeClr val="tx2">
                  <a:lumMod val="60000"/>
                  <a:lumOff val="40000"/>
                  <a:alpha val="53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53432320"/>
        <c:crosses val="autoZero"/>
        <c:crossBetween val="between"/>
        <c:majorUnit val="1"/>
        <c:minorUnit val="0.2"/>
      </c:valAx>
      <c:spPr>
        <a:noFill/>
      </c:spPr>
    </c:plotArea>
    <c:legend>
      <c:legendPos val="t"/>
      <c:layout>
        <c:manualLayout>
          <c:xMode val="edge"/>
          <c:yMode val="edge"/>
          <c:x val="0.51676463035755105"/>
          <c:y val="0.75249007081661967"/>
          <c:w val="0.42843996995637706"/>
          <c:h val="7.604252171181305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87017307030593E-2"/>
          <c:y val="2.4211122969993271E-2"/>
          <c:w val="0.8496792551618898"/>
          <c:h val="0.91438952164756115"/>
        </c:manualLayout>
      </c:layout>
      <c:lineChart>
        <c:grouping val="standard"/>
        <c:varyColors val="0"/>
        <c:ser>
          <c:idx val="0"/>
          <c:order val="0"/>
          <c:tx>
            <c:strRef>
              <c:f>'T.XIV A'!$P$7</c:f>
              <c:strCache>
                <c:ptCount val="1"/>
                <c:pt idx="0">
                  <c:v>18-34</c:v>
                </c:pt>
              </c:strCache>
            </c:strRef>
          </c:tx>
          <c:spPr>
            <a:ln w="111125" cmpd="sng">
              <a:solidFill>
                <a:srgbClr val="FFC000">
                  <a:alpha val="59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4685329935585587E-2"/>
                  <c:y val="-2.5547862567127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1512022339725423E-2"/>
                  <c:y val="-4.4101908689759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A'!$R$6:$S$6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'T.XIV A'!$R$7:$S$7</c:f>
              <c:numCache>
                <c:formatCode>#,##0</c:formatCode>
                <c:ptCount val="2"/>
                <c:pt idx="0">
                  <c:v>21429</c:v>
                </c:pt>
                <c:pt idx="1">
                  <c:v>11105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'T.XIV A'!$P$8</c:f>
              <c:strCache>
                <c:ptCount val="1"/>
                <c:pt idx="0">
                  <c:v>35-54</c:v>
                </c:pt>
              </c:strCache>
            </c:strRef>
          </c:tx>
          <c:spPr>
            <a:ln w="5080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square"/>
            <c:size val="3"/>
            <c:spPr>
              <a:solidFill>
                <a:schemeClr val="bg1"/>
              </a:solidFill>
              <a:ln w="6350"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048950991192611E-2"/>
                  <c:y val="-3.308270676691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937059471556658E-2"/>
                  <c:y val="-3.557952086584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A'!$R$6:$S$6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'T.XIV A'!$R$8:$S$8</c:f>
              <c:numCache>
                <c:formatCode>#,##0</c:formatCode>
                <c:ptCount val="2"/>
                <c:pt idx="0">
                  <c:v>15843</c:v>
                </c:pt>
                <c:pt idx="1">
                  <c:v>15558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'T.XIV A'!$P$9</c:f>
              <c:strCache>
                <c:ptCount val="1"/>
                <c:pt idx="0">
                  <c:v>55 i więcej</c:v>
                </c:pt>
              </c:strCache>
            </c:strRef>
          </c:tx>
          <c:spPr>
            <a:ln w="57150" cmpd="sng">
              <a:solidFill>
                <a:srgbClr val="5C1A1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587411894311333E-2"/>
                  <c:y val="-3.007518796992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9230765418712328E-2"/>
                  <c:y val="-3.2345018968952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A'!$R$6:$S$6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'T.XIV A'!$R$9:$S$9</c:f>
              <c:numCache>
                <c:formatCode>#,##0</c:formatCode>
                <c:ptCount val="2"/>
                <c:pt idx="0">
                  <c:v>4720</c:v>
                </c:pt>
                <c:pt idx="1">
                  <c:v>6800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56224"/>
        <c:axId val="45157760"/>
      </c:lineChart>
      <c:catAx>
        <c:axId val="451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45157760"/>
        <c:crosses val="autoZero"/>
        <c:auto val="1"/>
        <c:lblAlgn val="ctr"/>
        <c:lblOffset val="100"/>
        <c:noMultiLvlLbl val="0"/>
      </c:catAx>
      <c:valAx>
        <c:axId val="45157760"/>
        <c:scaling>
          <c:orientation val="minMax"/>
          <c:max val="30000"/>
          <c:min val="0"/>
        </c:scaling>
        <c:delete val="0"/>
        <c:axPos val="l"/>
        <c:majorGridlines>
          <c:spPr>
            <a:ln>
              <a:solidFill>
                <a:srgbClr val="794D73">
                  <a:alpha val="28000"/>
                </a:srgb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  <a:alpha val="57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72000"/>
              </a:schemeClr>
            </a:solidFill>
          </a:ln>
        </c:spPr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45156224"/>
        <c:crosses val="autoZero"/>
        <c:crossBetween val="midCat"/>
        <c:majorUnit val="2000"/>
        <c:minorUnit val="1000"/>
      </c:valAx>
    </c:plotArea>
    <c:legend>
      <c:legendPos val="r"/>
      <c:layout>
        <c:manualLayout>
          <c:xMode val="edge"/>
          <c:yMode val="edge"/>
          <c:x val="0.22070944182788449"/>
          <c:y val="3.09491598706527E-2"/>
          <c:w val="0.55050299128692703"/>
          <c:h val="7.2109681482586882E-2"/>
        </c:manualLayout>
      </c:layout>
      <c:overlay val="0"/>
      <c:txPr>
        <a:bodyPr/>
        <a:lstStyle/>
        <a:p>
          <a:pPr>
            <a:defRPr sz="1200" b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87017307030593E-2"/>
          <c:y val="2.4211122969993271E-2"/>
          <c:w val="0.83709398762900278"/>
          <c:h val="0.91438952164756115"/>
        </c:manualLayout>
      </c:layout>
      <c:lineChart>
        <c:grouping val="standard"/>
        <c:varyColors val="0"/>
        <c:ser>
          <c:idx val="0"/>
          <c:order val="0"/>
          <c:tx>
            <c:strRef>
              <c:f>'T.XVIII A'!$P$5</c:f>
              <c:strCache>
                <c:ptCount val="1"/>
                <c:pt idx="0">
                  <c:v>18-34</c:v>
                </c:pt>
              </c:strCache>
            </c:strRef>
          </c:tx>
          <c:spPr>
            <a:ln w="111125" cmpd="sng">
              <a:solidFill>
                <a:srgbClr val="FFC000">
                  <a:alpha val="59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2.14605087210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5144232126534441E-2"/>
                  <c:y val="3.576751453512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'T.XVIII A'!$R$4:$S$4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'T.XVIII A'!$R$5:$S$5</c:f>
              <c:numCache>
                <c:formatCode>#,##0</c:formatCode>
                <c:ptCount val="2"/>
                <c:pt idx="0">
                  <c:v>14520</c:v>
                </c:pt>
                <c:pt idx="1">
                  <c:v>7555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'T.XVIII A'!$P$6</c:f>
              <c:strCache>
                <c:ptCount val="1"/>
                <c:pt idx="0">
                  <c:v>35-54</c:v>
                </c:pt>
              </c:strCache>
            </c:strRef>
          </c:tx>
          <c:spPr>
            <a:ln w="5080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square"/>
            <c:size val="3"/>
            <c:spPr>
              <a:solidFill>
                <a:schemeClr val="bg1"/>
              </a:solidFill>
              <a:ln w="6350"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1469780607581267E-3"/>
                  <c:y val="-2.5037260174590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6556319883501927E-2"/>
                  <c:y val="-3.576751453512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'T.XVIII A'!$R$4:$S$4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'T.XVIII A'!$R$6:$S$6</c:f>
              <c:numCache>
                <c:formatCode>#,##0</c:formatCode>
                <c:ptCount val="2"/>
                <c:pt idx="0">
                  <c:v>9404</c:v>
                </c:pt>
                <c:pt idx="1">
                  <c:v>9288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'T.XVIII A'!$P$7</c:f>
              <c:strCache>
                <c:ptCount val="1"/>
                <c:pt idx="0">
                  <c:v>55 i więcej</c:v>
                </c:pt>
              </c:strCache>
            </c:strRef>
          </c:tx>
          <c:spPr>
            <a:ln w="57150" cmpd="sng">
              <a:solidFill>
                <a:srgbClr val="5C1A1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4.6497768895668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5144232126534441E-2"/>
                  <c:y val="-5.3651271802693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'T.XVIII A'!$R$4:$S$4</c:f>
              <c:strCache>
                <c:ptCount val="2"/>
                <c:pt idx="0">
                  <c:v>do 12m-cy</c:v>
                </c:pt>
                <c:pt idx="1">
                  <c:v>pow. 12 m-cy</c:v>
                </c:pt>
              </c:strCache>
            </c:strRef>
          </c:cat>
          <c:val>
            <c:numRef>
              <c:f>'T.XVIII A'!$R$7:$S$7</c:f>
              <c:numCache>
                <c:formatCode>#,##0</c:formatCode>
                <c:ptCount val="2"/>
                <c:pt idx="0">
                  <c:v>2793</c:v>
                </c:pt>
                <c:pt idx="1">
                  <c:v>3848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49472"/>
        <c:axId val="51863552"/>
      </c:lineChart>
      <c:catAx>
        <c:axId val="5184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1863552"/>
        <c:crosses val="autoZero"/>
        <c:auto val="1"/>
        <c:lblAlgn val="ctr"/>
        <c:lblOffset val="100"/>
        <c:noMultiLvlLbl val="0"/>
      </c:catAx>
      <c:valAx>
        <c:axId val="51863552"/>
        <c:scaling>
          <c:orientation val="minMax"/>
        </c:scaling>
        <c:delete val="0"/>
        <c:axPos val="l"/>
        <c:majorGridlines>
          <c:spPr>
            <a:ln>
              <a:solidFill>
                <a:srgbClr val="794D73">
                  <a:alpha val="28000"/>
                </a:srgb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  <a:alpha val="57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72000"/>
              </a:schemeClr>
            </a:solidFill>
          </a:ln>
        </c:spPr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1849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6150209685373044"/>
          <c:y val="3.8102541802930573E-2"/>
          <c:w val="0.55050299128692703"/>
          <c:h val="6.4956059467576613E-2"/>
        </c:manualLayout>
      </c:layout>
      <c:overlay val="0"/>
      <c:txPr>
        <a:bodyPr/>
        <a:lstStyle/>
        <a:p>
          <a:pPr>
            <a:defRPr sz="1200" b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DAE0EA">
            <a:alpha val="36000"/>
          </a:srgbClr>
        </a:solidFill>
        <a:ln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128854724589287E-2"/>
          <c:y val="3.7628440009355266E-2"/>
          <c:w val="0.90274511426135684"/>
          <c:h val="0.879095400084052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T.XXV!$G$15:$G$35</c:f>
              <c:strCache>
                <c:ptCount val="1"/>
                <c:pt idx="0">
                  <c:v>1 999 2 000 2 001 2 002 2 003 2 004 2 005 2 006 2 007 2 008 2 009 2 010 2 011 2 012 2 013 2 014 2 015 2 016 2 017 2 018 2 019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cat>
            <c:numRef>
              <c:f>T.XXV!$G$15:$G$35</c:f>
              <c:numCache>
                <c:formatCode>#,##0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T.XXV!$H$15:$H$35</c:f>
              <c:numCache>
                <c:formatCode>#,##0</c:formatCode>
                <c:ptCount val="21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52090752"/>
        <c:axId val="52092288"/>
        <c:axId val="0"/>
      </c:bar3DChart>
      <c:catAx>
        <c:axId val="520907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52092288"/>
        <c:crosses val="autoZero"/>
        <c:auto val="0"/>
        <c:lblAlgn val="ctr"/>
        <c:lblOffset val="100"/>
        <c:noMultiLvlLbl val="0"/>
      </c:catAx>
      <c:valAx>
        <c:axId val="52092288"/>
        <c:scaling>
          <c:orientation val="minMax"/>
          <c:max val="73000"/>
          <c:min val="4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52090752"/>
        <c:crosses val="autoZero"/>
        <c:crossBetween val="between"/>
        <c:majorUnit val="1100"/>
        <c:minorUnit val="5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  <c:spPr>
        <a:solidFill>
          <a:srgbClr val="DAE0EA">
            <a:alpha val="36000"/>
          </a:srgbClr>
        </a:solidFill>
        <a:ln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418568341417907E-2"/>
          <c:y val="5.7430420207375057E-2"/>
          <c:w val="0.89335463587556285"/>
          <c:h val="0.829064629297575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T.XXV!$I$13</c:f>
              <c:strCache>
                <c:ptCount val="1"/>
                <c:pt idx="0">
                  <c:v>subsydia w roku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20000"/>
                    <a:lumOff val="80000"/>
                  </a:schemeClr>
                </a:gs>
                <a:gs pos="83000">
                  <a:schemeClr val="accent4">
                    <a:lumMod val="50000"/>
                  </a:schemeClr>
                </a:gs>
                <a:gs pos="12000">
                  <a:schemeClr val="accent4">
                    <a:lumMod val="40000"/>
                    <a:lumOff val="60000"/>
                  </a:schemeClr>
                </a:gs>
                <a:gs pos="99000">
                  <a:schemeClr val="accent4">
                    <a:lumMod val="75000"/>
                  </a:scheme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Times New Roman" panose="02020603050405020304" pitchFamily="18" charset="0"/>
                    <a:ea typeface="Batang" panose="02030600000101010101" pitchFamily="18" charset="-127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T.XXV!$G$18:$G$35</c:f>
              <c:numCache>
                <c:formatCode>#,##0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T.XXV!$I$18:$I$35</c:f>
              <c:numCache>
                <c:formatCode>#,##0</c:formatCode>
                <c:ptCount val="18"/>
                <c:pt idx="0">
                  <c:v>12944</c:v>
                </c:pt>
                <c:pt idx="1">
                  <c:v>22556</c:v>
                </c:pt>
                <c:pt idx="2">
                  <c:v>20038</c:v>
                </c:pt>
                <c:pt idx="3">
                  <c:v>18757</c:v>
                </c:pt>
                <c:pt idx="4">
                  <c:v>20054</c:v>
                </c:pt>
                <c:pt idx="5">
                  <c:v>24494</c:v>
                </c:pt>
                <c:pt idx="6">
                  <c:v>28458</c:v>
                </c:pt>
                <c:pt idx="7">
                  <c:v>28957</c:v>
                </c:pt>
                <c:pt idx="8">
                  <c:v>35663</c:v>
                </c:pt>
                <c:pt idx="9">
                  <c:v>16768</c:v>
                </c:pt>
                <c:pt idx="10">
                  <c:v>25146</c:v>
                </c:pt>
                <c:pt idx="11">
                  <c:v>26050</c:v>
                </c:pt>
                <c:pt idx="12">
                  <c:v>27292</c:v>
                </c:pt>
                <c:pt idx="13">
                  <c:v>28848</c:v>
                </c:pt>
                <c:pt idx="14">
                  <c:v>31407</c:v>
                </c:pt>
                <c:pt idx="15">
                  <c:v>30828</c:v>
                </c:pt>
                <c:pt idx="16">
                  <c:v>20784</c:v>
                </c:pt>
                <c:pt idx="17">
                  <c:v>20491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52978048"/>
        <c:axId val="52979584"/>
        <c:axId val="0"/>
      </c:bar3DChart>
      <c:catAx>
        <c:axId val="5297804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52979584"/>
        <c:crosses val="autoZero"/>
        <c:auto val="0"/>
        <c:lblAlgn val="ctr"/>
        <c:lblOffset val="100"/>
        <c:noMultiLvlLbl val="0"/>
      </c:catAx>
      <c:valAx>
        <c:axId val="52979584"/>
        <c:scaling>
          <c:orientation val="minMax"/>
          <c:max val="45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52978048"/>
        <c:crosses val="autoZero"/>
        <c:crossBetween val="between"/>
        <c:majorUnit val="2000"/>
        <c:minorUnit val="4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Oferty zgłoszone do PUP przez pracodawców 1999-2019</a:t>
            </a:r>
          </a:p>
        </c:rich>
      </c:tx>
      <c:layout>
        <c:manualLayout>
          <c:xMode val="edge"/>
          <c:yMode val="edge"/>
          <c:x val="8.7244437760380864E-2"/>
          <c:y val="0.1055528552758065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T.XXV!$H$13</c:f>
              <c:strCache>
                <c:ptCount val="1"/>
                <c:pt idx="0">
                  <c:v>oferty w roku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8"/>
            <c:bubble3D val="0"/>
          </c:dPt>
          <c:cat>
            <c:numRef>
              <c:f>T.XXV!$G$15:$G$35</c:f>
              <c:numCache>
                <c:formatCode>#,##0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T.XXV!$H$15:$H$35</c:f>
              <c:numCache>
                <c:formatCode>#,##0</c:formatCode>
                <c:ptCount val="21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6624"/>
        <c:axId val="52988160"/>
      </c:lineChart>
      <c:catAx>
        <c:axId val="52986624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52988160"/>
        <c:crosses val="autoZero"/>
        <c:auto val="1"/>
        <c:lblAlgn val="ctr"/>
        <c:lblOffset val="100"/>
        <c:noMultiLvlLbl val="0"/>
      </c:catAx>
      <c:valAx>
        <c:axId val="52988160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52986624"/>
        <c:crosses val="autoZero"/>
        <c:crossBetween val="midCat"/>
        <c:majorUnit val="10000"/>
        <c:minorUnit val="2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T.XXV!$H$13</c:f>
              <c:strCache>
                <c:ptCount val="1"/>
                <c:pt idx="0">
                  <c:v>oferty w roku</c:v>
                </c:pt>
              </c:strCache>
            </c:strRef>
          </c:tx>
          <c:spPr>
            <a:ln w="635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cat>
            <c:numRef>
              <c:f>T.XXV!$G$15:$G$35</c:f>
              <c:numCache>
                <c:formatCode>#,##0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T.XXV!$H$15:$H$35</c:f>
              <c:numCache>
                <c:formatCode>#,##0</c:formatCode>
                <c:ptCount val="21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  <c:pt idx="20">
                  <c:v>53791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T.XXV!$I$13</c:f>
              <c:strCache>
                <c:ptCount val="1"/>
                <c:pt idx="0">
                  <c:v>subsydia w roku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T.XXV!$G$15:$G$35</c:f>
              <c:numCache>
                <c:formatCode>#,##0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T.XXV!$I$15:$I$35</c:f>
              <c:numCache>
                <c:formatCode>#,##0</c:formatCode>
                <c:ptCount val="21"/>
                <c:pt idx="0">
                  <c:v>14842</c:v>
                </c:pt>
                <c:pt idx="1">
                  <c:v>14996</c:v>
                </c:pt>
                <c:pt idx="2">
                  <c:v>8521</c:v>
                </c:pt>
                <c:pt idx="3">
                  <c:v>12944</c:v>
                </c:pt>
                <c:pt idx="4">
                  <c:v>22556</c:v>
                </c:pt>
                <c:pt idx="5">
                  <c:v>20038</c:v>
                </c:pt>
                <c:pt idx="6">
                  <c:v>18757</c:v>
                </c:pt>
                <c:pt idx="7">
                  <c:v>20054</c:v>
                </c:pt>
                <c:pt idx="8">
                  <c:v>24494</c:v>
                </c:pt>
                <c:pt idx="9">
                  <c:v>28458</c:v>
                </c:pt>
                <c:pt idx="10">
                  <c:v>28957</c:v>
                </c:pt>
                <c:pt idx="11">
                  <c:v>35663</c:v>
                </c:pt>
                <c:pt idx="12">
                  <c:v>16768</c:v>
                </c:pt>
                <c:pt idx="13">
                  <c:v>25146</c:v>
                </c:pt>
                <c:pt idx="14">
                  <c:v>26050</c:v>
                </c:pt>
                <c:pt idx="15">
                  <c:v>27292</c:v>
                </c:pt>
                <c:pt idx="16">
                  <c:v>28848</c:v>
                </c:pt>
                <c:pt idx="17">
                  <c:v>31407</c:v>
                </c:pt>
                <c:pt idx="18">
                  <c:v>30828</c:v>
                </c:pt>
                <c:pt idx="19">
                  <c:v>20784</c:v>
                </c:pt>
                <c:pt idx="20">
                  <c:v>20491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1152"/>
        <c:axId val="52647040"/>
      </c:lineChart>
      <c:catAx>
        <c:axId val="526411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  <a:alpha val="2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2647040"/>
        <c:crosses val="autoZero"/>
        <c:auto val="1"/>
        <c:lblAlgn val="ctr"/>
        <c:lblOffset val="100"/>
        <c:noMultiLvlLbl val="0"/>
      </c:catAx>
      <c:valAx>
        <c:axId val="52647040"/>
        <c:scaling>
          <c:orientation val="minMax"/>
        </c:scaling>
        <c:delete val="0"/>
        <c:axPos val="l"/>
        <c:minorGridlines>
          <c:spPr>
            <a:ln>
              <a:solidFill>
                <a:schemeClr val="accent4">
                  <a:lumMod val="60000"/>
                  <a:lumOff val="40000"/>
                  <a:alpha val="59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2641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3025890242998E-2"/>
          <c:y val="5.2001836411920674E-2"/>
          <c:w val="0.62425671607441391"/>
          <c:h val="0.10659437549709831"/>
        </c:manualLayout>
      </c:layout>
      <c:overlay val="0"/>
      <c:spPr>
        <a:noFill/>
      </c:spPr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T.XXV!$J$13</c:f>
              <c:strCache>
                <c:ptCount val="1"/>
                <c:pt idx="0">
                  <c:v>oferty w I pół.</c:v>
                </c:pt>
              </c:strCache>
            </c:strRef>
          </c:tx>
          <c:spPr>
            <a:ln w="635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cat>
            <c:numRef>
              <c:f>T.XXV!$G$15:$G$35</c:f>
              <c:numCache>
                <c:formatCode>#,##0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T.XXV!$J$15:$J$35</c:f>
              <c:numCache>
                <c:formatCode>#,##0</c:formatCode>
                <c:ptCount val="21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T.XXV!$L$13</c:f>
              <c:strCache>
                <c:ptCount val="1"/>
                <c:pt idx="0">
                  <c:v>subsydia Ip.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T.XXV!$G$15:$G$35</c:f>
              <c:numCache>
                <c:formatCode>#,##0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T.XXV!$L$15:$L$35</c:f>
              <c:numCache>
                <c:formatCode>#,##0</c:formatCode>
                <c:ptCount val="21"/>
                <c:pt idx="2">
                  <c:v>4362</c:v>
                </c:pt>
                <c:pt idx="3">
                  <c:v>4639</c:v>
                </c:pt>
                <c:pt idx="4">
                  <c:v>11201</c:v>
                </c:pt>
                <c:pt idx="6">
                  <c:v>10813</c:v>
                </c:pt>
                <c:pt idx="7">
                  <c:v>9779</c:v>
                </c:pt>
                <c:pt idx="8">
                  <c:v>14414</c:v>
                </c:pt>
                <c:pt idx="9">
                  <c:v>15639</c:v>
                </c:pt>
                <c:pt idx="10">
                  <c:v>16435</c:v>
                </c:pt>
                <c:pt idx="11">
                  <c:v>21368</c:v>
                </c:pt>
                <c:pt idx="12">
                  <c:v>10464</c:v>
                </c:pt>
                <c:pt idx="13">
                  <c:v>12684</c:v>
                </c:pt>
                <c:pt idx="14">
                  <c:v>17521</c:v>
                </c:pt>
                <c:pt idx="15">
                  <c:v>16121</c:v>
                </c:pt>
                <c:pt idx="16">
                  <c:v>16952</c:v>
                </c:pt>
                <c:pt idx="17">
                  <c:v>19558</c:v>
                </c:pt>
                <c:pt idx="18">
                  <c:v>17945</c:v>
                </c:pt>
                <c:pt idx="19">
                  <c:v>12024</c:v>
                </c:pt>
                <c:pt idx="20">
                  <c:v>12447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88384"/>
        <c:axId val="52689920"/>
      </c:lineChart>
      <c:catAx>
        <c:axId val="526883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  <a:alpha val="2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2689920"/>
        <c:crosses val="autoZero"/>
        <c:auto val="1"/>
        <c:lblAlgn val="ctr"/>
        <c:lblOffset val="100"/>
        <c:noMultiLvlLbl val="0"/>
      </c:catAx>
      <c:valAx>
        <c:axId val="52689920"/>
        <c:scaling>
          <c:orientation val="minMax"/>
        </c:scaling>
        <c:delete val="0"/>
        <c:axPos val="l"/>
        <c:minorGridlines>
          <c:spPr>
            <a:ln>
              <a:solidFill>
                <a:schemeClr val="accent4">
                  <a:lumMod val="60000"/>
                  <a:lumOff val="40000"/>
                  <a:alpha val="59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2688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3025890242998E-2"/>
          <c:y val="5.2001836411920674E-2"/>
          <c:w val="0.62425671607441391"/>
          <c:h val="0.10659437549709831"/>
        </c:manualLayout>
      </c:layout>
      <c:overlay val="0"/>
      <c:spPr>
        <a:noFill/>
      </c:spPr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pl-PL" b="0"/>
              <a:t>w okresie I półrocza danego roku</a:t>
            </a:r>
          </a:p>
        </c:rich>
      </c:tx>
      <c:layout>
        <c:manualLayout>
          <c:xMode val="edge"/>
          <c:yMode val="edge"/>
          <c:x val="0.30585135905815874"/>
          <c:y val="7.14894000278237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T.XXX!$L$7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T.XXX!$K$8:$K$20</c:f>
              <c:strCache>
                <c:ptCount val="13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</c:strCache>
            </c:strRef>
          </c:cat>
          <c:val>
            <c:numRef>
              <c:f>T.XXX!$L$8:$L$20</c:f>
              <c:numCache>
                <c:formatCode>#,##0</c:formatCode>
                <c:ptCount val="13"/>
                <c:pt idx="0">
                  <c:v>236</c:v>
                </c:pt>
                <c:pt idx="1">
                  <c:v>1321</c:v>
                </c:pt>
                <c:pt idx="2">
                  <c:v>8218</c:v>
                </c:pt>
                <c:pt idx="3">
                  <c:v>803</c:v>
                </c:pt>
                <c:pt idx="4">
                  <c:v>2044</c:v>
                </c:pt>
                <c:pt idx="5">
                  <c:v>438</c:v>
                </c:pt>
                <c:pt idx="6">
                  <c:v>1134</c:v>
                </c:pt>
                <c:pt idx="7">
                  <c:v>809</c:v>
                </c:pt>
                <c:pt idx="8">
                  <c:v>991</c:v>
                </c:pt>
                <c:pt idx="9">
                  <c:v>264</c:v>
                </c:pt>
                <c:pt idx="10">
                  <c:v>485</c:v>
                </c:pt>
                <c:pt idx="11">
                  <c:v>323</c:v>
                </c:pt>
                <c:pt idx="12" formatCode="General">
                  <c:v>835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T.XXX!$M$7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strRef>
              <c:f>T.XXX!$K$8:$K$20</c:f>
              <c:strCache>
                <c:ptCount val="13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</c:strCache>
            </c:strRef>
          </c:cat>
          <c:val>
            <c:numRef>
              <c:f>T.XXX!$M$8:$M$20</c:f>
              <c:numCache>
                <c:formatCode>#,##0</c:formatCode>
                <c:ptCount val="13"/>
                <c:pt idx="0">
                  <c:v>199</c:v>
                </c:pt>
                <c:pt idx="1">
                  <c:v>909</c:v>
                </c:pt>
                <c:pt idx="2">
                  <c:v>4590</c:v>
                </c:pt>
                <c:pt idx="3">
                  <c:v>129</c:v>
                </c:pt>
                <c:pt idx="4">
                  <c:v>1509</c:v>
                </c:pt>
                <c:pt idx="5">
                  <c:v>549</c:v>
                </c:pt>
                <c:pt idx="6">
                  <c:v>590</c:v>
                </c:pt>
                <c:pt idx="7">
                  <c:v>378</c:v>
                </c:pt>
                <c:pt idx="8">
                  <c:v>419</c:v>
                </c:pt>
                <c:pt idx="9">
                  <c:v>92</c:v>
                </c:pt>
                <c:pt idx="10">
                  <c:v>348</c:v>
                </c:pt>
                <c:pt idx="11">
                  <c:v>358</c:v>
                </c:pt>
                <c:pt idx="12" formatCode="General">
                  <c:v>333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7952"/>
        <c:axId val="52883840"/>
      </c:lineChart>
      <c:catAx>
        <c:axId val="52877952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52883840"/>
        <c:crosses val="autoZero"/>
        <c:auto val="1"/>
        <c:lblAlgn val="ctr"/>
        <c:lblOffset val="100"/>
        <c:noMultiLvlLbl val="0"/>
      </c:catAx>
      <c:valAx>
        <c:axId val="52883840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52877952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667302271464228"/>
          <c:y val="0.17731019725123659"/>
          <c:w val="0.48075167134874613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300403</xdr:colOff>
      <xdr:row>12</xdr:row>
      <xdr:rowOff>146538</xdr:rowOff>
    </xdr:from>
    <xdr:to>
      <xdr:col>15</xdr:col>
      <xdr:colOff>139211</xdr:colOff>
      <xdr:row>27</xdr:row>
      <xdr:rowOff>36635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166420</xdr:colOff>
      <xdr:row>10</xdr:row>
      <xdr:rowOff>140230</xdr:rowOff>
    </xdr:from>
    <xdr:to>
      <xdr:col>23</xdr:col>
      <xdr:colOff>428624</xdr:colOff>
      <xdr:row>29</xdr:row>
      <xdr:rowOff>71438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371209</xdr:colOff>
      <xdr:row>8</xdr:row>
      <xdr:rowOff>199761</xdr:rowOff>
    </xdr:from>
    <xdr:to>
      <xdr:col>23</xdr:col>
      <xdr:colOff>511968</xdr:colOff>
      <xdr:row>27</xdr:row>
      <xdr:rowOff>119063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66674</xdr:colOff>
      <xdr:row>0</xdr:row>
      <xdr:rowOff>104775</xdr:rowOff>
    </xdr:from>
    <xdr:to>
      <xdr:col>24</xdr:col>
      <xdr:colOff>19050</xdr:colOff>
      <xdr:row>14</xdr:row>
      <xdr:rowOff>38100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12</xdr:row>
      <xdr:rowOff>276225</xdr:rowOff>
    </xdr:from>
    <xdr:to>
      <xdr:col>24</xdr:col>
      <xdr:colOff>19051</xdr:colOff>
      <xdr:row>28</xdr:row>
      <xdr:rowOff>28575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76199</xdr:colOff>
      <xdr:row>1</xdr:row>
      <xdr:rowOff>161925</xdr:rowOff>
    </xdr:from>
    <xdr:to>
      <xdr:col>13</xdr:col>
      <xdr:colOff>371475</xdr:colOff>
      <xdr:row>11</xdr:row>
      <xdr:rowOff>76200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133350</xdr:colOff>
      <xdr:row>27</xdr:row>
      <xdr:rowOff>57150</xdr:rowOff>
    </xdr:from>
    <xdr:to>
      <xdr:col>26</xdr:col>
      <xdr:colOff>221193</xdr:colOff>
      <xdr:row>40</xdr:row>
      <xdr:rowOff>60325</xdr:rowOff>
    </xdr:to>
    <xdr:graphicFrame macro="">
      <xdr:nvGraphicFramePr>
        <xdr:cNvPr id="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123825</xdr:colOff>
      <xdr:row>40</xdr:row>
      <xdr:rowOff>85725</xdr:rowOff>
    </xdr:from>
    <xdr:to>
      <xdr:col>26</xdr:col>
      <xdr:colOff>211668</xdr:colOff>
      <xdr:row>53</xdr:row>
      <xdr:rowOff>117475</xdr:rowOff>
    </xdr:to>
    <xdr:graphicFrame macro="">
      <xdr:nvGraphicFramePr>
        <xdr:cNvPr id="6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317500</xdr:colOff>
      <xdr:row>11</xdr:row>
      <xdr:rowOff>158750</xdr:rowOff>
    </xdr:from>
    <xdr:to>
      <xdr:col>22</xdr:col>
      <xdr:colOff>423333</xdr:colOff>
      <xdr:row>24</xdr:row>
      <xdr:rowOff>169332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328083</xdr:colOff>
      <xdr:row>1</xdr:row>
      <xdr:rowOff>21166</xdr:rowOff>
    </xdr:from>
    <xdr:to>
      <xdr:col>22</xdr:col>
      <xdr:colOff>433916</xdr:colOff>
      <xdr:row>11</xdr:row>
      <xdr:rowOff>116415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295275</xdr:colOff>
      <xdr:row>4</xdr:row>
      <xdr:rowOff>66675</xdr:rowOff>
    </xdr:from>
    <xdr:to>
      <xdr:col>26</xdr:col>
      <xdr:colOff>9525</xdr:colOff>
      <xdr:row>11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20</xdr:row>
      <xdr:rowOff>176213</xdr:rowOff>
    </xdr:from>
    <xdr:to>
      <xdr:col>25</xdr:col>
      <xdr:colOff>554830</xdr:colOff>
      <xdr:row>34</xdr:row>
      <xdr:rowOff>80963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95249</xdr:colOff>
      <xdr:row>35</xdr:row>
      <xdr:rowOff>33337</xdr:rowOff>
    </xdr:from>
    <xdr:to>
      <xdr:col>26</xdr:col>
      <xdr:colOff>178594</xdr:colOff>
      <xdr:row>49</xdr:row>
      <xdr:rowOff>23813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440532</xdr:colOff>
      <xdr:row>11</xdr:row>
      <xdr:rowOff>95250</xdr:rowOff>
    </xdr:from>
    <xdr:to>
      <xdr:col>26</xdr:col>
      <xdr:colOff>95250</xdr:colOff>
      <xdr:row>20</xdr:row>
      <xdr:rowOff>50006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J11"/>
  <sheetViews>
    <sheetView tabSelected="1" zoomScale="130" zoomScaleNormal="13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32" style="11" customWidth="1"/>
    <col min="3" max="3" width="10.7109375" style="11" customWidth="1"/>
    <col min="4" max="4" width="9.28515625" style="11" customWidth="1"/>
    <col min="5" max="5" width="7.7109375" style="11" customWidth="1"/>
    <col min="6" max="6" width="10.5703125" style="11" customWidth="1"/>
    <col min="7" max="7" width="9" style="11" customWidth="1"/>
    <col min="8" max="8" width="8.42578125" style="11" customWidth="1"/>
    <col min="9" max="9" width="12.7109375" style="11" customWidth="1"/>
    <col min="10" max="10" width="12.85546875" style="11" customWidth="1"/>
    <col min="11" max="16384" width="9.140625" style="11"/>
  </cols>
  <sheetData>
    <row r="1" spans="2:10" ht="12.75" customHeight="1" x14ac:dyDescent="0.25"/>
    <row r="2" spans="2:10" x14ac:dyDescent="0.25">
      <c r="B2" s="11" t="s">
        <v>319</v>
      </c>
    </row>
    <row r="3" spans="2:10" x14ac:dyDescent="0.25">
      <c r="B3" s="11" t="s">
        <v>320</v>
      </c>
    </row>
    <row r="4" spans="2:10" ht="13.5" customHeight="1" thickBot="1" x14ac:dyDescent="0.3"/>
    <row r="5" spans="2:10" ht="30" customHeight="1" x14ac:dyDescent="0.25">
      <c r="B5" s="1082" t="s">
        <v>133</v>
      </c>
      <c r="C5" s="1085" t="s">
        <v>349</v>
      </c>
      <c r="D5" s="1085"/>
      <c r="E5" s="1086"/>
      <c r="F5" s="1085" t="s">
        <v>421</v>
      </c>
      <c r="G5" s="1085"/>
      <c r="H5" s="1086"/>
      <c r="I5" s="1085" t="s">
        <v>335</v>
      </c>
      <c r="J5" s="1089" t="s">
        <v>197</v>
      </c>
    </row>
    <row r="6" spans="2:10" ht="26.25" customHeight="1" x14ac:dyDescent="0.25">
      <c r="B6" s="1083"/>
      <c r="C6" s="1092" t="s">
        <v>136</v>
      </c>
      <c r="D6" s="1093" t="s">
        <v>119</v>
      </c>
      <c r="E6" s="1094"/>
      <c r="F6" s="1092" t="s">
        <v>136</v>
      </c>
      <c r="G6" s="1093" t="s">
        <v>119</v>
      </c>
      <c r="H6" s="1094"/>
      <c r="I6" s="1087"/>
      <c r="J6" s="1090"/>
    </row>
    <row r="7" spans="2:10" ht="43.5" customHeight="1" thickBot="1" x14ac:dyDescent="0.3">
      <c r="B7" s="1084"/>
      <c r="C7" s="1088"/>
      <c r="D7" s="352" t="s">
        <v>137</v>
      </c>
      <c r="E7" s="94" t="s">
        <v>138</v>
      </c>
      <c r="F7" s="1088"/>
      <c r="G7" s="352" t="s">
        <v>137</v>
      </c>
      <c r="H7" s="94" t="s">
        <v>138</v>
      </c>
      <c r="I7" s="1088"/>
      <c r="J7" s="1091"/>
    </row>
    <row r="8" spans="2:10" ht="34.5" customHeight="1" x14ac:dyDescent="0.25">
      <c r="B8" s="73" t="s">
        <v>4</v>
      </c>
      <c r="C8" s="74">
        <v>82933</v>
      </c>
      <c r="D8" s="75">
        <v>45024</v>
      </c>
      <c r="E8" s="76">
        <f>D8*100/C8</f>
        <v>54.289607273341133</v>
      </c>
      <c r="F8" s="74">
        <v>75455</v>
      </c>
      <c r="G8" s="75">
        <v>40284</v>
      </c>
      <c r="H8" s="76">
        <f>G8*100/F8</f>
        <v>53.388112119806507</v>
      </c>
      <c r="I8" s="74">
        <f>SUM(F8-C8)</f>
        <v>-7478</v>
      </c>
      <c r="J8" s="363">
        <f>SUM(I8/C8*100)</f>
        <v>-9.0169172705678076</v>
      </c>
    </row>
    <row r="9" spans="2:10" ht="27" customHeight="1" x14ac:dyDescent="0.25">
      <c r="B9" s="12" t="s">
        <v>0</v>
      </c>
      <c r="C9" s="70">
        <v>69871</v>
      </c>
      <c r="D9" s="9">
        <v>36766</v>
      </c>
      <c r="E9" s="7">
        <f>D9*100/C9</f>
        <v>52.619827968685151</v>
      </c>
      <c r="F9" s="70">
        <v>64397</v>
      </c>
      <c r="G9" s="9">
        <v>33402</v>
      </c>
      <c r="H9" s="7">
        <f>G9*100/F9</f>
        <v>51.868875879311148</v>
      </c>
      <c r="I9" s="70">
        <f>SUM(F9-C9)</f>
        <v>-5474</v>
      </c>
      <c r="J9" s="362">
        <f>SUM(I9/C9*100)</f>
        <v>-7.8344377495670594</v>
      </c>
    </row>
    <row r="10" spans="2:10" ht="36" customHeight="1" x14ac:dyDescent="0.25">
      <c r="B10" s="750" t="s">
        <v>134</v>
      </c>
      <c r="C10" s="70">
        <v>3039</v>
      </c>
      <c r="D10" s="9">
        <v>1721</v>
      </c>
      <c r="E10" s="7">
        <f>D10*100/C10</f>
        <v>56.630470549522869</v>
      </c>
      <c r="F10" s="70">
        <v>2715</v>
      </c>
      <c r="G10" s="9">
        <v>1506</v>
      </c>
      <c r="H10" s="7">
        <f>G10*100/F10</f>
        <v>55.469613259668506</v>
      </c>
      <c r="I10" s="70">
        <f>SUM(F10-C10)</f>
        <v>-324</v>
      </c>
      <c r="J10" s="362">
        <f>SUM(I10/C10*100)</f>
        <v>-10.661401776900297</v>
      </c>
    </row>
    <row r="11" spans="2:10" ht="27.75" customHeight="1" thickBot="1" x14ac:dyDescent="0.3">
      <c r="B11" s="103" t="s">
        <v>2</v>
      </c>
      <c r="C11" s="3">
        <v>13062</v>
      </c>
      <c r="D11" s="5">
        <v>8258</v>
      </c>
      <c r="E11" s="8">
        <f>D11*100/C11</f>
        <v>63.221558719951005</v>
      </c>
      <c r="F11" s="3">
        <v>11058</v>
      </c>
      <c r="G11" s="5">
        <v>6882</v>
      </c>
      <c r="H11" s="8">
        <f>G11*100/F11</f>
        <v>62.235485621269667</v>
      </c>
      <c r="I11" s="3">
        <f>SUM(F11-C11)</f>
        <v>-2004</v>
      </c>
      <c r="J11" s="364">
        <f>SUM(I11/C11*100)</f>
        <v>-15.342214056040424</v>
      </c>
    </row>
  </sheetData>
  <mergeCells count="9">
    <mergeCell ref="B5:B7"/>
    <mergeCell ref="F5:H5"/>
    <mergeCell ref="C5:E5"/>
    <mergeCell ref="I5:I7"/>
    <mergeCell ref="J5:J7"/>
    <mergeCell ref="F6:F7"/>
    <mergeCell ref="G6:H6"/>
    <mergeCell ref="C6:C7"/>
    <mergeCell ref="D6:E6"/>
  </mergeCells>
  <pageMargins left="1.299212598425197" right="0.70866141732283472" top="1.3779527559055118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P32"/>
  <sheetViews>
    <sheetView zoomScale="130" zoomScaleNormal="130" workbookViewId="0">
      <selection activeCell="B1" sqref="B1"/>
    </sheetView>
  </sheetViews>
  <sheetFormatPr defaultRowHeight="11.25" x14ac:dyDescent="0.2"/>
  <cols>
    <col min="1" max="1" width="1.42578125" style="469" customWidth="1"/>
    <col min="2" max="2" width="22.85546875" style="469" customWidth="1"/>
    <col min="3" max="3" width="8.42578125" style="469" customWidth="1"/>
    <col min="4" max="4" width="7.85546875" style="469" customWidth="1"/>
    <col min="5" max="5" width="8.5703125" style="469" customWidth="1"/>
    <col min="6" max="6" width="8.7109375" style="469" customWidth="1"/>
    <col min="7" max="8" width="8.5703125" style="469" customWidth="1"/>
    <col min="9" max="9" width="8" style="469" customWidth="1"/>
    <col min="10" max="10" width="3" style="469" customWidth="1"/>
    <col min="11" max="11" width="5.5703125" style="550" customWidth="1"/>
    <col min="12" max="12" width="10.85546875" style="469" bestFit="1" customWidth="1"/>
    <col min="13" max="16384" width="9.140625" style="469"/>
  </cols>
  <sheetData>
    <row r="1" spans="2:16" ht="12" customHeight="1" x14ac:dyDescent="0.2"/>
    <row r="2" spans="2:16" x14ac:dyDescent="0.2">
      <c r="B2" s="468" t="s">
        <v>470</v>
      </c>
    </row>
    <row r="3" spans="2:16" x14ac:dyDescent="0.2">
      <c r="B3" s="469" t="s">
        <v>285</v>
      </c>
    </row>
    <row r="4" spans="2:16" ht="12" thickBot="1" x14ac:dyDescent="0.25">
      <c r="B4" s="469" t="s">
        <v>424</v>
      </c>
    </row>
    <row r="5" spans="2:16" x14ac:dyDescent="0.2">
      <c r="B5" s="588"/>
      <c r="C5" s="471"/>
      <c r="D5" s="1143" t="s">
        <v>183</v>
      </c>
      <c r="E5" s="1143"/>
      <c r="F5" s="1143"/>
      <c r="G5" s="1143"/>
      <c r="H5" s="1143"/>
      <c r="I5" s="1144"/>
      <c r="K5" s="551"/>
    </row>
    <row r="6" spans="2:16" ht="16.5" customHeight="1" thickBot="1" x14ac:dyDescent="0.25">
      <c r="B6" s="472" t="s">
        <v>3</v>
      </c>
      <c r="C6" s="473"/>
      <c r="D6" s="1145"/>
      <c r="E6" s="1145"/>
      <c r="F6" s="1145"/>
      <c r="G6" s="1145"/>
      <c r="H6" s="1145"/>
      <c r="I6" s="1146"/>
      <c r="K6" s="551"/>
    </row>
    <row r="7" spans="2:16" ht="24" customHeight="1" thickBot="1" x14ac:dyDescent="0.25">
      <c r="B7" s="474"/>
      <c r="C7" s="589" t="s">
        <v>136</v>
      </c>
      <c r="D7" s="475" t="s">
        <v>324</v>
      </c>
      <c r="E7" s="476" t="s">
        <v>325</v>
      </c>
      <c r="F7" s="476" t="s">
        <v>326</v>
      </c>
      <c r="G7" s="476" t="s">
        <v>327</v>
      </c>
      <c r="H7" s="476" t="s">
        <v>328</v>
      </c>
      <c r="I7" s="477" t="s">
        <v>329</v>
      </c>
      <c r="K7" s="551"/>
    </row>
    <row r="8" spans="2:16" ht="20.25" customHeight="1" thickBot="1" x14ac:dyDescent="0.25">
      <c r="B8" s="594" t="s">
        <v>62</v>
      </c>
      <c r="C8" s="595">
        <f>SUM(D8:I8)</f>
        <v>75455</v>
      </c>
      <c r="D8" s="596">
        <f t="shared" ref="D8:I8" si="0">SUM(D10:D15)</f>
        <v>7690</v>
      </c>
      <c r="E8" s="597">
        <f t="shared" si="0"/>
        <v>13092</v>
      </c>
      <c r="F8" s="597">
        <f t="shared" si="0"/>
        <v>10484</v>
      </c>
      <c r="G8" s="597">
        <f t="shared" si="0"/>
        <v>10726</v>
      </c>
      <c r="H8" s="597">
        <f t="shared" si="0"/>
        <v>10981</v>
      </c>
      <c r="I8" s="598">
        <f t="shared" si="0"/>
        <v>22482</v>
      </c>
      <c r="K8" s="551"/>
    </row>
    <row r="9" spans="2:16" ht="12.75" customHeight="1" thickBot="1" x14ac:dyDescent="0.25">
      <c r="B9" s="776" t="s">
        <v>63</v>
      </c>
      <c r="C9" s="552"/>
      <c r="D9" s="552"/>
      <c r="E9" s="552"/>
      <c r="F9" s="552"/>
      <c r="G9" s="552"/>
      <c r="H9" s="552"/>
      <c r="I9" s="553"/>
      <c r="K9" s="551"/>
    </row>
    <row r="10" spans="2:16" ht="10.5" customHeight="1" thickTop="1" x14ac:dyDescent="0.2">
      <c r="B10" s="484" t="s">
        <v>64</v>
      </c>
      <c r="C10" s="485">
        <f t="shared" ref="C10:C15" si="1">SUM(D10:I10)</f>
        <v>10295</v>
      </c>
      <c r="D10" s="456">
        <v>1811</v>
      </c>
      <c r="E10" s="457">
        <v>3175</v>
      </c>
      <c r="F10" s="457">
        <v>2139</v>
      </c>
      <c r="G10" s="457">
        <v>1201</v>
      </c>
      <c r="H10" s="457">
        <v>1176</v>
      </c>
      <c r="I10" s="458">
        <v>793</v>
      </c>
      <c r="K10" s="551"/>
      <c r="L10" s="579"/>
      <c r="M10" s="579"/>
      <c r="N10" s="579"/>
      <c r="O10" s="579"/>
      <c r="P10" s="579"/>
    </row>
    <row r="11" spans="2:16" ht="9.75" customHeight="1" x14ac:dyDescent="0.2">
      <c r="B11" s="486" t="s">
        <v>65</v>
      </c>
      <c r="C11" s="487">
        <f t="shared" si="1"/>
        <v>22239</v>
      </c>
      <c r="D11" s="459">
        <v>2410</v>
      </c>
      <c r="E11" s="460">
        <v>3972</v>
      </c>
      <c r="F11" s="460">
        <v>3289</v>
      </c>
      <c r="G11" s="460">
        <v>3432</v>
      </c>
      <c r="H11" s="460">
        <v>3586</v>
      </c>
      <c r="I11" s="461">
        <v>5550</v>
      </c>
      <c r="L11" s="525"/>
    </row>
    <row r="12" spans="2:16" x14ac:dyDescent="0.2">
      <c r="B12" s="486" t="s">
        <v>66</v>
      </c>
      <c r="C12" s="487">
        <f t="shared" si="1"/>
        <v>17848</v>
      </c>
      <c r="D12" s="459">
        <v>1584</v>
      </c>
      <c r="E12" s="460">
        <v>2635</v>
      </c>
      <c r="F12" s="460">
        <v>2338</v>
      </c>
      <c r="G12" s="460">
        <v>2624</v>
      </c>
      <c r="H12" s="460">
        <v>2830</v>
      </c>
      <c r="I12" s="461">
        <v>5837</v>
      </c>
    </row>
    <row r="13" spans="2:16" x14ac:dyDescent="0.2">
      <c r="B13" s="486" t="s">
        <v>67</v>
      </c>
      <c r="C13" s="487">
        <f t="shared" si="1"/>
        <v>13553</v>
      </c>
      <c r="D13" s="459">
        <v>1200</v>
      </c>
      <c r="E13" s="460">
        <v>1986</v>
      </c>
      <c r="F13" s="460">
        <v>1579</v>
      </c>
      <c r="G13" s="460">
        <v>1897</v>
      </c>
      <c r="H13" s="460">
        <v>1822</v>
      </c>
      <c r="I13" s="461">
        <v>5069</v>
      </c>
    </row>
    <row r="14" spans="2:16" ht="9.75" customHeight="1" x14ac:dyDescent="0.2">
      <c r="B14" s="486" t="s">
        <v>68</v>
      </c>
      <c r="C14" s="487">
        <f t="shared" si="1"/>
        <v>7628</v>
      </c>
      <c r="D14" s="459">
        <v>474</v>
      </c>
      <c r="E14" s="460">
        <v>891</v>
      </c>
      <c r="F14" s="460">
        <v>804</v>
      </c>
      <c r="G14" s="460">
        <v>1083</v>
      </c>
      <c r="H14" s="460">
        <v>1038</v>
      </c>
      <c r="I14" s="461">
        <v>3338</v>
      </c>
    </row>
    <row r="15" spans="2:16" ht="10.5" customHeight="1" x14ac:dyDescent="0.2">
      <c r="B15" s="486" t="s">
        <v>69</v>
      </c>
      <c r="C15" s="487">
        <f t="shared" si="1"/>
        <v>3892</v>
      </c>
      <c r="D15" s="459">
        <v>211</v>
      </c>
      <c r="E15" s="460">
        <v>433</v>
      </c>
      <c r="F15" s="460">
        <v>335</v>
      </c>
      <c r="G15" s="460">
        <v>489</v>
      </c>
      <c r="H15" s="460">
        <v>529</v>
      </c>
      <c r="I15" s="461">
        <v>1895</v>
      </c>
      <c r="K15" s="551"/>
    </row>
    <row r="16" spans="2:16" ht="12.75" customHeight="1" thickBot="1" x14ac:dyDescent="0.25">
      <c r="B16" s="777" t="s">
        <v>70</v>
      </c>
      <c r="C16" s="554"/>
      <c r="D16" s="554"/>
      <c r="E16" s="554"/>
      <c r="F16" s="554"/>
      <c r="G16" s="554"/>
      <c r="H16" s="554"/>
      <c r="I16" s="555"/>
    </row>
    <row r="17" spans="2:11" ht="12" thickTop="1" x14ac:dyDescent="0.2">
      <c r="B17" s="484" t="s">
        <v>71</v>
      </c>
      <c r="C17" s="485">
        <f t="shared" ref="C17:C21" si="2">SUM(D17:I17)</f>
        <v>11753</v>
      </c>
      <c r="D17" s="456">
        <v>1239</v>
      </c>
      <c r="E17" s="457">
        <v>2341</v>
      </c>
      <c r="F17" s="457">
        <v>1819</v>
      </c>
      <c r="G17" s="457">
        <v>1843</v>
      </c>
      <c r="H17" s="457">
        <v>1852</v>
      </c>
      <c r="I17" s="458">
        <v>2659</v>
      </c>
    </row>
    <row r="18" spans="2:11" ht="12.75" customHeight="1" x14ac:dyDescent="0.2">
      <c r="B18" s="486" t="s">
        <v>12</v>
      </c>
      <c r="C18" s="487">
        <f t="shared" si="2"/>
        <v>19754</v>
      </c>
      <c r="D18" s="459">
        <v>2163</v>
      </c>
      <c r="E18" s="460">
        <v>3569</v>
      </c>
      <c r="F18" s="460">
        <v>2930</v>
      </c>
      <c r="G18" s="460">
        <v>2769</v>
      </c>
      <c r="H18" s="460">
        <v>2863</v>
      </c>
      <c r="I18" s="461">
        <v>5460</v>
      </c>
      <c r="K18" s="551"/>
    </row>
    <row r="19" spans="2:11" x14ac:dyDescent="0.2">
      <c r="B19" s="486" t="s">
        <v>420</v>
      </c>
      <c r="C19" s="487">
        <f t="shared" si="2"/>
        <v>8350</v>
      </c>
      <c r="D19" s="459">
        <v>958</v>
      </c>
      <c r="E19" s="460">
        <v>1532</v>
      </c>
      <c r="F19" s="460">
        <v>1249</v>
      </c>
      <c r="G19" s="460">
        <v>1176</v>
      </c>
      <c r="H19" s="460">
        <v>1262</v>
      </c>
      <c r="I19" s="461">
        <v>2173</v>
      </c>
    </row>
    <row r="20" spans="2:11" x14ac:dyDescent="0.2">
      <c r="B20" s="486" t="s">
        <v>72</v>
      </c>
      <c r="C20" s="487">
        <f t="shared" si="2"/>
        <v>20907</v>
      </c>
      <c r="D20" s="459">
        <v>2149</v>
      </c>
      <c r="E20" s="460">
        <v>3475</v>
      </c>
      <c r="F20" s="460">
        <v>2796</v>
      </c>
      <c r="G20" s="460">
        <v>2864</v>
      </c>
      <c r="H20" s="460">
        <v>2888</v>
      </c>
      <c r="I20" s="461">
        <v>6735</v>
      </c>
    </row>
    <row r="21" spans="2:11" ht="11.25" customHeight="1" x14ac:dyDescent="0.2">
      <c r="B21" s="486" t="s">
        <v>457</v>
      </c>
      <c r="C21" s="487">
        <f t="shared" si="2"/>
        <v>14691</v>
      </c>
      <c r="D21" s="459">
        <v>1181</v>
      </c>
      <c r="E21" s="460">
        <v>2175</v>
      </c>
      <c r="F21" s="460">
        <v>1690</v>
      </c>
      <c r="G21" s="460">
        <v>2074</v>
      </c>
      <c r="H21" s="460">
        <v>2116</v>
      </c>
      <c r="I21" s="461">
        <v>5455</v>
      </c>
      <c r="K21" s="551"/>
    </row>
    <row r="22" spans="2:11" ht="12.75" customHeight="1" thickBot="1" x14ac:dyDescent="0.25">
      <c r="B22" s="778" t="s">
        <v>74</v>
      </c>
      <c r="C22" s="556"/>
      <c r="D22" s="554"/>
      <c r="E22" s="554"/>
      <c r="F22" s="554"/>
      <c r="G22" s="554"/>
      <c r="H22" s="554"/>
      <c r="I22" s="555"/>
    </row>
    <row r="23" spans="2:11" ht="12" thickTop="1" x14ac:dyDescent="0.2">
      <c r="B23" s="488" t="s">
        <v>75</v>
      </c>
      <c r="C23" s="489">
        <f t="shared" ref="C23:C29" si="3">SUM(D23:I23)</f>
        <v>15292</v>
      </c>
      <c r="D23" s="462">
        <v>1851</v>
      </c>
      <c r="E23" s="463">
        <v>3192</v>
      </c>
      <c r="F23" s="463">
        <v>2127</v>
      </c>
      <c r="G23" s="463">
        <v>1974</v>
      </c>
      <c r="H23" s="463">
        <v>2143</v>
      </c>
      <c r="I23" s="464">
        <v>4005</v>
      </c>
    </row>
    <row r="24" spans="2:11" x14ac:dyDescent="0.2">
      <c r="B24" s="490" t="s">
        <v>79</v>
      </c>
      <c r="C24" s="487">
        <f t="shared" si="3"/>
        <v>19686</v>
      </c>
      <c r="D24" s="459">
        <v>2209</v>
      </c>
      <c r="E24" s="460">
        <v>3612</v>
      </c>
      <c r="F24" s="460">
        <v>2883</v>
      </c>
      <c r="G24" s="460">
        <v>3021</v>
      </c>
      <c r="H24" s="460">
        <v>2898</v>
      </c>
      <c r="I24" s="461">
        <v>5063</v>
      </c>
    </row>
    <row r="25" spans="2:11" x14ac:dyDescent="0.2">
      <c r="B25" s="490" t="s">
        <v>80</v>
      </c>
      <c r="C25" s="487">
        <f t="shared" si="3"/>
        <v>11325</v>
      </c>
      <c r="D25" s="459">
        <v>1104</v>
      </c>
      <c r="E25" s="460">
        <v>1737</v>
      </c>
      <c r="F25" s="460">
        <v>1512</v>
      </c>
      <c r="G25" s="460">
        <v>1825</v>
      </c>
      <c r="H25" s="460">
        <v>1789</v>
      </c>
      <c r="I25" s="461">
        <v>3358</v>
      </c>
    </row>
    <row r="26" spans="2:11" x14ac:dyDescent="0.2">
      <c r="B26" s="490" t="s">
        <v>81</v>
      </c>
      <c r="C26" s="487">
        <f t="shared" si="3"/>
        <v>10593</v>
      </c>
      <c r="D26" s="459">
        <v>1016</v>
      </c>
      <c r="E26" s="460">
        <v>1613</v>
      </c>
      <c r="F26" s="460">
        <v>1382</v>
      </c>
      <c r="G26" s="460">
        <v>1560</v>
      </c>
      <c r="H26" s="460">
        <v>1579</v>
      </c>
      <c r="I26" s="461">
        <v>3443</v>
      </c>
    </row>
    <row r="27" spans="2:11" x14ac:dyDescent="0.2">
      <c r="B27" s="491" t="s">
        <v>82</v>
      </c>
      <c r="C27" s="487">
        <f t="shared" si="3"/>
        <v>5591</v>
      </c>
      <c r="D27" s="459">
        <v>520</v>
      </c>
      <c r="E27" s="460">
        <v>832</v>
      </c>
      <c r="F27" s="460">
        <v>705</v>
      </c>
      <c r="G27" s="460">
        <v>918</v>
      </c>
      <c r="H27" s="460">
        <v>806</v>
      </c>
      <c r="I27" s="461">
        <v>1810</v>
      </c>
    </row>
    <row r="28" spans="2:11" x14ac:dyDescent="0.2">
      <c r="B28" s="490" t="s">
        <v>83</v>
      </c>
      <c r="C28" s="487">
        <f t="shared" si="3"/>
        <v>1910</v>
      </c>
      <c r="D28" s="459">
        <v>201</v>
      </c>
      <c r="E28" s="460">
        <v>324</v>
      </c>
      <c r="F28" s="460">
        <v>323</v>
      </c>
      <c r="G28" s="460">
        <v>372</v>
      </c>
      <c r="H28" s="460">
        <v>253</v>
      </c>
      <c r="I28" s="461">
        <v>437</v>
      </c>
    </row>
    <row r="29" spans="2:11" ht="12" thickBot="1" x14ac:dyDescent="0.25">
      <c r="B29" s="492" t="s">
        <v>76</v>
      </c>
      <c r="C29" s="493">
        <f t="shared" si="3"/>
        <v>11058</v>
      </c>
      <c r="D29" s="465">
        <v>789</v>
      </c>
      <c r="E29" s="466">
        <v>1782</v>
      </c>
      <c r="F29" s="466">
        <v>1552</v>
      </c>
      <c r="G29" s="466">
        <v>1056</v>
      </c>
      <c r="H29" s="466">
        <v>1513</v>
      </c>
      <c r="I29" s="467">
        <v>4366</v>
      </c>
      <c r="K29" s="551"/>
    </row>
    <row r="30" spans="2:11" x14ac:dyDescent="0.2">
      <c r="C30" s="551">
        <f>SUM(T.XIII!C10:C15)</f>
        <v>40284</v>
      </c>
      <c r="D30" s="551">
        <f>SUM(T.XIII!D10:D15)</f>
        <v>3113</v>
      </c>
      <c r="E30" s="551">
        <f>SUM(T.XIII!E10:E15)</f>
        <v>6046</v>
      </c>
      <c r="F30" s="551">
        <f>SUM(T.XIII!F10:F15)</f>
        <v>5447</v>
      </c>
      <c r="G30" s="551">
        <f>SUM(T.XIII!G10:G15)</f>
        <v>5484</v>
      </c>
      <c r="H30" s="551">
        <f>SUM(T.XIII!H10:H15)</f>
        <v>6246</v>
      </c>
      <c r="I30" s="551">
        <f>SUM(T.XIII!I10:I15)</f>
        <v>13948</v>
      </c>
      <c r="K30" s="551">
        <f>SUM(I23+I24+I29)</f>
        <v>13434</v>
      </c>
    </row>
    <row r="31" spans="2:11" x14ac:dyDescent="0.2">
      <c r="C31" s="551">
        <f>SUM(T.XIII!C17:C21)</f>
        <v>40284</v>
      </c>
      <c r="D31" s="551">
        <f>SUM(T.XIII!D17:D21)</f>
        <v>3113</v>
      </c>
      <c r="E31" s="551">
        <f>SUM(T.XIII!E17:E21)</f>
        <v>6046</v>
      </c>
      <c r="F31" s="551">
        <f>SUM(T.XIII!F17:F21)</f>
        <v>5447</v>
      </c>
      <c r="G31" s="551">
        <f>SUM(T.XIII!G17:G21)</f>
        <v>5484</v>
      </c>
      <c r="H31" s="551">
        <f>SUM(T.XIII!H17:H21)</f>
        <v>6246</v>
      </c>
      <c r="I31" s="551">
        <f>SUM(T.XIII!I17:I21)</f>
        <v>13948</v>
      </c>
      <c r="K31" s="580">
        <f>SUM(K30/I8)*100</f>
        <v>59.754470242860961</v>
      </c>
    </row>
    <row r="32" spans="2:11" x14ac:dyDescent="0.2">
      <c r="C32" s="551">
        <f>SUM(T.XIII!C23:C29)</f>
        <v>40284</v>
      </c>
      <c r="D32" s="551">
        <f>SUM(T.XIII!D23:D29)</f>
        <v>3113</v>
      </c>
      <c r="E32" s="551">
        <f>SUM(T.XIII!E23:E29)</f>
        <v>6046</v>
      </c>
      <c r="F32" s="551">
        <f>SUM(T.XIII!F23:F29)</f>
        <v>5447</v>
      </c>
      <c r="G32" s="551">
        <f>SUM(T.XIII!G23:G29)</f>
        <v>5484</v>
      </c>
      <c r="H32" s="551">
        <f>SUM(T.XIII!H23:H29)</f>
        <v>6246</v>
      </c>
      <c r="I32" s="551">
        <f>SUM(T.XIII!I23:I29)</f>
        <v>13948</v>
      </c>
    </row>
  </sheetData>
  <mergeCells count="1">
    <mergeCell ref="D5:I6"/>
  </mergeCells>
  <printOptions horizontalCentered="1"/>
  <pageMargins left="0.6692913385826772" right="0" top="1.3779527559055118" bottom="0" header="0" footer="0"/>
  <pageSetup paperSize="9" scale="12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P32"/>
  <sheetViews>
    <sheetView zoomScale="130" zoomScaleNormal="130" workbookViewId="0">
      <selection activeCell="B1" sqref="B1"/>
    </sheetView>
  </sheetViews>
  <sheetFormatPr defaultRowHeight="11.25" x14ac:dyDescent="0.2"/>
  <cols>
    <col min="1" max="1" width="1.85546875" style="469" customWidth="1"/>
    <col min="2" max="2" width="22.140625" style="469" customWidth="1"/>
    <col min="3" max="3" width="8.85546875" style="469" customWidth="1"/>
    <col min="4" max="4" width="6.85546875" style="469" customWidth="1"/>
    <col min="5" max="6" width="7.85546875" style="469" customWidth="1"/>
    <col min="7" max="7" width="8.85546875" style="469" customWidth="1"/>
    <col min="8" max="8" width="8.7109375" style="469" customWidth="1"/>
    <col min="9" max="9" width="7.85546875" style="469" customWidth="1"/>
    <col min="10" max="10" width="3.5703125" style="469" customWidth="1"/>
    <col min="11" max="11" width="5.42578125" style="550" customWidth="1"/>
    <col min="12" max="12" width="27.140625" style="469" customWidth="1"/>
    <col min="13" max="13" width="7.7109375" style="469" customWidth="1"/>
    <col min="14" max="14" width="9.140625" style="469"/>
    <col min="15" max="15" width="10.28515625" style="469" customWidth="1"/>
    <col min="16" max="16" width="7.7109375" style="469" customWidth="1"/>
    <col min="17" max="16384" width="9.140625" style="469"/>
  </cols>
  <sheetData>
    <row r="1" spans="2:16" ht="12" customHeight="1" x14ac:dyDescent="0.2"/>
    <row r="2" spans="2:16" x14ac:dyDescent="0.2">
      <c r="B2" s="468" t="s">
        <v>471</v>
      </c>
    </row>
    <row r="3" spans="2:16" x14ac:dyDescent="0.2">
      <c r="B3" s="469" t="s">
        <v>305</v>
      </c>
    </row>
    <row r="4" spans="2:16" ht="12" thickBot="1" x14ac:dyDescent="0.25">
      <c r="B4" s="469" t="s">
        <v>425</v>
      </c>
    </row>
    <row r="5" spans="2:16" x14ac:dyDescent="0.2">
      <c r="B5" s="529"/>
      <c r="C5" s="471"/>
      <c r="D5" s="1143" t="s">
        <v>89</v>
      </c>
      <c r="E5" s="1143"/>
      <c r="F5" s="1143"/>
      <c r="G5" s="1143"/>
      <c r="H5" s="1143"/>
      <c r="I5" s="1144"/>
    </row>
    <row r="6" spans="2:16" ht="12.75" customHeight="1" thickBot="1" x14ac:dyDescent="0.25">
      <c r="B6" s="472" t="s">
        <v>3</v>
      </c>
      <c r="C6" s="473"/>
      <c r="D6" s="1145"/>
      <c r="E6" s="1145"/>
      <c r="F6" s="1145"/>
      <c r="G6" s="1145"/>
      <c r="H6" s="1145"/>
      <c r="I6" s="1146"/>
    </row>
    <row r="7" spans="2:16" ht="27" customHeight="1" thickBot="1" x14ac:dyDescent="0.25">
      <c r="B7" s="474"/>
      <c r="C7" s="530" t="s">
        <v>330</v>
      </c>
      <c r="D7" s="475" t="s">
        <v>324</v>
      </c>
      <c r="E7" s="476" t="s">
        <v>325</v>
      </c>
      <c r="F7" s="476" t="s">
        <v>326</v>
      </c>
      <c r="G7" s="476" t="s">
        <v>327</v>
      </c>
      <c r="H7" s="476" t="s">
        <v>328</v>
      </c>
      <c r="I7" s="477" t="s">
        <v>329</v>
      </c>
      <c r="M7" s="1026" t="s">
        <v>4</v>
      </c>
      <c r="N7" s="1025" t="s">
        <v>454</v>
      </c>
      <c r="O7" s="894" t="s">
        <v>350</v>
      </c>
    </row>
    <row r="8" spans="2:16" ht="20.25" customHeight="1" thickBot="1" x14ac:dyDescent="0.25">
      <c r="B8" s="594" t="s">
        <v>62</v>
      </c>
      <c r="C8" s="595">
        <f>SUM(D8:I8)</f>
        <v>40284</v>
      </c>
      <c r="D8" s="596">
        <f t="shared" ref="D8:I8" si="0">SUM(D10:D15)</f>
        <v>3113</v>
      </c>
      <c r="E8" s="597">
        <f t="shared" si="0"/>
        <v>6046</v>
      </c>
      <c r="F8" s="597">
        <f t="shared" si="0"/>
        <v>5447</v>
      </c>
      <c r="G8" s="597">
        <f t="shared" si="0"/>
        <v>5484</v>
      </c>
      <c r="H8" s="597">
        <f t="shared" si="0"/>
        <v>6246</v>
      </c>
      <c r="I8" s="598">
        <f t="shared" si="0"/>
        <v>13948</v>
      </c>
      <c r="K8" s="581">
        <f>(T.XIII!$C$8/T.XII!$C$8)*100</f>
        <v>53.388112119806507</v>
      </c>
      <c r="L8" s="1027" t="str">
        <f>T(B17)</f>
        <v>wyższe</v>
      </c>
      <c r="M8" s="1028">
        <f>SUM(N8:O8)</f>
        <v>8358</v>
      </c>
      <c r="N8" s="1029">
        <f>SUM(D17:G17)</f>
        <v>4949</v>
      </c>
      <c r="O8" s="1029">
        <f>SUM(H17:I17)</f>
        <v>3409</v>
      </c>
    </row>
    <row r="9" spans="2:16" ht="13.5" customHeight="1" thickBot="1" x14ac:dyDescent="0.25">
      <c r="B9" s="776" t="s">
        <v>63</v>
      </c>
      <c r="C9" s="552"/>
      <c r="D9" s="552"/>
      <c r="E9" s="552"/>
      <c r="F9" s="552"/>
      <c r="G9" s="552"/>
      <c r="H9" s="552"/>
      <c r="I9" s="553"/>
      <c r="L9" s="1027" t="str">
        <f>T(B18)</f>
        <v>policealne i średnie zawodowe</v>
      </c>
      <c r="M9" s="1030">
        <f>SUM(N9:O9)</f>
        <v>11982</v>
      </c>
      <c r="N9" s="1030">
        <f>SUM(D18:G18)</f>
        <v>6084</v>
      </c>
      <c r="O9" s="1030">
        <f>SUM(H18:I18)</f>
        <v>5898</v>
      </c>
    </row>
    <row r="10" spans="2:16" ht="13.5" customHeight="1" thickTop="1" x14ac:dyDescent="0.2">
      <c r="B10" s="484" t="s">
        <v>64</v>
      </c>
      <c r="C10" s="485">
        <f t="shared" ref="C10:C15" si="1">SUM(D10:I10)</f>
        <v>5362</v>
      </c>
      <c r="D10" s="456">
        <v>769</v>
      </c>
      <c r="E10" s="457">
        <v>1481</v>
      </c>
      <c r="F10" s="457">
        <v>1064</v>
      </c>
      <c r="G10" s="457">
        <v>664</v>
      </c>
      <c r="H10" s="457">
        <v>755</v>
      </c>
      <c r="I10" s="458">
        <v>629</v>
      </c>
      <c r="L10" s="1027" t="str">
        <f>T(B19)</f>
        <v>śedenie ogólnokształcące</v>
      </c>
      <c r="M10" s="1031">
        <f>SUM(N10:O10)</f>
        <v>5535</v>
      </c>
      <c r="N10" s="1031">
        <f>SUM(D19:G19)</f>
        <v>2870</v>
      </c>
      <c r="O10" s="1031">
        <f>SUM(H19:I19)</f>
        <v>2665</v>
      </c>
    </row>
    <row r="11" spans="2:16" ht="12" customHeight="1" x14ac:dyDescent="0.2">
      <c r="B11" s="486" t="s">
        <v>65</v>
      </c>
      <c r="C11" s="487">
        <f t="shared" si="1"/>
        <v>14251</v>
      </c>
      <c r="D11" s="459">
        <v>1050</v>
      </c>
      <c r="E11" s="460">
        <v>1967</v>
      </c>
      <c r="F11" s="460">
        <v>1938</v>
      </c>
      <c r="G11" s="460">
        <v>2152</v>
      </c>
      <c r="H11" s="460">
        <v>2567</v>
      </c>
      <c r="I11" s="461">
        <v>4577</v>
      </c>
      <c r="L11" s="1027" t="str">
        <f>T(B20)</f>
        <v>zasadnicze zawodowe</v>
      </c>
      <c r="M11" s="1032">
        <f t="shared" ref="M11:M12" si="2">SUM(N11:O11)</f>
        <v>8759</v>
      </c>
      <c r="N11" s="1032">
        <f>SUM(D20:G20)</f>
        <v>3931</v>
      </c>
      <c r="O11" s="1032">
        <f>SUM(H20:I20)</f>
        <v>4828</v>
      </c>
      <c r="P11" s="580">
        <f>SUM(O11/I8)*100</f>
        <v>34.614281617436191</v>
      </c>
    </row>
    <row r="12" spans="2:16" ht="12" customHeight="1" x14ac:dyDescent="0.2">
      <c r="B12" s="486" t="s">
        <v>66</v>
      </c>
      <c r="C12" s="487">
        <f t="shared" si="1"/>
        <v>10328</v>
      </c>
      <c r="D12" s="459">
        <v>620</v>
      </c>
      <c r="E12" s="460">
        <v>1254</v>
      </c>
      <c r="F12" s="460">
        <v>1270</v>
      </c>
      <c r="G12" s="460">
        <v>1388</v>
      </c>
      <c r="H12" s="460">
        <v>1665</v>
      </c>
      <c r="I12" s="461">
        <v>4131</v>
      </c>
      <c r="L12" s="1027" t="str">
        <f>T(B21)</f>
        <v>gimnazjalne/podstawowe i poniżej</v>
      </c>
      <c r="M12" s="1032">
        <f t="shared" si="2"/>
        <v>5650</v>
      </c>
      <c r="N12" s="1032">
        <f>SUM(D21:G21)</f>
        <v>2256</v>
      </c>
      <c r="O12" s="1032">
        <f>SUM(H21:I21)</f>
        <v>3394</v>
      </c>
      <c r="P12" s="580">
        <f>SUM(O12/I8)*100</f>
        <v>24.333237740177804</v>
      </c>
    </row>
    <row r="13" spans="2:16" ht="12.75" customHeight="1" x14ac:dyDescent="0.2">
      <c r="B13" s="486" t="s">
        <v>67</v>
      </c>
      <c r="C13" s="487">
        <f t="shared" si="1"/>
        <v>6757</v>
      </c>
      <c r="D13" s="459">
        <v>501</v>
      </c>
      <c r="E13" s="460">
        <v>952</v>
      </c>
      <c r="F13" s="460">
        <v>781</v>
      </c>
      <c r="G13" s="460">
        <v>825</v>
      </c>
      <c r="H13" s="460">
        <v>830</v>
      </c>
      <c r="I13" s="461">
        <v>2868</v>
      </c>
    </row>
    <row r="14" spans="2:16" ht="12.75" customHeight="1" x14ac:dyDescent="0.2">
      <c r="B14" s="486" t="s">
        <v>68</v>
      </c>
      <c r="C14" s="487">
        <f t="shared" si="1"/>
        <v>3586</v>
      </c>
      <c r="D14" s="459">
        <v>173</v>
      </c>
      <c r="E14" s="460">
        <v>392</v>
      </c>
      <c r="F14" s="460">
        <v>394</v>
      </c>
      <c r="G14" s="460">
        <v>455</v>
      </c>
      <c r="H14" s="460">
        <v>429</v>
      </c>
      <c r="I14" s="461">
        <v>1743</v>
      </c>
      <c r="L14" s="1024"/>
      <c r="M14" s="1024"/>
      <c r="N14" s="1024"/>
      <c r="O14" s="1024"/>
    </row>
    <row r="15" spans="2:16" ht="13.5" customHeight="1" x14ac:dyDescent="0.2">
      <c r="B15" s="486" t="s">
        <v>69</v>
      </c>
      <c r="C15" s="487">
        <f t="shared" si="1"/>
        <v>0</v>
      </c>
      <c r="D15" s="459">
        <v>0</v>
      </c>
      <c r="E15" s="460">
        <v>0</v>
      </c>
      <c r="F15" s="460">
        <v>0</v>
      </c>
      <c r="G15" s="460">
        <v>0</v>
      </c>
      <c r="H15" s="460">
        <v>0</v>
      </c>
      <c r="I15" s="461">
        <v>0</v>
      </c>
      <c r="K15" s="551"/>
      <c r="L15" s="579"/>
      <c r="M15" s="580"/>
    </row>
    <row r="16" spans="2:16" ht="12" thickBot="1" x14ac:dyDescent="0.25">
      <c r="B16" s="777" t="s">
        <v>70</v>
      </c>
      <c r="C16" s="554"/>
      <c r="D16" s="554"/>
      <c r="E16" s="554"/>
      <c r="F16" s="554"/>
      <c r="G16" s="554"/>
      <c r="H16" s="554"/>
      <c r="I16" s="555"/>
    </row>
    <row r="17" spans="2:12" ht="13.5" customHeight="1" thickTop="1" x14ac:dyDescent="0.2">
      <c r="B17" s="484" t="s">
        <v>71</v>
      </c>
      <c r="C17" s="485">
        <f t="shared" ref="C17:C21" si="3">SUM(D17:I17)</f>
        <v>8358</v>
      </c>
      <c r="D17" s="456">
        <v>786</v>
      </c>
      <c r="E17" s="457">
        <v>1537</v>
      </c>
      <c r="F17" s="457">
        <v>1303</v>
      </c>
      <c r="G17" s="457">
        <v>1323</v>
      </c>
      <c r="H17" s="457">
        <v>1396</v>
      </c>
      <c r="I17" s="458">
        <v>2013</v>
      </c>
    </row>
    <row r="18" spans="2:12" ht="12.75" customHeight="1" x14ac:dyDescent="0.2">
      <c r="B18" s="486" t="s">
        <v>12</v>
      </c>
      <c r="C18" s="487">
        <f t="shared" si="3"/>
        <v>11982</v>
      </c>
      <c r="D18" s="459">
        <v>993</v>
      </c>
      <c r="E18" s="460">
        <v>1775</v>
      </c>
      <c r="F18" s="460">
        <v>1666</v>
      </c>
      <c r="G18" s="460">
        <v>1650</v>
      </c>
      <c r="H18" s="460">
        <v>1870</v>
      </c>
      <c r="I18" s="461">
        <v>4028</v>
      </c>
      <c r="K18" s="551"/>
    </row>
    <row r="19" spans="2:12" ht="12.75" customHeight="1" x14ac:dyDescent="0.2">
      <c r="B19" s="486" t="s">
        <v>78</v>
      </c>
      <c r="C19" s="487">
        <f t="shared" si="3"/>
        <v>5535</v>
      </c>
      <c r="D19" s="459">
        <v>457</v>
      </c>
      <c r="E19" s="460">
        <v>873</v>
      </c>
      <c r="F19" s="460">
        <v>775</v>
      </c>
      <c r="G19" s="460">
        <v>765</v>
      </c>
      <c r="H19" s="460">
        <v>919</v>
      </c>
      <c r="I19" s="461">
        <v>1746</v>
      </c>
    </row>
    <row r="20" spans="2:12" ht="14.25" customHeight="1" x14ac:dyDescent="0.2">
      <c r="B20" s="486" t="s">
        <v>72</v>
      </c>
      <c r="C20" s="487">
        <f t="shared" si="3"/>
        <v>8759</v>
      </c>
      <c r="D20" s="459">
        <v>592</v>
      </c>
      <c r="E20" s="460">
        <v>1178</v>
      </c>
      <c r="F20" s="460">
        <v>1097</v>
      </c>
      <c r="G20" s="460">
        <v>1064</v>
      </c>
      <c r="H20" s="460">
        <v>1235</v>
      </c>
      <c r="I20" s="461">
        <v>3593</v>
      </c>
    </row>
    <row r="21" spans="2:12" ht="13.5" customHeight="1" x14ac:dyDescent="0.2">
      <c r="B21" s="486" t="s">
        <v>458</v>
      </c>
      <c r="C21" s="487">
        <f t="shared" si="3"/>
        <v>5650</v>
      </c>
      <c r="D21" s="459">
        <v>285</v>
      </c>
      <c r="E21" s="460">
        <v>683</v>
      </c>
      <c r="F21" s="460">
        <v>606</v>
      </c>
      <c r="G21" s="460">
        <v>682</v>
      </c>
      <c r="H21" s="460">
        <v>826</v>
      </c>
      <c r="I21" s="461">
        <v>2568</v>
      </c>
      <c r="K21" s="551"/>
    </row>
    <row r="22" spans="2:12" ht="12" thickBot="1" x14ac:dyDescent="0.25">
      <c r="B22" s="778" t="s">
        <v>74</v>
      </c>
      <c r="C22" s="556"/>
      <c r="D22" s="554"/>
      <c r="E22" s="554"/>
      <c r="F22" s="554"/>
      <c r="G22" s="554"/>
      <c r="H22" s="554"/>
      <c r="I22" s="555"/>
    </row>
    <row r="23" spans="2:12" ht="12" thickTop="1" x14ac:dyDescent="0.2">
      <c r="B23" s="488" t="s">
        <v>75</v>
      </c>
      <c r="C23" s="489">
        <f t="shared" ref="C23:C29" si="4">SUM(D23:I23)</f>
        <v>8913</v>
      </c>
      <c r="D23" s="462">
        <v>869</v>
      </c>
      <c r="E23" s="463">
        <v>1603</v>
      </c>
      <c r="F23" s="463">
        <v>1189</v>
      </c>
      <c r="G23" s="463">
        <v>1125</v>
      </c>
      <c r="H23" s="463">
        <v>1351</v>
      </c>
      <c r="I23" s="464">
        <v>2776</v>
      </c>
    </row>
    <row r="24" spans="2:12" x14ac:dyDescent="0.2">
      <c r="B24" s="490" t="s">
        <v>79</v>
      </c>
      <c r="C24" s="487">
        <f t="shared" si="4"/>
        <v>10980</v>
      </c>
      <c r="D24" s="459">
        <v>860</v>
      </c>
      <c r="E24" s="460">
        <v>1702</v>
      </c>
      <c r="F24" s="460">
        <v>1542</v>
      </c>
      <c r="G24" s="460">
        <v>1676</v>
      </c>
      <c r="H24" s="460">
        <v>1810</v>
      </c>
      <c r="I24" s="461">
        <v>3390</v>
      </c>
    </row>
    <row r="25" spans="2:12" x14ac:dyDescent="0.2">
      <c r="B25" s="490" t="s">
        <v>80</v>
      </c>
      <c r="C25" s="487">
        <f t="shared" si="4"/>
        <v>6012</v>
      </c>
      <c r="D25" s="459">
        <v>410</v>
      </c>
      <c r="E25" s="460">
        <v>755</v>
      </c>
      <c r="F25" s="460">
        <v>794</v>
      </c>
      <c r="G25" s="460">
        <v>951</v>
      </c>
      <c r="H25" s="460">
        <v>1021</v>
      </c>
      <c r="I25" s="461">
        <v>2081</v>
      </c>
    </row>
    <row r="26" spans="2:12" x14ac:dyDescent="0.2">
      <c r="B26" s="490" t="s">
        <v>81</v>
      </c>
      <c r="C26" s="487">
        <f t="shared" si="4"/>
        <v>5112</v>
      </c>
      <c r="D26" s="459">
        <v>376</v>
      </c>
      <c r="E26" s="460">
        <v>714</v>
      </c>
      <c r="F26" s="460">
        <v>687</v>
      </c>
      <c r="G26" s="460">
        <v>718</v>
      </c>
      <c r="H26" s="460">
        <v>775</v>
      </c>
      <c r="I26" s="461">
        <v>1842</v>
      </c>
    </row>
    <row r="27" spans="2:12" x14ac:dyDescent="0.2">
      <c r="B27" s="491" t="s">
        <v>82</v>
      </c>
      <c r="C27" s="487">
        <f t="shared" si="4"/>
        <v>1934</v>
      </c>
      <c r="D27" s="459">
        <v>166</v>
      </c>
      <c r="E27" s="460">
        <v>298</v>
      </c>
      <c r="F27" s="460">
        <v>281</v>
      </c>
      <c r="G27" s="460">
        <v>317</v>
      </c>
      <c r="H27" s="460">
        <v>287</v>
      </c>
      <c r="I27" s="461">
        <v>585</v>
      </c>
    </row>
    <row r="28" spans="2:12" x14ac:dyDescent="0.2">
      <c r="B28" s="490" t="s">
        <v>83</v>
      </c>
      <c r="C28" s="487">
        <f t="shared" si="4"/>
        <v>451</v>
      </c>
      <c r="D28" s="459">
        <v>55</v>
      </c>
      <c r="E28" s="460">
        <v>92</v>
      </c>
      <c r="F28" s="460">
        <v>99</v>
      </c>
      <c r="G28" s="460">
        <v>87</v>
      </c>
      <c r="H28" s="460">
        <v>47</v>
      </c>
      <c r="I28" s="461">
        <v>71</v>
      </c>
    </row>
    <row r="29" spans="2:12" ht="12" thickBot="1" x14ac:dyDescent="0.25">
      <c r="B29" s="492" t="s">
        <v>76</v>
      </c>
      <c r="C29" s="493">
        <f t="shared" si="4"/>
        <v>6882</v>
      </c>
      <c r="D29" s="465">
        <v>377</v>
      </c>
      <c r="E29" s="466">
        <v>882</v>
      </c>
      <c r="F29" s="466">
        <v>855</v>
      </c>
      <c r="G29" s="466">
        <v>610</v>
      </c>
      <c r="H29" s="466">
        <v>955</v>
      </c>
      <c r="I29" s="467">
        <v>3203</v>
      </c>
      <c r="K29" s="551"/>
    </row>
    <row r="30" spans="2:12" x14ac:dyDescent="0.2">
      <c r="C30" s="551">
        <f>SUM(T.XIII!C10:C15)</f>
        <v>40284</v>
      </c>
      <c r="D30" s="551">
        <f>SUM(T.XIII!D10:D15)</f>
        <v>3113</v>
      </c>
      <c r="E30" s="551">
        <f>SUM(T.XIII!E10:E15)</f>
        <v>6046</v>
      </c>
      <c r="F30" s="551">
        <f>SUM(T.XIII!F10:F15)</f>
        <v>5447</v>
      </c>
      <c r="G30" s="551">
        <f>SUM(T.XIII!G10:G15)</f>
        <v>5484</v>
      </c>
      <c r="H30" s="551">
        <f>SUM(T.XIII!H10:H15)</f>
        <v>6246</v>
      </c>
      <c r="I30" s="551">
        <f>SUM(T.XIII!I10:I15)</f>
        <v>13948</v>
      </c>
      <c r="K30" s="551">
        <f>SUM(C23+C24+C29)</f>
        <v>26775</v>
      </c>
      <c r="L30" s="1071">
        <f>SUM(K30/C8)*100</f>
        <v>66.465594280607689</v>
      </c>
    </row>
    <row r="31" spans="2:12" x14ac:dyDescent="0.2">
      <c r="C31" s="551">
        <f>SUM(T.XIII!C17:C21)</f>
        <v>40284</v>
      </c>
      <c r="D31" s="551">
        <f>SUM(T.XIII!D17:D21)</f>
        <v>3113</v>
      </c>
      <c r="E31" s="551">
        <f>SUM(T.XIII!E17:E21)</f>
        <v>6046</v>
      </c>
      <c r="F31" s="551">
        <f>SUM(T.XIII!F17:F21)</f>
        <v>5447</v>
      </c>
      <c r="G31" s="551">
        <f>SUM(T.XIII!G17:G21)</f>
        <v>5484</v>
      </c>
      <c r="H31" s="551">
        <f>SUM(T.XIII!H17:H21)</f>
        <v>6246</v>
      </c>
      <c r="I31" s="551">
        <f>SUM(T.XIII!I17:I21)</f>
        <v>13948</v>
      </c>
      <c r="K31" s="551">
        <f>SUM(C11:C12)</f>
        <v>24579</v>
      </c>
      <c r="L31" s="1072">
        <f>SUM(K31/C8)*100</f>
        <v>61.014298480786422</v>
      </c>
    </row>
    <row r="32" spans="2:12" x14ac:dyDescent="0.2">
      <c r="C32" s="551">
        <f>SUM(T.XIII!C23:C29)</f>
        <v>40284</v>
      </c>
      <c r="D32" s="551">
        <f>SUM(T.XIII!D23:D29)</f>
        <v>3113</v>
      </c>
      <c r="E32" s="551">
        <f>SUM(T.XIII!E23:E29)</f>
        <v>6046</v>
      </c>
      <c r="F32" s="551">
        <f>SUM(T.XIII!F23:F29)</f>
        <v>5447</v>
      </c>
      <c r="G32" s="551">
        <f>SUM(T.XIII!G23:G29)</f>
        <v>5484</v>
      </c>
      <c r="H32" s="551">
        <f>SUM(T.XIII!H23:H29)</f>
        <v>6246</v>
      </c>
      <c r="I32" s="551">
        <f>SUM(T.XIII!I23:I29)</f>
        <v>13948</v>
      </c>
    </row>
  </sheetData>
  <mergeCells count="1">
    <mergeCell ref="D5:I6"/>
  </mergeCells>
  <printOptions horizontalCentered="1"/>
  <pageMargins left="0.31496062992125984" right="0" top="1.3779527559055118" bottom="0" header="0.31496062992125984" footer="0.31496062992125984"/>
  <pageSetup paperSize="9" scale="11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F2"/>
    <pageSetUpPr fitToPage="1"/>
  </sheetPr>
  <dimension ref="B1:W54"/>
  <sheetViews>
    <sheetView zoomScale="80" zoomScaleNormal="80" workbookViewId="0">
      <selection activeCell="B1" sqref="B1"/>
    </sheetView>
  </sheetViews>
  <sheetFormatPr defaultRowHeight="15" x14ac:dyDescent="0.25"/>
  <cols>
    <col min="1" max="1" width="2.7109375" style="2" customWidth="1"/>
    <col min="2" max="2" width="11.7109375" style="2" customWidth="1"/>
    <col min="3" max="3" width="15" style="2" customWidth="1"/>
    <col min="4" max="4" width="9.28515625" style="2" customWidth="1"/>
    <col min="5" max="5" width="9.140625" style="2" customWidth="1"/>
    <col min="6" max="6" width="10" style="95" customWidth="1"/>
    <col min="7" max="7" width="9" style="2" customWidth="1"/>
    <col min="8" max="8" width="8" style="2" customWidth="1"/>
    <col min="9" max="10" width="8.42578125" style="2" customWidth="1"/>
    <col min="11" max="11" width="9.28515625" style="2" customWidth="1"/>
    <col min="12" max="13" width="8.28515625" style="2" customWidth="1"/>
    <col min="14" max="14" width="8" style="2" customWidth="1"/>
    <col min="15" max="15" width="3.5703125" style="2" customWidth="1"/>
    <col min="16" max="16" width="10.85546875" style="2" customWidth="1"/>
    <col min="17" max="18" width="9" style="2" customWidth="1"/>
    <col min="19" max="19" width="10.5703125" style="2" customWidth="1"/>
    <col min="20" max="20" width="10" style="2" customWidth="1"/>
    <col min="21" max="21" width="12" style="2" customWidth="1"/>
    <col min="22" max="16384" width="9.140625" style="2"/>
  </cols>
  <sheetData>
    <row r="1" spans="2:23" ht="12.75" customHeight="1" x14ac:dyDescent="0.25"/>
    <row r="2" spans="2:23" ht="13.5" customHeight="1" x14ac:dyDescent="0.25">
      <c r="B2" s="157" t="s">
        <v>464</v>
      </c>
      <c r="C2" s="95"/>
      <c r="D2" s="95"/>
      <c r="E2" s="95"/>
      <c r="G2" s="95"/>
      <c r="H2" s="95"/>
      <c r="I2" s="95"/>
      <c r="J2" s="95"/>
      <c r="K2" s="95"/>
      <c r="L2" s="95"/>
      <c r="N2" s="686"/>
    </row>
    <row r="3" spans="2:23" ht="15.75" thickBot="1" x14ac:dyDescent="0.3">
      <c r="B3" s="157" t="s">
        <v>339</v>
      </c>
      <c r="C3" s="95"/>
      <c r="D3" s="95"/>
      <c r="E3" s="95"/>
      <c r="G3" s="592"/>
      <c r="H3" s="95"/>
      <c r="I3" s="95"/>
      <c r="J3" s="95"/>
      <c r="K3" s="95"/>
      <c r="L3" s="95"/>
    </row>
    <row r="4" spans="2:23" ht="20.25" customHeight="1" x14ac:dyDescent="0.25">
      <c r="B4" s="614" t="s">
        <v>3</v>
      </c>
      <c r="C4" s="615"/>
      <c r="D4" s="615"/>
      <c r="E4" s="615"/>
      <c r="F4" s="802"/>
      <c r="G4" s="1147" t="s">
        <v>447</v>
      </c>
      <c r="H4" s="1147"/>
      <c r="I4" s="1147"/>
      <c r="J4" s="1147"/>
      <c r="K4" s="1147"/>
      <c r="L4" s="1148"/>
    </row>
    <row r="5" spans="2:23" ht="34.5" customHeight="1" thickBot="1" x14ac:dyDescent="0.3">
      <c r="B5" s="787"/>
      <c r="C5" s="819"/>
      <c r="D5" s="819"/>
      <c r="E5" s="819"/>
      <c r="F5" s="803" t="s">
        <v>62</v>
      </c>
      <c r="G5" s="788" t="s">
        <v>88</v>
      </c>
      <c r="H5" s="789" t="s">
        <v>77</v>
      </c>
      <c r="I5" s="789" t="s">
        <v>84</v>
      </c>
      <c r="J5" s="790" t="s">
        <v>85</v>
      </c>
      <c r="K5" s="791" t="s">
        <v>86</v>
      </c>
      <c r="L5" s="792" t="s">
        <v>87</v>
      </c>
    </row>
    <row r="6" spans="2:23" ht="16.5" customHeight="1" thickTop="1" x14ac:dyDescent="0.25">
      <c r="B6" s="793" t="s">
        <v>338</v>
      </c>
      <c r="C6" s="810"/>
      <c r="D6" s="1149" t="s">
        <v>4</v>
      </c>
      <c r="E6" s="794" t="s">
        <v>137</v>
      </c>
      <c r="F6" s="856">
        <f t="shared" ref="F6:F32" si="0">SUM(G6:L6)</f>
        <v>75455</v>
      </c>
      <c r="G6" s="857">
        <f>SUM(T.XII!D8)</f>
        <v>7690</v>
      </c>
      <c r="H6" s="858">
        <f>SUM(T.XII!E8)</f>
        <v>13092</v>
      </c>
      <c r="I6" s="858">
        <f>SUM(T.XII!F8)</f>
        <v>10484</v>
      </c>
      <c r="J6" s="859">
        <f>SUM(T.XII!G8)</f>
        <v>10726</v>
      </c>
      <c r="K6" s="857">
        <f>SUM(T.XII!H8)</f>
        <v>10981</v>
      </c>
      <c r="L6" s="860">
        <f>SUM(T.XII!I8)</f>
        <v>22482</v>
      </c>
      <c r="P6" s="822"/>
      <c r="Q6" s="893" t="s">
        <v>4</v>
      </c>
      <c r="R6" s="894" t="s">
        <v>454</v>
      </c>
      <c r="S6" s="895" t="s">
        <v>350</v>
      </c>
    </row>
    <row r="7" spans="2:23" ht="15" customHeight="1" x14ac:dyDescent="0.25">
      <c r="B7" s="593" t="s">
        <v>446</v>
      </c>
      <c r="C7" s="811"/>
      <c r="D7" s="1150"/>
      <c r="E7" s="783" t="s">
        <v>138</v>
      </c>
      <c r="F7" s="805">
        <f t="shared" si="0"/>
        <v>100.00000000000001</v>
      </c>
      <c r="G7" s="406">
        <f>G6*100/F6</f>
        <v>10.191504870452588</v>
      </c>
      <c r="H7" s="16">
        <f>H6*100/F6</f>
        <v>17.350738850970778</v>
      </c>
      <c r="I7" s="16">
        <f>I6*100/F6</f>
        <v>13.894374130276324</v>
      </c>
      <c r="J7" s="784">
        <f>J6*100/F6</f>
        <v>14.215095089788615</v>
      </c>
      <c r="K7" s="406">
        <f>K6*100/F6</f>
        <v>14.553044861175534</v>
      </c>
      <c r="L7" s="17">
        <f>L6*100/F6</f>
        <v>29.795242197336162</v>
      </c>
      <c r="P7" s="883" t="s">
        <v>351</v>
      </c>
      <c r="Q7" s="884">
        <f>SUM(C44:C45)</f>
        <v>32534</v>
      </c>
      <c r="R7" s="890">
        <f>SUM(G44:G45)</f>
        <v>21429</v>
      </c>
      <c r="S7" s="890">
        <f>SUM(K44:K45)</f>
        <v>11105</v>
      </c>
    </row>
    <row r="8" spans="2:23" x14ac:dyDescent="0.25">
      <c r="B8" s="748"/>
      <c r="C8" s="811"/>
      <c r="D8" s="1151" t="s">
        <v>119</v>
      </c>
      <c r="E8" s="813" t="s">
        <v>137</v>
      </c>
      <c r="F8" s="861">
        <f t="shared" si="0"/>
        <v>40284</v>
      </c>
      <c r="G8" s="862">
        <f>SUM(T.XIII!D8)</f>
        <v>3113</v>
      </c>
      <c r="H8" s="863">
        <f>SUM(T.XIII!E8)</f>
        <v>6046</v>
      </c>
      <c r="I8" s="863">
        <f>SUM(T.XIII!F8)</f>
        <v>5447</v>
      </c>
      <c r="J8" s="864">
        <f>SUM(T.XIII!G8)</f>
        <v>5484</v>
      </c>
      <c r="K8" s="865">
        <f>SUM(T.XIII!H8)</f>
        <v>6246</v>
      </c>
      <c r="L8" s="866">
        <f>SUM(T.XIII!I8)</f>
        <v>13948</v>
      </c>
      <c r="P8" s="888" t="s">
        <v>352</v>
      </c>
      <c r="Q8" s="886">
        <f>SUM(C46:C47)</f>
        <v>31401</v>
      </c>
      <c r="R8" s="886">
        <f>SUM(G46:G47)</f>
        <v>15843</v>
      </c>
      <c r="S8" s="886">
        <f>SUM(K46:K47)</f>
        <v>15558</v>
      </c>
    </row>
    <row r="9" spans="2:23" ht="15.75" customHeight="1" thickBot="1" x14ac:dyDescent="0.3">
      <c r="B9" s="796"/>
      <c r="C9" s="812"/>
      <c r="D9" s="1152"/>
      <c r="E9" s="797" t="s">
        <v>138</v>
      </c>
      <c r="F9" s="806">
        <f t="shared" si="0"/>
        <v>100</v>
      </c>
      <c r="G9" s="799">
        <f>G8*100/F8</f>
        <v>7.7276338000198592</v>
      </c>
      <c r="H9" s="800">
        <f>H8*100/F8</f>
        <v>15.008440075464204</v>
      </c>
      <c r="I9" s="800">
        <f>I8*100/F8</f>
        <v>13.521497368682356</v>
      </c>
      <c r="J9" s="798">
        <f>J8*100/F8</f>
        <v>13.613345248733989</v>
      </c>
      <c r="K9" s="799">
        <f>K8*100/F8</f>
        <v>15.504915102770331</v>
      </c>
      <c r="L9" s="801">
        <f>L8*100/F8</f>
        <v>34.624168404329261</v>
      </c>
      <c r="N9" s="897"/>
      <c r="O9" s="600"/>
      <c r="P9" s="889" t="s">
        <v>353</v>
      </c>
      <c r="Q9" s="885">
        <f>SUM(C48:C49)</f>
        <v>11520</v>
      </c>
      <c r="R9" s="885">
        <f>SUM(G48:G49)</f>
        <v>4720</v>
      </c>
      <c r="S9" s="885">
        <f>SUM(K48:K49)</f>
        <v>6800</v>
      </c>
      <c r="V9" s="599"/>
    </row>
    <row r="10" spans="2:23" ht="15" customHeight="1" thickTop="1" x14ac:dyDescent="0.25">
      <c r="B10" s="1153" t="s">
        <v>435</v>
      </c>
      <c r="C10" s="1155" t="s">
        <v>64</v>
      </c>
      <c r="D10" s="1157" t="s">
        <v>4</v>
      </c>
      <c r="E10" s="749" t="s">
        <v>137</v>
      </c>
      <c r="F10" s="807">
        <f t="shared" si="0"/>
        <v>10295</v>
      </c>
      <c r="G10" s="605">
        <f>SUM(T.XII!D10)</f>
        <v>1811</v>
      </c>
      <c r="H10" s="606">
        <f>SUM(T.XII!E10)</f>
        <v>3175</v>
      </c>
      <c r="I10" s="606">
        <f>SUM(T.XII!F10)</f>
        <v>2139</v>
      </c>
      <c r="J10" s="781">
        <f>SUM(T.XII!G10)</f>
        <v>1201</v>
      </c>
      <c r="K10" s="605">
        <f>SUM(T.XII!H10)</f>
        <v>1176</v>
      </c>
      <c r="L10" s="607">
        <f>SUM(T.XII!I10)</f>
        <v>793</v>
      </c>
      <c r="M10" s="583"/>
      <c r="N10" s="897"/>
      <c r="O10" s="600"/>
      <c r="Q10" s="887">
        <f>SUM(Q7:Q9)</f>
        <v>75455</v>
      </c>
      <c r="R10" s="887">
        <f>SUM(R7:R9)</f>
        <v>41992</v>
      </c>
      <c r="S10" s="887">
        <f>SUM(S7:S9)</f>
        <v>33463</v>
      </c>
      <c r="T10" s="600"/>
      <c r="U10" s="600"/>
      <c r="V10" s="599"/>
    </row>
    <row r="11" spans="2:23" x14ac:dyDescent="0.25">
      <c r="B11" s="1153"/>
      <c r="C11" s="1156"/>
      <c r="D11" s="1150"/>
      <c r="E11" s="783" t="s">
        <v>138</v>
      </c>
      <c r="F11" s="805">
        <f t="shared" si="0"/>
        <v>100</v>
      </c>
      <c r="G11" s="406">
        <f>G10*100/F10</f>
        <v>17.591063623118018</v>
      </c>
      <c r="H11" s="16">
        <f>H10*100/F10</f>
        <v>30.840213695968917</v>
      </c>
      <c r="I11" s="16">
        <f>I10*100/F10</f>
        <v>20.777076250607092</v>
      </c>
      <c r="J11" s="784">
        <f>J10*100/F10</f>
        <v>11.665857212238951</v>
      </c>
      <c r="K11" s="406">
        <f>K10*100/F10</f>
        <v>11.423020883924234</v>
      </c>
      <c r="L11" s="17">
        <f>L10*100/F10</f>
        <v>7.7027683341427879</v>
      </c>
      <c r="M11" s="583"/>
      <c r="N11" s="600"/>
      <c r="O11" s="600"/>
      <c r="P11" s="898"/>
      <c r="Q11" s="600"/>
      <c r="R11" s="897"/>
      <c r="S11" s="600"/>
      <c r="T11" s="600"/>
      <c r="U11" s="600"/>
      <c r="V11" s="599"/>
    </row>
    <row r="12" spans="2:23" x14ac:dyDescent="0.25">
      <c r="B12" s="1153"/>
      <c r="C12" s="1156"/>
      <c r="D12" s="1151" t="s">
        <v>119</v>
      </c>
      <c r="E12" s="813" t="s">
        <v>137</v>
      </c>
      <c r="F12" s="814">
        <f t="shared" si="0"/>
        <v>5362</v>
      </c>
      <c r="G12" s="815">
        <f>SUM(T.XIII!D10)</f>
        <v>769</v>
      </c>
      <c r="H12" s="816">
        <f>SUM(T.XIII!E10)</f>
        <v>1481</v>
      </c>
      <c r="I12" s="816">
        <f>SUM(T.XIII!F10)</f>
        <v>1064</v>
      </c>
      <c r="J12" s="817">
        <f>SUM(T.XIII!G10)</f>
        <v>664</v>
      </c>
      <c r="K12" s="815">
        <f>SUM(T.XIII!H10)</f>
        <v>755</v>
      </c>
      <c r="L12" s="818">
        <f>SUM(T.XIII!I10)</f>
        <v>629</v>
      </c>
      <c r="M12" s="583"/>
      <c r="V12" s="599"/>
    </row>
    <row r="13" spans="2:23" x14ac:dyDescent="0.25">
      <c r="B13" s="1153"/>
      <c r="C13" s="1156"/>
      <c r="D13" s="1151"/>
      <c r="E13" s="783" t="s">
        <v>138</v>
      </c>
      <c r="F13" s="805">
        <f t="shared" si="0"/>
        <v>100</v>
      </c>
      <c r="G13" s="406">
        <f>G12*100/F12</f>
        <v>14.341663558373741</v>
      </c>
      <c r="H13" s="16">
        <f>H12*100/F12</f>
        <v>27.620290936217827</v>
      </c>
      <c r="I13" s="16">
        <f>I12*100/F12</f>
        <v>19.843342036553526</v>
      </c>
      <c r="J13" s="784">
        <f>J12*100/F12</f>
        <v>12.383439015292801</v>
      </c>
      <c r="K13" s="406">
        <f>K12*100/F12</f>
        <v>14.080566952629615</v>
      </c>
      <c r="L13" s="17">
        <f>L12*100/F12</f>
        <v>11.730697500932488</v>
      </c>
      <c r="M13" s="583"/>
      <c r="N13" s="599"/>
      <c r="O13" s="599"/>
      <c r="P13" s="599"/>
      <c r="Q13" s="599"/>
      <c r="R13" s="599"/>
      <c r="S13" s="599"/>
      <c r="T13" s="599"/>
      <c r="U13" s="599"/>
      <c r="V13" s="599"/>
    </row>
    <row r="14" spans="2:23" x14ac:dyDescent="0.25">
      <c r="B14" s="1153"/>
      <c r="C14" s="1158" t="s">
        <v>65</v>
      </c>
      <c r="D14" s="1150" t="s">
        <v>4</v>
      </c>
      <c r="E14" s="745" t="s">
        <v>137</v>
      </c>
      <c r="F14" s="808">
        <f t="shared" si="0"/>
        <v>22239</v>
      </c>
      <c r="G14" s="609">
        <f>SUM(T.XII!D11)</f>
        <v>2410</v>
      </c>
      <c r="H14" s="547">
        <f>SUM(T.XII!E11)</f>
        <v>3972</v>
      </c>
      <c r="I14" s="547">
        <f>SUM(T.XII!F11)</f>
        <v>3289</v>
      </c>
      <c r="J14" s="780">
        <f>SUM(T.XII!G11)</f>
        <v>3432</v>
      </c>
      <c r="K14" s="609">
        <f>SUM(T.XII!H11)</f>
        <v>3586</v>
      </c>
      <c r="L14" s="610">
        <f>SUM(T.XII!I11)</f>
        <v>5550</v>
      </c>
      <c r="M14" s="583"/>
    </row>
    <row r="15" spans="2:23" x14ac:dyDescent="0.25">
      <c r="B15" s="1153"/>
      <c r="C15" s="1158"/>
      <c r="D15" s="1150"/>
      <c r="E15" s="783" t="s">
        <v>138</v>
      </c>
      <c r="F15" s="805">
        <f t="shared" si="0"/>
        <v>100</v>
      </c>
      <c r="G15" s="406">
        <f>G14*100/F14</f>
        <v>10.836818202257296</v>
      </c>
      <c r="H15" s="16">
        <f>H14*100/F14</f>
        <v>17.86051531094024</v>
      </c>
      <c r="I15" s="16">
        <f>I14*100/F14</f>
        <v>14.789334052790144</v>
      </c>
      <c r="J15" s="784">
        <f>J14*100/F14</f>
        <v>15.432348576824497</v>
      </c>
      <c r="K15" s="406">
        <f>K14*100/F14</f>
        <v>16.1248257565538</v>
      </c>
      <c r="L15" s="17">
        <f>L14*100/F14</f>
        <v>24.956158100634021</v>
      </c>
      <c r="M15" s="583"/>
      <c r="O15" s="586"/>
      <c r="P15" s="585"/>
      <c r="Q15" s="585"/>
      <c r="R15" s="585"/>
      <c r="S15" s="585"/>
      <c r="T15" s="585"/>
      <c r="U15" s="585"/>
      <c r="V15" s="585"/>
      <c r="W15" s="586"/>
    </row>
    <row r="16" spans="2:23" x14ac:dyDescent="0.25">
      <c r="B16" s="1153"/>
      <c r="C16" s="1158"/>
      <c r="D16" s="1151" t="s">
        <v>119</v>
      </c>
      <c r="E16" s="813" t="s">
        <v>137</v>
      </c>
      <c r="F16" s="814">
        <f t="shared" si="0"/>
        <v>14251</v>
      </c>
      <c r="G16" s="815">
        <f>SUM(T.XIII!D11)</f>
        <v>1050</v>
      </c>
      <c r="H16" s="816">
        <f>SUM(T.XIII!E11)</f>
        <v>1967</v>
      </c>
      <c r="I16" s="816">
        <f>SUM(T.XIII!F11)</f>
        <v>1938</v>
      </c>
      <c r="J16" s="817">
        <f>SUM(T.XIII!G11)</f>
        <v>2152</v>
      </c>
      <c r="K16" s="815">
        <f>SUM(T.XIII!H11)</f>
        <v>2567</v>
      </c>
      <c r="L16" s="818">
        <f>SUM(T.XIII!I11)</f>
        <v>4577</v>
      </c>
      <c r="M16" s="583"/>
      <c r="O16" s="586"/>
      <c r="P16" s="584"/>
      <c r="Q16" s="584"/>
      <c r="R16" s="584"/>
      <c r="S16" s="584"/>
      <c r="T16" s="584"/>
      <c r="U16" s="584"/>
      <c r="V16" s="584"/>
      <c r="W16" s="586"/>
    </row>
    <row r="17" spans="2:23" x14ac:dyDescent="0.25">
      <c r="B17" s="1153"/>
      <c r="C17" s="1158"/>
      <c r="D17" s="1151"/>
      <c r="E17" s="783" t="s">
        <v>138</v>
      </c>
      <c r="F17" s="805">
        <f t="shared" si="0"/>
        <v>100</v>
      </c>
      <c r="G17" s="406">
        <f>G16*100/F16</f>
        <v>7.367904006736369</v>
      </c>
      <c r="H17" s="16">
        <f>H16*100/F16</f>
        <v>13.802540172619466</v>
      </c>
      <c r="I17" s="16">
        <f>I16*100/F16</f>
        <v>13.599045681004842</v>
      </c>
      <c r="J17" s="784">
        <f>J16*100/F16</f>
        <v>15.100694688092064</v>
      </c>
      <c r="K17" s="406">
        <f>K16*100/F16</f>
        <v>18.012771033611678</v>
      </c>
      <c r="L17" s="17">
        <f>L16*100/F16</f>
        <v>32.117044417935581</v>
      </c>
      <c r="M17" s="583"/>
      <c r="O17" s="586"/>
      <c r="P17" s="584"/>
      <c r="Q17" s="584"/>
      <c r="R17" s="584"/>
      <c r="S17" s="584"/>
      <c r="T17" s="584"/>
      <c r="U17" s="584"/>
      <c r="V17" s="584"/>
      <c r="W17" s="586"/>
    </row>
    <row r="18" spans="2:23" x14ac:dyDescent="0.25">
      <c r="B18" s="1153"/>
      <c r="C18" s="1158" t="s">
        <v>66</v>
      </c>
      <c r="D18" s="1150" t="s">
        <v>4</v>
      </c>
      <c r="E18" s="745" t="s">
        <v>137</v>
      </c>
      <c r="F18" s="808">
        <f t="shared" si="0"/>
        <v>17848</v>
      </c>
      <c r="G18" s="609">
        <f>SUM(T.XII!D12)</f>
        <v>1584</v>
      </c>
      <c r="H18" s="547">
        <f>SUM(T.XII!E12)</f>
        <v>2635</v>
      </c>
      <c r="I18" s="547">
        <f>SUM(T.XII!F12)</f>
        <v>2338</v>
      </c>
      <c r="J18" s="780">
        <f>SUM(T.XII!G12)</f>
        <v>2624</v>
      </c>
      <c r="K18" s="609">
        <f>SUM(T.XII!H12)</f>
        <v>2830</v>
      </c>
      <c r="L18" s="610">
        <f>SUM(T.XII!I12)</f>
        <v>5837</v>
      </c>
      <c r="M18" s="583"/>
      <c r="O18" s="586"/>
      <c r="P18" s="586"/>
      <c r="Q18" s="586"/>
      <c r="R18" s="586"/>
      <c r="S18" s="586"/>
      <c r="T18" s="586"/>
      <c r="U18" s="586"/>
      <c r="V18" s="586"/>
      <c r="W18" s="586"/>
    </row>
    <row r="19" spans="2:23" x14ac:dyDescent="0.25">
      <c r="B19" s="1153"/>
      <c r="C19" s="1158"/>
      <c r="D19" s="1150"/>
      <c r="E19" s="783" t="s">
        <v>138</v>
      </c>
      <c r="F19" s="805">
        <f t="shared" si="0"/>
        <v>100</v>
      </c>
      <c r="G19" s="406">
        <f>G18*100/F18</f>
        <v>8.8749439713133125</v>
      </c>
      <c r="H19" s="16">
        <f>H18*100/F18</f>
        <v>14.763558942178395</v>
      </c>
      <c r="I19" s="16">
        <f>I18*100/F18</f>
        <v>13.099506947557149</v>
      </c>
      <c r="J19" s="784">
        <f>J18*100/F18</f>
        <v>14.701927386822053</v>
      </c>
      <c r="K19" s="406">
        <f>K18*100/F18</f>
        <v>15.856118332586284</v>
      </c>
      <c r="L19" s="17">
        <f>L18*100/F18</f>
        <v>32.703944419542808</v>
      </c>
      <c r="M19" s="583"/>
      <c r="O19" s="586"/>
      <c r="P19" s="586"/>
      <c r="Q19" s="586"/>
      <c r="R19" s="586"/>
      <c r="S19" s="586"/>
      <c r="T19" s="586"/>
      <c r="U19" s="586"/>
      <c r="V19" s="586"/>
      <c r="W19" s="586"/>
    </row>
    <row r="20" spans="2:23" x14ac:dyDescent="0.25">
      <c r="B20" s="1153"/>
      <c r="C20" s="1158"/>
      <c r="D20" s="1151" t="s">
        <v>119</v>
      </c>
      <c r="E20" s="813" t="s">
        <v>137</v>
      </c>
      <c r="F20" s="814">
        <f t="shared" si="0"/>
        <v>10328</v>
      </c>
      <c r="G20" s="815">
        <f>SUM(T.XIII!D12)</f>
        <v>620</v>
      </c>
      <c r="H20" s="816">
        <f>SUM(T.XIII!E12)</f>
        <v>1254</v>
      </c>
      <c r="I20" s="816">
        <f>SUM(T.XIII!F12)</f>
        <v>1270</v>
      </c>
      <c r="J20" s="817">
        <f>SUM(T.XIII!G12)</f>
        <v>1388</v>
      </c>
      <c r="K20" s="815">
        <f>SUM(T.XIII!H12)</f>
        <v>1665</v>
      </c>
      <c r="L20" s="818">
        <f>SUM(T.XIII!I12)</f>
        <v>4131</v>
      </c>
      <c r="M20" s="583"/>
      <c r="O20" s="586"/>
      <c r="P20" s="585"/>
      <c r="Q20" s="585"/>
      <c r="R20" s="585"/>
      <c r="S20" s="585"/>
      <c r="T20" s="586"/>
      <c r="U20" s="585"/>
      <c r="V20" s="585"/>
      <c r="W20" s="585"/>
    </row>
    <row r="21" spans="2:23" x14ac:dyDescent="0.25">
      <c r="B21" s="1153"/>
      <c r="C21" s="1158"/>
      <c r="D21" s="1151"/>
      <c r="E21" s="783" t="s">
        <v>138</v>
      </c>
      <c r="F21" s="805">
        <f t="shared" si="0"/>
        <v>100</v>
      </c>
      <c r="G21" s="406">
        <f>G20*100/F20</f>
        <v>6.0030983733539891</v>
      </c>
      <c r="H21" s="16">
        <f>H20*100/F20</f>
        <v>12.141750580945004</v>
      </c>
      <c r="I21" s="16">
        <f>I20*100/F20</f>
        <v>12.296669248644461</v>
      </c>
      <c r="J21" s="784">
        <f>J20*100/F20</f>
        <v>13.439194422927963</v>
      </c>
      <c r="K21" s="406">
        <f>K20*100/F20</f>
        <v>16.121223857474824</v>
      </c>
      <c r="L21" s="17">
        <f>L20*100/F20</f>
        <v>39.998063516653758</v>
      </c>
      <c r="M21" s="583"/>
      <c r="O21" s="586"/>
      <c r="P21" s="584"/>
      <c r="Q21" s="584"/>
      <c r="R21" s="584"/>
      <c r="S21" s="584"/>
      <c r="T21" s="587"/>
      <c r="U21" s="584"/>
      <c r="V21" s="584"/>
      <c r="W21" s="584"/>
    </row>
    <row r="22" spans="2:23" x14ac:dyDescent="0.25">
      <c r="B22" s="1153"/>
      <c r="C22" s="1158" t="s">
        <v>67</v>
      </c>
      <c r="D22" s="1150" t="s">
        <v>4</v>
      </c>
      <c r="E22" s="745" t="s">
        <v>137</v>
      </c>
      <c r="F22" s="808">
        <f t="shared" si="0"/>
        <v>13553</v>
      </c>
      <c r="G22" s="609">
        <f>SUM(T.XII!D13)</f>
        <v>1200</v>
      </c>
      <c r="H22" s="547">
        <f>SUM(T.XII!E13)</f>
        <v>1986</v>
      </c>
      <c r="I22" s="547">
        <f>SUM(T.XII!F13)</f>
        <v>1579</v>
      </c>
      <c r="J22" s="780">
        <f>SUM(T.XII!G13)</f>
        <v>1897</v>
      </c>
      <c r="K22" s="609">
        <f>SUM(T.XII!H13)</f>
        <v>1822</v>
      </c>
      <c r="L22" s="610">
        <f>SUM(T.XII!I13)</f>
        <v>5069</v>
      </c>
      <c r="M22" s="583"/>
      <c r="O22" s="586"/>
      <c r="P22" s="584"/>
      <c r="Q22" s="584"/>
      <c r="R22" s="584"/>
      <c r="S22" s="584"/>
      <c r="T22" s="587"/>
      <c r="U22" s="584"/>
      <c r="V22" s="584"/>
      <c r="W22" s="584"/>
    </row>
    <row r="23" spans="2:23" x14ac:dyDescent="0.25">
      <c r="B23" s="1153"/>
      <c r="C23" s="1158"/>
      <c r="D23" s="1150"/>
      <c r="E23" s="783" t="s">
        <v>138</v>
      </c>
      <c r="F23" s="805">
        <f t="shared" si="0"/>
        <v>100</v>
      </c>
      <c r="G23" s="406">
        <f>G22*100/F22</f>
        <v>8.8541282372906362</v>
      </c>
      <c r="H23" s="16">
        <f>H22*100/F22</f>
        <v>14.653582232716003</v>
      </c>
      <c r="I23" s="16">
        <f>I22*100/F22</f>
        <v>11.65055707223493</v>
      </c>
      <c r="J23" s="784">
        <f>J22*100/F22</f>
        <v>13.996901055116949</v>
      </c>
      <c r="K23" s="406">
        <f>K22*100/F22</f>
        <v>13.443518040286284</v>
      </c>
      <c r="L23" s="17">
        <f>L22*100/F22</f>
        <v>37.401313362355197</v>
      </c>
      <c r="M23" s="583"/>
    </row>
    <row r="24" spans="2:23" x14ac:dyDescent="0.25">
      <c r="B24" s="1153"/>
      <c r="C24" s="1158"/>
      <c r="D24" s="1151" t="s">
        <v>119</v>
      </c>
      <c r="E24" s="813" t="s">
        <v>137</v>
      </c>
      <c r="F24" s="814">
        <f t="shared" si="0"/>
        <v>6757</v>
      </c>
      <c r="G24" s="815">
        <f>SUM(T.XIII!D13)</f>
        <v>501</v>
      </c>
      <c r="H24" s="816">
        <f>SUM(T.XIII!E13)</f>
        <v>952</v>
      </c>
      <c r="I24" s="816">
        <f>SUM(T.XIII!F13)</f>
        <v>781</v>
      </c>
      <c r="J24" s="817">
        <f>SUM(T.XIII!G13)</f>
        <v>825</v>
      </c>
      <c r="K24" s="815">
        <f>SUM(T.XIII!H13)</f>
        <v>830</v>
      </c>
      <c r="L24" s="818">
        <f>SUM(T.XIII!I13)</f>
        <v>2868</v>
      </c>
      <c r="M24" s="583"/>
    </row>
    <row r="25" spans="2:23" x14ac:dyDescent="0.25">
      <c r="B25" s="1153"/>
      <c r="C25" s="1158"/>
      <c r="D25" s="1151"/>
      <c r="E25" s="783" t="s">
        <v>138</v>
      </c>
      <c r="F25" s="805">
        <f t="shared" si="0"/>
        <v>100</v>
      </c>
      <c r="G25" s="406">
        <f>G24*100/F24</f>
        <v>7.414533076809235</v>
      </c>
      <c r="H25" s="16">
        <f>H24*100/F24</f>
        <v>14.089092792659464</v>
      </c>
      <c r="I25" s="16">
        <f>I24*100/F24</f>
        <v>11.558383898179665</v>
      </c>
      <c r="J25" s="784">
        <f>J24*100/F24</f>
        <v>12.20956045582359</v>
      </c>
      <c r="K25" s="406">
        <f>K24*100/F24</f>
        <v>12.28355779191949</v>
      </c>
      <c r="L25" s="17">
        <f>L24*100/F24</f>
        <v>42.444871984608554</v>
      </c>
      <c r="M25" s="583"/>
    </row>
    <row r="26" spans="2:23" x14ac:dyDescent="0.25">
      <c r="B26" s="1153"/>
      <c r="C26" s="1163" t="s">
        <v>68</v>
      </c>
      <c r="D26" s="1157" t="s">
        <v>4</v>
      </c>
      <c r="E26" s="749" t="s">
        <v>137</v>
      </c>
      <c r="F26" s="807">
        <f t="shared" si="0"/>
        <v>7628</v>
      </c>
      <c r="G26" s="605">
        <f>SUM(T.XII!D14)</f>
        <v>474</v>
      </c>
      <c r="H26" s="606">
        <f>SUM(T.XII!E14)</f>
        <v>891</v>
      </c>
      <c r="I26" s="606">
        <f>SUM(T.XII!F14)</f>
        <v>804</v>
      </c>
      <c r="J26" s="781">
        <f>SUM(T.XII!G14)</f>
        <v>1083</v>
      </c>
      <c r="K26" s="605">
        <f>SUM(T.XII!H14)</f>
        <v>1038</v>
      </c>
      <c r="L26" s="607">
        <f>SUM(T.XII!I14)</f>
        <v>3338</v>
      </c>
      <c r="M26" s="583"/>
    </row>
    <row r="27" spans="2:23" x14ac:dyDescent="0.25">
      <c r="B27" s="1153"/>
      <c r="C27" s="1158"/>
      <c r="D27" s="1150"/>
      <c r="E27" s="783" t="s">
        <v>138</v>
      </c>
      <c r="F27" s="805">
        <f t="shared" si="0"/>
        <v>100</v>
      </c>
      <c r="G27" s="406">
        <f>G26*100/F26</f>
        <v>6.2139486103828006</v>
      </c>
      <c r="H27" s="16">
        <f>H26*100/F26</f>
        <v>11.680650235972733</v>
      </c>
      <c r="I27" s="16">
        <f>I26*100/F26</f>
        <v>10.540115364446775</v>
      </c>
      <c r="J27" s="784">
        <f>J26*100/F26</f>
        <v>14.1976927110645</v>
      </c>
      <c r="K27" s="406">
        <f>K26*100/F26</f>
        <v>13.607760880964866</v>
      </c>
      <c r="L27" s="17">
        <f>L26*100/F26</f>
        <v>43.759832197168329</v>
      </c>
      <c r="M27" s="583"/>
    </row>
    <row r="28" spans="2:23" x14ac:dyDescent="0.25">
      <c r="B28" s="1153"/>
      <c r="C28" s="1158"/>
      <c r="D28" s="1151" t="s">
        <v>119</v>
      </c>
      <c r="E28" s="813" t="s">
        <v>137</v>
      </c>
      <c r="F28" s="814">
        <f t="shared" si="0"/>
        <v>3586</v>
      </c>
      <c r="G28" s="815">
        <f>SUM(T.XIII!D14)</f>
        <v>173</v>
      </c>
      <c r="H28" s="816">
        <f>SUM(T.XIII!E14)</f>
        <v>392</v>
      </c>
      <c r="I28" s="816">
        <f>SUM(T.XIII!F14)</f>
        <v>394</v>
      </c>
      <c r="J28" s="817">
        <f>SUM(T.XIII!G14)</f>
        <v>455</v>
      </c>
      <c r="K28" s="815">
        <f>SUM(T.XIII!H14)</f>
        <v>429</v>
      </c>
      <c r="L28" s="818">
        <f>SUM(T.XIII!I14)</f>
        <v>1743</v>
      </c>
      <c r="M28" s="583"/>
    </row>
    <row r="29" spans="2:23" x14ac:dyDescent="0.25">
      <c r="B29" s="1153"/>
      <c r="C29" s="1158"/>
      <c r="D29" s="1151"/>
      <c r="E29" s="783" t="s">
        <v>138</v>
      </c>
      <c r="F29" s="805">
        <f t="shared" si="0"/>
        <v>100</v>
      </c>
      <c r="G29" s="406">
        <f>G28*100/F28</f>
        <v>4.8243167875069712</v>
      </c>
      <c r="H29" s="16">
        <f>H28*100/F28</f>
        <v>10.931399888455104</v>
      </c>
      <c r="I29" s="16">
        <f>I28*100/F28</f>
        <v>10.987172336865589</v>
      </c>
      <c r="J29" s="784">
        <f>J28*100/F28</f>
        <v>12.688232013385388</v>
      </c>
      <c r="K29" s="406">
        <f>K28*100/F28</f>
        <v>11.963190184049079</v>
      </c>
      <c r="L29" s="17">
        <f>L28*100/F28</f>
        <v>48.605688789737869</v>
      </c>
      <c r="M29" s="583"/>
    </row>
    <row r="30" spans="2:23" x14ac:dyDescent="0.25">
      <c r="B30" s="1153"/>
      <c r="C30" s="1158" t="s">
        <v>69</v>
      </c>
      <c r="D30" s="1150" t="s">
        <v>4</v>
      </c>
      <c r="E30" s="745" t="s">
        <v>137</v>
      </c>
      <c r="F30" s="808">
        <f t="shared" si="0"/>
        <v>3892</v>
      </c>
      <c r="G30" s="609">
        <f>SUM(T.XII!D15)</f>
        <v>211</v>
      </c>
      <c r="H30" s="547">
        <f>SUM(T.XII!E15)</f>
        <v>433</v>
      </c>
      <c r="I30" s="547">
        <f>SUM(T.XII!F15)</f>
        <v>335</v>
      </c>
      <c r="J30" s="780">
        <f>SUM(T.XII!G15)</f>
        <v>489</v>
      </c>
      <c r="K30" s="609">
        <f>SUM(T.XII!H15)</f>
        <v>529</v>
      </c>
      <c r="L30" s="610">
        <f>SUM(T.XII!I15)</f>
        <v>1895</v>
      </c>
      <c r="M30" s="583"/>
    </row>
    <row r="31" spans="2:23" x14ac:dyDescent="0.25">
      <c r="B31" s="1153"/>
      <c r="C31" s="1158"/>
      <c r="D31" s="1150"/>
      <c r="E31" s="783" t="s">
        <v>138</v>
      </c>
      <c r="F31" s="805">
        <f t="shared" si="0"/>
        <v>100</v>
      </c>
      <c r="G31" s="406">
        <f>G30*100/F30</f>
        <v>5.4213771839671123</v>
      </c>
      <c r="H31" s="16">
        <f>H30*100/F30</f>
        <v>11.125385405960946</v>
      </c>
      <c r="I31" s="16">
        <f>I30*100/F30</f>
        <v>8.6073997944501546</v>
      </c>
      <c r="J31" s="784">
        <f>J30*100/F30</f>
        <v>12.564234326824256</v>
      </c>
      <c r="K31" s="406">
        <f>K30*100/F30</f>
        <v>13.591983556012334</v>
      </c>
      <c r="L31" s="17">
        <f>L30*100/F30</f>
        <v>48.689619732785204</v>
      </c>
      <c r="M31" s="583"/>
    </row>
    <row r="32" spans="2:23" x14ac:dyDescent="0.25">
      <c r="B32" s="1153"/>
      <c r="C32" s="1158"/>
      <c r="D32" s="1151" t="s">
        <v>119</v>
      </c>
      <c r="E32" s="813" t="s">
        <v>137</v>
      </c>
      <c r="F32" s="814">
        <f t="shared" si="0"/>
        <v>0</v>
      </c>
      <c r="G32" s="815">
        <v>0</v>
      </c>
      <c r="H32" s="816">
        <v>0</v>
      </c>
      <c r="I32" s="816">
        <f>SUM(T.XIII!F15)</f>
        <v>0</v>
      </c>
      <c r="J32" s="817">
        <f>SUM(T.XIII!G15)</f>
        <v>0</v>
      </c>
      <c r="K32" s="815">
        <f>SUM(T.XIII!H15)</f>
        <v>0</v>
      </c>
      <c r="L32" s="818">
        <f>SUM(T.XIII!I15)</f>
        <v>0</v>
      </c>
      <c r="M32" s="583"/>
    </row>
    <row r="33" spans="2:19" ht="15.75" thickBot="1" x14ac:dyDescent="0.3">
      <c r="B33" s="1154"/>
      <c r="C33" s="1159"/>
      <c r="D33" s="1160"/>
      <c r="E33" s="785" t="s">
        <v>138</v>
      </c>
      <c r="F33" s="809" t="str">
        <f>IF(SUM(G33:L33),"jest liczba zmień formułę","0,0")</f>
        <v>0,0</v>
      </c>
      <c r="G33" s="409">
        <f t="shared" ref="G33:L33" si="1">SUMIF(G32,"&gt;0",G32)</f>
        <v>0</v>
      </c>
      <c r="H33" s="23">
        <f t="shared" si="1"/>
        <v>0</v>
      </c>
      <c r="I33" s="23">
        <f t="shared" si="1"/>
        <v>0</v>
      </c>
      <c r="J33" s="786">
        <f t="shared" si="1"/>
        <v>0</v>
      </c>
      <c r="K33" s="409">
        <f t="shared" si="1"/>
        <v>0</v>
      </c>
      <c r="L33" s="24">
        <f t="shared" si="1"/>
        <v>0</v>
      </c>
      <c r="M33" s="583"/>
    </row>
    <row r="34" spans="2:19" ht="12.75" customHeight="1" x14ac:dyDescent="0.25">
      <c r="B34" s="1040"/>
      <c r="C34" s="1041"/>
      <c r="D34" s="1045"/>
      <c r="E34" s="418"/>
      <c r="F34" s="1047"/>
      <c r="G34" s="1047"/>
      <c r="H34" s="1047"/>
      <c r="I34" s="1047"/>
      <c r="J34" s="1047"/>
      <c r="K34" s="1047"/>
      <c r="L34" s="1047"/>
      <c r="M34" s="583"/>
    </row>
    <row r="35" spans="2:19" ht="16.5" x14ac:dyDescent="0.25">
      <c r="B35" s="1040"/>
      <c r="C35" s="1041"/>
      <c r="D35" s="1045"/>
      <c r="E35" s="418"/>
      <c r="F35" s="600">
        <f>SUM(F10,F14,F18,F22,F26,F30)</f>
        <v>75455</v>
      </c>
      <c r="G35" s="600">
        <f>SUM(G10,G14,G18,G22,G26,G30)</f>
        <v>7690</v>
      </c>
      <c r="H35" s="600">
        <f t="shared" ref="H35:L35" si="2">SUM(H10,H14,H18,H22,H26,H30)</f>
        <v>13092</v>
      </c>
      <c r="I35" s="600">
        <f t="shared" si="2"/>
        <v>10484</v>
      </c>
      <c r="J35" s="600">
        <f t="shared" si="2"/>
        <v>10726</v>
      </c>
      <c r="K35" s="600">
        <f t="shared" si="2"/>
        <v>10981</v>
      </c>
      <c r="L35" s="600">
        <f t="shared" si="2"/>
        <v>22482</v>
      </c>
      <c r="M35" s="583"/>
    </row>
    <row r="36" spans="2:19" ht="16.5" x14ac:dyDescent="0.25">
      <c r="B36" s="1040"/>
      <c r="C36" s="1041"/>
      <c r="D36" s="1045"/>
      <c r="E36" s="418"/>
      <c r="F36" s="600">
        <f>SUM(F12,F16,F20,F24,F28,F32)</f>
        <v>40284</v>
      </c>
      <c r="G36" s="600">
        <f t="shared" ref="G36:L36" si="3">SUM(G12,G16,G20,G24,G28,G32)</f>
        <v>3113</v>
      </c>
      <c r="H36" s="600">
        <f t="shared" si="3"/>
        <v>6046</v>
      </c>
      <c r="I36" s="600">
        <f t="shared" si="3"/>
        <v>5447</v>
      </c>
      <c r="J36" s="600">
        <f t="shared" si="3"/>
        <v>5484</v>
      </c>
      <c r="K36" s="600">
        <f t="shared" si="3"/>
        <v>6246</v>
      </c>
      <c r="L36" s="600">
        <f t="shared" si="3"/>
        <v>13948</v>
      </c>
      <c r="M36" s="583"/>
    </row>
    <row r="37" spans="2:19" ht="15.75" thickBot="1" x14ac:dyDescent="0.3">
      <c r="G37" s="582"/>
      <c r="H37" s="582"/>
      <c r="I37" s="582"/>
      <c r="J37" s="582"/>
      <c r="K37" s="582"/>
      <c r="L37" s="582"/>
    </row>
    <row r="38" spans="2:19" ht="15" customHeight="1" x14ac:dyDescent="0.25">
      <c r="B38" s="849"/>
      <c r="C38" s="614" t="s">
        <v>338</v>
      </c>
      <c r="D38" s="823"/>
      <c r="E38" s="825"/>
      <c r="F38" s="869"/>
      <c r="G38" s="838" t="s">
        <v>449</v>
      </c>
      <c r="H38" s="831"/>
      <c r="I38" s="831"/>
      <c r="J38" s="831"/>
      <c r="K38" s="831"/>
      <c r="L38" s="831"/>
      <c r="M38" s="831"/>
      <c r="N38" s="834"/>
      <c r="P38" s="77"/>
    </row>
    <row r="39" spans="2:19" ht="15" customHeight="1" x14ac:dyDescent="0.25">
      <c r="B39" s="867" t="s">
        <v>356</v>
      </c>
      <c r="C39" s="870" t="str">
        <f>T(B7)</f>
        <v>stan na 31 XII '19</v>
      </c>
      <c r="D39" s="819"/>
      <c r="E39" s="819"/>
      <c r="F39" s="871"/>
      <c r="G39" s="829" t="s">
        <v>450</v>
      </c>
      <c r="H39" s="830"/>
      <c r="I39" s="830"/>
      <c r="J39" s="839"/>
      <c r="K39" s="820" t="s">
        <v>450</v>
      </c>
      <c r="L39" s="822"/>
      <c r="M39" s="822"/>
      <c r="N39" s="824"/>
    </row>
    <row r="40" spans="2:19" ht="15" customHeight="1" x14ac:dyDescent="0.25">
      <c r="B40" s="868" t="s">
        <v>435</v>
      </c>
      <c r="C40" s="872"/>
      <c r="D40" s="837"/>
      <c r="E40" s="837"/>
      <c r="F40" s="873"/>
      <c r="G40" s="820" t="s">
        <v>451</v>
      </c>
      <c r="H40" s="820"/>
      <c r="I40" s="820"/>
      <c r="J40" s="840"/>
      <c r="K40" s="826" t="s">
        <v>452</v>
      </c>
      <c r="L40" s="826"/>
      <c r="M40" s="826"/>
      <c r="N40" s="827"/>
    </row>
    <row r="41" spans="2:19" x14ac:dyDescent="0.25">
      <c r="B41" s="867" t="s">
        <v>453</v>
      </c>
      <c r="C41" s="1164" t="s">
        <v>4</v>
      </c>
      <c r="D41" s="1165"/>
      <c r="E41" s="1161" t="s">
        <v>119</v>
      </c>
      <c r="F41" s="1162"/>
      <c r="G41" s="1166" t="s">
        <v>4</v>
      </c>
      <c r="H41" s="1165"/>
      <c r="I41" s="1161" t="s">
        <v>119</v>
      </c>
      <c r="J41" s="1167"/>
      <c r="K41" s="1168" t="s">
        <v>4</v>
      </c>
      <c r="L41" s="1166"/>
      <c r="M41" s="1161" t="s">
        <v>119</v>
      </c>
      <c r="N41" s="1162"/>
    </row>
    <row r="42" spans="2:19" ht="18.75" customHeight="1" thickBot="1" x14ac:dyDescent="0.3">
      <c r="B42" s="850"/>
      <c r="C42" s="746" t="s">
        <v>137</v>
      </c>
      <c r="D42" s="843" t="s">
        <v>448</v>
      </c>
      <c r="E42" s="844" t="s">
        <v>137</v>
      </c>
      <c r="F42" s="848" t="s">
        <v>448</v>
      </c>
      <c r="G42" s="845" t="s">
        <v>137</v>
      </c>
      <c r="H42" s="846" t="s">
        <v>448</v>
      </c>
      <c r="I42" s="844" t="s">
        <v>137</v>
      </c>
      <c r="J42" s="846" t="s">
        <v>448</v>
      </c>
      <c r="K42" s="847" t="s">
        <v>137</v>
      </c>
      <c r="L42" s="851" t="s">
        <v>448</v>
      </c>
      <c r="M42" s="855" t="s">
        <v>137</v>
      </c>
      <c r="N42" s="848" t="s">
        <v>448</v>
      </c>
    </row>
    <row r="43" spans="2:19" x14ac:dyDescent="0.25">
      <c r="B43" s="747" t="s">
        <v>435</v>
      </c>
      <c r="C43" s="874">
        <f t="shared" ref="C43:C49" si="4">SUM(G43,K43)</f>
        <v>75455</v>
      </c>
      <c r="D43" s="832">
        <f>SUM(D44:D49)</f>
        <v>100</v>
      </c>
      <c r="E43" s="835">
        <f t="shared" ref="E43:E49" si="5">SUM(I43,M43)</f>
        <v>40284</v>
      </c>
      <c r="F43" s="875">
        <f>SUM(F44:F49)</f>
        <v>100</v>
      </c>
      <c r="G43" s="605">
        <f>SUM(G6:J6)</f>
        <v>41992</v>
      </c>
      <c r="H43" s="841">
        <f>SUM(H44:H49)</f>
        <v>100</v>
      </c>
      <c r="I43" s="835">
        <f>SUM(G8:J8)</f>
        <v>20090</v>
      </c>
      <c r="J43" s="841">
        <f>SUM(J44:J49)</f>
        <v>100</v>
      </c>
      <c r="K43" s="605">
        <f>SUM(K6:L6)</f>
        <v>33463</v>
      </c>
      <c r="L43" s="852">
        <f>SUM(L44:L49)</f>
        <v>100</v>
      </c>
      <c r="M43" s="835">
        <f>SUM(K8:L8)</f>
        <v>20194</v>
      </c>
      <c r="N43" s="833">
        <f>SUM(N44:N49)</f>
        <v>100</v>
      </c>
      <c r="S43" s="77"/>
    </row>
    <row r="44" spans="2:19" x14ac:dyDescent="0.25">
      <c r="B44" s="880" t="s">
        <v>64</v>
      </c>
      <c r="C44" s="876">
        <f t="shared" si="4"/>
        <v>10295</v>
      </c>
      <c r="D44" s="570">
        <f>C44*100/C43</f>
        <v>13.643893711483665</v>
      </c>
      <c r="E44" s="816">
        <f t="shared" si="5"/>
        <v>5362</v>
      </c>
      <c r="F44" s="877">
        <f>E44*100/E43</f>
        <v>13.310495482077252</v>
      </c>
      <c r="G44" s="609">
        <f>SUM(G10:J10)</f>
        <v>8326</v>
      </c>
      <c r="H44" s="572">
        <f>G44*100/G43</f>
        <v>19.827586206896552</v>
      </c>
      <c r="I44" s="816">
        <f>SUM(G12:J12)</f>
        <v>3978</v>
      </c>
      <c r="J44" s="572">
        <f>I44*100/I43</f>
        <v>19.800895968143355</v>
      </c>
      <c r="K44" s="609">
        <f>SUM(K10:L10)</f>
        <v>1969</v>
      </c>
      <c r="L44" s="853">
        <f>K44*100/K43</f>
        <v>5.8841108089531717</v>
      </c>
      <c r="M44" s="816">
        <f>SUM(K12:L12)</f>
        <v>1384</v>
      </c>
      <c r="N44" s="571">
        <f>M44*100/M43</f>
        <v>6.8535208477765677</v>
      </c>
    </row>
    <row r="45" spans="2:19" x14ac:dyDescent="0.25">
      <c r="B45" s="880" t="s">
        <v>65</v>
      </c>
      <c r="C45" s="876">
        <f t="shared" si="4"/>
        <v>22239</v>
      </c>
      <c r="D45" s="570">
        <f>C45*100/C43</f>
        <v>29.473195944602743</v>
      </c>
      <c r="E45" s="816">
        <f t="shared" si="5"/>
        <v>14251</v>
      </c>
      <c r="F45" s="877">
        <f>E45*100/E43</f>
        <v>35.376328070698044</v>
      </c>
      <c r="G45" s="609">
        <f>SUM(G14:J14)</f>
        <v>13103</v>
      </c>
      <c r="H45" s="572">
        <f>G45*100/G43</f>
        <v>31.203562583349211</v>
      </c>
      <c r="I45" s="816">
        <f>SUM(G16:J16)</f>
        <v>7107</v>
      </c>
      <c r="J45" s="572">
        <f>I45*100/I43</f>
        <v>35.375808860129418</v>
      </c>
      <c r="K45" s="609">
        <f>SUM(K14:L14)</f>
        <v>9136</v>
      </c>
      <c r="L45" s="853">
        <f>K45*100/K43</f>
        <v>27.301796013507456</v>
      </c>
      <c r="M45" s="816">
        <f>SUM(K16:L16)</f>
        <v>7144</v>
      </c>
      <c r="N45" s="571">
        <f>M45*100/M43</f>
        <v>35.376844607309103</v>
      </c>
    </row>
    <row r="46" spans="2:19" x14ac:dyDescent="0.25">
      <c r="B46" s="881" t="s">
        <v>66</v>
      </c>
      <c r="C46" s="876">
        <f t="shared" si="4"/>
        <v>17848</v>
      </c>
      <c r="D46" s="570">
        <f>C46*100/C43</f>
        <v>23.653833410642104</v>
      </c>
      <c r="E46" s="816">
        <f t="shared" si="5"/>
        <v>10328</v>
      </c>
      <c r="F46" s="877">
        <f>E46*100/E43</f>
        <v>25.637970410088371</v>
      </c>
      <c r="G46" s="609">
        <f>SUM(G18:J18)</f>
        <v>9181</v>
      </c>
      <c r="H46" s="572">
        <f>G46*100/G43</f>
        <v>21.863688321585062</v>
      </c>
      <c r="I46" s="816">
        <f>SUM(G20:J20)</f>
        <v>4532</v>
      </c>
      <c r="J46" s="572">
        <f>I46*100/I43</f>
        <v>22.558486809357891</v>
      </c>
      <c r="K46" s="609">
        <f>SUM(K18:L18)</f>
        <v>8667</v>
      </c>
      <c r="L46" s="853">
        <f>K46*100/K43</f>
        <v>25.900248035143292</v>
      </c>
      <c r="M46" s="816">
        <f>SUM(K20:L20)</f>
        <v>5796</v>
      </c>
      <c r="N46" s="571">
        <f>M46*100/M43</f>
        <v>28.701594533029613</v>
      </c>
    </row>
    <row r="47" spans="2:19" x14ac:dyDescent="0.25">
      <c r="B47" s="881" t="s">
        <v>67</v>
      </c>
      <c r="C47" s="876">
        <f t="shared" si="4"/>
        <v>13553</v>
      </c>
      <c r="D47" s="570">
        <f>C47*100/C43</f>
        <v>17.961699025909482</v>
      </c>
      <c r="E47" s="816">
        <f t="shared" si="5"/>
        <v>6757</v>
      </c>
      <c r="F47" s="877">
        <f>E47*100/E43</f>
        <v>16.773408797537485</v>
      </c>
      <c r="G47" s="609">
        <f>SUM(G22:J22)</f>
        <v>6662</v>
      </c>
      <c r="H47" s="572">
        <f>G47*100/G43</f>
        <v>15.864926652695752</v>
      </c>
      <c r="I47" s="816">
        <f>SUM(G24:J24)</f>
        <v>3059</v>
      </c>
      <c r="J47" s="572">
        <f>I47*100/I43</f>
        <v>15.226480836236934</v>
      </c>
      <c r="K47" s="609">
        <f>SUM(K22:L22)</f>
        <v>6891</v>
      </c>
      <c r="L47" s="853">
        <f>K47*100/K43</f>
        <v>20.592893643725905</v>
      </c>
      <c r="M47" s="816">
        <f>SUM(K24:L24)</f>
        <v>3698</v>
      </c>
      <c r="N47" s="571">
        <f>M47*100/M43</f>
        <v>18.312370010894327</v>
      </c>
    </row>
    <row r="48" spans="2:19" x14ac:dyDescent="0.25">
      <c r="B48" s="880" t="s">
        <v>68</v>
      </c>
      <c r="C48" s="876">
        <f t="shared" si="4"/>
        <v>7628</v>
      </c>
      <c r="D48" s="570">
        <f>C48*100/C43</f>
        <v>10.109336690742827</v>
      </c>
      <c r="E48" s="816">
        <f t="shared" si="5"/>
        <v>3586</v>
      </c>
      <c r="F48" s="877">
        <f>E48*100/E43</f>
        <v>8.9017972395988476</v>
      </c>
      <c r="G48" s="609">
        <f>SUM(G26:J26)</f>
        <v>3252</v>
      </c>
      <c r="H48" s="572">
        <f>G48*100/G43</f>
        <v>7.7443322537626216</v>
      </c>
      <c r="I48" s="816">
        <f>SUM(G28:J28)</f>
        <v>1414</v>
      </c>
      <c r="J48" s="572">
        <f>I48*100/I43</f>
        <v>7.0383275261324041</v>
      </c>
      <c r="K48" s="609">
        <f>SUM(K26:L26)</f>
        <v>4376</v>
      </c>
      <c r="L48" s="853">
        <f>K48*100/K43</f>
        <v>13.077129964438335</v>
      </c>
      <c r="M48" s="816">
        <f>SUM(K28:L28)</f>
        <v>2172</v>
      </c>
      <c r="N48" s="571">
        <f>M48*100/M43</f>
        <v>10.755670000990394</v>
      </c>
    </row>
    <row r="49" spans="2:14" ht="15.75" thickBot="1" x14ac:dyDescent="0.3">
      <c r="B49" s="882" t="s">
        <v>69</v>
      </c>
      <c r="C49" s="878">
        <f t="shared" si="4"/>
        <v>3892</v>
      </c>
      <c r="D49" s="574">
        <f>C49*100/C43</f>
        <v>5.1580412166191767</v>
      </c>
      <c r="E49" s="836">
        <f t="shared" si="5"/>
        <v>0</v>
      </c>
      <c r="F49" s="879">
        <f>E49*100/E43</f>
        <v>0</v>
      </c>
      <c r="G49" s="828">
        <f>SUM(G30:J30)</f>
        <v>1468</v>
      </c>
      <c r="H49" s="573">
        <f>G49*100/G43</f>
        <v>3.4959039817108022</v>
      </c>
      <c r="I49" s="836">
        <f>SUM(G32:J32)</f>
        <v>0</v>
      </c>
      <c r="J49" s="573">
        <f>I49*100/I43</f>
        <v>0</v>
      </c>
      <c r="K49" s="828">
        <f>SUM(K30:L30)</f>
        <v>2424</v>
      </c>
      <c r="L49" s="854">
        <f>K49*100/K43</f>
        <v>7.2438215342318379</v>
      </c>
      <c r="M49" s="836">
        <f>SUM(K32:L32)</f>
        <v>0</v>
      </c>
      <c r="N49" s="575">
        <f>M49*100/M43</f>
        <v>0</v>
      </c>
    </row>
    <row r="50" spans="2:14" x14ac:dyDescent="0.25">
      <c r="C50" s="1043">
        <f>SUM(F10,F14,F18,F22,F26,F30)</f>
        <v>75455</v>
      </c>
      <c r="F50" s="821"/>
      <c r="G50" s="821"/>
      <c r="H50" s="821"/>
      <c r="I50" s="821"/>
      <c r="J50" s="821"/>
      <c r="K50" s="821"/>
      <c r="L50" s="821"/>
    </row>
    <row r="51" spans="2:14" x14ac:dyDescent="0.25">
      <c r="C51" s="1043">
        <f>SUM(F12,F16,F20,F24,F28,F32)</f>
        <v>40284</v>
      </c>
      <c r="F51" s="892"/>
      <c r="G51" s="95"/>
      <c r="H51" s="892"/>
      <c r="I51" s="821"/>
      <c r="J51" s="892"/>
      <c r="K51" s="95"/>
      <c r="L51" s="892"/>
      <c r="M51" s="887"/>
      <c r="N51" s="887"/>
    </row>
    <row r="52" spans="2:14" x14ac:dyDescent="0.25">
      <c r="F52" s="891"/>
      <c r="G52" s="95"/>
      <c r="H52" s="891"/>
      <c r="I52" s="887"/>
      <c r="J52" s="891"/>
      <c r="K52" s="95"/>
      <c r="L52" s="891"/>
      <c r="M52" s="887"/>
      <c r="N52" s="887"/>
    </row>
    <row r="53" spans="2:14" x14ac:dyDescent="0.25">
      <c r="F53" s="891"/>
      <c r="G53" s="95"/>
      <c r="H53" s="891"/>
      <c r="I53" s="887"/>
      <c r="J53" s="891"/>
      <c r="K53" s="95"/>
      <c r="L53" s="891"/>
      <c r="M53" s="887"/>
      <c r="N53" s="887"/>
    </row>
    <row r="54" spans="2:14" x14ac:dyDescent="0.25">
      <c r="F54" s="891"/>
      <c r="G54" s="95"/>
      <c r="H54" s="891"/>
      <c r="I54" s="887"/>
      <c r="J54" s="891"/>
      <c r="K54" s="95"/>
      <c r="L54" s="891"/>
      <c r="M54" s="887"/>
      <c r="N54" s="891"/>
    </row>
  </sheetData>
  <mergeCells count="28">
    <mergeCell ref="M41:N41"/>
    <mergeCell ref="C22:C25"/>
    <mergeCell ref="D22:D23"/>
    <mergeCell ref="D24:D25"/>
    <mergeCell ref="C14:C17"/>
    <mergeCell ref="C26:C29"/>
    <mergeCell ref="D26:D27"/>
    <mergeCell ref="D28:D29"/>
    <mergeCell ref="C41:D41"/>
    <mergeCell ref="E41:F41"/>
    <mergeCell ref="G41:H41"/>
    <mergeCell ref="I41:J41"/>
    <mergeCell ref="K41:L41"/>
    <mergeCell ref="G4:L4"/>
    <mergeCell ref="D6:D7"/>
    <mergeCell ref="D8:D9"/>
    <mergeCell ref="B10:B33"/>
    <mergeCell ref="C10:C13"/>
    <mergeCell ref="D10:D11"/>
    <mergeCell ref="D12:D13"/>
    <mergeCell ref="C30:C33"/>
    <mergeCell ref="D30:D31"/>
    <mergeCell ref="D32:D33"/>
    <mergeCell ref="D14:D15"/>
    <mergeCell ref="D16:D17"/>
    <mergeCell ref="C18:C21"/>
    <mergeCell ref="D18:D19"/>
    <mergeCell ref="D20:D21"/>
  </mergeCells>
  <printOptions horizontalCentered="1"/>
  <pageMargins left="0" right="0" top="1.0236220472440944" bottom="0" header="0" footer="0"/>
  <pageSetup paperSize="9" scale="6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F2"/>
  </sheetPr>
  <dimension ref="A2:L37"/>
  <sheetViews>
    <sheetView zoomScale="90" zoomScaleNormal="90" workbookViewId="0">
      <selection activeCell="B1" sqref="B1"/>
    </sheetView>
  </sheetViews>
  <sheetFormatPr defaultRowHeight="15" x14ac:dyDescent="0.25"/>
  <cols>
    <col min="1" max="1" width="3.42578125" style="2" customWidth="1"/>
    <col min="2" max="2" width="13.140625" style="2" customWidth="1"/>
    <col min="3" max="3" width="16.140625" style="2" customWidth="1"/>
    <col min="4" max="4" width="9.85546875" style="2" customWidth="1"/>
    <col min="5" max="5" width="7.42578125" style="2" customWidth="1"/>
    <col min="6" max="6" width="10.5703125" style="95" customWidth="1"/>
    <col min="7" max="7" width="8.7109375" style="2" customWidth="1"/>
    <col min="8" max="8" width="9.5703125" style="2" customWidth="1"/>
    <col min="9" max="9" width="9.140625" style="2" customWidth="1"/>
    <col min="10" max="10" width="9.5703125" style="2" customWidth="1"/>
    <col min="11" max="11" width="10.28515625" style="2" customWidth="1"/>
    <col min="12" max="12" width="8.7109375" style="2" customWidth="1"/>
    <col min="13" max="16384" width="9.140625" style="2"/>
  </cols>
  <sheetData>
    <row r="2" spans="1:12" x14ac:dyDescent="0.25">
      <c r="B2" s="157" t="s">
        <v>465</v>
      </c>
    </row>
    <row r="3" spans="1:12" ht="19.5" thickBot="1" x14ac:dyDescent="0.3">
      <c r="B3" s="157" t="s">
        <v>339</v>
      </c>
      <c r="G3" s="569"/>
    </row>
    <row r="4" spans="1:12" ht="18.75" customHeight="1" x14ac:dyDescent="0.25">
      <c r="B4" s="614" t="s">
        <v>3</v>
      </c>
      <c r="C4" s="615"/>
      <c r="D4" s="615"/>
      <c r="E4" s="615"/>
      <c r="F4" s="802"/>
      <c r="G4" s="1147" t="s">
        <v>447</v>
      </c>
      <c r="H4" s="1147"/>
      <c r="I4" s="1147"/>
      <c r="J4" s="1147"/>
      <c r="K4" s="1147"/>
      <c r="L4" s="1148"/>
    </row>
    <row r="5" spans="1:12" ht="45" customHeight="1" thickBot="1" x14ac:dyDescent="0.3">
      <c r="A5" s="576"/>
      <c r="B5" s="787"/>
      <c r="C5" s="819"/>
      <c r="D5" s="819"/>
      <c r="E5" s="819"/>
      <c r="F5" s="803" t="s">
        <v>62</v>
      </c>
      <c r="G5" s="788" t="s">
        <v>88</v>
      </c>
      <c r="H5" s="789" t="s">
        <v>77</v>
      </c>
      <c r="I5" s="789" t="s">
        <v>84</v>
      </c>
      <c r="J5" s="790" t="s">
        <v>85</v>
      </c>
      <c r="K5" s="791" t="s">
        <v>86</v>
      </c>
      <c r="L5" s="792" t="s">
        <v>87</v>
      </c>
    </row>
    <row r="6" spans="1:12" ht="16.5" customHeight="1" thickTop="1" x14ac:dyDescent="0.25">
      <c r="B6" s="793" t="s">
        <v>338</v>
      </c>
      <c r="C6" s="810"/>
      <c r="D6" s="1149" t="s">
        <v>4</v>
      </c>
      <c r="E6" s="794" t="s">
        <v>137</v>
      </c>
      <c r="F6" s="856">
        <f t="shared" ref="F6:F29" si="0">SUM(G6:L6)</f>
        <v>75455</v>
      </c>
      <c r="G6" s="857">
        <f>SUM(T.XII!D8)</f>
        <v>7690</v>
      </c>
      <c r="H6" s="858">
        <f>SUM(T.XII!E8)</f>
        <v>13092</v>
      </c>
      <c r="I6" s="858">
        <f>SUM(T.XII!F8)</f>
        <v>10484</v>
      </c>
      <c r="J6" s="859">
        <f>SUM(T.XII!G8)</f>
        <v>10726</v>
      </c>
      <c r="K6" s="857">
        <f>SUM(T.XII!H8)</f>
        <v>10981</v>
      </c>
      <c r="L6" s="860">
        <f>SUM(T.XII!I8)</f>
        <v>22482</v>
      </c>
    </row>
    <row r="7" spans="1:12" ht="15" customHeight="1" x14ac:dyDescent="0.25">
      <c r="B7" s="593" t="s">
        <v>446</v>
      </c>
      <c r="C7" s="811"/>
      <c r="D7" s="1150"/>
      <c r="E7" s="783" t="s">
        <v>138</v>
      </c>
      <c r="F7" s="805">
        <f t="shared" si="0"/>
        <v>100.00000000000001</v>
      </c>
      <c r="G7" s="406">
        <f>G6*100/F6</f>
        <v>10.191504870452588</v>
      </c>
      <c r="H7" s="16">
        <f>H6*100/F6</f>
        <v>17.350738850970778</v>
      </c>
      <c r="I7" s="16">
        <f>I6*100/F6</f>
        <v>13.894374130276324</v>
      </c>
      <c r="J7" s="784">
        <f>J6*100/F6</f>
        <v>14.215095089788615</v>
      </c>
      <c r="K7" s="406">
        <f>K6*100/F6</f>
        <v>14.553044861175534</v>
      </c>
      <c r="L7" s="17">
        <f>L6*100/F6</f>
        <v>29.795242197336162</v>
      </c>
    </row>
    <row r="8" spans="1:12" ht="18.75" customHeight="1" x14ac:dyDescent="0.25">
      <c r="B8" s="748"/>
      <c r="C8" s="811"/>
      <c r="D8" s="1151" t="s">
        <v>119</v>
      </c>
      <c r="E8" s="813" t="s">
        <v>137</v>
      </c>
      <c r="F8" s="861">
        <f t="shared" si="0"/>
        <v>40284</v>
      </c>
      <c r="G8" s="862">
        <f>SUM(T.XIII!D8)</f>
        <v>3113</v>
      </c>
      <c r="H8" s="863">
        <f>SUM(T.XIII!E8)</f>
        <v>6046</v>
      </c>
      <c r="I8" s="863">
        <f>SUM(T.XIII!F8)</f>
        <v>5447</v>
      </c>
      <c r="J8" s="864">
        <f>SUM(T.XIII!G8)</f>
        <v>5484</v>
      </c>
      <c r="K8" s="1039">
        <f>SUM(T.XIII!H8)</f>
        <v>6246</v>
      </c>
      <c r="L8" s="866">
        <f>SUM(T.XIII!I8)</f>
        <v>13948</v>
      </c>
    </row>
    <row r="9" spans="1:12" ht="15.75" customHeight="1" thickBot="1" x14ac:dyDescent="0.3">
      <c r="B9" s="748"/>
      <c r="C9" s="811"/>
      <c r="D9" s="1174"/>
      <c r="E9" s="899" t="s">
        <v>138</v>
      </c>
      <c r="F9" s="900">
        <f t="shared" si="0"/>
        <v>100</v>
      </c>
      <c r="G9" s="901">
        <f>G8*100/F8</f>
        <v>7.7276338000198592</v>
      </c>
      <c r="H9" s="902">
        <f>H8*100/F8</f>
        <v>15.008440075464204</v>
      </c>
      <c r="I9" s="902">
        <f>I8*100/F8</f>
        <v>13.521497368682356</v>
      </c>
      <c r="J9" s="903">
        <f>J8*100/F8</f>
        <v>13.613345248733989</v>
      </c>
      <c r="K9" s="901">
        <f>K8*100/F8</f>
        <v>15.504915102770331</v>
      </c>
      <c r="L9" s="904">
        <f>L8*100/F8</f>
        <v>34.624168404329261</v>
      </c>
    </row>
    <row r="10" spans="1:12" ht="15" customHeight="1" x14ac:dyDescent="0.25">
      <c r="B10" s="1171" t="s">
        <v>455</v>
      </c>
      <c r="C10" s="1170" t="s">
        <v>71</v>
      </c>
      <c r="D10" s="1169" t="s">
        <v>4</v>
      </c>
      <c r="E10" s="782" t="s">
        <v>137</v>
      </c>
      <c r="F10" s="905">
        <f t="shared" si="0"/>
        <v>11753</v>
      </c>
      <c r="G10" s="601">
        <f>SUM(T.XII!D17)</f>
        <v>1239</v>
      </c>
      <c r="H10" s="602">
        <f>SUM(T.XII!E17)</f>
        <v>2341</v>
      </c>
      <c r="I10" s="602">
        <f>SUM(T.XII!F17)</f>
        <v>1819</v>
      </c>
      <c r="J10" s="779">
        <f>SUM(T.XII!G17)</f>
        <v>1843</v>
      </c>
      <c r="K10" s="601">
        <f>SUM(T.XII!H17)</f>
        <v>1852</v>
      </c>
      <c r="L10" s="603">
        <f>SUM(T.XII!I17)</f>
        <v>2659</v>
      </c>
    </row>
    <row r="11" spans="1:12" x14ac:dyDescent="0.25">
      <c r="B11" s="1172"/>
      <c r="C11" s="1156"/>
      <c r="D11" s="1150"/>
      <c r="E11" s="783" t="s">
        <v>138</v>
      </c>
      <c r="F11" s="805">
        <f t="shared" si="0"/>
        <v>100</v>
      </c>
      <c r="G11" s="406">
        <f>G10*100/F10</f>
        <v>10.541989279332936</v>
      </c>
      <c r="H11" s="16">
        <f>H10*100/F10</f>
        <v>19.918318727133499</v>
      </c>
      <c r="I11" s="16">
        <f>I10*100/F10</f>
        <v>15.476899515017442</v>
      </c>
      <c r="J11" s="784">
        <f>J10*100/F10</f>
        <v>15.681102697183698</v>
      </c>
      <c r="K11" s="406">
        <f>K10*100/F10</f>
        <v>15.757678890496043</v>
      </c>
      <c r="L11" s="17">
        <f>L10*100/F10</f>
        <v>22.624010890836381</v>
      </c>
    </row>
    <row r="12" spans="1:12" ht="15" customHeight="1" x14ac:dyDescent="0.25">
      <c r="B12" s="1172"/>
      <c r="C12" s="1156"/>
      <c r="D12" s="1151" t="s">
        <v>119</v>
      </c>
      <c r="E12" s="813" t="s">
        <v>137</v>
      </c>
      <c r="F12" s="814">
        <f t="shared" si="0"/>
        <v>8358</v>
      </c>
      <c r="G12" s="815">
        <f>SUM(T.XIII!D17)</f>
        <v>786</v>
      </c>
      <c r="H12" s="816">
        <f>SUM(T.XIII!E17)</f>
        <v>1537</v>
      </c>
      <c r="I12" s="816">
        <f>SUM(T.XIII!F17)</f>
        <v>1303</v>
      </c>
      <c r="J12" s="817">
        <f>SUM(T.XIII!G17)</f>
        <v>1323</v>
      </c>
      <c r="K12" s="815">
        <f>SUM(T.XIII!H17)</f>
        <v>1396</v>
      </c>
      <c r="L12" s="818">
        <f>SUM(T.XIII!I17)</f>
        <v>2013</v>
      </c>
    </row>
    <row r="13" spans="1:12" x14ac:dyDescent="0.25">
      <c r="B13" s="1172"/>
      <c r="C13" s="1156"/>
      <c r="D13" s="1151"/>
      <c r="E13" s="783" t="s">
        <v>138</v>
      </c>
      <c r="F13" s="805">
        <f t="shared" si="0"/>
        <v>100</v>
      </c>
      <c r="G13" s="406">
        <f>G12*100/F12</f>
        <v>9.4041636755204596</v>
      </c>
      <c r="H13" s="16">
        <f>H12*100/F12</f>
        <v>18.389566882029193</v>
      </c>
      <c r="I13" s="16">
        <f>I12*100/F12</f>
        <v>15.589854032065087</v>
      </c>
      <c r="J13" s="784">
        <f>J12*100/F12</f>
        <v>15.829145728643216</v>
      </c>
      <c r="K13" s="406">
        <f>K12*100/F12</f>
        <v>16.702560421153386</v>
      </c>
      <c r="L13" s="17">
        <f>L12*100/F12</f>
        <v>24.084709260588657</v>
      </c>
    </row>
    <row r="14" spans="1:12" x14ac:dyDescent="0.25">
      <c r="B14" s="1172"/>
      <c r="C14" s="1158" t="s">
        <v>12</v>
      </c>
      <c r="D14" s="1150" t="s">
        <v>4</v>
      </c>
      <c r="E14" s="745" t="s">
        <v>137</v>
      </c>
      <c r="F14" s="808">
        <f t="shared" si="0"/>
        <v>19754</v>
      </c>
      <c r="G14" s="609">
        <f>SUM(T.XII!D18)</f>
        <v>2163</v>
      </c>
      <c r="H14" s="547">
        <f>SUM(T.XII!E18)</f>
        <v>3569</v>
      </c>
      <c r="I14" s="547">
        <f>SUM(T.XII!F18)</f>
        <v>2930</v>
      </c>
      <c r="J14" s="780">
        <f>SUM(T.XII!G18)</f>
        <v>2769</v>
      </c>
      <c r="K14" s="609">
        <f>SUM(T.XII!H18)</f>
        <v>2863</v>
      </c>
      <c r="L14" s="610">
        <f>SUM(T.XII!I18)</f>
        <v>5460</v>
      </c>
    </row>
    <row r="15" spans="1:12" x14ac:dyDescent="0.25">
      <c r="B15" s="1172"/>
      <c r="C15" s="1158"/>
      <c r="D15" s="1150"/>
      <c r="E15" s="783" t="s">
        <v>138</v>
      </c>
      <c r="F15" s="805">
        <f t="shared" si="0"/>
        <v>100</v>
      </c>
      <c r="G15" s="406">
        <f>G14*100/F14</f>
        <v>10.949681077250178</v>
      </c>
      <c r="H15" s="16">
        <f>H14*100/F14</f>
        <v>18.067226890756302</v>
      </c>
      <c r="I15" s="16">
        <f>I14*100/F14</f>
        <v>14.832438999696263</v>
      </c>
      <c r="J15" s="784">
        <f>J14*100/F14</f>
        <v>14.017414194593501</v>
      </c>
      <c r="K15" s="406">
        <f>K14*100/F14</f>
        <v>14.493267186392629</v>
      </c>
      <c r="L15" s="17">
        <f>L14*100/F14</f>
        <v>27.639971651311125</v>
      </c>
    </row>
    <row r="16" spans="1:12" ht="15" customHeight="1" x14ac:dyDescent="0.25">
      <c r="B16" s="1172"/>
      <c r="C16" s="1158"/>
      <c r="D16" s="1151" t="s">
        <v>119</v>
      </c>
      <c r="E16" s="813" t="s">
        <v>137</v>
      </c>
      <c r="F16" s="814">
        <f t="shared" si="0"/>
        <v>11982</v>
      </c>
      <c r="G16" s="815">
        <f>SUM(T.XIII!D18)</f>
        <v>993</v>
      </c>
      <c r="H16" s="816">
        <f>SUM(T.XIII!E18)</f>
        <v>1775</v>
      </c>
      <c r="I16" s="816">
        <f>SUM(T.XIII!F18)</f>
        <v>1666</v>
      </c>
      <c r="J16" s="817">
        <f>SUM(T.XIII!G18)</f>
        <v>1650</v>
      </c>
      <c r="K16" s="815">
        <f>SUM(T.XIII!H18)</f>
        <v>1870</v>
      </c>
      <c r="L16" s="818">
        <f>SUM(T.XIII!I18)</f>
        <v>4028</v>
      </c>
    </row>
    <row r="17" spans="2:12" x14ac:dyDescent="0.25">
      <c r="B17" s="1172"/>
      <c r="C17" s="1158"/>
      <c r="D17" s="1151"/>
      <c r="E17" s="783" t="s">
        <v>138</v>
      </c>
      <c r="F17" s="805">
        <f t="shared" si="0"/>
        <v>100</v>
      </c>
      <c r="G17" s="406">
        <f>G16*100/F16</f>
        <v>8.2874311467200794</v>
      </c>
      <c r="H17" s="16">
        <f>H16*100/F16</f>
        <v>14.813887497913537</v>
      </c>
      <c r="I17" s="16">
        <f>I16*100/F16</f>
        <v>13.904189617759974</v>
      </c>
      <c r="J17" s="784">
        <f>J16*100/F16</f>
        <v>13.770655983975963</v>
      </c>
      <c r="K17" s="406">
        <f>K16*100/F16</f>
        <v>15.606743448506093</v>
      </c>
      <c r="L17" s="17">
        <f>L16*100/F16</f>
        <v>33.617092305124352</v>
      </c>
    </row>
    <row r="18" spans="2:12" x14ac:dyDescent="0.25">
      <c r="B18" s="1172"/>
      <c r="C18" s="1158" t="s">
        <v>420</v>
      </c>
      <c r="D18" s="1150" t="s">
        <v>4</v>
      </c>
      <c r="E18" s="745" t="s">
        <v>137</v>
      </c>
      <c r="F18" s="808">
        <f t="shared" si="0"/>
        <v>8350</v>
      </c>
      <c r="G18" s="609">
        <f>SUM(T.XII!D19)</f>
        <v>958</v>
      </c>
      <c r="H18" s="547">
        <f>SUM(T.XII!E19)</f>
        <v>1532</v>
      </c>
      <c r="I18" s="547">
        <f>SUM(T.XII!F19)</f>
        <v>1249</v>
      </c>
      <c r="J18" s="780">
        <f>SUM(T.XII!G19)</f>
        <v>1176</v>
      </c>
      <c r="K18" s="609">
        <f>SUM(T.XII!H19)</f>
        <v>1262</v>
      </c>
      <c r="L18" s="610">
        <f>SUM(T.XII!I19)</f>
        <v>2173</v>
      </c>
    </row>
    <row r="19" spans="2:12" x14ac:dyDescent="0.25">
      <c r="B19" s="1172"/>
      <c r="C19" s="1158"/>
      <c r="D19" s="1150"/>
      <c r="E19" s="783" t="s">
        <v>138</v>
      </c>
      <c r="F19" s="805">
        <f t="shared" si="0"/>
        <v>100</v>
      </c>
      <c r="G19" s="406">
        <f>G18*100/F18</f>
        <v>11.473053892215569</v>
      </c>
      <c r="H19" s="16">
        <f>H18*100/F18</f>
        <v>18.347305389221557</v>
      </c>
      <c r="I19" s="16">
        <f>I18*100/F18</f>
        <v>14.95808383233533</v>
      </c>
      <c r="J19" s="784">
        <f>J18*100/F18</f>
        <v>14.083832335329342</v>
      </c>
      <c r="K19" s="406">
        <f>K18*100/F18</f>
        <v>15.113772455089821</v>
      </c>
      <c r="L19" s="17">
        <f>L18*100/F18</f>
        <v>26.023952095808383</v>
      </c>
    </row>
    <row r="20" spans="2:12" ht="15" customHeight="1" x14ac:dyDescent="0.25">
      <c r="B20" s="1172"/>
      <c r="C20" s="1158"/>
      <c r="D20" s="1151" t="s">
        <v>119</v>
      </c>
      <c r="E20" s="813" t="s">
        <v>137</v>
      </c>
      <c r="F20" s="814">
        <f t="shared" si="0"/>
        <v>5535</v>
      </c>
      <c r="G20" s="815">
        <f>SUM(T.XIII!D19)</f>
        <v>457</v>
      </c>
      <c r="H20" s="816">
        <f>SUM(T.XIII!E19)</f>
        <v>873</v>
      </c>
      <c r="I20" s="816">
        <f>SUM(T.XIII!F19)</f>
        <v>775</v>
      </c>
      <c r="J20" s="817">
        <f>SUM(T.XIII!G19)</f>
        <v>765</v>
      </c>
      <c r="K20" s="815">
        <f>SUM(T.XIII!H19)</f>
        <v>919</v>
      </c>
      <c r="L20" s="818">
        <f>SUM(T.XIII!I19)</f>
        <v>1746</v>
      </c>
    </row>
    <row r="21" spans="2:12" x14ac:dyDescent="0.25">
      <c r="B21" s="1172"/>
      <c r="C21" s="1158"/>
      <c r="D21" s="1151"/>
      <c r="E21" s="783" t="s">
        <v>138</v>
      </c>
      <c r="F21" s="805">
        <f t="shared" si="0"/>
        <v>100</v>
      </c>
      <c r="G21" s="406">
        <f>G20*100/F20</f>
        <v>8.2565492321589886</v>
      </c>
      <c r="H21" s="16">
        <f>H20*100/F20</f>
        <v>15.772357723577235</v>
      </c>
      <c r="I21" s="16">
        <f>I20*100/F20</f>
        <v>14.001806684733515</v>
      </c>
      <c r="J21" s="784">
        <f>J20*100/F20</f>
        <v>13.821138211382113</v>
      </c>
      <c r="K21" s="406">
        <f>K20*100/F20</f>
        <v>16.603432700993675</v>
      </c>
      <c r="L21" s="17">
        <f>L20*100/F20</f>
        <v>31.54471544715447</v>
      </c>
    </row>
    <row r="22" spans="2:12" x14ac:dyDescent="0.25">
      <c r="B22" s="1172"/>
      <c r="C22" s="1158" t="s">
        <v>72</v>
      </c>
      <c r="D22" s="1150" t="s">
        <v>4</v>
      </c>
      <c r="E22" s="745" t="s">
        <v>137</v>
      </c>
      <c r="F22" s="808">
        <f t="shared" si="0"/>
        <v>20907</v>
      </c>
      <c r="G22" s="609">
        <f>SUM(T.XII!D20)</f>
        <v>2149</v>
      </c>
      <c r="H22" s="547">
        <f>SUM(T.XII!E20)</f>
        <v>3475</v>
      </c>
      <c r="I22" s="547">
        <f>SUM(T.XII!F20)</f>
        <v>2796</v>
      </c>
      <c r="J22" s="780">
        <f>SUM(T.XII!G20)</f>
        <v>2864</v>
      </c>
      <c r="K22" s="609">
        <f>SUM(T.XII!H20)</f>
        <v>2888</v>
      </c>
      <c r="L22" s="610">
        <f>SUM(T.XII!I20)</f>
        <v>6735</v>
      </c>
    </row>
    <row r="23" spans="2:12" x14ac:dyDescent="0.25">
      <c r="B23" s="1172"/>
      <c r="C23" s="1158"/>
      <c r="D23" s="1150"/>
      <c r="E23" s="783" t="s">
        <v>138</v>
      </c>
      <c r="F23" s="805">
        <f t="shared" si="0"/>
        <v>100</v>
      </c>
      <c r="G23" s="406">
        <f>G22*100/F22</f>
        <v>10.278853972353756</v>
      </c>
      <c r="H23" s="16">
        <f>H22*100/F22</f>
        <v>16.621227340125316</v>
      </c>
      <c r="I23" s="16">
        <f>I22*100/F22</f>
        <v>13.373511264169895</v>
      </c>
      <c r="J23" s="784">
        <f>J22*100/F22</f>
        <v>13.698761180465873</v>
      </c>
      <c r="K23" s="406">
        <f>K22*100/F22</f>
        <v>13.813555268570335</v>
      </c>
      <c r="L23" s="17">
        <f>L22*100/F22</f>
        <v>32.214090974314821</v>
      </c>
    </row>
    <row r="24" spans="2:12" ht="15" customHeight="1" x14ac:dyDescent="0.25">
      <c r="B24" s="1172"/>
      <c r="C24" s="1158"/>
      <c r="D24" s="1151" t="s">
        <v>119</v>
      </c>
      <c r="E24" s="813" t="s">
        <v>137</v>
      </c>
      <c r="F24" s="814">
        <f t="shared" si="0"/>
        <v>8759</v>
      </c>
      <c r="G24" s="815">
        <f>SUM(T.XIII!D20)</f>
        <v>592</v>
      </c>
      <c r="H24" s="816">
        <f>SUM(T.XIII!E20)</f>
        <v>1178</v>
      </c>
      <c r="I24" s="816">
        <f>SUM(T.XIII!F20)</f>
        <v>1097</v>
      </c>
      <c r="J24" s="817">
        <f>SUM(T.XIII!G20)</f>
        <v>1064</v>
      </c>
      <c r="K24" s="815">
        <f>SUM(T.XIII!H20)</f>
        <v>1235</v>
      </c>
      <c r="L24" s="818">
        <f>SUM(T.XIII!I20)</f>
        <v>3593</v>
      </c>
    </row>
    <row r="25" spans="2:12" x14ac:dyDescent="0.25">
      <c r="B25" s="1172"/>
      <c r="C25" s="1158"/>
      <c r="D25" s="1151"/>
      <c r="E25" s="783" t="s">
        <v>138</v>
      </c>
      <c r="F25" s="805">
        <f t="shared" si="0"/>
        <v>100</v>
      </c>
      <c r="G25" s="406">
        <f>G24*100/F24</f>
        <v>6.7587624158008905</v>
      </c>
      <c r="H25" s="16">
        <f>H24*100/F24</f>
        <v>13.449023861171366</v>
      </c>
      <c r="I25" s="16">
        <f>I24*100/F24</f>
        <v>12.524260760360772</v>
      </c>
      <c r="J25" s="784">
        <f>J24*100/F24</f>
        <v>12.147505422993492</v>
      </c>
      <c r="K25" s="406">
        <f>K24*100/F24</f>
        <v>14.099783080260304</v>
      </c>
      <c r="L25" s="17">
        <f>L24*100/F24</f>
        <v>41.020664459413176</v>
      </c>
    </row>
    <row r="26" spans="2:12" x14ac:dyDescent="0.25">
      <c r="B26" s="1172"/>
      <c r="C26" s="1163" t="s">
        <v>457</v>
      </c>
      <c r="D26" s="1157" t="s">
        <v>4</v>
      </c>
      <c r="E26" s="749" t="s">
        <v>137</v>
      </c>
      <c r="F26" s="807">
        <f t="shared" si="0"/>
        <v>14691</v>
      </c>
      <c r="G26" s="605">
        <f>SUM(T.XII!D21)</f>
        <v>1181</v>
      </c>
      <c r="H26" s="606">
        <f>SUM(T.XII!E21)</f>
        <v>2175</v>
      </c>
      <c r="I26" s="606">
        <f>SUM(T.XII!F21)</f>
        <v>1690</v>
      </c>
      <c r="J26" s="781">
        <f>SUM(T.XII!G21)</f>
        <v>2074</v>
      </c>
      <c r="K26" s="605">
        <f>SUM(T.XII!H21)</f>
        <v>2116</v>
      </c>
      <c r="L26" s="607">
        <f>SUM(T.XII!I21)</f>
        <v>5455</v>
      </c>
    </row>
    <row r="27" spans="2:12" x14ac:dyDescent="0.25">
      <c r="B27" s="1172"/>
      <c r="C27" s="1158"/>
      <c r="D27" s="1150"/>
      <c r="E27" s="783" t="s">
        <v>138</v>
      </c>
      <c r="F27" s="805">
        <f t="shared" si="0"/>
        <v>100</v>
      </c>
      <c r="G27" s="406">
        <f>G26*100/F26</f>
        <v>8.0389354026274589</v>
      </c>
      <c r="H27" s="16">
        <f>H26*100/F26</f>
        <v>14.804982642434144</v>
      </c>
      <c r="I27" s="16">
        <f>I26*100/F26</f>
        <v>11.50364168538561</v>
      </c>
      <c r="J27" s="784">
        <f>J26*100/F26</f>
        <v>14.1174868967395</v>
      </c>
      <c r="K27" s="406">
        <f>K26*100/F26</f>
        <v>14.403376216731331</v>
      </c>
      <c r="L27" s="17">
        <f>L26*100/F26</f>
        <v>37.131577156081953</v>
      </c>
    </row>
    <row r="28" spans="2:12" ht="15" customHeight="1" x14ac:dyDescent="0.25">
      <c r="B28" s="1172"/>
      <c r="C28" s="1158"/>
      <c r="D28" s="1151" t="s">
        <v>119</v>
      </c>
      <c r="E28" s="813" t="s">
        <v>137</v>
      </c>
      <c r="F28" s="814">
        <f t="shared" si="0"/>
        <v>5650</v>
      </c>
      <c r="G28" s="815">
        <f>SUM(T.XIII!D21)</f>
        <v>285</v>
      </c>
      <c r="H28" s="816">
        <f>SUM(T.XIII!E21)</f>
        <v>683</v>
      </c>
      <c r="I28" s="816">
        <f>SUM(T.XIII!F21)</f>
        <v>606</v>
      </c>
      <c r="J28" s="817">
        <f>SUM(T.XIII!G21)</f>
        <v>682</v>
      </c>
      <c r="K28" s="815">
        <f>SUM(T.XIII!H21)</f>
        <v>826</v>
      </c>
      <c r="L28" s="818">
        <f>SUM(T.XIII!I21)</f>
        <v>2568</v>
      </c>
    </row>
    <row r="29" spans="2:12" ht="15.75" thickBot="1" x14ac:dyDescent="0.3">
      <c r="B29" s="1173"/>
      <c r="C29" s="1159"/>
      <c r="D29" s="1160"/>
      <c r="E29" s="785" t="s">
        <v>138</v>
      </c>
      <c r="F29" s="809">
        <f t="shared" si="0"/>
        <v>100</v>
      </c>
      <c r="G29" s="409">
        <f>G28*100/F28</f>
        <v>5.0442477876106198</v>
      </c>
      <c r="H29" s="23">
        <f>H28*100/F28</f>
        <v>12.08849557522124</v>
      </c>
      <c r="I29" s="23">
        <f>I28*100/F28</f>
        <v>10.725663716814159</v>
      </c>
      <c r="J29" s="786">
        <f>J28*100/F28</f>
        <v>12.070796460176991</v>
      </c>
      <c r="K29" s="409">
        <f>K28*100/F28</f>
        <v>14.619469026548673</v>
      </c>
      <c r="L29" s="24">
        <f>L28*100/F28</f>
        <v>45.451327433628322</v>
      </c>
    </row>
    <row r="30" spans="2:12" ht="12" customHeight="1" x14ac:dyDescent="0.25">
      <c r="B30" s="822"/>
      <c r="C30" s="1041"/>
      <c r="D30" s="1045"/>
      <c r="E30" s="418"/>
      <c r="F30" s="1047"/>
      <c r="G30" s="1047"/>
      <c r="H30" s="1047"/>
      <c r="I30" s="1047"/>
      <c r="J30" s="1047"/>
      <c r="K30" s="1047"/>
      <c r="L30" s="1047"/>
    </row>
    <row r="31" spans="2:12" x14ac:dyDescent="0.25">
      <c r="F31" s="1043">
        <f>SUM(F10,F14,F18,F22,F26)</f>
        <v>75455</v>
      </c>
      <c r="G31" s="1043">
        <f t="shared" ref="G31:L31" si="1">SUM(G10,G14,G18,G22,G26)</f>
        <v>7690</v>
      </c>
      <c r="H31" s="1043">
        <f t="shared" si="1"/>
        <v>13092</v>
      </c>
      <c r="I31" s="1043">
        <f t="shared" si="1"/>
        <v>10484</v>
      </c>
      <c r="J31" s="1043">
        <f t="shared" si="1"/>
        <v>10726</v>
      </c>
      <c r="K31" s="1043">
        <f t="shared" si="1"/>
        <v>10981</v>
      </c>
      <c r="L31" s="1043">
        <f t="shared" si="1"/>
        <v>22482</v>
      </c>
    </row>
    <row r="32" spans="2:12" x14ac:dyDescent="0.25">
      <c r="F32" s="1043">
        <f>SUM(F12,F16,F20,F24,F28)</f>
        <v>40284</v>
      </c>
      <c r="G32" s="1043">
        <f t="shared" ref="G32:L32" si="2">SUM(G12,G16,G20,G24,G28)</f>
        <v>3113</v>
      </c>
      <c r="H32" s="1043">
        <f t="shared" si="2"/>
        <v>6046</v>
      </c>
      <c r="I32" s="1043">
        <f t="shared" si="2"/>
        <v>5447</v>
      </c>
      <c r="J32" s="1043">
        <f t="shared" si="2"/>
        <v>5484</v>
      </c>
      <c r="K32" s="1043">
        <f t="shared" si="2"/>
        <v>6246</v>
      </c>
      <c r="L32" s="1043">
        <f t="shared" si="2"/>
        <v>13948</v>
      </c>
    </row>
    <row r="33" spans="6:12" x14ac:dyDescent="0.25">
      <c r="F33" s="1043">
        <f>SUM(F10,F14,F18,F22,F26)</f>
        <v>75455</v>
      </c>
      <c r="G33" s="599"/>
      <c r="H33" s="599"/>
      <c r="I33" s="599"/>
      <c r="J33" s="599"/>
      <c r="K33" s="599"/>
      <c r="L33" s="599"/>
    </row>
    <row r="34" spans="6:12" x14ac:dyDescent="0.25">
      <c r="F34" s="1043">
        <f>SUM(F12,F16,F20,F24,F28)</f>
        <v>40284</v>
      </c>
      <c r="G34" s="599"/>
      <c r="H34" s="599"/>
      <c r="I34" s="599"/>
      <c r="J34" s="599"/>
      <c r="K34" s="599"/>
      <c r="L34" s="599"/>
    </row>
    <row r="37" spans="6:12" x14ac:dyDescent="0.25">
      <c r="F37" s="2"/>
    </row>
  </sheetData>
  <mergeCells count="19">
    <mergeCell ref="B10:B29"/>
    <mergeCell ref="D8:D9"/>
    <mergeCell ref="G4:L4"/>
    <mergeCell ref="D6:D7"/>
    <mergeCell ref="C26:C29"/>
    <mergeCell ref="D26:D27"/>
    <mergeCell ref="D28:D29"/>
    <mergeCell ref="D14:D15"/>
    <mergeCell ref="D16:D17"/>
    <mergeCell ref="C18:C21"/>
    <mergeCell ref="D18:D19"/>
    <mergeCell ref="D20:D21"/>
    <mergeCell ref="C22:C25"/>
    <mergeCell ref="D22:D23"/>
    <mergeCell ref="D24:D25"/>
    <mergeCell ref="C14:C17"/>
    <mergeCell ref="D12:D13"/>
    <mergeCell ref="D10:D11"/>
    <mergeCell ref="C10:C13"/>
  </mergeCells>
  <printOptions horizontalCentered="1"/>
  <pageMargins left="0" right="0" top="1.3779527559055118" bottom="0" header="0" footer="0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F2"/>
  </sheetPr>
  <dimension ref="A1:M42"/>
  <sheetViews>
    <sheetView zoomScale="90" zoomScaleNormal="90" workbookViewId="0">
      <selection activeCell="B1" sqref="B1"/>
    </sheetView>
  </sheetViews>
  <sheetFormatPr defaultRowHeight="15" x14ac:dyDescent="0.25"/>
  <cols>
    <col min="1" max="1" width="3.85546875" style="2" customWidth="1"/>
    <col min="2" max="2" width="12" style="2" customWidth="1"/>
    <col min="3" max="3" width="15.42578125" style="2" customWidth="1"/>
    <col min="4" max="4" width="9.85546875" style="2" customWidth="1"/>
    <col min="5" max="5" width="7.42578125" style="2" customWidth="1"/>
    <col min="6" max="6" width="10.5703125" style="95" customWidth="1"/>
    <col min="7" max="7" width="8.28515625" style="2" customWidth="1"/>
    <col min="8" max="8" width="8" style="2" customWidth="1"/>
    <col min="9" max="10" width="9.42578125" style="2" customWidth="1"/>
    <col min="11" max="11" width="9.85546875" style="2" customWidth="1"/>
    <col min="12" max="12" width="7.85546875" style="2" customWidth="1"/>
    <col min="13" max="16384" width="9.140625" style="2"/>
  </cols>
  <sheetData>
    <row r="1" spans="1:13" ht="14.25" customHeight="1" x14ac:dyDescent="0.25"/>
    <row r="2" spans="1:13" ht="14.25" customHeight="1" x14ac:dyDescent="0.25">
      <c r="B2" s="157" t="s">
        <v>466</v>
      </c>
    </row>
    <row r="3" spans="1:13" ht="17.25" customHeight="1" thickBot="1" x14ac:dyDescent="0.3">
      <c r="B3" s="157" t="s">
        <v>339</v>
      </c>
      <c r="G3" s="569"/>
    </row>
    <row r="4" spans="1:13" ht="18.75" customHeight="1" x14ac:dyDescent="0.25">
      <c r="B4" s="614" t="s">
        <v>3</v>
      </c>
      <c r="C4" s="615"/>
      <c r="D4" s="615"/>
      <c r="E4" s="615"/>
      <c r="F4" s="802"/>
      <c r="G4" s="1147" t="s">
        <v>447</v>
      </c>
      <c r="H4" s="1147"/>
      <c r="I4" s="1147"/>
      <c r="J4" s="1147"/>
      <c r="K4" s="1147"/>
      <c r="L4" s="1148"/>
    </row>
    <row r="5" spans="1:13" ht="45" customHeight="1" thickBot="1" x14ac:dyDescent="0.3">
      <c r="A5" s="576"/>
      <c r="B5" s="787"/>
      <c r="C5" s="819"/>
      <c r="D5" s="819"/>
      <c r="E5" s="819"/>
      <c r="F5" s="803" t="s">
        <v>62</v>
      </c>
      <c r="G5" s="788" t="s">
        <v>88</v>
      </c>
      <c r="H5" s="789" t="s">
        <v>77</v>
      </c>
      <c r="I5" s="789" t="s">
        <v>84</v>
      </c>
      <c r="J5" s="790" t="s">
        <v>85</v>
      </c>
      <c r="K5" s="791" t="s">
        <v>86</v>
      </c>
      <c r="L5" s="792" t="s">
        <v>87</v>
      </c>
    </row>
    <row r="6" spans="1:13" ht="16.5" customHeight="1" thickTop="1" x14ac:dyDescent="0.25">
      <c r="B6" s="793" t="s">
        <v>338</v>
      </c>
      <c r="C6" s="810"/>
      <c r="D6" s="1149" t="s">
        <v>4</v>
      </c>
      <c r="E6" s="794" t="s">
        <v>137</v>
      </c>
      <c r="F6" s="856">
        <f t="shared" ref="F6:F30" si="0">SUM(G6:L6)</f>
        <v>75455</v>
      </c>
      <c r="G6" s="857">
        <f>SUM(T.XII!D8)</f>
        <v>7690</v>
      </c>
      <c r="H6" s="858">
        <f>SUM(T.XII!E8)</f>
        <v>13092</v>
      </c>
      <c r="I6" s="858">
        <f>SUM(T.XII!F8)</f>
        <v>10484</v>
      </c>
      <c r="J6" s="859">
        <f>SUM(T.XII!G8)</f>
        <v>10726</v>
      </c>
      <c r="K6" s="857">
        <f>SUM(T.XII!H8)</f>
        <v>10981</v>
      </c>
      <c r="L6" s="860">
        <f>SUM(T.XII!I8)</f>
        <v>22482</v>
      </c>
    </row>
    <row r="7" spans="1:13" ht="15" customHeight="1" x14ac:dyDescent="0.25">
      <c r="B7" s="593" t="s">
        <v>446</v>
      </c>
      <c r="C7" s="811"/>
      <c r="D7" s="1150"/>
      <c r="E7" s="783" t="s">
        <v>138</v>
      </c>
      <c r="F7" s="805">
        <f t="shared" si="0"/>
        <v>100.00000000000001</v>
      </c>
      <c r="G7" s="406">
        <f>G6*100/F6</f>
        <v>10.191504870452588</v>
      </c>
      <c r="H7" s="16">
        <f>H6*100/F6</f>
        <v>17.350738850970778</v>
      </c>
      <c r="I7" s="16">
        <f>I6*100/F6</f>
        <v>13.894374130276324</v>
      </c>
      <c r="J7" s="784">
        <f>J6*100/F6</f>
        <v>14.215095089788615</v>
      </c>
      <c r="K7" s="406">
        <f>K6*100/F6</f>
        <v>14.553044861175534</v>
      </c>
      <c r="L7" s="17">
        <f>L6*100/F6</f>
        <v>29.795242197336162</v>
      </c>
    </row>
    <row r="8" spans="1:13" ht="18.75" customHeight="1" x14ac:dyDescent="0.25">
      <c r="B8" s="748"/>
      <c r="C8" s="811"/>
      <c r="D8" s="1151" t="s">
        <v>119</v>
      </c>
      <c r="E8" s="813" t="s">
        <v>137</v>
      </c>
      <c r="F8" s="861">
        <f>SUM(G8:L8)</f>
        <v>40284</v>
      </c>
      <c r="G8" s="862">
        <f>SUM(T.XIII!D8)</f>
        <v>3113</v>
      </c>
      <c r="H8" s="863">
        <f>SUM(T.XIII!E8)</f>
        <v>6046</v>
      </c>
      <c r="I8" s="863">
        <f>SUM(T.XIII!F8)</f>
        <v>5447</v>
      </c>
      <c r="J8" s="864">
        <f>SUM(T.XIII!G8)</f>
        <v>5484</v>
      </c>
      <c r="K8" s="1039">
        <f>SUM(T.XIII!H8)</f>
        <v>6246</v>
      </c>
      <c r="L8" s="866">
        <f>SUM(T.XIII!I8)</f>
        <v>13948</v>
      </c>
    </row>
    <row r="9" spans="1:13" ht="15.75" customHeight="1" thickBot="1" x14ac:dyDescent="0.3">
      <c r="B9" s="796"/>
      <c r="C9" s="812"/>
      <c r="D9" s="1152"/>
      <c r="E9" s="797" t="s">
        <v>138</v>
      </c>
      <c r="F9" s="806">
        <f>SUM(G9:L9)</f>
        <v>100</v>
      </c>
      <c r="G9" s="799">
        <f>G8*100/F8</f>
        <v>7.7276338000198592</v>
      </c>
      <c r="H9" s="800">
        <f>H8*100/F8</f>
        <v>15.008440075464204</v>
      </c>
      <c r="I9" s="800">
        <f>I8*100/F8</f>
        <v>13.521497368682356</v>
      </c>
      <c r="J9" s="798">
        <f>J8*100/F8</f>
        <v>13.613345248733989</v>
      </c>
      <c r="K9" s="799">
        <f>K8*100/F8</f>
        <v>15.504915102770331</v>
      </c>
      <c r="L9" s="801">
        <f>L8*100/F8</f>
        <v>34.624168404329261</v>
      </c>
      <c r="M9" s="578"/>
    </row>
    <row r="10" spans="1:13" ht="15" customHeight="1" thickTop="1" x14ac:dyDescent="0.25">
      <c r="B10" s="1033"/>
      <c r="C10" s="1155" t="s">
        <v>75</v>
      </c>
      <c r="D10" s="1157" t="s">
        <v>4</v>
      </c>
      <c r="E10" s="749" t="s">
        <v>137</v>
      </c>
      <c r="F10" s="807">
        <f t="shared" si="0"/>
        <v>15292</v>
      </c>
      <c r="G10" s="605">
        <f>SUM(T.XII!D23)</f>
        <v>1851</v>
      </c>
      <c r="H10" s="606">
        <f>SUM(T.XII!E23)</f>
        <v>3192</v>
      </c>
      <c r="I10" s="606">
        <f>SUM(T.XII!F23)</f>
        <v>2127</v>
      </c>
      <c r="J10" s="781">
        <f>SUM(T.XII!G23)</f>
        <v>1974</v>
      </c>
      <c r="K10" s="605">
        <f>SUM(T.XII!H23)</f>
        <v>2143</v>
      </c>
      <c r="L10" s="607">
        <f>SUM(T.XII!I23)</f>
        <v>4005</v>
      </c>
    </row>
    <row r="11" spans="1:13" x14ac:dyDescent="0.25">
      <c r="B11" s="1023"/>
      <c r="C11" s="1156"/>
      <c r="D11" s="1150"/>
      <c r="E11" s="783" t="s">
        <v>138</v>
      </c>
      <c r="F11" s="805">
        <f>SUM(G11:L11)</f>
        <v>100</v>
      </c>
      <c r="G11" s="406">
        <f>G10*100/F10</f>
        <v>12.104368297148836</v>
      </c>
      <c r="H11" s="16">
        <f>H10*100/F10</f>
        <v>20.873659429767198</v>
      </c>
      <c r="I11" s="16">
        <f>I10*100/F10</f>
        <v>13.909233586188856</v>
      </c>
      <c r="J11" s="784">
        <f>J10*100/F10</f>
        <v>12.908710436829715</v>
      </c>
      <c r="K11" s="406">
        <f>K10*100/F10</f>
        <v>14.013863458017264</v>
      </c>
      <c r="L11" s="17">
        <f>L10*100/F10</f>
        <v>26.19016479204813</v>
      </c>
    </row>
    <row r="12" spans="1:13" ht="15" customHeight="1" x14ac:dyDescent="0.25">
      <c r="B12" s="1023"/>
      <c r="C12" s="1156"/>
      <c r="D12" s="1151" t="s">
        <v>119</v>
      </c>
      <c r="E12" s="813" t="s">
        <v>137</v>
      </c>
      <c r="F12" s="814">
        <f t="shared" si="0"/>
        <v>8913</v>
      </c>
      <c r="G12" s="815">
        <f>SUM(T.XIII!D23)</f>
        <v>869</v>
      </c>
      <c r="H12" s="816">
        <f>SUM(T.XIII!E23)</f>
        <v>1603</v>
      </c>
      <c r="I12" s="816">
        <f>SUM(T.XIII!F23)</f>
        <v>1189</v>
      </c>
      <c r="J12" s="817">
        <f>SUM(T.XIII!G23)</f>
        <v>1125</v>
      </c>
      <c r="K12" s="815">
        <f>SUM(T.XIII!H23)</f>
        <v>1351</v>
      </c>
      <c r="L12" s="818">
        <f>SUM(T.XIII!I23)</f>
        <v>2776</v>
      </c>
    </row>
    <row r="13" spans="1:13" x14ac:dyDescent="0.25">
      <c r="B13" s="1023"/>
      <c r="C13" s="1156"/>
      <c r="D13" s="1151"/>
      <c r="E13" s="783" t="s">
        <v>138</v>
      </c>
      <c r="F13" s="805">
        <f>SUM(G13:L13)</f>
        <v>100</v>
      </c>
      <c r="G13" s="406">
        <f>G12*100/F12</f>
        <v>9.7498036575788181</v>
      </c>
      <c r="H13" s="16">
        <f>H12*100/F12</f>
        <v>17.984965780320881</v>
      </c>
      <c r="I13" s="16">
        <f>I12*100/F12</f>
        <v>13.340065073488164</v>
      </c>
      <c r="J13" s="784">
        <f>J12*100/F12</f>
        <v>12.622012790306295</v>
      </c>
      <c r="K13" s="406">
        <f>K12*100/F12</f>
        <v>15.15763491529227</v>
      </c>
      <c r="L13" s="17">
        <f>L12*100/F12</f>
        <v>31.145517783013577</v>
      </c>
    </row>
    <row r="14" spans="1:13" ht="15" customHeight="1" x14ac:dyDescent="0.25">
      <c r="B14" s="1023"/>
      <c r="C14" s="1158" t="s">
        <v>79</v>
      </c>
      <c r="D14" s="1150" t="s">
        <v>4</v>
      </c>
      <c r="E14" s="745" t="s">
        <v>137</v>
      </c>
      <c r="F14" s="808">
        <f t="shared" si="0"/>
        <v>19686</v>
      </c>
      <c r="G14" s="609">
        <f>SUM(T.XII!D24)</f>
        <v>2209</v>
      </c>
      <c r="H14" s="547">
        <f>SUM(T.XII!E24)</f>
        <v>3612</v>
      </c>
      <c r="I14" s="547">
        <f>SUM(T.XII!F24)</f>
        <v>2883</v>
      </c>
      <c r="J14" s="780">
        <f>SUM(T.XII!G24)</f>
        <v>3021</v>
      </c>
      <c r="K14" s="609">
        <f>SUM(T.XII!H24)</f>
        <v>2898</v>
      </c>
      <c r="L14" s="610">
        <f>SUM(T.XII!I24)</f>
        <v>5063</v>
      </c>
    </row>
    <row r="15" spans="1:13" x14ac:dyDescent="0.25">
      <c r="B15" s="1023"/>
      <c r="C15" s="1158"/>
      <c r="D15" s="1150"/>
      <c r="E15" s="783" t="s">
        <v>138</v>
      </c>
      <c r="F15" s="805">
        <f>SUM(G15:L15)</f>
        <v>100</v>
      </c>
      <c r="G15" s="406">
        <f>G14*100/F14</f>
        <v>11.221172406786549</v>
      </c>
      <c r="H15" s="16">
        <f>H14*100/F14</f>
        <v>18.348064614446816</v>
      </c>
      <c r="I15" s="16">
        <f>I14*100/F14</f>
        <v>14.64492532764401</v>
      </c>
      <c r="J15" s="784">
        <f>J14*100/F14</f>
        <v>15.345931118561413</v>
      </c>
      <c r="K15" s="406">
        <f>K14*100/F14</f>
        <v>14.721121609265468</v>
      </c>
      <c r="L15" s="17">
        <f>L14*100/F14</f>
        <v>25.718784923295743</v>
      </c>
    </row>
    <row r="16" spans="1:13" ht="15" customHeight="1" x14ac:dyDescent="0.25">
      <c r="B16" s="1023"/>
      <c r="C16" s="1158"/>
      <c r="D16" s="1151" t="s">
        <v>119</v>
      </c>
      <c r="E16" s="813" t="s">
        <v>137</v>
      </c>
      <c r="F16" s="814">
        <f t="shared" si="0"/>
        <v>10980</v>
      </c>
      <c r="G16" s="815">
        <f>SUM(T.XIII!D24)</f>
        <v>860</v>
      </c>
      <c r="H16" s="816">
        <f>SUM(T.XIII!E24)</f>
        <v>1702</v>
      </c>
      <c r="I16" s="816">
        <f>SUM(T.XIII!F24)</f>
        <v>1542</v>
      </c>
      <c r="J16" s="817">
        <f>SUM(T.XIII!G24)</f>
        <v>1676</v>
      </c>
      <c r="K16" s="815">
        <f>SUM(T.XIII!H24)</f>
        <v>1810</v>
      </c>
      <c r="L16" s="818">
        <f>SUM(T.XIII!I24)</f>
        <v>3390</v>
      </c>
    </row>
    <row r="17" spans="2:13" x14ac:dyDescent="0.25">
      <c r="B17" s="1023"/>
      <c r="C17" s="1158"/>
      <c r="D17" s="1151"/>
      <c r="E17" s="783" t="s">
        <v>138</v>
      </c>
      <c r="F17" s="805">
        <f>SUM(G17:L17)</f>
        <v>100</v>
      </c>
      <c r="G17" s="406">
        <f>G16*100/F16</f>
        <v>7.8324225865209476</v>
      </c>
      <c r="H17" s="16">
        <f>H16*100/F16</f>
        <v>15.500910746812385</v>
      </c>
      <c r="I17" s="16">
        <f>I16*100/F16</f>
        <v>14.043715846994536</v>
      </c>
      <c r="J17" s="784">
        <f>J16*100/F16</f>
        <v>15.264116575591986</v>
      </c>
      <c r="K17" s="406">
        <f>K16*100/F16</f>
        <v>16.484517304189435</v>
      </c>
      <c r="L17" s="17">
        <f>L16*100/F16</f>
        <v>30.874316939890711</v>
      </c>
    </row>
    <row r="18" spans="2:13" x14ac:dyDescent="0.25">
      <c r="B18" s="1023"/>
      <c r="C18" s="1158" t="s">
        <v>80</v>
      </c>
      <c r="D18" s="1150" t="s">
        <v>4</v>
      </c>
      <c r="E18" s="745" t="s">
        <v>137</v>
      </c>
      <c r="F18" s="808">
        <f t="shared" si="0"/>
        <v>11325</v>
      </c>
      <c r="G18" s="609">
        <f>SUM(T.XII!D25)</f>
        <v>1104</v>
      </c>
      <c r="H18" s="547">
        <f>SUM(T.XII!E25)</f>
        <v>1737</v>
      </c>
      <c r="I18" s="547">
        <f>SUM(T.XII!F25)</f>
        <v>1512</v>
      </c>
      <c r="J18" s="780">
        <f>SUM(T.XII!G25)</f>
        <v>1825</v>
      </c>
      <c r="K18" s="609">
        <f>SUM(T.XII!H25)</f>
        <v>1789</v>
      </c>
      <c r="L18" s="610">
        <f>SUM(T.XII!I25)</f>
        <v>3358</v>
      </c>
    </row>
    <row r="19" spans="2:13" x14ac:dyDescent="0.25">
      <c r="B19" s="1023"/>
      <c r="C19" s="1158"/>
      <c r="D19" s="1150"/>
      <c r="E19" s="783" t="s">
        <v>138</v>
      </c>
      <c r="F19" s="805">
        <f>SUM(G19:L19)</f>
        <v>100</v>
      </c>
      <c r="G19" s="406">
        <f>G18*100/F18</f>
        <v>9.7483443708609272</v>
      </c>
      <c r="H19" s="16">
        <f>H18*100/F18</f>
        <v>15.33774834437086</v>
      </c>
      <c r="I19" s="16">
        <f>I18*100/F18</f>
        <v>13.350993377483444</v>
      </c>
      <c r="J19" s="784">
        <f>J18*100/F18</f>
        <v>16.114790286975719</v>
      </c>
      <c r="K19" s="406">
        <f>K18*100/F18</f>
        <v>15.796909492273731</v>
      </c>
      <c r="L19" s="17">
        <f>L18*100/F18</f>
        <v>29.651214128035321</v>
      </c>
    </row>
    <row r="20" spans="2:13" ht="15" customHeight="1" x14ac:dyDescent="0.25">
      <c r="B20" s="1023"/>
      <c r="C20" s="1158"/>
      <c r="D20" s="1151" t="s">
        <v>119</v>
      </c>
      <c r="E20" s="813" t="s">
        <v>137</v>
      </c>
      <c r="F20" s="814">
        <f t="shared" si="0"/>
        <v>6012</v>
      </c>
      <c r="G20" s="815">
        <f>SUM(T.XIII!D25)</f>
        <v>410</v>
      </c>
      <c r="H20" s="816">
        <f>SUM(T.XIII!E25)</f>
        <v>755</v>
      </c>
      <c r="I20" s="816">
        <f>SUM(T.XIII!F25)</f>
        <v>794</v>
      </c>
      <c r="J20" s="817">
        <f>SUM(T.XIII!G25)</f>
        <v>951</v>
      </c>
      <c r="K20" s="815">
        <f>SUM(T.XIII!H25)</f>
        <v>1021</v>
      </c>
      <c r="L20" s="818">
        <f>SUM(T.XIII!I25)</f>
        <v>2081</v>
      </c>
    </row>
    <row r="21" spans="2:13" x14ac:dyDescent="0.25">
      <c r="B21" s="1075"/>
      <c r="C21" s="1158"/>
      <c r="D21" s="1151"/>
      <c r="E21" s="783" t="s">
        <v>138</v>
      </c>
      <c r="F21" s="805">
        <f>SUM(G21:L21)</f>
        <v>100</v>
      </c>
      <c r="G21" s="406">
        <f>G20*100/F20</f>
        <v>6.8196939454424488</v>
      </c>
      <c r="H21" s="16">
        <f>H20*100/F20</f>
        <v>12.558216899534266</v>
      </c>
      <c r="I21" s="16">
        <f>I20*100/F20</f>
        <v>13.206919494344644</v>
      </c>
      <c r="J21" s="784">
        <f>J20*100/F20</f>
        <v>15.818363273453095</v>
      </c>
      <c r="K21" s="406">
        <f>K20*100/F20</f>
        <v>16.982701264138392</v>
      </c>
      <c r="L21" s="17">
        <f>L20*100/F20</f>
        <v>34.614105123087157</v>
      </c>
    </row>
    <row r="22" spans="2:13" x14ac:dyDescent="0.25">
      <c r="B22" s="1075" t="s">
        <v>538</v>
      </c>
      <c r="C22" s="1158" t="s">
        <v>81</v>
      </c>
      <c r="D22" s="1150" t="s">
        <v>4</v>
      </c>
      <c r="E22" s="745" t="s">
        <v>137</v>
      </c>
      <c r="F22" s="808">
        <f t="shared" si="0"/>
        <v>10593</v>
      </c>
      <c r="G22" s="609">
        <f>SUM(T.XII!D26)</f>
        <v>1016</v>
      </c>
      <c r="H22" s="547">
        <f>SUM(T.XII!E26)</f>
        <v>1613</v>
      </c>
      <c r="I22" s="547">
        <f>SUM(T.XII!F26)</f>
        <v>1382</v>
      </c>
      <c r="J22" s="780">
        <f>SUM(T.XII!G26)</f>
        <v>1560</v>
      </c>
      <c r="K22" s="609">
        <f>SUM(T.XII!H26)</f>
        <v>1579</v>
      </c>
      <c r="L22" s="610">
        <f>SUM(T.XII!I26)</f>
        <v>3443</v>
      </c>
    </row>
    <row r="23" spans="2:13" x14ac:dyDescent="0.25">
      <c r="B23" s="1075" t="s">
        <v>537</v>
      </c>
      <c r="C23" s="1158"/>
      <c r="D23" s="1150"/>
      <c r="E23" s="783" t="s">
        <v>138</v>
      </c>
      <c r="F23" s="805">
        <f>SUM(G23:L23)</f>
        <v>100</v>
      </c>
      <c r="G23" s="406">
        <f>G22*100/F22</f>
        <v>9.5912394977815545</v>
      </c>
      <c r="H23" s="16">
        <f>H22*100/F22</f>
        <v>15.227036722363826</v>
      </c>
      <c r="I23" s="16">
        <f>I22*100/F22</f>
        <v>13.046351364108373</v>
      </c>
      <c r="J23" s="784">
        <f>J22*100/F22</f>
        <v>14.726706315491363</v>
      </c>
      <c r="K23" s="406">
        <f>K22*100/F22</f>
        <v>14.906070046256962</v>
      </c>
      <c r="L23" s="17">
        <f>L22*100/F22</f>
        <v>32.502596053997927</v>
      </c>
    </row>
    <row r="24" spans="2:13" ht="15" customHeight="1" x14ac:dyDescent="0.25">
      <c r="B24" s="1023"/>
      <c r="C24" s="1158"/>
      <c r="D24" s="1151" t="s">
        <v>119</v>
      </c>
      <c r="E24" s="813" t="s">
        <v>137</v>
      </c>
      <c r="F24" s="814">
        <f t="shared" si="0"/>
        <v>5112</v>
      </c>
      <c r="G24" s="815">
        <f>SUM(T.XIII!D26)</f>
        <v>376</v>
      </c>
      <c r="H24" s="816">
        <f>SUM(T.XIII!E26)</f>
        <v>714</v>
      </c>
      <c r="I24" s="816">
        <f>SUM(T.XIII!F26)</f>
        <v>687</v>
      </c>
      <c r="J24" s="817">
        <f>SUM(T.XIII!G26)</f>
        <v>718</v>
      </c>
      <c r="K24" s="815">
        <f>SUM(T.XIII!H26)</f>
        <v>775</v>
      </c>
      <c r="L24" s="818">
        <f>SUM(T.XIII!I26)</f>
        <v>1842</v>
      </c>
    </row>
    <row r="25" spans="2:13" x14ac:dyDescent="0.25">
      <c r="B25" s="1023"/>
      <c r="C25" s="1158"/>
      <c r="D25" s="1151"/>
      <c r="E25" s="783" t="s">
        <v>138</v>
      </c>
      <c r="F25" s="805">
        <f>SUM(G25:L25)</f>
        <v>100</v>
      </c>
      <c r="G25" s="406">
        <f>G24*100/F24</f>
        <v>7.3552425665101717</v>
      </c>
      <c r="H25" s="16">
        <f>H24*100/F24</f>
        <v>13.967136150234742</v>
      </c>
      <c r="I25" s="16">
        <f>I24*100/F24</f>
        <v>13.438967136150234</v>
      </c>
      <c r="J25" s="784">
        <f>J24*100/F24</f>
        <v>14.045383411580595</v>
      </c>
      <c r="K25" s="406">
        <f>K24*100/F24</f>
        <v>15.160406885758999</v>
      </c>
      <c r="L25" s="17">
        <f>L24*100/F24</f>
        <v>36.032863849765256</v>
      </c>
    </row>
    <row r="26" spans="2:13" x14ac:dyDescent="0.25">
      <c r="B26" s="1023"/>
      <c r="C26" s="1163" t="s">
        <v>82</v>
      </c>
      <c r="D26" s="1157" t="s">
        <v>4</v>
      </c>
      <c r="E26" s="749" t="s">
        <v>137</v>
      </c>
      <c r="F26" s="807">
        <f t="shared" si="0"/>
        <v>5591</v>
      </c>
      <c r="G26" s="605">
        <f>SUM(T.XII!D27)</f>
        <v>520</v>
      </c>
      <c r="H26" s="606">
        <f>SUM(T.XII!E27)</f>
        <v>832</v>
      </c>
      <c r="I26" s="606">
        <f>SUM(T.XII!F27)</f>
        <v>705</v>
      </c>
      <c r="J26" s="781">
        <f>SUM(T.XII!G27)</f>
        <v>918</v>
      </c>
      <c r="K26" s="605">
        <f>SUM(T.XII!H27)</f>
        <v>806</v>
      </c>
      <c r="L26" s="607">
        <f>SUM(T.XII!I27)</f>
        <v>1810</v>
      </c>
    </row>
    <row r="27" spans="2:13" x14ac:dyDescent="0.25">
      <c r="B27" s="1023"/>
      <c r="C27" s="1158"/>
      <c r="D27" s="1150"/>
      <c r="E27" s="783" t="s">
        <v>138</v>
      </c>
      <c r="F27" s="805">
        <f>SUM(G27:L27)</f>
        <v>100</v>
      </c>
      <c r="G27" s="406">
        <f>G26*100/F26</f>
        <v>9.30066177785727</v>
      </c>
      <c r="H27" s="16">
        <f>H26*100/F26</f>
        <v>14.881058844571633</v>
      </c>
      <c r="I27" s="16">
        <f>I26*100/F26</f>
        <v>12.609551064210338</v>
      </c>
      <c r="J27" s="784">
        <f>J26*100/F26</f>
        <v>16.419245215524949</v>
      </c>
      <c r="K27" s="406">
        <f>K26*100/F26</f>
        <v>14.416025755678769</v>
      </c>
      <c r="L27" s="17">
        <f>L26*100/F26</f>
        <v>32.373457342157039</v>
      </c>
    </row>
    <row r="28" spans="2:13" ht="15" customHeight="1" x14ac:dyDescent="0.25">
      <c r="B28" s="1023"/>
      <c r="C28" s="1158"/>
      <c r="D28" s="1151" t="s">
        <v>119</v>
      </c>
      <c r="E28" s="813" t="s">
        <v>137</v>
      </c>
      <c r="F28" s="814">
        <f t="shared" si="0"/>
        <v>1934</v>
      </c>
      <c r="G28" s="815">
        <f>SUM(T.XIII!D27)</f>
        <v>166</v>
      </c>
      <c r="H28" s="816">
        <f>SUM(T.XIII!E27)</f>
        <v>298</v>
      </c>
      <c r="I28" s="816">
        <f>SUM(T.XIII!F27)</f>
        <v>281</v>
      </c>
      <c r="J28" s="817">
        <f>SUM(T.XIII!G27)</f>
        <v>317</v>
      </c>
      <c r="K28" s="815">
        <f>SUM(T.XIII!H27)</f>
        <v>287</v>
      </c>
      <c r="L28" s="818">
        <f>SUM(T.XIII!I27)</f>
        <v>585</v>
      </c>
    </row>
    <row r="29" spans="2:13" x14ac:dyDescent="0.25">
      <c r="B29" s="1023"/>
      <c r="C29" s="1158"/>
      <c r="D29" s="1151"/>
      <c r="E29" s="783" t="s">
        <v>138</v>
      </c>
      <c r="F29" s="805">
        <f>SUM(G29:L29)</f>
        <v>100</v>
      </c>
      <c r="G29" s="406">
        <f>G28*100/F28</f>
        <v>8.5832471561530514</v>
      </c>
      <c r="H29" s="16">
        <f>H28*100/F28</f>
        <v>15.408479834539813</v>
      </c>
      <c r="I29" s="16">
        <f>I28*100/F28</f>
        <v>14.529472595656671</v>
      </c>
      <c r="J29" s="784">
        <f>J28*100/F28</f>
        <v>16.390899689762151</v>
      </c>
      <c r="K29" s="406">
        <f>K28*100/F28</f>
        <v>14.83971044467425</v>
      </c>
      <c r="L29" s="17">
        <f>L28*100/F28</f>
        <v>30.248190279214064</v>
      </c>
    </row>
    <row r="30" spans="2:13" x14ac:dyDescent="0.25">
      <c r="B30" s="1023"/>
      <c r="C30" s="1158" t="s">
        <v>83</v>
      </c>
      <c r="D30" s="1150" t="s">
        <v>4</v>
      </c>
      <c r="E30" s="745" t="s">
        <v>137</v>
      </c>
      <c r="F30" s="808">
        <f t="shared" si="0"/>
        <v>1910</v>
      </c>
      <c r="G30" s="609">
        <f>SUM(T.XII!D28)</f>
        <v>201</v>
      </c>
      <c r="H30" s="547">
        <f>SUM(T.XII!E28)</f>
        <v>324</v>
      </c>
      <c r="I30" s="547">
        <f>SUM(T.XII!F28)</f>
        <v>323</v>
      </c>
      <c r="J30" s="780">
        <f>SUM(T.XII!G28)</f>
        <v>372</v>
      </c>
      <c r="K30" s="609">
        <f>SUM(T.XII!H28)</f>
        <v>253</v>
      </c>
      <c r="L30" s="610">
        <f>SUM(T.XII!I28)</f>
        <v>437</v>
      </c>
    </row>
    <row r="31" spans="2:13" x14ac:dyDescent="0.25">
      <c r="B31" s="1023"/>
      <c r="C31" s="1158"/>
      <c r="D31" s="1150"/>
      <c r="E31" s="783" t="s">
        <v>138</v>
      </c>
      <c r="F31" s="805">
        <f>SUM(G31:L31)</f>
        <v>100</v>
      </c>
      <c r="G31" s="406">
        <f>G30*100/F30</f>
        <v>10.523560209424083</v>
      </c>
      <c r="H31" s="16">
        <f>H30*100/F30</f>
        <v>16.963350785340314</v>
      </c>
      <c r="I31" s="16">
        <f>I30*100/F30</f>
        <v>16.910994764397905</v>
      </c>
      <c r="J31" s="784">
        <f>J30*100/F30</f>
        <v>19.476439790575917</v>
      </c>
      <c r="K31" s="406">
        <f>K30*100/F30</f>
        <v>13.246073298429319</v>
      </c>
      <c r="L31" s="17">
        <f>L30*100/F30</f>
        <v>22.879581151832461</v>
      </c>
      <c r="M31" s="578"/>
    </row>
    <row r="32" spans="2:13" ht="15" customHeight="1" x14ac:dyDescent="0.25">
      <c r="B32" s="1023"/>
      <c r="C32" s="1158"/>
      <c r="D32" s="1151" t="s">
        <v>119</v>
      </c>
      <c r="E32" s="813" t="s">
        <v>137</v>
      </c>
      <c r="F32" s="814">
        <f>SUM(G32:L32)</f>
        <v>451</v>
      </c>
      <c r="G32" s="815">
        <f>SUM(T.XIII!D28)</f>
        <v>55</v>
      </c>
      <c r="H32" s="816">
        <f>SUM(T.XIII!E28)</f>
        <v>92</v>
      </c>
      <c r="I32" s="816">
        <f>SUM(T.XIII!F28)</f>
        <v>99</v>
      </c>
      <c r="J32" s="1076">
        <f>SUM(T.XIII!G28)</f>
        <v>87</v>
      </c>
      <c r="K32" s="1079">
        <f>SUM(T.XIII!H28)</f>
        <v>47</v>
      </c>
      <c r="L32" s="818">
        <f>SUM(T.XIII!I28)</f>
        <v>71</v>
      </c>
    </row>
    <row r="33" spans="2:13" ht="15.75" thickBot="1" x14ac:dyDescent="0.3">
      <c r="B33" s="1023"/>
      <c r="C33" s="1175"/>
      <c r="D33" s="1174"/>
      <c r="E33" s="899" t="s">
        <v>138</v>
      </c>
      <c r="F33" s="809">
        <f>SUM(G33:L33)</f>
        <v>100</v>
      </c>
      <c r="G33" s="1073">
        <f>G32*100/F32</f>
        <v>12.195121951219512</v>
      </c>
      <c r="H33" s="409">
        <f>H32*100/F32</f>
        <v>20.399113082039911</v>
      </c>
      <c r="I33" s="409">
        <f>I32*100/F32</f>
        <v>21.951219512195124</v>
      </c>
      <c r="J33" s="1077">
        <f>J32*100/F32</f>
        <v>19.290465631929045</v>
      </c>
      <c r="K33" s="1073">
        <f>K32*100/F32</f>
        <v>10.421286031042129</v>
      </c>
      <c r="L33" s="744">
        <f>L32*100/F32</f>
        <v>15.742793791574279</v>
      </c>
      <c r="M33" s="578"/>
    </row>
    <row r="34" spans="2:13" ht="15.75" thickTop="1" x14ac:dyDescent="0.25">
      <c r="B34" s="906"/>
      <c r="C34" s="1176" t="s">
        <v>76</v>
      </c>
      <c r="D34" s="1149" t="s">
        <v>4</v>
      </c>
      <c r="E34" s="794" t="s">
        <v>137</v>
      </c>
      <c r="F34" s="804">
        <f t="shared" ref="F34" si="1">SUM(G34:L34)</f>
        <v>11058</v>
      </c>
      <c r="G34" s="611">
        <f>SUM(T.XII!D29)</f>
        <v>789</v>
      </c>
      <c r="H34" s="612">
        <f>SUM(T.XII!E29)</f>
        <v>1782</v>
      </c>
      <c r="I34" s="612">
        <f>SUM(T.XII!F29)</f>
        <v>1552</v>
      </c>
      <c r="J34" s="1078">
        <f>SUM(T.XII!G29)</f>
        <v>1056</v>
      </c>
      <c r="K34" s="1080">
        <f>SUM(T.XII!H29)</f>
        <v>1513</v>
      </c>
      <c r="L34" s="613">
        <f>SUM(T.XII!I29)</f>
        <v>4366</v>
      </c>
    </row>
    <row r="35" spans="2:13" x14ac:dyDescent="0.25">
      <c r="B35" s="906"/>
      <c r="C35" s="1158"/>
      <c r="D35" s="1150"/>
      <c r="E35" s="783" t="s">
        <v>138</v>
      </c>
      <c r="F35" s="805">
        <f>SUM(G35:L35)</f>
        <v>100</v>
      </c>
      <c r="G35" s="406">
        <f>G34*100/F34</f>
        <v>7.1351058057514924</v>
      </c>
      <c r="H35" s="16">
        <f>H34*100/F34</f>
        <v>16.115029842647857</v>
      </c>
      <c r="I35" s="16">
        <f>I34*100/F34</f>
        <v>14.035087719298245</v>
      </c>
      <c r="J35" s="159">
        <f>J34*100/F34</f>
        <v>9.5496473141616924</v>
      </c>
      <c r="K35" s="1081">
        <f>K34*100/F34</f>
        <v>13.682401880991138</v>
      </c>
      <c r="L35" s="17">
        <f>L34*100/F34</f>
        <v>39.482727437149578</v>
      </c>
    </row>
    <row r="36" spans="2:13" x14ac:dyDescent="0.25">
      <c r="B36" s="906"/>
      <c r="C36" s="1158"/>
      <c r="D36" s="1151" t="s">
        <v>119</v>
      </c>
      <c r="E36" s="813" t="s">
        <v>137</v>
      </c>
      <c r="F36" s="814">
        <f>SUM(G36:L36)</f>
        <v>6882</v>
      </c>
      <c r="G36" s="815">
        <f>SUM(T.XIII!D29)</f>
        <v>377</v>
      </c>
      <c r="H36" s="816">
        <f>SUM(T.XIII!E29)</f>
        <v>882</v>
      </c>
      <c r="I36" s="816">
        <f>SUM(T.XIII!F29)</f>
        <v>855</v>
      </c>
      <c r="J36" s="1076">
        <f>SUM(T.XIII!G29)</f>
        <v>610</v>
      </c>
      <c r="K36" s="1079">
        <f>SUM(T.XIII!H29)</f>
        <v>955</v>
      </c>
      <c r="L36" s="818">
        <f>SUM(T.XIII!I29)</f>
        <v>3203</v>
      </c>
    </row>
    <row r="37" spans="2:13" ht="15.75" thickBot="1" x14ac:dyDescent="0.3">
      <c r="B37" s="842"/>
      <c r="C37" s="1159"/>
      <c r="D37" s="1160"/>
      <c r="E37" s="785" t="s">
        <v>138</v>
      </c>
      <c r="F37" s="809">
        <f>SUM(G37:L37)</f>
        <v>100</v>
      </c>
      <c r="G37" s="1073">
        <f>G36*100/F36</f>
        <v>5.4780587038651554</v>
      </c>
      <c r="H37" s="409">
        <f>H36*100/F36</f>
        <v>12.816041848299912</v>
      </c>
      <c r="I37" s="409">
        <f>I36*100/F36</f>
        <v>12.423714036617262</v>
      </c>
      <c r="J37" s="1077">
        <f>J36*100/F36</f>
        <v>8.8637024120895092</v>
      </c>
      <c r="K37" s="1073">
        <f>K36*100/F36</f>
        <v>13.876780005812265</v>
      </c>
      <c r="L37" s="744">
        <f>L36*100/F36</f>
        <v>46.541702993315894</v>
      </c>
    </row>
    <row r="38" spans="2:13" ht="14.25" customHeight="1" x14ac:dyDescent="0.25">
      <c r="B38" s="586"/>
      <c r="C38" s="1041"/>
      <c r="D38" s="1045"/>
      <c r="E38" s="418"/>
      <c r="F38" s="1047"/>
      <c r="G38" s="1047"/>
      <c r="H38" s="1047"/>
      <c r="I38" s="1047"/>
      <c r="J38" s="1047"/>
      <c r="K38" s="1047"/>
      <c r="L38" s="1047"/>
    </row>
    <row r="39" spans="2:13" x14ac:dyDescent="0.25">
      <c r="F39" s="1043">
        <f>SUM(F10,F14,F18,F22,F26,F30,F34)</f>
        <v>75455</v>
      </c>
      <c r="G39" s="1043">
        <f t="shared" ref="G39:L39" si="2">SUM(G10,G14,G18,G22,G26,G30,G34)</f>
        <v>7690</v>
      </c>
      <c r="H39" s="1043">
        <f t="shared" si="2"/>
        <v>13092</v>
      </c>
      <c r="I39" s="1043">
        <f t="shared" si="2"/>
        <v>10484</v>
      </c>
      <c r="J39" s="1043">
        <f t="shared" si="2"/>
        <v>10726</v>
      </c>
      <c r="K39" s="1043">
        <f t="shared" si="2"/>
        <v>10981</v>
      </c>
      <c r="L39" s="1043">
        <f t="shared" si="2"/>
        <v>22482</v>
      </c>
    </row>
    <row r="40" spans="2:13" x14ac:dyDescent="0.25">
      <c r="F40" s="1043">
        <f>SUM(F12,F16,F20,F24,F28,F32,F36)</f>
        <v>40284</v>
      </c>
      <c r="G40" s="1043">
        <f>SUM(G12,G16,G20,G24,G28,G32,G36)</f>
        <v>3113</v>
      </c>
      <c r="H40" s="1043">
        <f t="shared" ref="H40:L40" si="3">SUM(H12,H16,H20,H24,H28,H32,H36)</f>
        <v>6046</v>
      </c>
      <c r="I40" s="1043">
        <f t="shared" si="3"/>
        <v>5447</v>
      </c>
      <c r="J40" s="1043">
        <f t="shared" si="3"/>
        <v>5484</v>
      </c>
      <c r="K40" s="1043">
        <f t="shared" si="3"/>
        <v>6246</v>
      </c>
      <c r="L40" s="1043">
        <f t="shared" si="3"/>
        <v>13948</v>
      </c>
    </row>
    <row r="41" spans="2:13" x14ac:dyDescent="0.25">
      <c r="F41" s="1043">
        <f>SUM(F10,F14,F18,F22,F26,F30,F34)</f>
        <v>75455</v>
      </c>
      <c r="G41" s="599"/>
      <c r="H41" s="599"/>
      <c r="I41" s="599"/>
      <c r="J41" s="599"/>
      <c r="K41" s="599"/>
      <c r="L41" s="599"/>
    </row>
    <row r="42" spans="2:13" x14ac:dyDescent="0.25">
      <c r="F42" s="1043">
        <f>SUM(F12,F16,F20,F24,F28,F32,F36)</f>
        <v>40284</v>
      </c>
      <c r="G42" s="599"/>
      <c r="H42" s="599"/>
      <c r="I42" s="599"/>
      <c r="J42" s="599"/>
      <c r="K42" s="599"/>
      <c r="L42" s="599"/>
    </row>
  </sheetData>
  <mergeCells count="24">
    <mergeCell ref="D10:D11"/>
    <mergeCell ref="D12:D13"/>
    <mergeCell ref="C34:C37"/>
    <mergeCell ref="D34:D35"/>
    <mergeCell ref="D36:D37"/>
    <mergeCell ref="C26:C29"/>
    <mergeCell ref="D26:D27"/>
    <mergeCell ref="D28:D29"/>
    <mergeCell ref="G4:L4"/>
    <mergeCell ref="C30:C33"/>
    <mergeCell ref="D30:D31"/>
    <mergeCell ref="D32:D33"/>
    <mergeCell ref="D16:D17"/>
    <mergeCell ref="C18:C21"/>
    <mergeCell ref="D18:D19"/>
    <mergeCell ref="D20:D21"/>
    <mergeCell ref="C22:C25"/>
    <mergeCell ref="D22:D23"/>
    <mergeCell ref="D24:D25"/>
    <mergeCell ref="C14:C17"/>
    <mergeCell ref="D14:D15"/>
    <mergeCell ref="D6:D7"/>
    <mergeCell ref="D8:D9"/>
    <mergeCell ref="C10:C13"/>
  </mergeCells>
  <printOptions horizontalCentered="1"/>
  <pageMargins left="0" right="0" top="1.0236220472440944" bottom="0" header="0" footer="0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K31"/>
  <sheetViews>
    <sheetView workbookViewId="0">
      <selection activeCell="B1" sqref="B1"/>
    </sheetView>
  </sheetViews>
  <sheetFormatPr defaultRowHeight="15" x14ac:dyDescent="0.25"/>
  <cols>
    <col min="1" max="1" width="3.7109375" style="11" customWidth="1"/>
    <col min="2" max="2" width="22.85546875" style="11" customWidth="1"/>
    <col min="3" max="3" width="11.5703125" style="11" customWidth="1"/>
    <col min="4" max="6" width="10.28515625" style="11" customWidth="1"/>
    <col min="7" max="7" width="11.28515625" style="11" customWidth="1"/>
    <col min="8" max="8" width="11" style="11" customWidth="1"/>
    <col min="9" max="10" width="9.42578125" style="11" bestFit="1" customWidth="1"/>
    <col min="11" max="11" width="10.5703125" style="11" bestFit="1" customWidth="1"/>
    <col min="12" max="16384" width="9.140625" style="11"/>
  </cols>
  <sheetData>
    <row r="2" spans="2:11" x14ac:dyDescent="0.25">
      <c r="B2" s="11" t="s">
        <v>306</v>
      </c>
    </row>
    <row r="3" spans="2:11" x14ac:dyDescent="0.25">
      <c r="B3" s="11" t="s">
        <v>307</v>
      </c>
    </row>
    <row r="4" spans="2:11" ht="13.5" customHeight="1" thickBot="1" x14ac:dyDescent="0.3">
      <c r="H4" s="168"/>
    </row>
    <row r="5" spans="2:11" ht="24" customHeight="1" x14ac:dyDescent="0.25">
      <c r="B5" s="348"/>
      <c r="C5" s="1177" t="s">
        <v>342</v>
      </c>
      <c r="D5" s="1178"/>
      <c r="E5" s="1177" t="s">
        <v>422</v>
      </c>
      <c r="F5" s="1178"/>
      <c r="G5" s="1179" t="s">
        <v>140</v>
      </c>
      <c r="H5" s="1180"/>
    </row>
    <row r="6" spans="2:11" ht="37.5" customHeight="1" thickBot="1" x14ac:dyDescent="0.3">
      <c r="B6" s="349" t="s">
        <v>180</v>
      </c>
      <c r="C6" s="367" t="s">
        <v>4</v>
      </c>
      <c r="D6" s="368" t="s">
        <v>119</v>
      </c>
      <c r="E6" s="367" t="s">
        <v>4</v>
      </c>
      <c r="F6" s="368" t="s">
        <v>119</v>
      </c>
      <c r="G6" s="361" t="s">
        <v>137</v>
      </c>
      <c r="H6" s="345" t="s">
        <v>267</v>
      </c>
    </row>
    <row r="7" spans="2:11" ht="27.75" customHeight="1" thickBot="1" x14ac:dyDescent="0.3">
      <c r="B7" s="188" t="s">
        <v>25</v>
      </c>
      <c r="C7" s="61">
        <f>SUM(C10:C30)</f>
        <v>52334</v>
      </c>
      <c r="D7" s="63">
        <f>SUM(D10:D30)</f>
        <v>28560</v>
      </c>
      <c r="E7" s="61">
        <f>SUM(E10:E30)</f>
        <v>47408</v>
      </c>
      <c r="F7" s="63">
        <f>SUM(F10:F30)</f>
        <v>25451</v>
      </c>
      <c r="G7" s="191">
        <f>SUM(E7-C7)</f>
        <v>-4926</v>
      </c>
      <c r="H7" s="190">
        <f>G7/C7*100</f>
        <v>-9.4126189475293298</v>
      </c>
      <c r="I7" s="425"/>
      <c r="J7" s="577"/>
      <c r="K7" s="450"/>
    </row>
    <row r="8" spans="2:11" ht="45.75" thickBot="1" x14ac:dyDescent="0.3">
      <c r="B8" s="625" t="s">
        <v>184</v>
      </c>
      <c r="C8" s="622">
        <v>8009</v>
      </c>
      <c r="D8" s="623">
        <v>4600</v>
      </c>
      <c r="E8" s="622">
        <v>7336</v>
      </c>
      <c r="F8" s="623">
        <v>4099</v>
      </c>
      <c r="G8" s="624">
        <f>SUM(E8-C8)</f>
        <v>-673</v>
      </c>
      <c r="H8" s="160">
        <f>G8/C8*100</f>
        <v>-8.4030465726058186</v>
      </c>
    </row>
    <row r="9" spans="2:11" ht="30" customHeight="1" thickBot="1" x14ac:dyDescent="0.3">
      <c r="B9" s="923" t="s">
        <v>186</v>
      </c>
      <c r="C9" s="369"/>
      <c r="D9" s="208"/>
      <c r="E9" s="207"/>
      <c r="F9" s="207"/>
      <c r="G9" s="208"/>
      <c r="H9" s="209"/>
    </row>
    <row r="10" spans="2:11" x14ac:dyDescent="0.25">
      <c r="B10" s="340" t="s">
        <v>26</v>
      </c>
      <c r="C10" s="52">
        <v>710</v>
      </c>
      <c r="D10" s="370">
        <v>392</v>
      </c>
      <c r="E10" s="52">
        <v>723</v>
      </c>
      <c r="F10" s="370">
        <v>395</v>
      </c>
      <c r="G10" s="373">
        <f t="shared" ref="G10:G30" si="0">SUM(E10-C10)</f>
        <v>13</v>
      </c>
      <c r="H10" s="195">
        <f t="shared" ref="H10:H30" si="1">G10/C10*100</f>
        <v>1.8309859154929577</v>
      </c>
    </row>
    <row r="11" spans="2:11" ht="16.5" customHeight="1" x14ac:dyDescent="0.25">
      <c r="B11" s="215" t="s">
        <v>27</v>
      </c>
      <c r="C11" s="13">
        <v>4015</v>
      </c>
      <c r="D11" s="371">
        <v>2195</v>
      </c>
      <c r="E11" s="13">
        <v>3871</v>
      </c>
      <c r="F11" s="371">
        <v>2119</v>
      </c>
      <c r="G11" s="374">
        <f t="shared" si="0"/>
        <v>-144</v>
      </c>
      <c r="H11" s="358">
        <f t="shared" si="1"/>
        <v>-3.5865504358655045</v>
      </c>
    </row>
    <row r="12" spans="2:11" ht="18" customHeight="1" x14ac:dyDescent="0.25">
      <c r="B12" s="215" t="s">
        <v>28</v>
      </c>
      <c r="C12" s="13">
        <v>2024</v>
      </c>
      <c r="D12" s="371">
        <v>1315</v>
      </c>
      <c r="E12" s="13">
        <v>1674</v>
      </c>
      <c r="F12" s="371">
        <v>1074</v>
      </c>
      <c r="G12" s="374">
        <f t="shared" si="0"/>
        <v>-350</v>
      </c>
      <c r="H12" s="358">
        <f t="shared" si="1"/>
        <v>-17.292490118577074</v>
      </c>
    </row>
    <row r="13" spans="2:11" x14ac:dyDescent="0.25">
      <c r="B13" s="215" t="s">
        <v>29</v>
      </c>
      <c r="C13" s="13">
        <v>4039</v>
      </c>
      <c r="D13" s="371">
        <v>2147</v>
      </c>
      <c r="E13" s="13">
        <v>3180</v>
      </c>
      <c r="F13" s="371">
        <v>1703</v>
      </c>
      <c r="G13" s="374">
        <f t="shared" si="0"/>
        <v>-859</v>
      </c>
      <c r="H13" s="358">
        <f t="shared" si="1"/>
        <v>-21.267640505075512</v>
      </c>
    </row>
    <row r="14" spans="2:11" x14ac:dyDescent="0.25">
      <c r="B14" s="215" t="s">
        <v>30</v>
      </c>
      <c r="C14" s="13">
        <v>3654</v>
      </c>
      <c r="D14" s="371">
        <v>2290</v>
      </c>
      <c r="E14" s="13">
        <v>3483</v>
      </c>
      <c r="F14" s="371">
        <v>2068</v>
      </c>
      <c r="G14" s="374">
        <f t="shared" si="0"/>
        <v>-171</v>
      </c>
      <c r="H14" s="358">
        <f t="shared" si="1"/>
        <v>-4.6798029556650249</v>
      </c>
    </row>
    <row r="15" spans="2:11" ht="15.75" customHeight="1" x14ac:dyDescent="0.25">
      <c r="B15" s="215" t="s">
        <v>31</v>
      </c>
      <c r="C15" s="13">
        <v>1719</v>
      </c>
      <c r="D15" s="371">
        <v>876</v>
      </c>
      <c r="E15" s="13">
        <v>1592</v>
      </c>
      <c r="F15" s="371">
        <v>825</v>
      </c>
      <c r="G15" s="374">
        <f t="shared" si="0"/>
        <v>-127</v>
      </c>
      <c r="H15" s="358">
        <f t="shared" si="1"/>
        <v>-7.3880162885398493</v>
      </c>
    </row>
    <row r="16" spans="2:11" x14ac:dyDescent="0.25">
      <c r="B16" s="215" t="s">
        <v>32</v>
      </c>
      <c r="C16" s="13">
        <v>1950</v>
      </c>
      <c r="D16" s="371">
        <v>1069</v>
      </c>
      <c r="E16" s="13">
        <v>1666</v>
      </c>
      <c r="F16" s="371">
        <v>924</v>
      </c>
      <c r="G16" s="374">
        <f>SUM(E16-C16)</f>
        <v>-284</v>
      </c>
      <c r="H16" s="358">
        <f>G16/C16*100</f>
        <v>-14.564102564102562</v>
      </c>
    </row>
    <row r="17" spans="2:8" x14ac:dyDescent="0.25">
      <c r="B17" s="215" t="s">
        <v>33</v>
      </c>
      <c r="C17" s="13">
        <v>1581</v>
      </c>
      <c r="D17" s="371">
        <v>768</v>
      </c>
      <c r="E17" s="13">
        <v>1554</v>
      </c>
      <c r="F17" s="371">
        <v>738</v>
      </c>
      <c r="G17" s="374">
        <f>SUM(E17-C17)</f>
        <v>-27</v>
      </c>
      <c r="H17" s="358">
        <f>G17/C17*100</f>
        <v>-1.7077798861480076</v>
      </c>
    </row>
    <row r="18" spans="2:8" x14ac:dyDescent="0.25">
      <c r="B18" s="215" t="s">
        <v>34</v>
      </c>
      <c r="C18" s="13">
        <v>2785</v>
      </c>
      <c r="D18" s="371">
        <v>1417</v>
      </c>
      <c r="E18" s="13">
        <v>2531</v>
      </c>
      <c r="F18" s="371">
        <v>1345</v>
      </c>
      <c r="G18" s="374">
        <f t="shared" si="0"/>
        <v>-254</v>
      </c>
      <c r="H18" s="358">
        <f t="shared" si="1"/>
        <v>-9.1202872531418322</v>
      </c>
    </row>
    <row r="19" spans="2:8" x14ac:dyDescent="0.25">
      <c r="B19" s="215" t="s">
        <v>35</v>
      </c>
      <c r="C19" s="13">
        <v>1425</v>
      </c>
      <c r="D19" s="371">
        <v>724</v>
      </c>
      <c r="E19" s="13">
        <v>1276</v>
      </c>
      <c r="F19" s="371">
        <v>583</v>
      </c>
      <c r="G19" s="374">
        <f t="shared" si="0"/>
        <v>-149</v>
      </c>
      <c r="H19" s="358">
        <f t="shared" si="1"/>
        <v>-10.456140350877192</v>
      </c>
    </row>
    <row r="20" spans="2:8" x14ac:dyDescent="0.25">
      <c r="B20" s="215" t="s">
        <v>36</v>
      </c>
      <c r="C20" s="13">
        <v>2803</v>
      </c>
      <c r="D20" s="371">
        <v>1430</v>
      </c>
      <c r="E20" s="13">
        <v>2477</v>
      </c>
      <c r="F20" s="371">
        <v>1222</v>
      </c>
      <c r="G20" s="374">
        <f t="shared" si="0"/>
        <v>-326</v>
      </c>
      <c r="H20" s="358">
        <f t="shared" si="1"/>
        <v>-11.630396004281128</v>
      </c>
    </row>
    <row r="21" spans="2:8" x14ac:dyDescent="0.25">
      <c r="B21" s="215" t="s">
        <v>37</v>
      </c>
      <c r="C21" s="13">
        <v>1470</v>
      </c>
      <c r="D21" s="371">
        <v>902</v>
      </c>
      <c r="E21" s="13">
        <v>1455</v>
      </c>
      <c r="F21" s="371">
        <v>836</v>
      </c>
      <c r="G21" s="374">
        <f t="shared" si="0"/>
        <v>-15</v>
      </c>
      <c r="H21" s="358">
        <f t="shared" si="1"/>
        <v>-1.0204081632653061</v>
      </c>
    </row>
    <row r="22" spans="2:8" x14ac:dyDescent="0.25">
      <c r="B22" s="215" t="s">
        <v>38</v>
      </c>
      <c r="C22" s="13">
        <v>2513</v>
      </c>
      <c r="D22" s="371">
        <v>1330</v>
      </c>
      <c r="E22" s="13">
        <v>2341</v>
      </c>
      <c r="F22" s="371">
        <v>1223</v>
      </c>
      <c r="G22" s="374">
        <f t="shared" si="0"/>
        <v>-172</v>
      </c>
      <c r="H22" s="358">
        <f>G22/C22*100</f>
        <v>-6.8444090728213292</v>
      </c>
    </row>
    <row r="23" spans="2:8" x14ac:dyDescent="0.25">
      <c r="B23" s="216" t="s">
        <v>39</v>
      </c>
      <c r="C23" s="13">
        <v>3691</v>
      </c>
      <c r="D23" s="371">
        <v>1916</v>
      </c>
      <c r="E23" s="13">
        <v>3465</v>
      </c>
      <c r="F23" s="371">
        <v>1801</v>
      </c>
      <c r="G23" s="374">
        <f t="shared" si="0"/>
        <v>-226</v>
      </c>
      <c r="H23" s="358">
        <f t="shared" si="1"/>
        <v>-6.1230018965050119</v>
      </c>
    </row>
    <row r="24" spans="2:8" x14ac:dyDescent="0.25">
      <c r="B24" s="216" t="s">
        <v>40</v>
      </c>
      <c r="C24" s="13">
        <v>3041</v>
      </c>
      <c r="D24" s="371">
        <v>1712</v>
      </c>
      <c r="E24" s="13">
        <v>2958</v>
      </c>
      <c r="F24" s="371">
        <v>1641</v>
      </c>
      <c r="G24" s="374">
        <f t="shared" si="0"/>
        <v>-83</v>
      </c>
      <c r="H24" s="358">
        <f t="shared" si="1"/>
        <v>-2.7293653403485694</v>
      </c>
    </row>
    <row r="25" spans="2:8" x14ac:dyDescent="0.25">
      <c r="B25" s="216" t="s">
        <v>41</v>
      </c>
      <c r="C25" s="13">
        <v>2459</v>
      </c>
      <c r="D25" s="371">
        <v>1384</v>
      </c>
      <c r="E25" s="13">
        <v>1879</v>
      </c>
      <c r="F25" s="371">
        <v>1022</v>
      </c>
      <c r="G25" s="374">
        <f t="shared" si="0"/>
        <v>-580</v>
      </c>
      <c r="H25" s="358">
        <f t="shared" si="1"/>
        <v>-23.586823912159414</v>
      </c>
    </row>
    <row r="26" spans="2:8" x14ac:dyDescent="0.25">
      <c r="B26" s="216" t="s">
        <v>42</v>
      </c>
      <c r="C26" s="13">
        <v>5265</v>
      </c>
      <c r="D26" s="371">
        <v>2724</v>
      </c>
      <c r="E26" s="13">
        <v>4615</v>
      </c>
      <c r="F26" s="371">
        <v>2320</v>
      </c>
      <c r="G26" s="374">
        <f t="shared" si="0"/>
        <v>-650</v>
      </c>
      <c r="H26" s="358">
        <f t="shared" si="1"/>
        <v>-12.345679012345679</v>
      </c>
    </row>
    <row r="27" spans="2:8" x14ac:dyDescent="0.25">
      <c r="B27" s="216" t="s">
        <v>43</v>
      </c>
      <c r="C27" s="13">
        <v>1614</v>
      </c>
      <c r="D27" s="371">
        <v>898</v>
      </c>
      <c r="E27" s="13">
        <v>1593</v>
      </c>
      <c r="F27" s="371">
        <v>798</v>
      </c>
      <c r="G27" s="374">
        <f t="shared" si="0"/>
        <v>-21</v>
      </c>
      <c r="H27" s="358">
        <f t="shared" si="1"/>
        <v>-1.3011152416356877</v>
      </c>
    </row>
    <row r="28" spans="2:8" x14ac:dyDescent="0.25">
      <c r="B28" s="216" t="s">
        <v>44</v>
      </c>
      <c r="C28" s="13">
        <v>991</v>
      </c>
      <c r="D28" s="371">
        <v>554</v>
      </c>
      <c r="E28" s="13">
        <v>800</v>
      </c>
      <c r="F28" s="371">
        <v>452</v>
      </c>
      <c r="G28" s="374">
        <f t="shared" si="0"/>
        <v>-191</v>
      </c>
      <c r="H28" s="358">
        <f t="shared" si="1"/>
        <v>-19.273461150353182</v>
      </c>
    </row>
    <row r="29" spans="2:8" x14ac:dyDescent="0.25">
      <c r="B29" s="216" t="s">
        <v>45</v>
      </c>
      <c r="C29" s="13">
        <v>3330</v>
      </c>
      <c r="D29" s="371">
        <v>1790</v>
      </c>
      <c r="E29" s="13">
        <v>3072</v>
      </c>
      <c r="F29" s="371">
        <v>1677</v>
      </c>
      <c r="G29" s="374">
        <f t="shared" si="0"/>
        <v>-258</v>
      </c>
      <c r="H29" s="358">
        <f t="shared" si="1"/>
        <v>-7.7477477477477477</v>
      </c>
    </row>
    <row r="30" spans="2:8" ht="15.75" thickBot="1" x14ac:dyDescent="0.3">
      <c r="B30" s="217" t="s">
        <v>46</v>
      </c>
      <c r="C30" s="20">
        <v>1255</v>
      </c>
      <c r="D30" s="372">
        <v>727</v>
      </c>
      <c r="E30" s="20">
        <v>1203</v>
      </c>
      <c r="F30" s="372">
        <v>685</v>
      </c>
      <c r="G30" s="375">
        <f t="shared" si="0"/>
        <v>-52</v>
      </c>
      <c r="H30" s="160">
        <f t="shared" si="1"/>
        <v>-4.143426294820717</v>
      </c>
    </row>
    <row r="31" spans="2:8" x14ac:dyDescent="0.25">
      <c r="C31" s="658">
        <f>SUM(C10:C30)</f>
        <v>52334</v>
      </c>
      <c r="D31" s="658">
        <f>SUM(D10:D30)</f>
        <v>28560</v>
      </c>
      <c r="E31" s="658">
        <f>SUM(E10:E30)</f>
        <v>47408</v>
      </c>
      <c r="F31" s="658">
        <f>SUM(F10:F30)</f>
        <v>25451</v>
      </c>
      <c r="G31" s="658">
        <f>SUM(G10:G30)</f>
        <v>-4926</v>
      </c>
      <c r="H31" s="425">
        <f>SUM(E7/'T.XIV C'!F6)*100</f>
        <v>62.829501027102239</v>
      </c>
    </row>
  </sheetData>
  <mergeCells count="3">
    <mergeCell ref="C5:D5"/>
    <mergeCell ref="E5:F5"/>
    <mergeCell ref="G5:H5"/>
  </mergeCells>
  <printOptions horizontalCentered="1"/>
  <pageMargins left="0" right="0" top="1.0236220472440944" bottom="0" header="0" footer="0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K35"/>
  <sheetViews>
    <sheetView zoomScale="120" zoomScaleNormal="120" workbookViewId="0">
      <selection activeCell="B1" sqref="B1"/>
    </sheetView>
  </sheetViews>
  <sheetFormatPr defaultRowHeight="11.25" x14ac:dyDescent="0.2"/>
  <cols>
    <col min="1" max="1" width="2.42578125" style="469" customWidth="1"/>
    <col min="2" max="2" width="26.28515625" style="469" customWidth="1"/>
    <col min="3" max="3" width="9.140625" style="469" customWidth="1"/>
    <col min="4" max="4" width="9" style="469" customWidth="1"/>
    <col min="5" max="5" width="10" style="469" customWidth="1"/>
    <col min="6" max="6" width="10.140625" style="469" customWidth="1"/>
    <col min="7" max="7" width="10.7109375" style="469" customWidth="1"/>
    <col min="8" max="8" width="10.140625" style="469" customWidth="1"/>
    <col min="9" max="9" width="10.5703125" style="469" customWidth="1"/>
    <col min="10" max="10" width="10.85546875" style="550" bestFit="1" customWidth="1"/>
    <col min="11" max="11" width="8.7109375" style="550" customWidth="1"/>
    <col min="12" max="16384" width="9.140625" style="469"/>
  </cols>
  <sheetData>
    <row r="2" spans="2:11" ht="12.75" customHeight="1" x14ac:dyDescent="0.2">
      <c r="B2" s="468" t="s">
        <v>472</v>
      </c>
    </row>
    <row r="3" spans="2:11" ht="10.5" customHeight="1" x14ac:dyDescent="0.2">
      <c r="B3" s="469" t="s">
        <v>473</v>
      </c>
    </row>
    <row r="4" spans="2:11" ht="12" thickBot="1" x14ac:dyDescent="0.25">
      <c r="B4" s="469" t="s">
        <v>462</v>
      </c>
    </row>
    <row r="5" spans="2:11" ht="15.75" customHeight="1" x14ac:dyDescent="0.2">
      <c r="B5" s="470"/>
      <c r="C5" s="1183" t="s">
        <v>331</v>
      </c>
      <c r="D5" s="1181" t="s">
        <v>89</v>
      </c>
      <c r="E5" s="1143"/>
      <c r="F5" s="1143"/>
      <c r="G5" s="1143"/>
      <c r="H5" s="1143"/>
      <c r="I5" s="1144"/>
    </row>
    <row r="6" spans="2:11" ht="15" customHeight="1" thickBot="1" x14ac:dyDescent="0.25">
      <c r="B6" s="472" t="s">
        <v>3</v>
      </c>
      <c r="C6" s="1184"/>
      <c r="D6" s="1182"/>
      <c r="E6" s="1145"/>
      <c r="F6" s="1145"/>
      <c r="G6" s="1145"/>
      <c r="H6" s="1145"/>
      <c r="I6" s="1146"/>
    </row>
    <row r="7" spans="2:11" ht="23.25" customHeight="1" thickBot="1" x14ac:dyDescent="0.25">
      <c r="B7" s="474"/>
      <c r="C7" s="1185"/>
      <c r="D7" s="475" t="s">
        <v>324</v>
      </c>
      <c r="E7" s="476" t="s">
        <v>325</v>
      </c>
      <c r="F7" s="476" t="s">
        <v>326</v>
      </c>
      <c r="G7" s="476" t="s">
        <v>327</v>
      </c>
      <c r="H7" s="476" t="s">
        <v>328</v>
      </c>
      <c r="I7" s="477" t="s">
        <v>329</v>
      </c>
    </row>
    <row r="8" spans="2:11" ht="21" customHeight="1" thickBot="1" x14ac:dyDescent="0.25">
      <c r="B8" s="451" t="s">
        <v>62</v>
      </c>
      <c r="C8" s="452">
        <f>SUM(D8:I8)</f>
        <v>47408</v>
      </c>
      <c r="D8" s="453">
        <f t="shared" ref="D8:I8" si="0">SUM(D10:D15)</f>
        <v>4973</v>
      </c>
      <c r="E8" s="454">
        <f t="shared" si="0"/>
        <v>8520</v>
      </c>
      <c r="F8" s="454">
        <f t="shared" si="0"/>
        <v>6649</v>
      </c>
      <c r="G8" s="454">
        <f t="shared" si="0"/>
        <v>6575</v>
      </c>
      <c r="H8" s="454">
        <f t="shared" si="0"/>
        <v>6833</v>
      </c>
      <c r="I8" s="455">
        <f t="shared" si="0"/>
        <v>13858</v>
      </c>
    </row>
    <row r="9" spans="2:11" ht="17.25" customHeight="1" thickBot="1" x14ac:dyDescent="0.25">
      <c r="B9" s="776" t="s">
        <v>63</v>
      </c>
      <c r="C9" s="552"/>
      <c r="D9" s="552"/>
      <c r="E9" s="552"/>
      <c r="F9" s="552"/>
      <c r="G9" s="552"/>
      <c r="H9" s="552"/>
      <c r="I9" s="553"/>
      <c r="K9" s="580"/>
    </row>
    <row r="10" spans="2:11" ht="12.75" customHeight="1" thickTop="1" x14ac:dyDescent="0.2">
      <c r="B10" s="929" t="s">
        <v>64</v>
      </c>
      <c r="C10" s="485">
        <f t="shared" ref="C10:C15" si="1">SUM(D10:I10)</f>
        <v>7623</v>
      </c>
      <c r="D10" s="456">
        <v>1324</v>
      </c>
      <c r="E10" s="457">
        <v>2326</v>
      </c>
      <c r="F10" s="457">
        <v>1608</v>
      </c>
      <c r="G10" s="457">
        <v>884</v>
      </c>
      <c r="H10" s="457">
        <v>878</v>
      </c>
      <c r="I10" s="458">
        <v>603</v>
      </c>
      <c r="J10" s="551"/>
      <c r="K10" s="581"/>
    </row>
    <row r="11" spans="2:11" ht="15" customHeight="1" x14ac:dyDescent="0.2">
      <c r="B11" s="930" t="s">
        <v>65</v>
      </c>
      <c r="C11" s="487">
        <f t="shared" si="1"/>
        <v>14452</v>
      </c>
      <c r="D11" s="459">
        <v>1551</v>
      </c>
      <c r="E11" s="460">
        <v>2541</v>
      </c>
      <c r="F11" s="460">
        <v>2144</v>
      </c>
      <c r="G11" s="460">
        <v>2142</v>
      </c>
      <c r="H11" s="460">
        <v>2320</v>
      </c>
      <c r="I11" s="461">
        <v>3754</v>
      </c>
      <c r="J11" s="551"/>
      <c r="K11" s="580"/>
    </row>
    <row r="12" spans="2:11" ht="14.25" customHeight="1" x14ac:dyDescent="0.2">
      <c r="B12" s="930" t="s">
        <v>66</v>
      </c>
      <c r="C12" s="487">
        <f t="shared" si="1"/>
        <v>10443</v>
      </c>
      <c r="D12" s="459">
        <v>945</v>
      </c>
      <c r="E12" s="460">
        <v>1557</v>
      </c>
      <c r="F12" s="460">
        <v>1297</v>
      </c>
      <c r="G12" s="460">
        <v>1513</v>
      </c>
      <c r="H12" s="460">
        <v>1666</v>
      </c>
      <c r="I12" s="461">
        <v>3465</v>
      </c>
      <c r="J12" s="581"/>
      <c r="K12" s="551"/>
    </row>
    <row r="13" spans="2:11" ht="13.5" customHeight="1" x14ac:dyDescent="0.2">
      <c r="B13" s="930" t="s">
        <v>67</v>
      </c>
      <c r="C13" s="487">
        <f t="shared" si="1"/>
        <v>8249</v>
      </c>
      <c r="D13" s="459">
        <v>760</v>
      </c>
      <c r="E13" s="460">
        <v>1254</v>
      </c>
      <c r="F13" s="460">
        <v>951</v>
      </c>
      <c r="G13" s="460">
        <v>1127</v>
      </c>
      <c r="H13" s="460">
        <v>1089</v>
      </c>
      <c r="I13" s="461">
        <v>3068</v>
      </c>
      <c r="J13" s="551"/>
    </row>
    <row r="14" spans="2:11" ht="13.5" customHeight="1" x14ac:dyDescent="0.2">
      <c r="B14" s="930" t="s">
        <v>68</v>
      </c>
      <c r="C14" s="487">
        <f t="shared" si="1"/>
        <v>4423</v>
      </c>
      <c r="D14" s="459">
        <v>276</v>
      </c>
      <c r="E14" s="460">
        <v>580</v>
      </c>
      <c r="F14" s="460">
        <v>470</v>
      </c>
      <c r="G14" s="460">
        <v>626</v>
      </c>
      <c r="H14" s="460">
        <v>571</v>
      </c>
      <c r="I14" s="461">
        <v>1900</v>
      </c>
      <c r="J14" s="551"/>
    </row>
    <row r="15" spans="2:11" ht="13.5" customHeight="1" x14ac:dyDescent="0.2">
      <c r="B15" s="930" t="s">
        <v>69</v>
      </c>
      <c r="C15" s="487">
        <f t="shared" si="1"/>
        <v>2218</v>
      </c>
      <c r="D15" s="459">
        <v>117</v>
      </c>
      <c r="E15" s="460">
        <v>262</v>
      </c>
      <c r="F15" s="460">
        <v>179</v>
      </c>
      <c r="G15" s="460">
        <v>283</v>
      </c>
      <c r="H15" s="460">
        <v>309</v>
      </c>
      <c r="I15" s="461">
        <v>1068</v>
      </c>
      <c r="J15" s="551"/>
      <c r="K15" s="551"/>
    </row>
    <row r="16" spans="2:11" ht="18.75" customHeight="1" thickBot="1" x14ac:dyDescent="0.25">
      <c r="B16" s="777" t="s">
        <v>70</v>
      </c>
      <c r="C16" s="554"/>
      <c r="D16" s="554"/>
      <c r="E16" s="554"/>
      <c r="F16" s="554"/>
      <c r="G16" s="554"/>
      <c r="H16" s="554"/>
      <c r="I16" s="555"/>
    </row>
    <row r="17" spans="2:11" ht="15" customHeight="1" thickTop="1" x14ac:dyDescent="0.2">
      <c r="B17" s="929" t="s">
        <v>71</v>
      </c>
      <c r="C17" s="485">
        <f t="shared" ref="C17:C21" si="2">SUM(D17:I17)</f>
        <v>5872</v>
      </c>
      <c r="D17" s="456">
        <v>639</v>
      </c>
      <c r="E17" s="457">
        <v>1193</v>
      </c>
      <c r="F17" s="457">
        <v>917</v>
      </c>
      <c r="G17" s="457">
        <v>927</v>
      </c>
      <c r="H17" s="457">
        <v>944</v>
      </c>
      <c r="I17" s="458">
        <v>1252</v>
      </c>
      <c r="K17" s="580"/>
    </row>
    <row r="18" spans="2:11" ht="14.25" customHeight="1" x14ac:dyDescent="0.2">
      <c r="B18" s="930" t="s">
        <v>12</v>
      </c>
      <c r="C18" s="487">
        <f t="shared" si="2"/>
        <v>12522</v>
      </c>
      <c r="D18" s="459">
        <v>1449</v>
      </c>
      <c r="E18" s="460">
        <v>2375</v>
      </c>
      <c r="F18" s="460">
        <v>1951</v>
      </c>
      <c r="G18" s="460">
        <v>1665</v>
      </c>
      <c r="H18" s="460">
        <v>1814</v>
      </c>
      <c r="I18" s="461">
        <v>3268</v>
      </c>
      <c r="K18" s="580"/>
    </row>
    <row r="19" spans="2:11" ht="13.5" customHeight="1" x14ac:dyDescent="0.2">
      <c r="B19" s="930" t="s">
        <v>78</v>
      </c>
      <c r="C19" s="487">
        <f t="shared" si="2"/>
        <v>4752</v>
      </c>
      <c r="D19" s="459">
        <v>582</v>
      </c>
      <c r="E19" s="460">
        <v>902</v>
      </c>
      <c r="F19" s="460">
        <v>759</v>
      </c>
      <c r="G19" s="460">
        <v>653</v>
      </c>
      <c r="H19" s="460">
        <v>689</v>
      </c>
      <c r="I19" s="461">
        <v>1167</v>
      </c>
      <c r="J19" s="580"/>
      <c r="K19" s="581"/>
    </row>
    <row r="20" spans="2:11" ht="13.5" customHeight="1" x14ac:dyDescent="0.2">
      <c r="B20" s="930" t="s">
        <v>72</v>
      </c>
      <c r="C20" s="487">
        <f t="shared" si="2"/>
        <v>14593</v>
      </c>
      <c r="D20" s="459">
        <v>1530</v>
      </c>
      <c r="E20" s="460">
        <v>2562</v>
      </c>
      <c r="F20" s="460">
        <v>1953</v>
      </c>
      <c r="G20" s="460">
        <v>1969</v>
      </c>
      <c r="H20" s="460">
        <v>1991</v>
      </c>
      <c r="I20" s="461">
        <v>4588</v>
      </c>
      <c r="J20" s="580"/>
    </row>
    <row r="21" spans="2:11" ht="15" customHeight="1" x14ac:dyDescent="0.2">
      <c r="B21" s="930" t="s">
        <v>73</v>
      </c>
      <c r="C21" s="487">
        <f t="shared" si="2"/>
        <v>9669</v>
      </c>
      <c r="D21" s="459">
        <v>773</v>
      </c>
      <c r="E21" s="460">
        <v>1488</v>
      </c>
      <c r="F21" s="460">
        <v>1069</v>
      </c>
      <c r="G21" s="460">
        <v>1361</v>
      </c>
      <c r="H21" s="460">
        <v>1395</v>
      </c>
      <c r="I21" s="461">
        <v>3583</v>
      </c>
    </row>
    <row r="22" spans="2:11" ht="18" customHeight="1" thickBot="1" x14ac:dyDescent="0.25">
      <c r="B22" s="924" t="s">
        <v>74</v>
      </c>
      <c r="C22" s="557"/>
      <c r="D22" s="554"/>
      <c r="E22" s="554"/>
      <c r="F22" s="554"/>
      <c r="G22" s="554"/>
      <c r="H22" s="554"/>
      <c r="I22" s="555"/>
    </row>
    <row r="23" spans="2:11" ht="14.25" customHeight="1" thickTop="1" x14ac:dyDescent="0.2">
      <c r="B23" s="925" t="s">
        <v>75</v>
      </c>
      <c r="C23" s="489">
        <f>SUM(D23:I23)</f>
        <v>9602</v>
      </c>
      <c r="D23" s="462">
        <v>1239</v>
      </c>
      <c r="E23" s="463">
        <v>2075</v>
      </c>
      <c r="F23" s="463">
        <v>1363</v>
      </c>
      <c r="G23" s="463">
        <v>1183</v>
      </c>
      <c r="H23" s="463">
        <v>1297</v>
      </c>
      <c r="I23" s="464">
        <v>2445</v>
      </c>
    </row>
    <row r="24" spans="2:11" ht="14.25" customHeight="1" x14ac:dyDescent="0.2">
      <c r="B24" s="926" t="s">
        <v>79</v>
      </c>
      <c r="C24" s="487">
        <f>SUM(D24:I24)</f>
        <v>12726</v>
      </c>
      <c r="D24" s="459">
        <v>1468</v>
      </c>
      <c r="E24" s="460">
        <v>2430</v>
      </c>
      <c r="F24" s="460">
        <v>1869</v>
      </c>
      <c r="G24" s="460">
        <v>1920</v>
      </c>
      <c r="H24" s="460">
        <v>1866</v>
      </c>
      <c r="I24" s="461">
        <v>3173</v>
      </c>
      <c r="J24" s="580"/>
      <c r="K24" s="580"/>
    </row>
    <row r="25" spans="2:11" ht="13.5" customHeight="1" x14ac:dyDescent="0.2">
      <c r="B25" s="926" t="s">
        <v>80</v>
      </c>
      <c r="C25" s="487">
        <f t="shared" ref="C25:C29" si="3">SUM(D25:I25)</f>
        <v>7001</v>
      </c>
      <c r="D25" s="459">
        <v>707</v>
      </c>
      <c r="E25" s="460">
        <v>1087</v>
      </c>
      <c r="F25" s="460">
        <v>950</v>
      </c>
      <c r="G25" s="460">
        <v>1100</v>
      </c>
      <c r="H25" s="460">
        <v>1102</v>
      </c>
      <c r="I25" s="461">
        <v>2055</v>
      </c>
    </row>
    <row r="26" spans="2:11" ht="15" customHeight="1" x14ac:dyDescent="0.2">
      <c r="B26" s="926" t="s">
        <v>81</v>
      </c>
      <c r="C26" s="487">
        <f t="shared" si="3"/>
        <v>6418</v>
      </c>
      <c r="D26" s="459">
        <v>618</v>
      </c>
      <c r="E26" s="460">
        <v>1031</v>
      </c>
      <c r="F26" s="460">
        <v>808</v>
      </c>
      <c r="G26" s="460">
        <v>931</v>
      </c>
      <c r="H26" s="460">
        <v>979</v>
      </c>
      <c r="I26" s="461">
        <v>2051</v>
      </c>
    </row>
    <row r="27" spans="2:11" ht="14.25" customHeight="1" x14ac:dyDescent="0.2">
      <c r="B27" s="927" t="s">
        <v>82</v>
      </c>
      <c r="C27" s="487">
        <f t="shared" si="3"/>
        <v>3141</v>
      </c>
      <c r="D27" s="459">
        <v>304</v>
      </c>
      <c r="E27" s="460">
        <v>524</v>
      </c>
      <c r="F27" s="460">
        <v>404</v>
      </c>
      <c r="G27" s="460">
        <v>536</v>
      </c>
      <c r="H27" s="460">
        <v>440</v>
      </c>
      <c r="I27" s="461">
        <v>933</v>
      </c>
    </row>
    <row r="28" spans="2:11" ht="14.25" customHeight="1" x14ac:dyDescent="0.2">
      <c r="B28" s="926" t="s">
        <v>83</v>
      </c>
      <c r="C28" s="487">
        <f t="shared" si="3"/>
        <v>1058</v>
      </c>
      <c r="D28" s="459">
        <v>114</v>
      </c>
      <c r="E28" s="460">
        <v>186</v>
      </c>
      <c r="F28" s="460">
        <v>175</v>
      </c>
      <c r="G28" s="460">
        <v>215</v>
      </c>
      <c r="H28" s="460">
        <v>141</v>
      </c>
      <c r="I28" s="461">
        <v>227</v>
      </c>
    </row>
    <row r="29" spans="2:11" ht="15.75" customHeight="1" thickBot="1" x14ac:dyDescent="0.25">
      <c r="B29" s="928" t="s">
        <v>76</v>
      </c>
      <c r="C29" s="493">
        <f t="shared" si="3"/>
        <v>7462</v>
      </c>
      <c r="D29" s="465">
        <v>523</v>
      </c>
      <c r="E29" s="466">
        <v>1187</v>
      </c>
      <c r="F29" s="466">
        <v>1080</v>
      </c>
      <c r="G29" s="466">
        <v>690</v>
      </c>
      <c r="H29" s="466">
        <v>1008</v>
      </c>
      <c r="I29" s="467">
        <v>2974</v>
      </c>
      <c r="J29" s="580"/>
      <c r="K29" s="580"/>
    </row>
    <row r="30" spans="2:11" x14ac:dyDescent="0.2">
      <c r="C30" s="551">
        <f>SUM(C10:C15)</f>
        <v>47408</v>
      </c>
      <c r="D30" s="551">
        <f t="shared" ref="D30:I30" si="4">SUM(D10:D15)</f>
        <v>4973</v>
      </c>
      <c r="E30" s="551">
        <f t="shared" si="4"/>
        <v>8520</v>
      </c>
      <c r="F30" s="551">
        <f t="shared" si="4"/>
        <v>6649</v>
      </c>
      <c r="G30" s="551">
        <f t="shared" si="4"/>
        <v>6575</v>
      </c>
      <c r="H30" s="551">
        <f t="shared" si="4"/>
        <v>6833</v>
      </c>
      <c r="I30" s="551">
        <f t="shared" si="4"/>
        <v>13858</v>
      </c>
    </row>
    <row r="31" spans="2:11" x14ac:dyDescent="0.2">
      <c r="C31" s="551">
        <f>SUM(C17:C21)</f>
        <v>47408</v>
      </c>
      <c r="D31" s="551">
        <f t="shared" ref="D31:I31" si="5">SUM(D17:D21)</f>
        <v>4973</v>
      </c>
      <c r="E31" s="551">
        <f t="shared" si="5"/>
        <v>8520</v>
      </c>
      <c r="F31" s="551">
        <f t="shared" si="5"/>
        <v>6649</v>
      </c>
      <c r="G31" s="551">
        <f t="shared" si="5"/>
        <v>6575</v>
      </c>
      <c r="H31" s="551">
        <f t="shared" si="5"/>
        <v>6833</v>
      </c>
      <c r="I31" s="551">
        <f t="shared" si="5"/>
        <v>13858</v>
      </c>
    </row>
    <row r="32" spans="2:11" x14ac:dyDescent="0.2">
      <c r="C32" s="551">
        <f>SUM(C23:C29)</f>
        <v>47408</v>
      </c>
      <c r="D32" s="551">
        <f t="shared" ref="D32:I32" si="6">SUM(D23:D29)</f>
        <v>4973</v>
      </c>
      <c r="E32" s="551">
        <f t="shared" si="6"/>
        <v>8520</v>
      </c>
      <c r="F32" s="551">
        <f t="shared" si="6"/>
        <v>6649</v>
      </c>
      <c r="G32" s="551">
        <f t="shared" si="6"/>
        <v>6575</v>
      </c>
      <c r="H32" s="551">
        <f t="shared" si="6"/>
        <v>6833</v>
      </c>
      <c r="I32" s="551">
        <f t="shared" si="6"/>
        <v>13858</v>
      </c>
    </row>
    <row r="33" spans="3:9" x14ac:dyDescent="0.2">
      <c r="C33" s="580">
        <f>SUM(C11+C12)/C8*100</f>
        <v>52.51223422207223</v>
      </c>
      <c r="D33" s="581">
        <f>(C18/C8)*100</f>
        <v>26.4132635842052</v>
      </c>
      <c r="E33" s="581">
        <f>SUM(C33:D33)</f>
        <v>78.925497806277434</v>
      </c>
      <c r="I33" s="580">
        <f>SUM(H8+I8)/C8*100</f>
        <v>43.644532568342896</v>
      </c>
    </row>
    <row r="34" spans="3:9" x14ac:dyDescent="0.2">
      <c r="C34" s="581">
        <f>(C20/C8)*100</f>
        <v>30.781724603442456</v>
      </c>
      <c r="D34" s="581">
        <f>(C29)/C8*100</f>
        <v>15.739959500506243</v>
      </c>
      <c r="E34" s="581">
        <f>SUM(C34:D34)</f>
        <v>46.521684103948701</v>
      </c>
    </row>
    <row r="35" spans="3:9" x14ac:dyDescent="0.2">
      <c r="C35" s="581">
        <f>(C23+C24)/C8*100</f>
        <v>47.09753628079649</v>
      </c>
    </row>
  </sheetData>
  <mergeCells count="2">
    <mergeCell ref="D5:I6"/>
    <mergeCell ref="C5:C7"/>
  </mergeCells>
  <printOptions horizontalCentered="1"/>
  <pageMargins left="0" right="0" top="1.3779527559055118" bottom="0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I32"/>
  <sheetViews>
    <sheetView zoomScale="130" zoomScaleNormal="130" workbookViewId="0">
      <selection activeCell="B1" sqref="B1"/>
    </sheetView>
  </sheetViews>
  <sheetFormatPr defaultColWidth="23.7109375" defaultRowHeight="11.25" x14ac:dyDescent="0.2"/>
  <cols>
    <col min="1" max="1" width="2.5703125" style="495" customWidth="1"/>
    <col min="2" max="2" width="21.7109375" style="495" customWidth="1"/>
    <col min="3" max="3" width="10.140625" style="495" customWidth="1"/>
    <col min="4" max="4" width="8.5703125" style="495" customWidth="1"/>
    <col min="5" max="6" width="9.140625" style="495" customWidth="1"/>
    <col min="7" max="7" width="9.28515625" style="495" customWidth="1"/>
    <col min="8" max="8" width="9.85546875" style="495" customWidth="1"/>
    <col min="9" max="9" width="8.85546875" style="495" customWidth="1"/>
    <col min="10" max="16384" width="23.7109375" style="495"/>
  </cols>
  <sheetData>
    <row r="2" spans="2:9" x14ac:dyDescent="0.2">
      <c r="B2" s="494" t="s">
        <v>474</v>
      </c>
      <c r="C2" s="494"/>
      <c r="D2" s="494"/>
      <c r="E2" s="494"/>
      <c r="F2" s="494"/>
      <c r="G2" s="494"/>
      <c r="H2" s="494"/>
      <c r="I2" s="494"/>
    </row>
    <row r="3" spans="2:9" x14ac:dyDescent="0.2">
      <c r="B3" s="494" t="s">
        <v>475</v>
      </c>
      <c r="C3" s="494"/>
      <c r="D3" s="494"/>
      <c r="E3" s="494"/>
      <c r="F3" s="494"/>
      <c r="G3" s="494"/>
      <c r="H3" s="494"/>
      <c r="I3" s="494"/>
    </row>
    <row r="4" spans="2:9" ht="12" thickBot="1" x14ac:dyDescent="0.25">
      <c r="B4" s="494" t="s">
        <v>425</v>
      </c>
      <c r="C4" s="494"/>
      <c r="D4" s="494"/>
      <c r="E4" s="494"/>
      <c r="F4" s="494"/>
      <c r="G4" s="494"/>
      <c r="H4" s="494"/>
      <c r="I4" s="494"/>
    </row>
    <row r="5" spans="2:9" x14ac:dyDescent="0.2">
      <c r="B5" s="496"/>
      <c r="C5" s="1190" t="s">
        <v>332</v>
      </c>
      <c r="D5" s="1186" t="s">
        <v>89</v>
      </c>
      <c r="E5" s="1186"/>
      <c r="F5" s="1186"/>
      <c r="G5" s="1186"/>
      <c r="H5" s="1186"/>
      <c r="I5" s="1187"/>
    </row>
    <row r="6" spans="2:9" ht="12" thickBot="1" x14ac:dyDescent="0.25">
      <c r="B6" s="497" t="s">
        <v>3</v>
      </c>
      <c r="C6" s="1191"/>
      <c r="D6" s="1188"/>
      <c r="E6" s="1188"/>
      <c r="F6" s="1188"/>
      <c r="G6" s="1188"/>
      <c r="H6" s="1188"/>
      <c r="I6" s="1189"/>
    </row>
    <row r="7" spans="2:9" ht="28.5" customHeight="1" thickBot="1" x14ac:dyDescent="0.25">
      <c r="B7" s="498"/>
      <c r="C7" s="1192"/>
      <c r="D7" s="499" t="s">
        <v>324</v>
      </c>
      <c r="E7" s="500" t="s">
        <v>325</v>
      </c>
      <c r="F7" s="500" t="s">
        <v>326</v>
      </c>
      <c r="G7" s="500" t="s">
        <v>327</v>
      </c>
      <c r="H7" s="500" t="s">
        <v>328</v>
      </c>
      <c r="I7" s="501" t="s">
        <v>329</v>
      </c>
    </row>
    <row r="8" spans="2:9" ht="21.75" customHeight="1" thickBot="1" x14ac:dyDescent="0.25">
      <c r="B8" s="502" t="s">
        <v>62</v>
      </c>
      <c r="C8" s="503">
        <f>SUM(D8:I8)</f>
        <v>25451</v>
      </c>
      <c r="D8" s="504">
        <f t="shared" ref="D8:I8" si="0">SUM(D10:D15)</f>
        <v>1935</v>
      </c>
      <c r="E8" s="505">
        <f t="shared" si="0"/>
        <v>3919</v>
      </c>
      <c r="F8" s="505">
        <f t="shared" si="0"/>
        <v>3419</v>
      </c>
      <c r="G8" s="505">
        <f t="shared" si="0"/>
        <v>3359</v>
      </c>
      <c r="H8" s="505">
        <f t="shared" si="0"/>
        <v>3901</v>
      </c>
      <c r="I8" s="506">
        <f t="shared" si="0"/>
        <v>8918</v>
      </c>
    </row>
    <row r="9" spans="2:9" ht="18.75" customHeight="1" thickBot="1" x14ac:dyDescent="0.25">
      <c r="B9" s="931" t="s">
        <v>63</v>
      </c>
      <c r="C9" s="558"/>
      <c r="D9" s="558"/>
      <c r="E9" s="558"/>
      <c r="F9" s="558"/>
      <c r="G9" s="558"/>
      <c r="H9" s="558"/>
      <c r="I9" s="559"/>
    </row>
    <row r="10" spans="2:9" ht="12" thickTop="1" x14ac:dyDescent="0.2">
      <c r="B10" s="507" t="s">
        <v>64</v>
      </c>
      <c r="C10" s="508">
        <f t="shared" ref="C10:C15" si="1">SUM(D10:I10)</f>
        <v>3958</v>
      </c>
      <c r="D10" s="509">
        <v>543</v>
      </c>
      <c r="E10" s="510">
        <v>1099</v>
      </c>
      <c r="F10" s="510">
        <v>798</v>
      </c>
      <c r="G10" s="510">
        <v>478</v>
      </c>
      <c r="H10" s="510">
        <v>562</v>
      </c>
      <c r="I10" s="511">
        <v>478</v>
      </c>
    </row>
    <row r="11" spans="2:9" x14ac:dyDescent="0.2">
      <c r="B11" s="512" t="s">
        <v>65</v>
      </c>
      <c r="C11" s="513">
        <f t="shared" si="1"/>
        <v>9343</v>
      </c>
      <c r="D11" s="514">
        <v>635</v>
      </c>
      <c r="E11" s="515">
        <v>1224</v>
      </c>
      <c r="F11" s="515">
        <v>1267</v>
      </c>
      <c r="G11" s="515">
        <v>1346</v>
      </c>
      <c r="H11" s="515">
        <v>1685</v>
      </c>
      <c r="I11" s="516">
        <v>3186</v>
      </c>
    </row>
    <row r="12" spans="2:9" x14ac:dyDescent="0.2">
      <c r="B12" s="512" t="s">
        <v>66</v>
      </c>
      <c r="C12" s="513">
        <f t="shared" si="1"/>
        <v>6157</v>
      </c>
      <c r="D12" s="514">
        <v>357</v>
      </c>
      <c r="E12" s="515">
        <v>746</v>
      </c>
      <c r="F12" s="515">
        <v>686</v>
      </c>
      <c r="G12" s="515">
        <v>825</v>
      </c>
      <c r="H12" s="515">
        <v>974</v>
      </c>
      <c r="I12" s="516">
        <v>2569</v>
      </c>
    </row>
    <row r="13" spans="2:9" x14ac:dyDescent="0.2">
      <c r="B13" s="512" t="s">
        <v>67</v>
      </c>
      <c r="C13" s="513">
        <f t="shared" si="1"/>
        <v>4084</v>
      </c>
      <c r="D13" s="514">
        <v>306</v>
      </c>
      <c r="E13" s="515">
        <v>598</v>
      </c>
      <c r="F13" s="515">
        <v>460</v>
      </c>
      <c r="G13" s="515">
        <v>480</v>
      </c>
      <c r="H13" s="515">
        <v>482</v>
      </c>
      <c r="I13" s="516">
        <v>1758</v>
      </c>
    </row>
    <row r="14" spans="2:9" x14ac:dyDescent="0.2">
      <c r="B14" s="512" t="s">
        <v>68</v>
      </c>
      <c r="C14" s="513">
        <f t="shared" si="1"/>
        <v>1909</v>
      </c>
      <c r="D14" s="514">
        <v>94</v>
      </c>
      <c r="E14" s="515">
        <v>252</v>
      </c>
      <c r="F14" s="515">
        <v>208</v>
      </c>
      <c r="G14" s="515">
        <v>230</v>
      </c>
      <c r="H14" s="515">
        <v>198</v>
      </c>
      <c r="I14" s="516">
        <v>927</v>
      </c>
    </row>
    <row r="15" spans="2:9" x14ac:dyDescent="0.2">
      <c r="B15" s="512" t="s">
        <v>69</v>
      </c>
      <c r="C15" s="513">
        <f t="shared" si="1"/>
        <v>0</v>
      </c>
      <c r="D15" s="514">
        <v>0</v>
      </c>
      <c r="E15" s="515">
        <v>0</v>
      </c>
      <c r="F15" s="515">
        <v>0</v>
      </c>
      <c r="G15" s="515">
        <v>0</v>
      </c>
      <c r="H15" s="515">
        <v>0</v>
      </c>
      <c r="I15" s="516">
        <v>0</v>
      </c>
    </row>
    <row r="16" spans="2:9" ht="17.25" customHeight="1" thickBot="1" x14ac:dyDescent="0.25">
      <c r="B16" s="932" t="s">
        <v>70</v>
      </c>
      <c r="C16" s="560"/>
      <c r="D16" s="560"/>
      <c r="E16" s="560"/>
      <c r="F16" s="560"/>
      <c r="G16" s="560"/>
      <c r="H16" s="560"/>
      <c r="I16" s="561"/>
    </row>
    <row r="17" spans="2:9" ht="12" thickTop="1" x14ac:dyDescent="0.2">
      <c r="B17" s="507" t="s">
        <v>71</v>
      </c>
      <c r="C17" s="508">
        <f>SUM(D17:I17)</f>
        <v>4492</v>
      </c>
      <c r="D17" s="509">
        <v>419</v>
      </c>
      <c r="E17" s="510">
        <v>822</v>
      </c>
      <c r="F17" s="510">
        <v>703</v>
      </c>
      <c r="G17" s="510">
        <v>725</v>
      </c>
      <c r="H17" s="510">
        <v>767</v>
      </c>
      <c r="I17" s="511">
        <v>1056</v>
      </c>
    </row>
    <row r="18" spans="2:9" x14ac:dyDescent="0.2">
      <c r="B18" s="512" t="s">
        <v>12</v>
      </c>
      <c r="C18" s="513">
        <f>SUM(D18:I18)</f>
        <v>7880</v>
      </c>
      <c r="D18" s="514">
        <v>663</v>
      </c>
      <c r="E18" s="515">
        <v>1215</v>
      </c>
      <c r="F18" s="515">
        <v>1124</v>
      </c>
      <c r="G18" s="515">
        <v>1011</v>
      </c>
      <c r="H18" s="515">
        <v>1237</v>
      </c>
      <c r="I18" s="516">
        <v>2630</v>
      </c>
    </row>
    <row r="19" spans="2:9" x14ac:dyDescent="0.2">
      <c r="B19" s="512" t="s">
        <v>78</v>
      </c>
      <c r="C19" s="513">
        <f>SUM(D19:I19)</f>
        <v>3278</v>
      </c>
      <c r="D19" s="514">
        <v>280</v>
      </c>
      <c r="E19" s="515">
        <v>529</v>
      </c>
      <c r="F19" s="515">
        <v>489</v>
      </c>
      <c r="G19" s="515">
        <v>452</v>
      </c>
      <c r="H19" s="515">
        <v>522</v>
      </c>
      <c r="I19" s="516">
        <v>1006</v>
      </c>
    </row>
    <row r="20" spans="2:9" x14ac:dyDescent="0.2">
      <c r="B20" s="512" t="s">
        <v>72</v>
      </c>
      <c r="C20" s="513">
        <f>SUM(D20:I20)</f>
        <v>6207</v>
      </c>
      <c r="D20" s="514">
        <v>400</v>
      </c>
      <c r="E20" s="515">
        <v>890</v>
      </c>
      <c r="F20" s="515">
        <v>755</v>
      </c>
      <c r="G20" s="515">
        <v>743</v>
      </c>
      <c r="H20" s="515">
        <v>858</v>
      </c>
      <c r="I20" s="516">
        <v>2561</v>
      </c>
    </row>
    <row r="21" spans="2:9" x14ac:dyDescent="0.2">
      <c r="B21" s="512" t="s">
        <v>73</v>
      </c>
      <c r="C21" s="513">
        <f>SUM(D21:I21)</f>
        <v>3594</v>
      </c>
      <c r="D21" s="514">
        <v>173</v>
      </c>
      <c r="E21" s="515">
        <v>463</v>
      </c>
      <c r="F21" s="515">
        <v>348</v>
      </c>
      <c r="G21" s="515">
        <v>428</v>
      </c>
      <c r="H21" s="515">
        <v>517</v>
      </c>
      <c r="I21" s="516">
        <v>1665</v>
      </c>
    </row>
    <row r="22" spans="2:9" ht="18" customHeight="1" thickBot="1" x14ac:dyDescent="0.25">
      <c r="B22" s="933" t="s">
        <v>74</v>
      </c>
      <c r="C22" s="562"/>
      <c r="D22" s="562"/>
      <c r="E22" s="562"/>
      <c r="F22" s="562"/>
      <c r="G22" s="562"/>
      <c r="H22" s="562"/>
      <c r="I22" s="563"/>
    </row>
    <row r="23" spans="2:9" ht="12" thickTop="1" x14ac:dyDescent="0.2">
      <c r="B23" s="517" t="s">
        <v>75</v>
      </c>
      <c r="C23" s="508">
        <f t="shared" ref="C23:C29" si="2">SUM(D23:I23)</f>
        <v>5731</v>
      </c>
      <c r="D23" s="509">
        <v>578</v>
      </c>
      <c r="E23" s="510">
        <v>1071</v>
      </c>
      <c r="F23" s="510">
        <v>772</v>
      </c>
      <c r="G23" s="510">
        <v>701</v>
      </c>
      <c r="H23" s="510">
        <v>834</v>
      </c>
      <c r="I23" s="511">
        <v>1775</v>
      </c>
    </row>
    <row r="24" spans="2:9" x14ac:dyDescent="0.2">
      <c r="B24" s="518" t="s">
        <v>79</v>
      </c>
      <c r="C24" s="513">
        <f t="shared" si="2"/>
        <v>7096</v>
      </c>
      <c r="D24" s="514">
        <v>540</v>
      </c>
      <c r="E24" s="515">
        <v>1129</v>
      </c>
      <c r="F24" s="515">
        <v>1002</v>
      </c>
      <c r="G24" s="515">
        <v>1067</v>
      </c>
      <c r="H24" s="515">
        <v>1167</v>
      </c>
      <c r="I24" s="516">
        <v>2191</v>
      </c>
    </row>
    <row r="25" spans="2:9" x14ac:dyDescent="0.2">
      <c r="B25" s="518" t="s">
        <v>80</v>
      </c>
      <c r="C25" s="513">
        <f t="shared" si="2"/>
        <v>3626</v>
      </c>
      <c r="D25" s="514">
        <v>242</v>
      </c>
      <c r="E25" s="515">
        <v>453</v>
      </c>
      <c r="F25" s="515">
        <v>474</v>
      </c>
      <c r="G25" s="515">
        <v>561</v>
      </c>
      <c r="H25" s="515">
        <v>614</v>
      </c>
      <c r="I25" s="516">
        <v>1282</v>
      </c>
    </row>
    <row r="26" spans="2:9" x14ac:dyDescent="0.2">
      <c r="B26" s="518" t="s">
        <v>81</v>
      </c>
      <c r="C26" s="513">
        <f t="shared" si="2"/>
        <v>2988</v>
      </c>
      <c r="D26" s="514">
        <v>213</v>
      </c>
      <c r="E26" s="515">
        <v>440</v>
      </c>
      <c r="F26" s="515">
        <v>383</v>
      </c>
      <c r="G26" s="515">
        <v>399</v>
      </c>
      <c r="H26" s="515">
        <v>459</v>
      </c>
      <c r="I26" s="516">
        <v>1094</v>
      </c>
    </row>
    <row r="27" spans="2:9" x14ac:dyDescent="0.2">
      <c r="B27" s="519" t="s">
        <v>82</v>
      </c>
      <c r="C27" s="513">
        <f t="shared" si="2"/>
        <v>1026</v>
      </c>
      <c r="D27" s="514">
        <v>87</v>
      </c>
      <c r="E27" s="515">
        <v>181</v>
      </c>
      <c r="F27" s="515">
        <v>149</v>
      </c>
      <c r="G27" s="515">
        <v>182</v>
      </c>
      <c r="H27" s="515">
        <v>148</v>
      </c>
      <c r="I27" s="516">
        <v>279</v>
      </c>
    </row>
    <row r="28" spans="2:9" x14ac:dyDescent="0.2">
      <c r="B28" s="518" t="s">
        <v>83</v>
      </c>
      <c r="C28" s="513">
        <f t="shared" si="2"/>
        <v>239</v>
      </c>
      <c r="D28" s="514">
        <v>29</v>
      </c>
      <c r="E28" s="515">
        <v>56</v>
      </c>
      <c r="F28" s="515">
        <v>53</v>
      </c>
      <c r="G28" s="515">
        <v>44</v>
      </c>
      <c r="H28" s="515">
        <v>27</v>
      </c>
      <c r="I28" s="516">
        <v>30</v>
      </c>
    </row>
    <row r="29" spans="2:9" ht="12" thickBot="1" x14ac:dyDescent="0.25">
      <c r="B29" s="520" t="s">
        <v>76</v>
      </c>
      <c r="C29" s="521">
        <f t="shared" si="2"/>
        <v>4745</v>
      </c>
      <c r="D29" s="522">
        <v>246</v>
      </c>
      <c r="E29" s="523">
        <v>589</v>
      </c>
      <c r="F29" s="523">
        <v>586</v>
      </c>
      <c r="G29" s="523">
        <v>405</v>
      </c>
      <c r="H29" s="523">
        <v>652</v>
      </c>
      <c r="I29" s="524">
        <v>2267</v>
      </c>
    </row>
    <row r="30" spans="2:9" x14ac:dyDescent="0.2">
      <c r="C30" s="1044">
        <f t="shared" ref="C30:I30" si="3">SUM(C10:C15)</f>
        <v>25451</v>
      </c>
      <c r="D30" s="1044">
        <f t="shared" si="3"/>
        <v>1935</v>
      </c>
      <c r="E30" s="1044">
        <f t="shared" si="3"/>
        <v>3919</v>
      </c>
      <c r="F30" s="1044">
        <f t="shared" si="3"/>
        <v>3419</v>
      </c>
      <c r="G30" s="1044">
        <f t="shared" si="3"/>
        <v>3359</v>
      </c>
      <c r="H30" s="1044">
        <f t="shared" si="3"/>
        <v>3901</v>
      </c>
      <c r="I30" s="1044">
        <f t="shared" si="3"/>
        <v>8918</v>
      </c>
    </row>
    <row r="31" spans="2:9" x14ac:dyDescent="0.2">
      <c r="C31" s="1044">
        <f t="shared" ref="C31:I31" si="4">SUM(C17:C21)</f>
        <v>25451</v>
      </c>
      <c r="D31" s="1044">
        <f t="shared" si="4"/>
        <v>1935</v>
      </c>
      <c r="E31" s="1044">
        <f t="shared" si="4"/>
        <v>3919</v>
      </c>
      <c r="F31" s="1044">
        <f t="shared" si="4"/>
        <v>3419</v>
      </c>
      <c r="G31" s="1044">
        <f t="shared" si="4"/>
        <v>3359</v>
      </c>
      <c r="H31" s="1044">
        <f t="shared" si="4"/>
        <v>3901</v>
      </c>
      <c r="I31" s="1044">
        <f t="shared" si="4"/>
        <v>8918</v>
      </c>
    </row>
    <row r="32" spans="2:9" x14ac:dyDescent="0.2">
      <c r="C32" s="1044">
        <f t="shared" ref="C32:I32" si="5">SUM(C23:C29)</f>
        <v>25451</v>
      </c>
      <c r="D32" s="1044">
        <f t="shared" si="5"/>
        <v>1935</v>
      </c>
      <c r="E32" s="1044">
        <f t="shared" si="5"/>
        <v>3919</v>
      </c>
      <c r="F32" s="1044">
        <f t="shared" si="5"/>
        <v>3419</v>
      </c>
      <c r="G32" s="1044">
        <f t="shared" si="5"/>
        <v>3359</v>
      </c>
      <c r="H32" s="1044">
        <f t="shared" si="5"/>
        <v>3901</v>
      </c>
      <c r="I32" s="1044">
        <f t="shared" si="5"/>
        <v>8918</v>
      </c>
    </row>
  </sheetData>
  <mergeCells count="2">
    <mergeCell ref="D5:I6"/>
    <mergeCell ref="C5:C7"/>
  </mergeCells>
  <printOptions horizontalCentered="1"/>
  <pageMargins left="0" right="0" top="1.3779527559055118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F2"/>
  </sheetPr>
  <dimension ref="B1:W54"/>
  <sheetViews>
    <sheetView zoomScale="80" zoomScaleNormal="80" workbookViewId="0">
      <selection activeCell="B1" sqref="B1"/>
    </sheetView>
  </sheetViews>
  <sheetFormatPr defaultRowHeight="15" x14ac:dyDescent="0.25"/>
  <cols>
    <col min="1" max="1" width="2.7109375" style="2" customWidth="1"/>
    <col min="2" max="2" width="11.7109375" style="2" customWidth="1"/>
    <col min="3" max="3" width="8.85546875" style="2" customWidth="1"/>
    <col min="4" max="4" width="9.28515625" style="2" customWidth="1"/>
    <col min="5" max="5" width="9.140625" style="2" customWidth="1"/>
    <col min="6" max="6" width="10" style="95" customWidth="1"/>
    <col min="7" max="7" width="9" style="2" customWidth="1"/>
    <col min="8" max="8" width="8" style="2" customWidth="1"/>
    <col min="9" max="10" width="8.42578125" style="2" customWidth="1"/>
    <col min="11" max="11" width="9.28515625" style="2" customWidth="1"/>
    <col min="12" max="13" width="8.28515625" style="2" customWidth="1"/>
    <col min="14" max="14" width="7.85546875" style="2" customWidth="1"/>
    <col min="15" max="15" width="8.140625" style="2" customWidth="1"/>
    <col min="16" max="16" width="10.28515625" style="2" customWidth="1"/>
    <col min="17" max="18" width="9" style="2" customWidth="1"/>
    <col min="19" max="19" width="9.140625" style="2"/>
    <col min="20" max="20" width="10" style="2" customWidth="1"/>
    <col min="21" max="21" width="12" style="2" customWidth="1"/>
    <col min="22" max="16384" width="9.140625" style="2"/>
  </cols>
  <sheetData>
    <row r="1" spans="2:23" ht="12.75" customHeight="1" x14ac:dyDescent="0.25"/>
    <row r="2" spans="2:23" ht="13.5" customHeight="1" x14ac:dyDescent="0.25">
      <c r="B2" s="157" t="s">
        <v>460</v>
      </c>
      <c r="C2" s="95"/>
      <c r="D2" s="95"/>
      <c r="E2" s="95"/>
      <c r="G2" s="95"/>
      <c r="H2" s="95"/>
      <c r="I2" s="95"/>
      <c r="J2" s="95"/>
      <c r="K2" s="95"/>
      <c r="L2" s="95"/>
      <c r="N2" s="686"/>
    </row>
    <row r="3" spans="2:23" ht="15.75" thickBot="1" x14ac:dyDescent="0.3">
      <c r="B3" s="157" t="s">
        <v>463</v>
      </c>
      <c r="C3" s="95"/>
      <c r="D3" s="95"/>
      <c r="E3" s="95"/>
      <c r="G3" s="592"/>
      <c r="H3" s="95"/>
      <c r="I3" s="95"/>
      <c r="J3" s="95"/>
      <c r="K3" s="95"/>
      <c r="L3" s="95"/>
    </row>
    <row r="4" spans="2:23" ht="20.25" customHeight="1" x14ac:dyDescent="0.25">
      <c r="B4" s="614" t="s">
        <v>3</v>
      </c>
      <c r="C4" s="615"/>
      <c r="D4" s="615"/>
      <c r="E4" s="615"/>
      <c r="F4" s="802"/>
      <c r="G4" s="1147" t="s">
        <v>447</v>
      </c>
      <c r="H4" s="1147"/>
      <c r="I4" s="1147"/>
      <c r="J4" s="1147"/>
      <c r="K4" s="1147"/>
      <c r="L4" s="1148"/>
      <c r="P4" s="822"/>
      <c r="Q4" s="893" t="s">
        <v>4</v>
      </c>
      <c r="R4" s="894" t="s">
        <v>454</v>
      </c>
      <c r="S4" s="895" t="s">
        <v>350</v>
      </c>
    </row>
    <row r="5" spans="2:23" ht="34.5" customHeight="1" thickBot="1" x14ac:dyDescent="0.3">
      <c r="B5" s="787"/>
      <c r="C5" s="819"/>
      <c r="D5" s="819"/>
      <c r="E5" s="819"/>
      <c r="F5" s="803" t="s">
        <v>62</v>
      </c>
      <c r="G5" s="788" t="s">
        <v>88</v>
      </c>
      <c r="H5" s="789" t="s">
        <v>77</v>
      </c>
      <c r="I5" s="789" t="s">
        <v>84</v>
      </c>
      <c r="J5" s="790" t="s">
        <v>85</v>
      </c>
      <c r="K5" s="791" t="s">
        <v>86</v>
      </c>
      <c r="L5" s="792" t="s">
        <v>87</v>
      </c>
      <c r="P5" s="883" t="s">
        <v>351</v>
      </c>
      <c r="Q5" s="884">
        <f>SUM(C44:C45)</f>
        <v>22075</v>
      </c>
      <c r="R5" s="890">
        <f>SUM(G44:G45)</f>
        <v>14520</v>
      </c>
      <c r="S5" s="890">
        <f>SUM(K44:K45)</f>
        <v>7555</v>
      </c>
    </row>
    <row r="6" spans="2:23" ht="16.5" customHeight="1" thickTop="1" x14ac:dyDescent="0.25">
      <c r="B6" s="793" t="s">
        <v>478</v>
      </c>
      <c r="C6" s="810"/>
      <c r="D6" s="1149" t="s">
        <v>4</v>
      </c>
      <c r="E6" s="794" t="s">
        <v>137</v>
      </c>
      <c r="F6" s="856">
        <f t="shared" ref="F6:F31" si="0">SUM(G6:L6)</f>
        <v>47408</v>
      </c>
      <c r="G6" s="857">
        <f>SUM(T.XVI!D8)</f>
        <v>4973</v>
      </c>
      <c r="H6" s="858">
        <f>SUM(T.XVI!E8)</f>
        <v>8520</v>
      </c>
      <c r="I6" s="858">
        <f>SUM(T.XVI!F8)</f>
        <v>6649</v>
      </c>
      <c r="J6" s="859">
        <f>SUM(T.XVI!G8)</f>
        <v>6575</v>
      </c>
      <c r="K6" s="857">
        <f>SUM(T.XVI!H8)</f>
        <v>6833</v>
      </c>
      <c r="L6" s="860">
        <f>SUM(T.XVI!I8)</f>
        <v>13858</v>
      </c>
      <c r="P6" s="888" t="s">
        <v>352</v>
      </c>
      <c r="Q6" s="886">
        <f>SUM(C46:C47)</f>
        <v>18692</v>
      </c>
      <c r="R6" s="886">
        <f>SUM(G46:G47)</f>
        <v>9404</v>
      </c>
      <c r="S6" s="886">
        <f>SUM(K46:K47)</f>
        <v>9288</v>
      </c>
    </row>
    <row r="7" spans="2:23" ht="15" customHeight="1" x14ac:dyDescent="0.25">
      <c r="B7" s="593" t="s">
        <v>479</v>
      </c>
      <c r="C7" s="811"/>
      <c r="D7" s="1150"/>
      <c r="E7" s="783" t="s">
        <v>138</v>
      </c>
      <c r="F7" s="805">
        <f>SUM(G7:L7)</f>
        <v>100.00000000000001</v>
      </c>
      <c r="G7" s="406">
        <f>G6*100/F6</f>
        <v>10.489790752615592</v>
      </c>
      <c r="H7" s="16">
        <f>H6*100/F6</f>
        <v>17.971650354370571</v>
      </c>
      <c r="I7" s="16">
        <f>I6*100/F6</f>
        <v>14.025059061761729</v>
      </c>
      <c r="J7" s="784">
        <f>J6*100/F6</f>
        <v>13.868967262909214</v>
      </c>
      <c r="K7" s="406">
        <f>K6*100/F6</f>
        <v>14.413179210259871</v>
      </c>
      <c r="L7" s="17">
        <f>L6*100/F6</f>
        <v>29.231353358083023</v>
      </c>
      <c r="P7" s="889" t="s">
        <v>353</v>
      </c>
      <c r="Q7" s="885">
        <f>SUM(C48:C49)</f>
        <v>6641</v>
      </c>
      <c r="R7" s="885">
        <f>SUM(G48:G49)</f>
        <v>2793</v>
      </c>
      <c r="S7" s="885">
        <f>SUM(K48:K49)</f>
        <v>3848</v>
      </c>
    </row>
    <row r="8" spans="2:23" x14ac:dyDescent="0.25">
      <c r="B8" s="593" t="s">
        <v>446</v>
      </c>
      <c r="C8" s="811"/>
      <c r="D8" s="1151" t="s">
        <v>119</v>
      </c>
      <c r="E8" s="813" t="s">
        <v>137</v>
      </c>
      <c r="F8" s="861">
        <f>SUM(G8:L8)</f>
        <v>25451</v>
      </c>
      <c r="G8" s="862">
        <f>SUM(T.XVII!D8)</f>
        <v>1935</v>
      </c>
      <c r="H8" s="863">
        <f>SUM(T.XVII!E8)</f>
        <v>3919</v>
      </c>
      <c r="I8" s="863">
        <f>SUM(T.XVII!F8)</f>
        <v>3419</v>
      </c>
      <c r="J8" s="864">
        <f>SUM(T.XVII!G8)</f>
        <v>3359</v>
      </c>
      <c r="K8" s="1039">
        <f>SUM(T.XVII!H8)</f>
        <v>3901</v>
      </c>
      <c r="L8" s="866">
        <f>SUM(T.XVII!I8)</f>
        <v>8918</v>
      </c>
      <c r="Q8" s="887">
        <f>SUM(Q5:Q7)</f>
        <v>47408</v>
      </c>
      <c r="R8" s="887">
        <f>SUM(R5:R7)</f>
        <v>26717</v>
      </c>
      <c r="S8" s="887">
        <f>SUM(S5:S7)</f>
        <v>20691</v>
      </c>
    </row>
    <row r="9" spans="2:23" ht="15.75" customHeight="1" thickBot="1" x14ac:dyDescent="0.3">
      <c r="B9" s="796"/>
      <c r="C9" s="812"/>
      <c r="D9" s="1152"/>
      <c r="E9" s="797" t="s">
        <v>138</v>
      </c>
      <c r="F9" s="806">
        <f>SUM(G9:L9)</f>
        <v>100</v>
      </c>
      <c r="G9" s="799">
        <f>G8*100/F8</f>
        <v>7.6028446819378415</v>
      </c>
      <c r="H9" s="800">
        <f>H8*100/F8</f>
        <v>15.398216180110801</v>
      </c>
      <c r="I9" s="800">
        <f>I8*100/F8</f>
        <v>13.433656830772858</v>
      </c>
      <c r="J9" s="798">
        <f>J8*100/F8</f>
        <v>13.197909708852304</v>
      </c>
      <c r="K9" s="799">
        <f>K8*100/F8</f>
        <v>15.327492043534635</v>
      </c>
      <c r="L9" s="801">
        <f>L8*100/F8</f>
        <v>35.039880554791559</v>
      </c>
      <c r="N9" s="897"/>
      <c r="O9" s="600"/>
      <c r="P9" s="600"/>
      <c r="Q9" s="600"/>
      <c r="V9" s="599"/>
    </row>
    <row r="10" spans="2:23" ht="15" customHeight="1" thickTop="1" x14ac:dyDescent="0.25">
      <c r="B10" s="1153" t="s">
        <v>435</v>
      </c>
      <c r="C10" s="1155" t="s">
        <v>64</v>
      </c>
      <c r="D10" s="1157" t="s">
        <v>4</v>
      </c>
      <c r="E10" s="917" t="s">
        <v>137</v>
      </c>
      <c r="F10" s="807">
        <f t="shared" si="0"/>
        <v>7623</v>
      </c>
      <c r="G10" s="605">
        <f>SUM(T.XVI!D10)</f>
        <v>1324</v>
      </c>
      <c r="H10" s="606">
        <f>SUM(T.XVI!E10)</f>
        <v>2326</v>
      </c>
      <c r="I10" s="606">
        <f>SUM(T.XVI!F10)</f>
        <v>1608</v>
      </c>
      <c r="J10" s="781">
        <f>SUM(T.XVI!G10)</f>
        <v>884</v>
      </c>
      <c r="K10" s="605">
        <f>SUM(T.XVI!H10)</f>
        <v>878</v>
      </c>
      <c r="L10" s="607">
        <f>SUM(T.XVI!I10)</f>
        <v>603</v>
      </c>
      <c r="M10" s="583"/>
      <c r="N10" s="897"/>
      <c r="O10" s="600"/>
      <c r="P10" s="600"/>
      <c r="Q10" s="600"/>
      <c r="R10" s="600"/>
      <c r="S10" s="896"/>
      <c r="T10" s="600"/>
      <c r="U10" s="600"/>
      <c r="V10" s="599"/>
    </row>
    <row r="11" spans="2:23" x14ac:dyDescent="0.25">
      <c r="B11" s="1153"/>
      <c r="C11" s="1156"/>
      <c r="D11" s="1150"/>
      <c r="E11" s="783" t="s">
        <v>138</v>
      </c>
      <c r="F11" s="805">
        <f>SUM(G11:L11)</f>
        <v>100</v>
      </c>
      <c r="G11" s="406">
        <f>G10*100/F10</f>
        <v>17.368490095762823</v>
      </c>
      <c r="H11" s="16">
        <f>H10*100/F10</f>
        <v>30.512921422012329</v>
      </c>
      <c r="I11" s="16">
        <f>I10*100/F10</f>
        <v>21.094057457693822</v>
      </c>
      <c r="J11" s="784">
        <f>J10*100/F10</f>
        <v>11.596484323757052</v>
      </c>
      <c r="K11" s="406">
        <f>K10*100/F10</f>
        <v>11.517775154138791</v>
      </c>
      <c r="L11" s="17">
        <f>L10*100/F10</f>
        <v>7.9102715466351832</v>
      </c>
      <c r="M11" s="583"/>
      <c r="N11" s="600"/>
      <c r="O11" s="600"/>
      <c r="P11" s="898"/>
      <c r="Q11" s="600"/>
      <c r="R11" s="897"/>
      <c r="S11" s="600"/>
      <c r="T11" s="600"/>
      <c r="U11" s="600"/>
      <c r="V11" s="599"/>
    </row>
    <row r="12" spans="2:23" x14ac:dyDescent="0.25">
      <c r="B12" s="1153"/>
      <c r="C12" s="1156"/>
      <c r="D12" s="1151" t="s">
        <v>119</v>
      </c>
      <c r="E12" s="813" t="s">
        <v>137</v>
      </c>
      <c r="F12" s="814">
        <f t="shared" si="0"/>
        <v>3958</v>
      </c>
      <c r="G12" s="815">
        <f>SUM(T.XVII!D10)</f>
        <v>543</v>
      </c>
      <c r="H12" s="816">
        <f>SUM(T.XVII!E10)</f>
        <v>1099</v>
      </c>
      <c r="I12" s="816">
        <f>SUM(T.XVII!F10)</f>
        <v>798</v>
      </c>
      <c r="J12" s="817">
        <f>SUM(T.XVII!G10)</f>
        <v>478</v>
      </c>
      <c r="K12" s="815">
        <f>SUM(T.XVII!H10)</f>
        <v>562</v>
      </c>
      <c r="L12" s="818">
        <f>SUM(T.XVII!I10)</f>
        <v>478</v>
      </c>
      <c r="M12" s="583"/>
      <c r="V12" s="599"/>
    </row>
    <row r="13" spans="2:23" x14ac:dyDescent="0.25">
      <c r="B13" s="1153"/>
      <c r="C13" s="1156"/>
      <c r="D13" s="1151"/>
      <c r="E13" s="783" t="s">
        <v>138</v>
      </c>
      <c r="F13" s="805">
        <f t="shared" si="0"/>
        <v>100</v>
      </c>
      <c r="G13" s="406">
        <f>G12*100/F12</f>
        <v>13.719050025265286</v>
      </c>
      <c r="H13" s="16">
        <f>H12*100/F12</f>
        <v>27.766548762001012</v>
      </c>
      <c r="I13" s="16">
        <f>I12*100/F12</f>
        <v>20.161697827185446</v>
      </c>
      <c r="J13" s="784">
        <f>J12*100/F12</f>
        <v>12.076806467913087</v>
      </c>
      <c r="K13" s="406">
        <f>K12*100/F12</f>
        <v>14.199090449722082</v>
      </c>
      <c r="L13" s="17">
        <f>L12*100/F12</f>
        <v>12.076806467913087</v>
      </c>
      <c r="M13" s="583"/>
      <c r="N13" s="934"/>
      <c r="O13" s="599"/>
      <c r="P13" s="599"/>
      <c r="Q13" s="599"/>
      <c r="R13" s="599"/>
      <c r="S13" s="599"/>
      <c r="T13" s="599"/>
      <c r="U13" s="599"/>
      <c r="V13" s="599"/>
    </row>
    <row r="14" spans="2:23" x14ac:dyDescent="0.25">
      <c r="B14" s="1153"/>
      <c r="C14" s="1158" t="s">
        <v>65</v>
      </c>
      <c r="D14" s="1150" t="s">
        <v>4</v>
      </c>
      <c r="E14" s="909" t="s">
        <v>137</v>
      </c>
      <c r="F14" s="808">
        <f t="shared" si="0"/>
        <v>14452</v>
      </c>
      <c r="G14" s="609">
        <f>SUM(T.XVI!D11)</f>
        <v>1551</v>
      </c>
      <c r="H14" s="547">
        <f>SUM(T.XVI!E11)</f>
        <v>2541</v>
      </c>
      <c r="I14" s="547">
        <f>SUM(T.XVI!F11)</f>
        <v>2144</v>
      </c>
      <c r="J14" s="780">
        <f>SUM(T.XVI!G11)</f>
        <v>2142</v>
      </c>
      <c r="K14" s="609">
        <f>SUM(T.XVI!H11)</f>
        <v>2320</v>
      </c>
      <c r="L14" s="610">
        <f>SUM(T.XVI!I11)</f>
        <v>3754</v>
      </c>
      <c r="M14" s="583"/>
    </row>
    <row r="15" spans="2:23" x14ac:dyDescent="0.25">
      <c r="B15" s="1153"/>
      <c r="C15" s="1158"/>
      <c r="D15" s="1150"/>
      <c r="E15" s="783" t="s">
        <v>138</v>
      </c>
      <c r="F15" s="805">
        <f t="shared" si="0"/>
        <v>100</v>
      </c>
      <c r="G15" s="406">
        <f>G14*100/F14</f>
        <v>10.732078605037366</v>
      </c>
      <c r="H15" s="16">
        <f>H14*100/F14</f>
        <v>17.582341544422917</v>
      </c>
      <c r="I15" s="16">
        <f>I14*100/F14</f>
        <v>14.835316911154166</v>
      </c>
      <c r="J15" s="784">
        <f>J14*100/F14</f>
        <v>14.821477996125104</v>
      </c>
      <c r="K15" s="406">
        <f>K14*100/F14</f>
        <v>16.053141433711598</v>
      </c>
      <c r="L15" s="17">
        <f>L14*100/F14</f>
        <v>25.975643509548853</v>
      </c>
      <c r="M15" s="583"/>
      <c r="O15" s="586"/>
      <c r="P15" s="585"/>
      <c r="Q15" s="585"/>
      <c r="R15" s="585"/>
      <c r="S15" s="585"/>
      <c r="T15" s="585"/>
      <c r="U15" s="585"/>
      <c r="V15" s="585"/>
      <c r="W15" s="586"/>
    </row>
    <row r="16" spans="2:23" x14ac:dyDescent="0.25">
      <c r="B16" s="1153"/>
      <c r="C16" s="1158"/>
      <c r="D16" s="1151" t="s">
        <v>119</v>
      </c>
      <c r="E16" s="813" t="s">
        <v>137</v>
      </c>
      <c r="F16" s="814">
        <f t="shared" si="0"/>
        <v>9343</v>
      </c>
      <c r="G16" s="815">
        <f>SUM(T.XVII!D11)</f>
        <v>635</v>
      </c>
      <c r="H16" s="816">
        <f>SUM(T.XVII!E11)</f>
        <v>1224</v>
      </c>
      <c r="I16" s="816">
        <f>SUM(T.XVII!F11)</f>
        <v>1267</v>
      </c>
      <c r="J16" s="817">
        <f>SUM(T.XVII!G11)</f>
        <v>1346</v>
      </c>
      <c r="K16" s="815">
        <f>SUM(T.XVII!H11)</f>
        <v>1685</v>
      </c>
      <c r="L16" s="818">
        <f>SUM(T.XVII!I11)</f>
        <v>3186</v>
      </c>
      <c r="M16" s="583"/>
      <c r="O16" s="586"/>
      <c r="P16" s="584"/>
      <c r="Q16" s="584"/>
      <c r="R16" s="584"/>
      <c r="S16" s="584"/>
      <c r="T16" s="584"/>
      <c r="U16" s="584"/>
      <c r="V16" s="584"/>
      <c r="W16" s="586"/>
    </row>
    <row r="17" spans="2:23" x14ac:dyDescent="0.25">
      <c r="B17" s="1153"/>
      <c r="C17" s="1158"/>
      <c r="D17" s="1151"/>
      <c r="E17" s="783" t="s">
        <v>138</v>
      </c>
      <c r="F17" s="805">
        <f t="shared" si="0"/>
        <v>100</v>
      </c>
      <c r="G17" s="406">
        <f>G16*100/F16</f>
        <v>6.7965321631167717</v>
      </c>
      <c r="H17" s="16">
        <f>H16*100/F16</f>
        <v>13.100717114417211</v>
      </c>
      <c r="I17" s="16">
        <f>I16*100/F16</f>
        <v>13.560954725462913</v>
      </c>
      <c r="J17" s="784">
        <f>J16*100/F16</f>
        <v>14.406507545756181</v>
      </c>
      <c r="K17" s="406">
        <f>K16*100/F16</f>
        <v>18.034892432837417</v>
      </c>
      <c r="L17" s="17">
        <f>L16*100/F16</f>
        <v>34.100396018409505</v>
      </c>
      <c r="M17" s="583"/>
      <c r="O17" s="586"/>
      <c r="P17" s="584"/>
      <c r="Q17" s="584"/>
      <c r="R17" s="584"/>
      <c r="S17" s="584"/>
      <c r="T17" s="584"/>
      <c r="U17" s="584"/>
      <c r="V17" s="584"/>
      <c r="W17" s="586"/>
    </row>
    <row r="18" spans="2:23" x14ac:dyDescent="0.25">
      <c r="B18" s="1153"/>
      <c r="C18" s="1158" t="s">
        <v>66</v>
      </c>
      <c r="D18" s="1150" t="s">
        <v>4</v>
      </c>
      <c r="E18" s="909" t="s">
        <v>137</v>
      </c>
      <c r="F18" s="808">
        <f t="shared" si="0"/>
        <v>10443</v>
      </c>
      <c r="G18" s="609">
        <f>SUM(T.XVI!D12)</f>
        <v>945</v>
      </c>
      <c r="H18" s="547">
        <f>SUM(T.XVI!E12)</f>
        <v>1557</v>
      </c>
      <c r="I18" s="547">
        <f>SUM(T.XVI!F12)</f>
        <v>1297</v>
      </c>
      <c r="J18" s="780">
        <f>SUM(T.XVI!G12)</f>
        <v>1513</v>
      </c>
      <c r="K18" s="609">
        <f>SUM(T.XVI!H12)</f>
        <v>1666</v>
      </c>
      <c r="L18" s="610">
        <f>SUM(T.XVI!I12)</f>
        <v>3465</v>
      </c>
      <c r="M18" s="583"/>
      <c r="O18" s="586"/>
      <c r="P18" s="586"/>
      <c r="Q18" s="586"/>
      <c r="R18" s="586"/>
      <c r="S18" s="586"/>
      <c r="T18" s="586"/>
      <c r="U18" s="586"/>
      <c r="V18" s="586"/>
      <c r="W18" s="586"/>
    </row>
    <row r="19" spans="2:23" x14ac:dyDescent="0.25">
      <c r="B19" s="1153"/>
      <c r="C19" s="1158"/>
      <c r="D19" s="1150"/>
      <c r="E19" s="783" t="s">
        <v>138</v>
      </c>
      <c r="F19" s="805">
        <f t="shared" si="0"/>
        <v>100</v>
      </c>
      <c r="G19" s="406">
        <f>G18*100/F18</f>
        <v>9.0491238149956903</v>
      </c>
      <c r="H19" s="16">
        <f>H18*100/F18</f>
        <v>14.909508761850043</v>
      </c>
      <c r="I19" s="16">
        <f>I18*100/F18</f>
        <v>12.419802738676626</v>
      </c>
      <c r="J19" s="784">
        <f>J18*100/F18</f>
        <v>14.488173896389926</v>
      </c>
      <c r="K19" s="406">
        <f>K18*100/F18</f>
        <v>15.953270133103514</v>
      </c>
      <c r="L19" s="17">
        <f>L18*100/F18</f>
        <v>33.180120654984201</v>
      </c>
      <c r="M19" s="583"/>
      <c r="O19" s="586"/>
      <c r="P19" s="586"/>
      <c r="Q19" s="586"/>
      <c r="R19" s="586"/>
      <c r="S19" s="586"/>
      <c r="T19" s="586"/>
      <c r="U19" s="586"/>
      <c r="V19" s="586"/>
      <c r="W19" s="586"/>
    </row>
    <row r="20" spans="2:23" x14ac:dyDescent="0.25">
      <c r="B20" s="1153"/>
      <c r="C20" s="1158"/>
      <c r="D20" s="1151" t="s">
        <v>119</v>
      </c>
      <c r="E20" s="813" t="s">
        <v>137</v>
      </c>
      <c r="F20" s="814">
        <f t="shared" si="0"/>
        <v>6157</v>
      </c>
      <c r="G20" s="815">
        <f>SUM(T.XVII!D12)</f>
        <v>357</v>
      </c>
      <c r="H20" s="816">
        <f>SUM(T.XVII!E12)</f>
        <v>746</v>
      </c>
      <c r="I20" s="816">
        <f>SUM(T.XVII!F12)</f>
        <v>686</v>
      </c>
      <c r="J20" s="817">
        <f>SUM(T.XVII!G12)</f>
        <v>825</v>
      </c>
      <c r="K20" s="815">
        <f>SUM(T.XVII!H12)</f>
        <v>974</v>
      </c>
      <c r="L20" s="818">
        <f>SUM(T.XVII!I12)</f>
        <v>2569</v>
      </c>
      <c r="M20" s="583"/>
      <c r="O20" s="586"/>
      <c r="P20" s="585"/>
      <c r="Q20" s="585"/>
      <c r="R20" s="585"/>
      <c r="S20" s="585"/>
      <c r="T20" s="586"/>
      <c r="U20" s="585"/>
      <c r="V20" s="585"/>
      <c r="W20" s="585"/>
    </row>
    <row r="21" spans="2:23" x14ac:dyDescent="0.25">
      <c r="B21" s="1153"/>
      <c r="C21" s="1158"/>
      <c r="D21" s="1151"/>
      <c r="E21" s="783" t="s">
        <v>138</v>
      </c>
      <c r="F21" s="805">
        <f t="shared" si="0"/>
        <v>100</v>
      </c>
      <c r="G21" s="406">
        <f>G20*100/F20</f>
        <v>5.7982783823290562</v>
      </c>
      <c r="H21" s="16">
        <f>H20*100/F20</f>
        <v>12.116290401169401</v>
      </c>
      <c r="I21" s="16">
        <f>I20*100/F20</f>
        <v>11.141789832710735</v>
      </c>
      <c r="J21" s="784">
        <f>J20*100/F20</f>
        <v>13.399382816306643</v>
      </c>
      <c r="K21" s="406">
        <f>K20*100/F20</f>
        <v>15.819392561312327</v>
      </c>
      <c r="L21" s="17">
        <f>L20*100/F20</f>
        <v>41.724866006171837</v>
      </c>
      <c r="M21" s="583"/>
      <c r="O21" s="586"/>
      <c r="P21" s="584"/>
      <c r="Q21" s="584"/>
      <c r="R21" s="584"/>
      <c r="S21" s="584"/>
      <c r="T21" s="587"/>
      <c r="U21" s="584"/>
      <c r="V21" s="584"/>
      <c r="W21" s="584"/>
    </row>
    <row r="22" spans="2:23" x14ac:dyDescent="0.25">
      <c r="B22" s="1153"/>
      <c r="C22" s="1158" t="s">
        <v>67</v>
      </c>
      <c r="D22" s="1150" t="s">
        <v>4</v>
      </c>
      <c r="E22" s="909" t="s">
        <v>137</v>
      </c>
      <c r="F22" s="808">
        <f t="shared" si="0"/>
        <v>8249</v>
      </c>
      <c r="G22" s="609">
        <f>SUM(T.XVI!D13)</f>
        <v>760</v>
      </c>
      <c r="H22" s="547">
        <f>SUM(T.XVI!E13)</f>
        <v>1254</v>
      </c>
      <c r="I22" s="547">
        <f>SUM(T.XVI!F13)</f>
        <v>951</v>
      </c>
      <c r="J22" s="780">
        <f>SUM(T.XVI!G13)</f>
        <v>1127</v>
      </c>
      <c r="K22" s="609">
        <f>SUM(T.XVI!H13)</f>
        <v>1089</v>
      </c>
      <c r="L22" s="610">
        <f>SUM(T.XVI!I13)</f>
        <v>3068</v>
      </c>
      <c r="M22" s="583"/>
      <c r="O22" s="586"/>
      <c r="P22" s="584"/>
      <c r="Q22" s="584"/>
      <c r="R22" s="584"/>
      <c r="S22" s="584"/>
      <c r="T22" s="587"/>
      <c r="U22" s="584"/>
      <c r="V22" s="584"/>
      <c r="W22" s="584"/>
    </row>
    <row r="23" spans="2:23" x14ac:dyDescent="0.25">
      <c r="B23" s="1153"/>
      <c r="C23" s="1158"/>
      <c r="D23" s="1150"/>
      <c r="E23" s="783" t="s">
        <v>138</v>
      </c>
      <c r="F23" s="805">
        <f t="shared" si="0"/>
        <v>100</v>
      </c>
      <c r="G23" s="406">
        <f>G22*100/F22</f>
        <v>9.213237968238575</v>
      </c>
      <c r="H23" s="16">
        <f>H22*100/F22</f>
        <v>15.201842647593647</v>
      </c>
      <c r="I23" s="16">
        <f>I22*100/F22</f>
        <v>11.528670141835374</v>
      </c>
      <c r="J23" s="784">
        <f>J22*100/F22</f>
        <v>13.662262092374833</v>
      </c>
      <c r="K23" s="406">
        <f>K22*100/F22</f>
        <v>13.201600193962905</v>
      </c>
      <c r="L23" s="17">
        <f>L22*100/F22</f>
        <v>37.192386955994664</v>
      </c>
      <c r="M23" s="583"/>
    </row>
    <row r="24" spans="2:23" x14ac:dyDescent="0.25">
      <c r="B24" s="1153"/>
      <c r="C24" s="1158"/>
      <c r="D24" s="1151" t="s">
        <v>119</v>
      </c>
      <c r="E24" s="813" t="s">
        <v>137</v>
      </c>
      <c r="F24" s="814">
        <f t="shared" si="0"/>
        <v>4084</v>
      </c>
      <c r="G24" s="815">
        <f>SUM(T.XVII!D13)</f>
        <v>306</v>
      </c>
      <c r="H24" s="816">
        <f>SUM(T.XVII!E13)</f>
        <v>598</v>
      </c>
      <c r="I24" s="816">
        <f>SUM(T.XVII!F13)</f>
        <v>460</v>
      </c>
      <c r="J24" s="817">
        <f>SUM(T.XVII!G13)</f>
        <v>480</v>
      </c>
      <c r="K24" s="815">
        <f>SUM(T.XVII!H13)</f>
        <v>482</v>
      </c>
      <c r="L24" s="818">
        <f>SUM(T.XVII!I13)</f>
        <v>1758</v>
      </c>
      <c r="M24" s="583"/>
    </row>
    <row r="25" spans="2:23" x14ac:dyDescent="0.25">
      <c r="B25" s="1153"/>
      <c r="C25" s="1158"/>
      <c r="D25" s="1151"/>
      <c r="E25" s="783" t="s">
        <v>138</v>
      </c>
      <c r="F25" s="805">
        <f t="shared" si="0"/>
        <v>100</v>
      </c>
      <c r="G25" s="406">
        <f>G24*100/F24</f>
        <v>7.4926542605288935</v>
      </c>
      <c r="H25" s="16">
        <f>H24*100/F24</f>
        <v>14.642507345739471</v>
      </c>
      <c r="I25" s="16">
        <f>I24*100/F24</f>
        <v>11.263467189030363</v>
      </c>
      <c r="J25" s="784">
        <f>J24*100/F24</f>
        <v>11.753183153770813</v>
      </c>
      <c r="K25" s="406">
        <f>K24*100/F24</f>
        <v>11.802154750244858</v>
      </c>
      <c r="L25" s="17">
        <f>L24*100/F24</f>
        <v>43.0460333006856</v>
      </c>
      <c r="M25" s="583"/>
    </row>
    <row r="26" spans="2:23" x14ac:dyDescent="0.25">
      <c r="B26" s="1153"/>
      <c r="C26" s="1163" t="s">
        <v>68</v>
      </c>
      <c r="D26" s="1157" t="s">
        <v>4</v>
      </c>
      <c r="E26" s="917" t="s">
        <v>137</v>
      </c>
      <c r="F26" s="807">
        <f t="shared" si="0"/>
        <v>4423</v>
      </c>
      <c r="G26" s="605">
        <f>SUM(T.XVI!D14)</f>
        <v>276</v>
      </c>
      <c r="H26" s="606">
        <f>SUM(T.XVI!E14)</f>
        <v>580</v>
      </c>
      <c r="I26" s="606">
        <f>SUM(T.XVI!F14)</f>
        <v>470</v>
      </c>
      <c r="J26" s="781">
        <f>SUM(T.XVI!G14)</f>
        <v>626</v>
      </c>
      <c r="K26" s="605">
        <f>SUM(T.XVI!H14)</f>
        <v>571</v>
      </c>
      <c r="L26" s="607">
        <f>SUM(T.XVI!I14)</f>
        <v>1900</v>
      </c>
      <c r="M26" s="583"/>
    </row>
    <row r="27" spans="2:23" x14ac:dyDescent="0.25">
      <c r="B27" s="1153"/>
      <c r="C27" s="1158"/>
      <c r="D27" s="1150"/>
      <c r="E27" s="783" t="s">
        <v>138</v>
      </c>
      <c r="F27" s="805">
        <f t="shared" si="0"/>
        <v>100</v>
      </c>
      <c r="G27" s="406">
        <f>G26*100/F26</f>
        <v>6.2401085236264979</v>
      </c>
      <c r="H27" s="16">
        <f>H26*100/F26</f>
        <v>13.113271535157134</v>
      </c>
      <c r="I27" s="16">
        <f>I26*100/F26</f>
        <v>10.626271761248022</v>
      </c>
      <c r="J27" s="784">
        <f>J26*100/F26</f>
        <v>14.153289622428217</v>
      </c>
      <c r="K27" s="406">
        <f>K26*100/F26</f>
        <v>12.909789735473661</v>
      </c>
      <c r="L27" s="17">
        <f>L26*100/F26</f>
        <v>42.957268822066467</v>
      </c>
      <c r="M27" s="583"/>
    </row>
    <row r="28" spans="2:23" x14ac:dyDescent="0.25">
      <c r="B28" s="1153"/>
      <c r="C28" s="1158"/>
      <c r="D28" s="1151" t="s">
        <v>119</v>
      </c>
      <c r="E28" s="813" t="s">
        <v>137</v>
      </c>
      <c r="F28" s="814">
        <f t="shared" si="0"/>
        <v>1909</v>
      </c>
      <c r="G28" s="815">
        <f>SUM(T.XVII!D14)</f>
        <v>94</v>
      </c>
      <c r="H28" s="816">
        <f>SUM(T.XVII!E14)</f>
        <v>252</v>
      </c>
      <c r="I28" s="816">
        <f>SUM(T.XVII!F14)</f>
        <v>208</v>
      </c>
      <c r="J28" s="817">
        <f>SUM(T.XVII!G14)</f>
        <v>230</v>
      </c>
      <c r="K28" s="815">
        <f>SUM(T.XVII!H14)</f>
        <v>198</v>
      </c>
      <c r="L28" s="818">
        <f>SUM(T.XVII!I14)</f>
        <v>927</v>
      </c>
      <c r="M28" s="583"/>
    </row>
    <row r="29" spans="2:23" x14ac:dyDescent="0.25">
      <c r="B29" s="1153"/>
      <c r="C29" s="1158"/>
      <c r="D29" s="1151"/>
      <c r="E29" s="783" t="s">
        <v>138</v>
      </c>
      <c r="F29" s="805">
        <f t="shared" si="0"/>
        <v>100</v>
      </c>
      <c r="G29" s="406">
        <f>G28*100/F28</f>
        <v>4.9240440020953375</v>
      </c>
      <c r="H29" s="16">
        <f>H28*100/F28</f>
        <v>13.20062860136197</v>
      </c>
      <c r="I29" s="16">
        <f>I28*100/F28</f>
        <v>10.895756940806706</v>
      </c>
      <c r="J29" s="784">
        <f>J28*100/F28</f>
        <v>12.048192771084338</v>
      </c>
      <c r="K29" s="406">
        <f>K28*100/F28</f>
        <v>10.37192247249869</v>
      </c>
      <c r="L29" s="17">
        <f>L28*100/F28</f>
        <v>48.559455212152962</v>
      </c>
      <c r="M29" s="583"/>
    </row>
    <row r="30" spans="2:23" x14ac:dyDescent="0.25">
      <c r="B30" s="1153"/>
      <c r="C30" s="1158" t="s">
        <v>69</v>
      </c>
      <c r="D30" s="1150" t="s">
        <v>4</v>
      </c>
      <c r="E30" s="909" t="s">
        <v>137</v>
      </c>
      <c r="F30" s="808">
        <f t="shared" si="0"/>
        <v>2218</v>
      </c>
      <c r="G30" s="609">
        <f>SUM(T.XVI!D15)</f>
        <v>117</v>
      </c>
      <c r="H30" s="547">
        <f>SUM(T.XVI!E15)</f>
        <v>262</v>
      </c>
      <c r="I30" s="547">
        <f>SUM(T.XVI!F15)</f>
        <v>179</v>
      </c>
      <c r="J30" s="780">
        <f>SUM(T.XVI!G15)</f>
        <v>283</v>
      </c>
      <c r="K30" s="609">
        <f>SUM(T.XVI!H15)</f>
        <v>309</v>
      </c>
      <c r="L30" s="610">
        <f>SUM(T.XVI!I15)</f>
        <v>1068</v>
      </c>
      <c r="M30" s="583"/>
    </row>
    <row r="31" spans="2:23" x14ac:dyDescent="0.25">
      <c r="B31" s="1153"/>
      <c r="C31" s="1158"/>
      <c r="D31" s="1150"/>
      <c r="E31" s="783" t="s">
        <v>138</v>
      </c>
      <c r="F31" s="805">
        <f t="shared" si="0"/>
        <v>100</v>
      </c>
      <c r="G31" s="406">
        <f>G30*100/F30</f>
        <v>5.2750225428313797</v>
      </c>
      <c r="H31" s="16">
        <f>H30*100/F30</f>
        <v>11.812443642921551</v>
      </c>
      <c r="I31" s="16">
        <f>I30*100/F30</f>
        <v>8.0703336339044185</v>
      </c>
      <c r="J31" s="784">
        <f>J30*100/F30</f>
        <v>12.759242560865644</v>
      </c>
      <c r="K31" s="406">
        <f>K30*100/F30</f>
        <v>13.931469792605951</v>
      </c>
      <c r="L31" s="17">
        <f>L30*100/F30</f>
        <v>48.151487826871055</v>
      </c>
      <c r="M31" s="769">
        <f>SUM(K14+L14+K18+L18+K22+L22)</f>
        <v>15362</v>
      </c>
      <c r="N31" s="578">
        <f>SUM(M31/(K6+L6)*100)</f>
        <v>74.24484075201778</v>
      </c>
    </row>
    <row r="32" spans="2:23" x14ac:dyDescent="0.25">
      <c r="B32" s="1153"/>
      <c r="C32" s="1158"/>
      <c r="D32" s="1151" t="s">
        <v>119</v>
      </c>
      <c r="E32" s="813" t="s">
        <v>137</v>
      </c>
      <c r="F32" s="814">
        <f>SUM(G32:L32)</f>
        <v>0</v>
      </c>
      <c r="G32" s="815">
        <v>0</v>
      </c>
      <c r="H32" s="816">
        <v>0</v>
      </c>
      <c r="I32" s="816">
        <v>0</v>
      </c>
      <c r="J32" s="817">
        <v>0</v>
      </c>
      <c r="K32" s="815">
        <v>0</v>
      </c>
      <c r="L32" s="818">
        <v>0</v>
      </c>
      <c r="M32" s="769">
        <f>SUM(K14,K18,K22)</f>
        <v>5075</v>
      </c>
      <c r="N32" s="1038">
        <f>SUM(M32)/K6*100</f>
        <v>74.271915703205039</v>
      </c>
      <c r="O32" s="582"/>
      <c r="P32" s="582"/>
    </row>
    <row r="33" spans="2:19" ht="15.75" thickBot="1" x14ac:dyDescent="0.3">
      <c r="B33" s="1154"/>
      <c r="C33" s="1159"/>
      <c r="D33" s="1160"/>
      <c r="E33" s="785" t="s">
        <v>138</v>
      </c>
      <c r="F33" s="809" t="str">
        <f>IF(SUM(G33:L33),"jest liczba zmień formułę","0,0")</f>
        <v>0,0</v>
      </c>
      <c r="G33" s="409">
        <f>SUMIF(G32,"&gt;0",G32)</f>
        <v>0</v>
      </c>
      <c r="H33" s="23">
        <f t="shared" ref="H33:K33" si="1">SUMIF(H32,"&gt;0",H32)</f>
        <v>0</v>
      </c>
      <c r="I33" s="23">
        <f t="shared" si="1"/>
        <v>0</v>
      </c>
      <c r="J33" s="786">
        <f t="shared" si="1"/>
        <v>0</v>
      </c>
      <c r="K33" s="409">
        <f t="shared" si="1"/>
        <v>0</v>
      </c>
      <c r="L33" s="24">
        <f>SUMIF(L32,"&gt;0",L32)</f>
        <v>0</v>
      </c>
      <c r="M33" s="769">
        <f>SUM(L14,L18,L22)</f>
        <v>10287</v>
      </c>
      <c r="N33" s="1038">
        <f>SUM(M33)/L6*100</f>
        <v>74.231490835618416</v>
      </c>
    </row>
    <row r="34" spans="2:19" ht="16.5" x14ac:dyDescent="0.25">
      <c r="B34" s="1040"/>
      <c r="C34" s="1041"/>
      <c r="D34" s="1045"/>
      <c r="E34" s="418"/>
      <c r="F34" s="1047"/>
      <c r="G34" s="1047"/>
      <c r="H34" s="1047"/>
      <c r="I34" s="1047"/>
      <c r="J34" s="1047"/>
      <c r="K34" s="1047"/>
      <c r="L34" s="1047"/>
      <c r="M34" s="769"/>
      <c r="N34" s="1038"/>
    </row>
    <row r="35" spans="2:19" ht="16.5" x14ac:dyDescent="0.25">
      <c r="B35" s="1040"/>
      <c r="C35" s="1041"/>
      <c r="D35" s="1045"/>
      <c r="E35" s="418"/>
      <c r="F35" s="600">
        <f>SUM(F10,F14,F18,F22,F26,F30)</f>
        <v>47408</v>
      </c>
      <c r="G35" s="600">
        <f>SUM(G10,G14,G18,G22,G26,G30)</f>
        <v>4973</v>
      </c>
      <c r="H35" s="600">
        <f t="shared" ref="H35:L35" si="2">SUM(H10,H14,H18,H22,H26,H30)</f>
        <v>8520</v>
      </c>
      <c r="I35" s="600">
        <f t="shared" si="2"/>
        <v>6649</v>
      </c>
      <c r="J35" s="600">
        <f t="shared" si="2"/>
        <v>6575</v>
      </c>
      <c r="K35" s="600">
        <f t="shared" si="2"/>
        <v>6833</v>
      </c>
      <c r="L35" s="600">
        <f t="shared" si="2"/>
        <v>13858</v>
      </c>
      <c r="M35" s="769"/>
      <c r="N35" s="1038"/>
    </row>
    <row r="36" spans="2:19" x14ac:dyDescent="0.25">
      <c r="F36" s="1043">
        <f t="shared" ref="F36:L36" si="3">SUM(F12,F16,F20,F24,F28,F32)</f>
        <v>25451</v>
      </c>
      <c r="G36" s="1043">
        <f t="shared" si="3"/>
        <v>1935</v>
      </c>
      <c r="H36" s="1043">
        <f t="shared" si="3"/>
        <v>3919</v>
      </c>
      <c r="I36" s="1043">
        <f t="shared" si="3"/>
        <v>3419</v>
      </c>
      <c r="J36" s="1043">
        <f t="shared" si="3"/>
        <v>3359</v>
      </c>
      <c r="K36" s="1043">
        <f t="shared" si="3"/>
        <v>3901</v>
      </c>
      <c r="L36" s="1043">
        <f t="shared" si="3"/>
        <v>8918</v>
      </c>
    </row>
    <row r="37" spans="2:19" ht="15.75" thickBot="1" x14ac:dyDescent="0.3">
      <c r="F37" s="1043"/>
      <c r="G37" s="1043"/>
      <c r="H37" s="1043"/>
      <c r="I37" s="1043"/>
      <c r="J37" s="1043"/>
      <c r="K37" s="1043"/>
      <c r="L37" s="1043"/>
    </row>
    <row r="38" spans="2:19" ht="15" customHeight="1" x14ac:dyDescent="0.25">
      <c r="B38" s="849"/>
      <c r="C38" s="614" t="str">
        <f>T(B6)</f>
        <v xml:space="preserve">Liczba bezrobotnych </v>
      </c>
      <c r="D38" s="823"/>
      <c r="E38" s="825"/>
      <c r="F38" s="869"/>
      <c r="G38" s="838" t="str">
        <f>T(G4)</f>
        <v>z ogółem wg czasu pozostawania bez pracy w miesiącach</v>
      </c>
      <c r="H38" s="831"/>
      <c r="I38" s="831"/>
      <c r="J38" s="831"/>
      <c r="K38" s="831"/>
      <c r="L38" s="831"/>
      <c r="M38" s="831"/>
      <c r="N38" s="834"/>
      <c r="P38" s="77"/>
    </row>
    <row r="39" spans="2:19" ht="15" customHeight="1" x14ac:dyDescent="0.25">
      <c r="B39" s="867" t="s">
        <v>356</v>
      </c>
      <c r="C39" s="870" t="str">
        <f>T(B7)</f>
        <v>ogółem zam. na wsi</v>
      </c>
      <c r="D39" s="819"/>
      <c r="E39" s="819"/>
      <c r="F39" s="871"/>
      <c r="G39" s="829" t="s">
        <v>450</v>
      </c>
      <c r="H39" s="830"/>
      <c r="I39" s="830"/>
      <c r="J39" s="839"/>
      <c r="K39" s="820" t="s">
        <v>450</v>
      </c>
      <c r="L39" s="822"/>
      <c r="M39" s="822"/>
      <c r="N39" s="824"/>
    </row>
    <row r="40" spans="2:19" ht="15" customHeight="1" x14ac:dyDescent="0.25">
      <c r="B40" s="868" t="s">
        <v>435</v>
      </c>
      <c r="C40" s="872" t="str">
        <f>T(B8)</f>
        <v>stan na 31 XII '19</v>
      </c>
      <c r="D40" s="837"/>
      <c r="E40" s="837"/>
      <c r="F40" s="873"/>
      <c r="G40" s="820" t="s">
        <v>451</v>
      </c>
      <c r="H40" s="820"/>
      <c r="I40" s="820"/>
      <c r="J40" s="840"/>
      <c r="K40" s="826" t="s">
        <v>452</v>
      </c>
      <c r="L40" s="826"/>
      <c r="M40" s="826"/>
      <c r="N40" s="827"/>
    </row>
    <row r="41" spans="2:19" x14ac:dyDescent="0.25">
      <c r="B41" s="867" t="s">
        <v>453</v>
      </c>
      <c r="C41" s="1164" t="s">
        <v>4</v>
      </c>
      <c r="D41" s="1165"/>
      <c r="E41" s="1161" t="s">
        <v>119</v>
      </c>
      <c r="F41" s="1162"/>
      <c r="G41" s="1166" t="s">
        <v>4</v>
      </c>
      <c r="H41" s="1165"/>
      <c r="I41" s="1161" t="s">
        <v>119</v>
      </c>
      <c r="J41" s="1167"/>
      <c r="K41" s="1168" t="s">
        <v>4</v>
      </c>
      <c r="L41" s="1166"/>
      <c r="M41" s="1161" t="s">
        <v>119</v>
      </c>
      <c r="N41" s="1162"/>
    </row>
    <row r="42" spans="2:19" ht="18.75" customHeight="1" thickBot="1" x14ac:dyDescent="0.3">
      <c r="B42" s="850"/>
      <c r="C42" s="910" t="s">
        <v>137</v>
      </c>
      <c r="D42" s="843" t="s">
        <v>448</v>
      </c>
      <c r="E42" s="844" t="s">
        <v>137</v>
      </c>
      <c r="F42" s="848" t="s">
        <v>448</v>
      </c>
      <c r="G42" s="845" t="s">
        <v>137</v>
      </c>
      <c r="H42" s="846" t="s">
        <v>448</v>
      </c>
      <c r="I42" s="844" t="s">
        <v>137</v>
      </c>
      <c r="J42" s="846" t="s">
        <v>448</v>
      </c>
      <c r="K42" s="847" t="s">
        <v>137</v>
      </c>
      <c r="L42" s="851" t="s">
        <v>448</v>
      </c>
      <c r="M42" s="855" t="s">
        <v>137</v>
      </c>
      <c r="N42" s="848" t="s">
        <v>448</v>
      </c>
    </row>
    <row r="43" spans="2:19" x14ac:dyDescent="0.25">
      <c r="B43" s="914" t="s">
        <v>435</v>
      </c>
      <c r="C43" s="874">
        <f>SUM(G43,K43)</f>
        <v>47408</v>
      </c>
      <c r="D43" s="832">
        <f>SUM(D44:D49)</f>
        <v>100.00000000000001</v>
      </c>
      <c r="E43" s="835">
        <f t="shared" ref="E43:E49" si="4">SUM(I43,M43)</f>
        <v>25451</v>
      </c>
      <c r="F43" s="875">
        <f>SUM(F44:F49)</f>
        <v>100</v>
      </c>
      <c r="G43" s="605">
        <f>SUM(G6:J6)</f>
        <v>26717</v>
      </c>
      <c r="H43" s="841">
        <f>SUM(H44:H49)</f>
        <v>99.999999999999986</v>
      </c>
      <c r="I43" s="835">
        <f>SUM(G8:J8)</f>
        <v>12632</v>
      </c>
      <c r="J43" s="841">
        <f>SUM(J44:J49)</f>
        <v>99.999999999999986</v>
      </c>
      <c r="K43" s="605">
        <f>SUM(K6:L6)</f>
        <v>20691</v>
      </c>
      <c r="L43" s="852">
        <f>SUM(L44:L49)</f>
        <v>100</v>
      </c>
      <c r="M43" s="835">
        <f>SUM(K8:L8)</f>
        <v>12819</v>
      </c>
      <c r="N43" s="833">
        <f>SUM(N44:N49)</f>
        <v>100</v>
      </c>
      <c r="S43" s="77"/>
    </row>
    <row r="44" spans="2:19" x14ac:dyDescent="0.25">
      <c r="B44" s="880" t="s">
        <v>64</v>
      </c>
      <c r="C44" s="876">
        <f>SUM(G44,K44)</f>
        <v>7623</v>
      </c>
      <c r="D44" s="570">
        <f>C44*100/C43</f>
        <v>16.079564630442121</v>
      </c>
      <c r="E44" s="816">
        <f t="shared" si="4"/>
        <v>3958</v>
      </c>
      <c r="F44" s="877">
        <f>E44*100/E43</f>
        <v>15.551451809359161</v>
      </c>
      <c r="G44" s="609">
        <f>SUM(G10:J10)</f>
        <v>6142</v>
      </c>
      <c r="H44" s="572">
        <f>G44*100/G43</f>
        <v>22.989108058539507</v>
      </c>
      <c r="I44" s="816">
        <f>SUM(G12:J12)</f>
        <v>2918</v>
      </c>
      <c r="J44" s="572">
        <f>I44*100/I43</f>
        <v>23.100063331222291</v>
      </c>
      <c r="K44" s="609">
        <f>SUM(K10:L10)</f>
        <v>1481</v>
      </c>
      <c r="L44" s="853">
        <f>K44*100/K43</f>
        <v>7.1577014160746222</v>
      </c>
      <c r="M44" s="816">
        <f>SUM(K12:L12)</f>
        <v>1040</v>
      </c>
      <c r="N44" s="571">
        <f>M44*100/M43</f>
        <v>8.1129573289648178</v>
      </c>
    </row>
    <row r="45" spans="2:19" x14ac:dyDescent="0.25">
      <c r="B45" s="880" t="s">
        <v>65</v>
      </c>
      <c r="C45" s="876">
        <f t="shared" ref="C45:C49" si="5">SUM(G45,K45)</f>
        <v>14452</v>
      </c>
      <c r="D45" s="570">
        <f>C45*100/C43</f>
        <v>30.484306446169423</v>
      </c>
      <c r="E45" s="816">
        <f>SUM(I45,M45)</f>
        <v>9343</v>
      </c>
      <c r="F45" s="877">
        <f>E45*100/E43</f>
        <v>36.709756001728813</v>
      </c>
      <c r="G45" s="609">
        <f>SUM(G14:J14)</f>
        <v>8378</v>
      </c>
      <c r="H45" s="572">
        <f>G45*100/G43</f>
        <v>31.35831118763334</v>
      </c>
      <c r="I45" s="816">
        <f>SUM(G16:J16)</f>
        <v>4472</v>
      </c>
      <c r="J45" s="572">
        <f>I45*100/I43</f>
        <v>35.402153261557949</v>
      </c>
      <c r="K45" s="609">
        <f>SUM(K14:L14)</f>
        <v>6074</v>
      </c>
      <c r="L45" s="853">
        <f>K45*100/K43</f>
        <v>29.355758542361414</v>
      </c>
      <c r="M45" s="816">
        <f>SUM(K16:L16)</f>
        <v>4871</v>
      </c>
      <c r="N45" s="571">
        <f>M45*100/M43</f>
        <v>37.998283797488106</v>
      </c>
    </row>
    <row r="46" spans="2:19" x14ac:dyDescent="0.25">
      <c r="B46" s="881" t="s">
        <v>66</v>
      </c>
      <c r="C46" s="876">
        <f t="shared" si="5"/>
        <v>10443</v>
      </c>
      <c r="D46" s="570">
        <f>C46*100/C43</f>
        <v>22.0279277759028</v>
      </c>
      <c r="E46" s="816">
        <f t="shared" si="4"/>
        <v>6157</v>
      </c>
      <c r="F46" s="877">
        <f>E46*100/E43</f>
        <v>24.191583827747436</v>
      </c>
      <c r="G46" s="609">
        <f>SUM(G18:J18)</f>
        <v>5312</v>
      </c>
      <c r="H46" s="572">
        <f>G46*100/G43</f>
        <v>19.882471834412545</v>
      </c>
      <c r="I46" s="816">
        <f>SUM(G20:J20)</f>
        <v>2614</v>
      </c>
      <c r="J46" s="572">
        <f>I46*100/I43</f>
        <v>20.693476884103863</v>
      </c>
      <c r="K46" s="609">
        <f>SUM(K18:L18)</f>
        <v>5131</v>
      </c>
      <c r="L46" s="853">
        <f>K46*100/K43</f>
        <v>24.798221448939152</v>
      </c>
      <c r="M46" s="816">
        <f>SUM(K20:L20)</f>
        <v>3543</v>
      </c>
      <c r="N46" s="571">
        <f>M46*100/M43</f>
        <v>27.638661362040722</v>
      </c>
    </row>
    <row r="47" spans="2:19" x14ac:dyDescent="0.25">
      <c r="B47" s="881" t="s">
        <v>67</v>
      </c>
      <c r="C47" s="876">
        <f t="shared" si="5"/>
        <v>8249</v>
      </c>
      <c r="D47" s="570">
        <f>C47*100/C43</f>
        <v>17.400016874789067</v>
      </c>
      <c r="E47" s="816">
        <f t="shared" si="4"/>
        <v>4084</v>
      </c>
      <c r="F47" s="877">
        <f>E47*100/E43</f>
        <v>16.046520765392323</v>
      </c>
      <c r="G47" s="609">
        <f>SUM(G22:J22)</f>
        <v>4092</v>
      </c>
      <c r="H47" s="572">
        <f>G47*100/G43</f>
        <v>15.316090878466893</v>
      </c>
      <c r="I47" s="816">
        <f>SUM(G24:J24)</f>
        <v>1844</v>
      </c>
      <c r="J47" s="572">
        <f>I47*100/I43</f>
        <v>14.597846738442051</v>
      </c>
      <c r="K47" s="609">
        <f>SUM(K22:L22)</f>
        <v>4157</v>
      </c>
      <c r="L47" s="853">
        <f>K47*100/K43</f>
        <v>20.09086076071722</v>
      </c>
      <c r="M47" s="816">
        <f>SUM(K24:L24)</f>
        <v>2240</v>
      </c>
      <c r="N47" s="571">
        <f>M47*100/M43</f>
        <v>17.474061939308839</v>
      </c>
    </row>
    <row r="48" spans="2:19" x14ac:dyDescent="0.25">
      <c r="B48" s="880" t="s">
        <v>68</v>
      </c>
      <c r="C48" s="876">
        <f t="shared" si="5"/>
        <v>4423</v>
      </c>
      <c r="D48" s="570">
        <f>C48*100/C43</f>
        <v>9.3296490043874449</v>
      </c>
      <c r="E48" s="816">
        <f t="shared" si="4"/>
        <v>1909</v>
      </c>
      <c r="F48" s="877">
        <f>E48*100/E43</f>
        <v>7.5006875957722681</v>
      </c>
      <c r="G48" s="609">
        <f>SUM(G26:J26)</f>
        <v>1952</v>
      </c>
      <c r="H48" s="572">
        <f>G48*100/G43</f>
        <v>7.306209529513044</v>
      </c>
      <c r="I48" s="816">
        <f>SUM(G28:J28)</f>
        <v>784</v>
      </c>
      <c r="J48" s="572">
        <f>I48*100/I43</f>
        <v>6.2064597846738438</v>
      </c>
      <c r="K48" s="609">
        <f>SUM(K26:L26)</f>
        <v>2471</v>
      </c>
      <c r="L48" s="853">
        <f>K48*100/K43</f>
        <v>11.942390411289933</v>
      </c>
      <c r="M48" s="816">
        <f>SUM(K28:L28)</f>
        <v>1125</v>
      </c>
      <c r="N48" s="571">
        <f>M48*100/M43</f>
        <v>8.7760355721975198</v>
      </c>
    </row>
    <row r="49" spans="2:14" ht="15.75" thickBot="1" x14ac:dyDescent="0.3">
      <c r="B49" s="882" t="s">
        <v>69</v>
      </c>
      <c r="C49" s="878">
        <f t="shared" si="5"/>
        <v>2218</v>
      </c>
      <c r="D49" s="574">
        <f>C49*100/C43</f>
        <v>4.6785352683091466</v>
      </c>
      <c r="E49" s="836">
        <f t="shared" si="4"/>
        <v>0</v>
      </c>
      <c r="F49" s="879">
        <f>E49*100/E43</f>
        <v>0</v>
      </c>
      <c r="G49" s="828">
        <f>SUM(G30:J30)</f>
        <v>841</v>
      </c>
      <c r="H49" s="573">
        <f>G49*100/G43</f>
        <v>3.147808511434667</v>
      </c>
      <c r="I49" s="836">
        <f>SUM(G32:J32)</f>
        <v>0</v>
      </c>
      <c r="J49" s="573">
        <f>I49*100/I43</f>
        <v>0</v>
      </c>
      <c r="K49" s="828">
        <f>SUM(K30:L30)</f>
        <v>1377</v>
      </c>
      <c r="L49" s="854">
        <f>K49*100/K43</f>
        <v>6.6550674206176597</v>
      </c>
      <c r="M49" s="836">
        <f>SUM(K32:L32)</f>
        <v>0</v>
      </c>
      <c r="N49" s="575">
        <f>M49*100/M43</f>
        <v>0</v>
      </c>
    </row>
    <row r="50" spans="2:14" x14ac:dyDescent="0.25">
      <c r="F50" s="821"/>
      <c r="G50" s="821"/>
      <c r="H50" s="821"/>
      <c r="I50" s="821"/>
      <c r="J50" s="821"/>
      <c r="K50" s="821"/>
      <c r="L50" s="821"/>
    </row>
    <row r="51" spans="2:14" x14ac:dyDescent="0.25">
      <c r="C51" s="922">
        <f>SUM(F10,F14,F18,F22,F26,F30)</f>
        <v>47408</v>
      </c>
      <c r="F51" s="892"/>
      <c r="G51" s="95"/>
      <c r="H51" s="892"/>
      <c r="I51" s="821"/>
      <c r="J51" s="892"/>
      <c r="K51" s="95"/>
      <c r="L51" s="892"/>
      <c r="M51" s="887"/>
      <c r="N51" s="887"/>
    </row>
    <row r="52" spans="2:14" x14ac:dyDescent="0.25">
      <c r="C52" s="922">
        <f>SUM(F12,F16,F20,F24,F28,F32)</f>
        <v>25451</v>
      </c>
      <c r="F52" s="891"/>
      <c r="G52" s="95"/>
      <c r="H52" s="891"/>
      <c r="I52" s="887"/>
      <c r="J52" s="891"/>
      <c r="K52" s="95"/>
      <c r="L52" s="891"/>
      <c r="M52" s="887"/>
      <c r="N52" s="887"/>
    </row>
    <row r="53" spans="2:14" x14ac:dyDescent="0.25">
      <c r="F53" s="891"/>
      <c r="G53" s="95"/>
      <c r="H53" s="891"/>
      <c r="I53" s="887"/>
      <c r="J53" s="891"/>
      <c r="K53" s="95"/>
      <c r="L53" s="891"/>
      <c r="M53" s="887"/>
      <c r="N53" s="887"/>
    </row>
    <row r="54" spans="2:14" x14ac:dyDescent="0.25">
      <c r="F54" s="891"/>
      <c r="G54" s="95"/>
      <c r="H54" s="891"/>
      <c r="I54" s="887"/>
      <c r="J54" s="891"/>
      <c r="K54" s="95"/>
      <c r="L54" s="891"/>
      <c r="M54" s="887"/>
      <c r="N54" s="891"/>
    </row>
  </sheetData>
  <mergeCells count="28">
    <mergeCell ref="M41:N41"/>
    <mergeCell ref="C41:D41"/>
    <mergeCell ref="E41:F41"/>
    <mergeCell ref="G41:H41"/>
    <mergeCell ref="I41:J41"/>
    <mergeCell ref="K41:L41"/>
    <mergeCell ref="C26:C29"/>
    <mergeCell ref="D26:D27"/>
    <mergeCell ref="D28:D29"/>
    <mergeCell ref="B10:B33"/>
    <mergeCell ref="C30:C33"/>
    <mergeCell ref="D30:D31"/>
    <mergeCell ref="D32:D33"/>
    <mergeCell ref="D16:D17"/>
    <mergeCell ref="C18:C21"/>
    <mergeCell ref="D18:D19"/>
    <mergeCell ref="D20:D21"/>
    <mergeCell ref="C22:C25"/>
    <mergeCell ref="D22:D23"/>
    <mergeCell ref="D24:D25"/>
    <mergeCell ref="C14:C17"/>
    <mergeCell ref="D14:D15"/>
    <mergeCell ref="G4:L4"/>
    <mergeCell ref="D6:D7"/>
    <mergeCell ref="D8:D9"/>
    <mergeCell ref="C10:C13"/>
    <mergeCell ref="D10:D11"/>
    <mergeCell ref="D12:D13"/>
  </mergeCells>
  <printOptions horizontalCentered="1"/>
  <pageMargins left="0" right="0" top="1.0236220472440944" bottom="0" header="0" footer="0"/>
  <pageSetup paperSize="9" scale="8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F2"/>
  </sheetPr>
  <dimension ref="A2:L37"/>
  <sheetViews>
    <sheetView workbookViewId="0">
      <selection activeCell="B1" sqref="B1"/>
    </sheetView>
  </sheetViews>
  <sheetFormatPr defaultRowHeight="15" x14ac:dyDescent="0.25"/>
  <cols>
    <col min="1" max="1" width="3.42578125" style="2" customWidth="1"/>
    <col min="2" max="2" width="13.140625" style="2" customWidth="1"/>
    <col min="3" max="3" width="15.42578125" style="2" customWidth="1"/>
    <col min="4" max="4" width="9.85546875" style="2" customWidth="1"/>
    <col min="5" max="5" width="7.42578125" style="2" customWidth="1"/>
    <col min="6" max="6" width="10.5703125" style="95" customWidth="1"/>
    <col min="7" max="7" width="8.7109375" style="2" customWidth="1"/>
    <col min="8" max="8" width="9.5703125" style="2" customWidth="1"/>
    <col min="9" max="9" width="9.140625" style="2" customWidth="1"/>
    <col min="10" max="10" width="9.5703125" style="2" customWidth="1"/>
    <col min="11" max="11" width="10.28515625" style="2" customWidth="1"/>
    <col min="12" max="12" width="8.7109375" style="2" customWidth="1"/>
    <col min="13" max="16384" width="9.140625" style="2"/>
  </cols>
  <sheetData>
    <row r="2" spans="1:12" x14ac:dyDescent="0.25">
      <c r="B2" s="157" t="s">
        <v>461</v>
      </c>
    </row>
    <row r="3" spans="1:12" ht="19.5" thickBot="1" x14ac:dyDescent="0.3">
      <c r="B3" s="157" t="s">
        <v>426</v>
      </c>
      <c r="G3" s="569"/>
    </row>
    <row r="4" spans="1:12" ht="18.75" customHeight="1" x14ac:dyDescent="0.25">
      <c r="B4" s="614" t="s">
        <v>3</v>
      </c>
      <c r="C4" s="615"/>
      <c r="D4" s="615"/>
      <c r="E4" s="615"/>
      <c r="F4" s="802"/>
      <c r="G4" s="1147" t="s">
        <v>447</v>
      </c>
      <c r="H4" s="1147"/>
      <c r="I4" s="1147"/>
      <c r="J4" s="1147"/>
      <c r="K4" s="1147"/>
      <c r="L4" s="1148"/>
    </row>
    <row r="5" spans="1:12" ht="45" customHeight="1" thickBot="1" x14ac:dyDescent="0.3">
      <c r="A5" s="576"/>
      <c r="B5" s="787"/>
      <c r="C5" s="819"/>
      <c r="D5" s="819"/>
      <c r="E5" s="819"/>
      <c r="F5" s="803" t="s">
        <v>62</v>
      </c>
      <c r="G5" s="788" t="s">
        <v>88</v>
      </c>
      <c r="H5" s="789" t="s">
        <v>77</v>
      </c>
      <c r="I5" s="789" t="s">
        <v>84</v>
      </c>
      <c r="J5" s="790" t="s">
        <v>85</v>
      </c>
      <c r="K5" s="791" t="s">
        <v>86</v>
      </c>
      <c r="L5" s="792" t="s">
        <v>87</v>
      </c>
    </row>
    <row r="6" spans="1:12" ht="16.5" customHeight="1" thickTop="1" x14ac:dyDescent="0.25">
      <c r="B6" s="793" t="s">
        <v>480</v>
      </c>
      <c r="C6" s="810"/>
      <c r="D6" s="1149" t="s">
        <v>4</v>
      </c>
      <c r="E6" s="794" t="s">
        <v>137</v>
      </c>
      <c r="F6" s="856">
        <f>SUM(G6:L6)</f>
        <v>47408</v>
      </c>
      <c r="G6" s="857">
        <f>SUM(T.XVI!D8)</f>
        <v>4973</v>
      </c>
      <c r="H6" s="858">
        <f>SUM(T.XVI!E8)</f>
        <v>8520</v>
      </c>
      <c r="I6" s="858">
        <f>SUM(T.XVI!F8)</f>
        <v>6649</v>
      </c>
      <c r="J6" s="859">
        <f>SUM(T.XVI!G8)</f>
        <v>6575</v>
      </c>
      <c r="K6" s="857">
        <f>SUM(T.XVI!H8)</f>
        <v>6833</v>
      </c>
      <c r="L6" s="860">
        <f>SUM(T.XVI!I8)</f>
        <v>13858</v>
      </c>
    </row>
    <row r="7" spans="1:12" ht="15" customHeight="1" x14ac:dyDescent="0.25">
      <c r="B7" s="593" t="s">
        <v>479</v>
      </c>
      <c r="C7" s="811"/>
      <c r="D7" s="1150"/>
      <c r="E7" s="783" t="s">
        <v>138</v>
      </c>
      <c r="F7" s="805">
        <f t="shared" ref="F7:F28" si="0">SUM(G7:L7)</f>
        <v>100.00000000000001</v>
      </c>
      <c r="G7" s="406">
        <f>G6*100/F6</f>
        <v>10.489790752615592</v>
      </c>
      <c r="H7" s="16">
        <f>H6*100/F6</f>
        <v>17.971650354370571</v>
      </c>
      <c r="I7" s="16">
        <f>I6*100/F6</f>
        <v>14.025059061761729</v>
      </c>
      <c r="J7" s="784">
        <f>J6*100/F6</f>
        <v>13.868967262909214</v>
      </c>
      <c r="K7" s="406">
        <f>K6*100/F6</f>
        <v>14.413179210259871</v>
      </c>
      <c r="L7" s="17">
        <f>L6*100/F6</f>
        <v>29.231353358083023</v>
      </c>
    </row>
    <row r="8" spans="1:12" ht="18.75" customHeight="1" x14ac:dyDescent="0.25">
      <c r="B8" s="593" t="s">
        <v>446</v>
      </c>
      <c r="C8" s="811"/>
      <c r="D8" s="1151" t="s">
        <v>119</v>
      </c>
      <c r="E8" s="813" t="s">
        <v>137</v>
      </c>
      <c r="F8" s="861">
        <f>SUM(G8:L8)</f>
        <v>25451</v>
      </c>
      <c r="G8" s="862">
        <f>SUM(T.XVII!D8)</f>
        <v>1935</v>
      </c>
      <c r="H8" s="863">
        <f>SUM(T.XVII!E8)</f>
        <v>3919</v>
      </c>
      <c r="I8" s="863">
        <f>SUM(T.XVII!F8)</f>
        <v>3419</v>
      </c>
      <c r="J8" s="864">
        <f>SUM(T.XVII!G8)</f>
        <v>3359</v>
      </c>
      <c r="K8" s="1039">
        <f>SUM(T.XVII!H8)</f>
        <v>3901</v>
      </c>
      <c r="L8" s="866">
        <f>SUM(T.XVII!I8)</f>
        <v>8918</v>
      </c>
    </row>
    <row r="9" spans="1:12" ht="15.75" customHeight="1" thickBot="1" x14ac:dyDescent="0.3">
      <c r="B9" s="916"/>
      <c r="C9" s="811"/>
      <c r="D9" s="1174"/>
      <c r="E9" s="899" t="s">
        <v>138</v>
      </c>
      <c r="F9" s="900">
        <f t="shared" si="0"/>
        <v>100</v>
      </c>
      <c r="G9" s="901">
        <f>G8*100/F8</f>
        <v>7.6028446819378415</v>
      </c>
      <c r="H9" s="902">
        <f>H8*100/F8</f>
        <v>15.398216180110801</v>
      </c>
      <c r="I9" s="902">
        <f>I8*100/F8</f>
        <v>13.433656830772858</v>
      </c>
      <c r="J9" s="903">
        <f>J8*100/F8</f>
        <v>13.197909708852304</v>
      </c>
      <c r="K9" s="901">
        <f>K8*100/F8</f>
        <v>15.327492043534635</v>
      </c>
      <c r="L9" s="904">
        <f>L8*100/F8</f>
        <v>35.039880554791559</v>
      </c>
    </row>
    <row r="10" spans="1:12" ht="15" customHeight="1" x14ac:dyDescent="0.25">
      <c r="B10" s="1171" t="s">
        <v>455</v>
      </c>
      <c r="C10" s="1170" t="s">
        <v>71</v>
      </c>
      <c r="D10" s="1169" t="s">
        <v>4</v>
      </c>
      <c r="E10" s="782" t="s">
        <v>137</v>
      </c>
      <c r="F10" s="905">
        <f t="shared" si="0"/>
        <v>5872</v>
      </c>
      <c r="G10" s="601">
        <f>SUM(T.XVI!D17)</f>
        <v>639</v>
      </c>
      <c r="H10" s="602">
        <f>SUM(T.XVI!E17)</f>
        <v>1193</v>
      </c>
      <c r="I10" s="602">
        <f>SUM(T.XVI!F17)</f>
        <v>917</v>
      </c>
      <c r="J10" s="779">
        <f>SUM(T.XVI!G17)</f>
        <v>927</v>
      </c>
      <c r="K10" s="601">
        <f>SUM(T.XVI!H17)</f>
        <v>944</v>
      </c>
      <c r="L10" s="603">
        <f>SUM(T.XVI!I17)</f>
        <v>1252</v>
      </c>
    </row>
    <row r="11" spans="1:12" x14ac:dyDescent="0.25">
      <c r="B11" s="1172"/>
      <c r="C11" s="1156"/>
      <c r="D11" s="1150"/>
      <c r="E11" s="783" t="s">
        <v>138</v>
      </c>
      <c r="F11" s="805">
        <f t="shared" si="0"/>
        <v>100</v>
      </c>
      <c r="G11" s="406">
        <f>G10*100/F10</f>
        <v>10.882152588555858</v>
      </c>
      <c r="H11" s="16">
        <f>H10*100/F10</f>
        <v>20.31675749318801</v>
      </c>
      <c r="I11" s="16">
        <f>I10*100/F10</f>
        <v>15.616485013623977</v>
      </c>
      <c r="J11" s="784">
        <f>J10*100/F10</f>
        <v>15.786784741144414</v>
      </c>
      <c r="K11" s="406">
        <f>K10*100/F10</f>
        <v>16.076294277929154</v>
      </c>
      <c r="L11" s="17">
        <f>L10*100/F10</f>
        <v>21.321525885558582</v>
      </c>
    </row>
    <row r="12" spans="1:12" ht="15" customHeight="1" x14ac:dyDescent="0.25">
      <c r="B12" s="1172"/>
      <c r="C12" s="1156"/>
      <c r="D12" s="1151" t="s">
        <v>119</v>
      </c>
      <c r="E12" s="813" t="s">
        <v>137</v>
      </c>
      <c r="F12" s="814">
        <f t="shared" si="0"/>
        <v>4492</v>
      </c>
      <c r="G12" s="815">
        <f>SUM(T.XVII!D17)</f>
        <v>419</v>
      </c>
      <c r="H12" s="816">
        <f>SUM(T.XVII!E17)</f>
        <v>822</v>
      </c>
      <c r="I12" s="816">
        <f>SUM(T.XVII!F17)</f>
        <v>703</v>
      </c>
      <c r="J12" s="817">
        <f>SUM(T.XVII!G17)</f>
        <v>725</v>
      </c>
      <c r="K12" s="815">
        <f>SUM(T.XVII!H17)</f>
        <v>767</v>
      </c>
      <c r="L12" s="818">
        <f>SUM(T.XVII!I17)</f>
        <v>1056</v>
      </c>
    </row>
    <row r="13" spans="1:12" x14ac:dyDescent="0.25">
      <c r="B13" s="1172"/>
      <c r="C13" s="1156"/>
      <c r="D13" s="1151"/>
      <c r="E13" s="783" t="s">
        <v>138</v>
      </c>
      <c r="F13" s="805">
        <f t="shared" si="0"/>
        <v>99.999999999999986</v>
      </c>
      <c r="G13" s="406">
        <f>G12*100/F12</f>
        <v>9.3276936776491546</v>
      </c>
      <c r="H13" s="16">
        <f>H12*100/F12</f>
        <v>18.29919857524488</v>
      </c>
      <c r="I13" s="16">
        <f>I12*100/F12</f>
        <v>15.650044523597506</v>
      </c>
      <c r="J13" s="784">
        <f>J12*100/F12</f>
        <v>16.13980409617097</v>
      </c>
      <c r="K13" s="406">
        <f>K12*100/F12</f>
        <v>17.074799643811218</v>
      </c>
      <c r="L13" s="17">
        <f>L12*100/F12</f>
        <v>23.50845948352627</v>
      </c>
    </row>
    <row r="14" spans="1:12" x14ac:dyDescent="0.25">
      <c r="B14" s="1172"/>
      <c r="C14" s="1158" t="s">
        <v>12</v>
      </c>
      <c r="D14" s="1150" t="s">
        <v>4</v>
      </c>
      <c r="E14" s="909" t="s">
        <v>137</v>
      </c>
      <c r="F14" s="808">
        <f t="shared" si="0"/>
        <v>12522</v>
      </c>
      <c r="G14" s="609">
        <f>SUM(T.XVI!D18)</f>
        <v>1449</v>
      </c>
      <c r="H14" s="547">
        <f>SUM(T.XVI!E18)</f>
        <v>2375</v>
      </c>
      <c r="I14" s="547">
        <f>SUM(T.XVI!F18)</f>
        <v>1951</v>
      </c>
      <c r="J14" s="780">
        <f>SUM(T.XVI!G18)</f>
        <v>1665</v>
      </c>
      <c r="K14" s="609">
        <f>SUM(T.XVI!H18)</f>
        <v>1814</v>
      </c>
      <c r="L14" s="610">
        <f>SUM(T.XVI!I18)</f>
        <v>3268</v>
      </c>
    </row>
    <row r="15" spans="1:12" x14ac:dyDescent="0.25">
      <c r="B15" s="1172"/>
      <c r="C15" s="1158"/>
      <c r="D15" s="1150"/>
      <c r="E15" s="783" t="s">
        <v>138</v>
      </c>
      <c r="F15" s="805">
        <f t="shared" si="0"/>
        <v>100.00000000000001</v>
      </c>
      <c r="G15" s="406">
        <f>G14*100/F14</f>
        <v>11.571633924293243</v>
      </c>
      <c r="H15" s="16">
        <f>H14*100/F14</f>
        <v>18.966618750998244</v>
      </c>
      <c r="I15" s="16">
        <f>I14*100/F14</f>
        <v>15.580578182398979</v>
      </c>
      <c r="J15" s="784">
        <f>J14*100/F14</f>
        <v>13.296597987541926</v>
      </c>
      <c r="K15" s="406">
        <f>K14*100/F14</f>
        <v>14.486503753394027</v>
      </c>
      <c r="L15" s="17">
        <f>L14*100/F14</f>
        <v>26.098067401373584</v>
      </c>
    </row>
    <row r="16" spans="1:12" ht="15" customHeight="1" x14ac:dyDescent="0.25">
      <c r="B16" s="1172"/>
      <c r="C16" s="1158"/>
      <c r="D16" s="1151" t="s">
        <v>119</v>
      </c>
      <c r="E16" s="813" t="s">
        <v>137</v>
      </c>
      <c r="F16" s="814">
        <f t="shared" si="0"/>
        <v>7880</v>
      </c>
      <c r="G16" s="815">
        <f>SUM(T.XVII!D18)</f>
        <v>663</v>
      </c>
      <c r="H16" s="816">
        <f>SUM(T.XVII!E18)</f>
        <v>1215</v>
      </c>
      <c r="I16" s="816">
        <f>SUM(T.XVII!F18)</f>
        <v>1124</v>
      </c>
      <c r="J16" s="817">
        <f>SUM(T.XVII!G18)</f>
        <v>1011</v>
      </c>
      <c r="K16" s="815">
        <f>SUM(T.XVII!H18)</f>
        <v>1237</v>
      </c>
      <c r="L16" s="818">
        <f>SUM(T.XVII!I18)</f>
        <v>2630</v>
      </c>
    </row>
    <row r="17" spans="2:12" x14ac:dyDescent="0.25">
      <c r="B17" s="1172"/>
      <c r="C17" s="1158"/>
      <c r="D17" s="1151"/>
      <c r="E17" s="783" t="s">
        <v>138</v>
      </c>
      <c r="F17" s="805">
        <f t="shared" si="0"/>
        <v>100</v>
      </c>
      <c r="G17" s="406">
        <f>G16*100/F16</f>
        <v>8.4137055837563448</v>
      </c>
      <c r="H17" s="16">
        <f>H16*100/F16</f>
        <v>15.418781725888325</v>
      </c>
      <c r="I17" s="16">
        <f>I16*100/F16</f>
        <v>14.263959390862944</v>
      </c>
      <c r="J17" s="784">
        <f>J16*100/F16</f>
        <v>12.82994923857868</v>
      </c>
      <c r="K17" s="406">
        <f>K16*100/F16</f>
        <v>15.697969543147208</v>
      </c>
      <c r="L17" s="17">
        <f>L16*100/F16</f>
        <v>33.3756345177665</v>
      </c>
    </row>
    <row r="18" spans="2:12" x14ac:dyDescent="0.25">
      <c r="B18" s="1172"/>
      <c r="C18" s="1158" t="s">
        <v>420</v>
      </c>
      <c r="D18" s="1150" t="s">
        <v>4</v>
      </c>
      <c r="E18" s="909" t="s">
        <v>137</v>
      </c>
      <c r="F18" s="808">
        <f t="shared" si="0"/>
        <v>4752</v>
      </c>
      <c r="G18" s="609">
        <f>SUM(T.XVI!D19)</f>
        <v>582</v>
      </c>
      <c r="H18" s="547">
        <f>SUM(T.XVI!E19)</f>
        <v>902</v>
      </c>
      <c r="I18" s="547">
        <f>SUM(T.XVI!F19)</f>
        <v>759</v>
      </c>
      <c r="J18" s="780">
        <f>SUM(T.XVI!G19)</f>
        <v>653</v>
      </c>
      <c r="K18" s="609">
        <f>SUM(T.XVI!H19)</f>
        <v>689</v>
      </c>
      <c r="L18" s="610">
        <f>SUM(T.XVI!I19)</f>
        <v>1167</v>
      </c>
    </row>
    <row r="19" spans="2:12" x14ac:dyDescent="0.25">
      <c r="B19" s="1172"/>
      <c r="C19" s="1158"/>
      <c r="D19" s="1150"/>
      <c r="E19" s="783" t="s">
        <v>138</v>
      </c>
      <c r="F19" s="805">
        <f t="shared" si="0"/>
        <v>100</v>
      </c>
      <c r="G19" s="406">
        <f>G18*100/F18</f>
        <v>12.247474747474747</v>
      </c>
      <c r="H19" s="16">
        <f>H18*100/F18</f>
        <v>18.981481481481481</v>
      </c>
      <c r="I19" s="16">
        <f>I18*100/F18</f>
        <v>15.972222222222221</v>
      </c>
      <c r="J19" s="784">
        <f>J18*100/F18</f>
        <v>13.741582491582491</v>
      </c>
      <c r="K19" s="406">
        <f>K18*100/F18</f>
        <v>14.499158249158249</v>
      </c>
      <c r="L19" s="17">
        <f>L18*100/F18</f>
        <v>24.55808080808081</v>
      </c>
    </row>
    <row r="20" spans="2:12" ht="15" customHeight="1" x14ac:dyDescent="0.25">
      <c r="B20" s="1172"/>
      <c r="C20" s="1158"/>
      <c r="D20" s="1151" t="s">
        <v>119</v>
      </c>
      <c r="E20" s="813" t="s">
        <v>137</v>
      </c>
      <c r="F20" s="814">
        <f t="shared" si="0"/>
        <v>3278</v>
      </c>
      <c r="G20" s="815">
        <f>SUM(T.XVII!D19)</f>
        <v>280</v>
      </c>
      <c r="H20" s="816">
        <f>SUM(T.XVII!E19)</f>
        <v>529</v>
      </c>
      <c r="I20" s="816">
        <f>SUM(T.XVII!F19)</f>
        <v>489</v>
      </c>
      <c r="J20" s="817">
        <f>SUM(T.XVII!G19)</f>
        <v>452</v>
      </c>
      <c r="K20" s="815">
        <f>SUM(T.XVII!H19)</f>
        <v>522</v>
      </c>
      <c r="L20" s="818">
        <f>SUM(T.XVII!I19)</f>
        <v>1006</v>
      </c>
    </row>
    <row r="21" spans="2:12" x14ac:dyDescent="0.25">
      <c r="B21" s="1172"/>
      <c r="C21" s="1158"/>
      <c r="D21" s="1151"/>
      <c r="E21" s="783" t="s">
        <v>138</v>
      </c>
      <c r="F21" s="805">
        <f t="shared" si="0"/>
        <v>99.999999999999986</v>
      </c>
      <c r="G21" s="406">
        <f>G20*100/F20</f>
        <v>8.5417937766931047</v>
      </c>
      <c r="H21" s="16">
        <f>H20*100/F20</f>
        <v>16.137888956680904</v>
      </c>
      <c r="I21" s="16">
        <f>I20*100/F20</f>
        <v>14.917632702867602</v>
      </c>
      <c r="J21" s="784">
        <f>J20*100/F20</f>
        <v>13.7888956680903</v>
      </c>
      <c r="K21" s="406">
        <f>K20*100/F20</f>
        <v>15.924344112263576</v>
      </c>
      <c r="L21" s="17">
        <f>L20*100/F20</f>
        <v>30.689444783404515</v>
      </c>
    </row>
    <row r="22" spans="2:12" x14ac:dyDescent="0.25">
      <c r="B22" s="1172"/>
      <c r="C22" s="1158" t="s">
        <v>72</v>
      </c>
      <c r="D22" s="1150" t="s">
        <v>4</v>
      </c>
      <c r="E22" s="909" t="s">
        <v>137</v>
      </c>
      <c r="F22" s="808">
        <f t="shared" si="0"/>
        <v>14593</v>
      </c>
      <c r="G22" s="609">
        <f>SUM(T.XVI!D20)</f>
        <v>1530</v>
      </c>
      <c r="H22" s="547">
        <f>SUM(T.XVI!E20)</f>
        <v>2562</v>
      </c>
      <c r="I22" s="547">
        <f>SUM(T.XVI!F20)</f>
        <v>1953</v>
      </c>
      <c r="J22" s="780">
        <f>SUM(T.XVI!G20)</f>
        <v>1969</v>
      </c>
      <c r="K22" s="609">
        <f>SUM(T.XVI!H20)</f>
        <v>1991</v>
      </c>
      <c r="L22" s="610">
        <f>SUM(T.XVI!I20)</f>
        <v>4588</v>
      </c>
    </row>
    <row r="23" spans="2:12" x14ac:dyDescent="0.25">
      <c r="B23" s="1172"/>
      <c r="C23" s="1158"/>
      <c r="D23" s="1150"/>
      <c r="E23" s="783" t="s">
        <v>138</v>
      </c>
      <c r="F23" s="805">
        <f t="shared" si="0"/>
        <v>100</v>
      </c>
      <c r="G23" s="406">
        <f>G22*100/F22</f>
        <v>10.484478859727266</v>
      </c>
      <c r="H23" s="16">
        <f>H22*100/F22</f>
        <v>17.556362639621735</v>
      </c>
      <c r="I23" s="16">
        <f>I22*100/F22</f>
        <v>13.383128897416569</v>
      </c>
      <c r="J23" s="784">
        <f>J22*100/F22</f>
        <v>13.492770506407181</v>
      </c>
      <c r="K23" s="406">
        <f>K22*100/F22</f>
        <v>13.643527718769272</v>
      </c>
      <c r="L23" s="17">
        <f>L22*100/F22</f>
        <v>31.439731378057974</v>
      </c>
    </row>
    <row r="24" spans="2:12" ht="15" customHeight="1" x14ac:dyDescent="0.25">
      <c r="B24" s="1172"/>
      <c r="C24" s="1158"/>
      <c r="D24" s="1151" t="s">
        <v>119</v>
      </c>
      <c r="E24" s="813" t="s">
        <v>137</v>
      </c>
      <c r="F24" s="814">
        <f t="shared" si="0"/>
        <v>6207</v>
      </c>
      <c r="G24" s="815">
        <f>SUM(T.XVII!D20)</f>
        <v>400</v>
      </c>
      <c r="H24" s="816">
        <f>SUM(T.XVII!E20)</f>
        <v>890</v>
      </c>
      <c r="I24" s="816">
        <f>SUM(T.XVII!F20)</f>
        <v>755</v>
      </c>
      <c r="J24" s="817">
        <f>SUM(T.XVII!G20)</f>
        <v>743</v>
      </c>
      <c r="K24" s="815">
        <f>SUM(T.XVII!H20)</f>
        <v>858</v>
      </c>
      <c r="L24" s="818">
        <f>SUM(T.XVII!I20)</f>
        <v>2561</v>
      </c>
    </row>
    <row r="25" spans="2:12" x14ac:dyDescent="0.25">
      <c r="B25" s="1172"/>
      <c r="C25" s="1158"/>
      <c r="D25" s="1151"/>
      <c r="E25" s="783" t="s">
        <v>138</v>
      </c>
      <c r="F25" s="805">
        <f t="shared" si="0"/>
        <v>100</v>
      </c>
      <c r="G25" s="406">
        <f>G24*100/F24</f>
        <v>6.4443370388271308</v>
      </c>
      <c r="H25" s="16">
        <f>H24*100/F24</f>
        <v>14.338649911390366</v>
      </c>
      <c r="I25" s="16">
        <f>I24*100/F24</f>
        <v>12.163686160786209</v>
      </c>
      <c r="J25" s="784">
        <f>J24*100/F24</f>
        <v>11.970356049621396</v>
      </c>
      <c r="K25" s="406">
        <f>K24*100/F24</f>
        <v>13.823102948284195</v>
      </c>
      <c r="L25" s="17">
        <f>L24*100/F24</f>
        <v>41.259867891090707</v>
      </c>
    </row>
    <row r="26" spans="2:12" x14ac:dyDescent="0.25">
      <c r="B26" s="1172"/>
      <c r="C26" s="1163" t="s">
        <v>457</v>
      </c>
      <c r="D26" s="1157" t="s">
        <v>4</v>
      </c>
      <c r="E26" s="917" t="s">
        <v>137</v>
      </c>
      <c r="F26" s="807">
        <f t="shared" si="0"/>
        <v>9669</v>
      </c>
      <c r="G26" s="605">
        <f>SUM(T.XVI!D21)</f>
        <v>773</v>
      </c>
      <c r="H26" s="606">
        <f>SUM(T.XVI!E21)</f>
        <v>1488</v>
      </c>
      <c r="I26" s="606">
        <f>SUM(T.XVI!F21)</f>
        <v>1069</v>
      </c>
      <c r="J26" s="781">
        <f>SUM(T.XVI!G21)</f>
        <v>1361</v>
      </c>
      <c r="K26" s="605">
        <f>SUM(T.XVI!H21)</f>
        <v>1395</v>
      </c>
      <c r="L26" s="607">
        <f>SUM(T.XVI!I21)</f>
        <v>3583</v>
      </c>
    </row>
    <row r="27" spans="2:12" x14ac:dyDescent="0.25">
      <c r="B27" s="1172"/>
      <c r="C27" s="1158"/>
      <c r="D27" s="1150"/>
      <c r="E27" s="783" t="s">
        <v>138</v>
      </c>
      <c r="F27" s="805">
        <f t="shared" si="0"/>
        <v>100.00000000000001</v>
      </c>
      <c r="G27" s="406">
        <f>G26*100/F26</f>
        <v>7.9946219877960489</v>
      </c>
      <c r="H27" s="16">
        <f>H26*100/F26</f>
        <v>15.389388768228359</v>
      </c>
      <c r="I27" s="16">
        <f>I26*100/F26</f>
        <v>11.055952011583411</v>
      </c>
      <c r="J27" s="784">
        <f>J26*100/F26</f>
        <v>14.075912710724998</v>
      </c>
      <c r="K27" s="406">
        <f>K26*100/F26</f>
        <v>14.427551970214086</v>
      </c>
      <c r="L27" s="17">
        <f>L26*100/F26</f>
        <v>37.056572551453101</v>
      </c>
    </row>
    <row r="28" spans="2:12" ht="15" customHeight="1" x14ac:dyDescent="0.25">
      <c r="B28" s="1172"/>
      <c r="C28" s="1158"/>
      <c r="D28" s="1151" t="s">
        <v>119</v>
      </c>
      <c r="E28" s="813" t="s">
        <v>137</v>
      </c>
      <c r="F28" s="814">
        <f t="shared" si="0"/>
        <v>3594</v>
      </c>
      <c r="G28" s="815">
        <f>SUM(T.XVII!D21)</f>
        <v>173</v>
      </c>
      <c r="H28" s="816">
        <f>SUM(T.XVII!E21)</f>
        <v>463</v>
      </c>
      <c r="I28" s="816">
        <f>SUM(T.XVII!F21)</f>
        <v>348</v>
      </c>
      <c r="J28" s="817">
        <f>SUM(T.XVII!G21)</f>
        <v>428</v>
      </c>
      <c r="K28" s="815">
        <f>SUM(T.XVII!H21)</f>
        <v>517</v>
      </c>
      <c r="L28" s="818">
        <f>SUM(T.XVII!I21)</f>
        <v>1665</v>
      </c>
    </row>
    <row r="29" spans="2:12" ht="15.75" thickBot="1" x14ac:dyDescent="0.3">
      <c r="B29" s="1173"/>
      <c r="C29" s="1159"/>
      <c r="D29" s="1160"/>
      <c r="E29" s="785" t="s">
        <v>138</v>
      </c>
      <c r="F29" s="809">
        <f>SUM(G29:L29)</f>
        <v>100</v>
      </c>
      <c r="G29" s="409">
        <f>G28*100/F28</f>
        <v>4.8135781858653308</v>
      </c>
      <c r="H29" s="23">
        <f>H28*100/F28</f>
        <v>12.882582081246522</v>
      </c>
      <c r="I29" s="23">
        <f>I28*100/F28</f>
        <v>9.6828046744574294</v>
      </c>
      <c r="J29" s="786">
        <f>J28*100/F28</f>
        <v>11.908736783528102</v>
      </c>
      <c r="K29" s="409">
        <f>K28*100/F28</f>
        <v>14.385086254869227</v>
      </c>
      <c r="L29" s="24">
        <f>L28*100/F28</f>
        <v>46.327212020033386</v>
      </c>
    </row>
    <row r="30" spans="2:12" ht="12" customHeight="1" x14ac:dyDescent="0.25">
      <c r="B30" s="822"/>
      <c r="C30" s="1041"/>
      <c r="D30" s="1045"/>
      <c r="E30" s="418"/>
      <c r="F30" s="1047"/>
      <c r="G30" s="1047"/>
      <c r="H30" s="1047"/>
      <c r="I30" s="1047"/>
      <c r="J30" s="1047"/>
      <c r="K30" s="1047"/>
      <c r="L30" s="1047"/>
    </row>
    <row r="31" spans="2:12" x14ac:dyDescent="0.25">
      <c r="F31" s="922">
        <f>SUM(F10,F14,F18,F22,F26)</f>
        <v>47408</v>
      </c>
      <c r="G31" s="769">
        <f t="shared" ref="G31:L31" si="1">SUM(G10,G14,G18,G22,G26)</f>
        <v>4973</v>
      </c>
      <c r="H31" s="769">
        <f t="shared" si="1"/>
        <v>8520</v>
      </c>
      <c r="I31" s="769">
        <f t="shared" si="1"/>
        <v>6649</v>
      </c>
      <c r="J31" s="769">
        <f t="shared" si="1"/>
        <v>6575</v>
      </c>
      <c r="K31" s="769">
        <f t="shared" si="1"/>
        <v>6833</v>
      </c>
      <c r="L31" s="769">
        <f t="shared" si="1"/>
        <v>13858</v>
      </c>
    </row>
    <row r="32" spans="2:12" x14ac:dyDescent="0.25">
      <c r="F32" s="922">
        <f>SUM(F12,F16,F20,F24,F28)</f>
        <v>25451</v>
      </c>
      <c r="G32" s="769">
        <f t="shared" ref="G32:L32" si="2">SUM(G12,G16,G20,G24,G28)</f>
        <v>1935</v>
      </c>
      <c r="H32" s="769">
        <f t="shared" si="2"/>
        <v>3919</v>
      </c>
      <c r="I32" s="769">
        <f t="shared" si="2"/>
        <v>3419</v>
      </c>
      <c r="J32" s="769">
        <f t="shared" si="2"/>
        <v>3359</v>
      </c>
      <c r="K32" s="769">
        <f t="shared" si="2"/>
        <v>3901</v>
      </c>
      <c r="L32" s="769">
        <f t="shared" si="2"/>
        <v>8918</v>
      </c>
    </row>
    <row r="34" spans="6:7" x14ac:dyDescent="0.25">
      <c r="F34" s="922">
        <f>SUM(F10,F14,F18,F22,F26)</f>
        <v>47408</v>
      </c>
      <c r="G34" s="578">
        <f>SUM(F22/F6)*100</f>
        <v>30.781724603442456</v>
      </c>
    </row>
    <row r="35" spans="6:7" x14ac:dyDescent="0.25">
      <c r="F35" s="922">
        <f>SUM(F12,F16,F20,F24,F28)</f>
        <v>25451</v>
      </c>
      <c r="G35" s="578">
        <f>SUM(F14/F6)*100</f>
        <v>26.4132635842052</v>
      </c>
    </row>
    <row r="37" spans="6:7" x14ac:dyDescent="0.25">
      <c r="F37" s="2"/>
    </row>
  </sheetData>
  <mergeCells count="19">
    <mergeCell ref="G4:L4"/>
    <mergeCell ref="B10:B29"/>
    <mergeCell ref="D24:D25"/>
    <mergeCell ref="C26:C29"/>
    <mergeCell ref="D26:D27"/>
    <mergeCell ref="D28:D29"/>
    <mergeCell ref="D6:D7"/>
    <mergeCell ref="D8:D9"/>
    <mergeCell ref="C10:C13"/>
    <mergeCell ref="D10:D11"/>
    <mergeCell ref="D12:D13"/>
    <mergeCell ref="C14:C17"/>
    <mergeCell ref="D14:D15"/>
    <mergeCell ref="D16:D17"/>
    <mergeCell ref="C18:C21"/>
    <mergeCell ref="D18:D19"/>
    <mergeCell ref="D20:D21"/>
    <mergeCell ref="C22:C25"/>
    <mergeCell ref="D22:D23"/>
  </mergeCells>
  <printOptions horizontalCentered="1"/>
  <pageMargins left="0" right="0" top="1.0236220472440944" bottom="0" header="0" footer="0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I33"/>
  <sheetViews>
    <sheetView zoomScaleNormal="10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1.7109375" style="11" customWidth="1"/>
    <col min="3" max="3" width="9.85546875" style="11" customWidth="1"/>
    <col min="4" max="4" width="9.7109375" style="11" customWidth="1"/>
    <col min="5" max="5" width="13.42578125" style="11" customWidth="1"/>
    <col min="6" max="6" width="10.85546875" style="11" customWidth="1"/>
    <col min="7" max="7" width="9.7109375" style="11" customWidth="1"/>
    <col min="8" max="8" width="13" style="11" customWidth="1"/>
    <col min="9" max="9" width="10.28515625" style="11" customWidth="1"/>
    <col min="10" max="16384" width="9.140625" style="11"/>
  </cols>
  <sheetData>
    <row r="1" spans="2:9" ht="12.75" customHeight="1" x14ac:dyDescent="0.25"/>
    <row r="2" spans="2:9" x14ac:dyDescent="0.25">
      <c r="B2" s="11" t="s">
        <v>284</v>
      </c>
    </row>
    <row r="3" spans="2:9" x14ac:dyDescent="0.25">
      <c r="B3" s="11" t="s">
        <v>318</v>
      </c>
    </row>
    <row r="4" spans="2:9" ht="15" customHeight="1" thickBot="1" x14ac:dyDescent="0.3"/>
    <row r="5" spans="2:9" ht="33.75" customHeight="1" x14ac:dyDescent="0.25">
      <c r="B5" s="1095" t="s">
        <v>139</v>
      </c>
      <c r="C5" s="1097" t="s">
        <v>141</v>
      </c>
      <c r="D5" s="1098"/>
      <c r="E5" s="1099"/>
      <c r="F5" s="1097" t="s">
        <v>142</v>
      </c>
      <c r="G5" s="1098"/>
      <c r="H5" s="1099"/>
    </row>
    <row r="6" spans="2:9" ht="33.75" customHeight="1" thickBot="1" x14ac:dyDescent="0.3">
      <c r="B6" s="1096"/>
      <c r="C6" s="25" t="s">
        <v>342</v>
      </c>
      <c r="D6" s="26" t="s">
        <v>422</v>
      </c>
      <c r="E6" s="27" t="s">
        <v>144</v>
      </c>
      <c r="F6" s="728" t="s">
        <v>423</v>
      </c>
      <c r="G6" s="28" t="s">
        <v>422</v>
      </c>
      <c r="H6" s="27" t="s">
        <v>143</v>
      </c>
    </row>
    <row r="7" spans="2:9" ht="37.5" customHeight="1" x14ac:dyDescent="0.25">
      <c r="B7" s="30" t="s">
        <v>25</v>
      </c>
      <c r="C7" s="31">
        <f>SUM(C8:C32)</f>
        <v>82933</v>
      </c>
      <c r="D7" s="727">
        <f>SUM(D8:D32)</f>
        <v>75455</v>
      </c>
      <c r="E7" s="33">
        <f>SUM(D7-C7)</f>
        <v>-7478</v>
      </c>
      <c r="F7" s="729">
        <v>8.6999999999999993</v>
      </c>
      <c r="G7" s="34">
        <v>7.9</v>
      </c>
      <c r="H7" s="35">
        <f>SUM(G7-F7)</f>
        <v>-0.79999999999999893</v>
      </c>
      <c r="I7" s="158"/>
    </row>
    <row r="8" spans="2:9" ht="16.5" customHeight="1" x14ac:dyDescent="0.25">
      <c r="B8" s="12" t="s">
        <v>26</v>
      </c>
      <c r="C8" s="13">
        <v>1175</v>
      </c>
      <c r="D8" s="104">
        <v>1162</v>
      </c>
      <c r="E8" s="15">
        <f>SUM(D8-C8)</f>
        <v>-13</v>
      </c>
      <c r="F8" s="730">
        <v>13.7</v>
      </c>
      <c r="G8" s="16">
        <v>13.5</v>
      </c>
      <c r="H8" s="17">
        <f>SUM(G8-F8)</f>
        <v>-0.19999999999999929</v>
      </c>
      <c r="I8" s="158"/>
    </row>
    <row r="9" spans="2:9" ht="21" customHeight="1" x14ac:dyDescent="0.25">
      <c r="B9" s="12" t="s">
        <v>27</v>
      </c>
      <c r="C9" s="13">
        <v>4415</v>
      </c>
      <c r="D9" s="104">
        <v>4241</v>
      </c>
      <c r="E9" s="15">
        <f t="shared" ref="E9:E32" si="0">SUM(D9-C9)</f>
        <v>-174</v>
      </c>
      <c r="F9" s="730">
        <v>15.6</v>
      </c>
      <c r="G9" s="16">
        <v>15</v>
      </c>
      <c r="H9" s="17">
        <f t="shared" ref="H9:H32" si="1">SUM(G9-F9)</f>
        <v>-0.59999999999999964</v>
      </c>
      <c r="I9" s="158"/>
    </row>
    <row r="10" spans="2:9" ht="18" customHeight="1" x14ac:dyDescent="0.25">
      <c r="B10" s="12" t="s">
        <v>28</v>
      </c>
      <c r="C10" s="13">
        <v>3452</v>
      </c>
      <c r="D10" s="104">
        <v>2719</v>
      </c>
      <c r="E10" s="15">
        <f t="shared" si="0"/>
        <v>-733</v>
      </c>
      <c r="F10" s="730">
        <v>5.7</v>
      </c>
      <c r="G10" s="16">
        <v>4.5</v>
      </c>
      <c r="H10" s="17">
        <f t="shared" si="1"/>
        <v>-1.2000000000000002</v>
      </c>
      <c r="I10" s="158"/>
    </row>
    <row r="11" spans="2:9" ht="15.75" customHeight="1" x14ac:dyDescent="0.25">
      <c r="B11" s="12" t="s">
        <v>29</v>
      </c>
      <c r="C11" s="13">
        <v>6551</v>
      </c>
      <c r="D11" s="104">
        <v>5215</v>
      </c>
      <c r="E11" s="15">
        <f t="shared" si="0"/>
        <v>-1336</v>
      </c>
      <c r="F11" s="730">
        <v>12.1</v>
      </c>
      <c r="G11" s="16">
        <v>9.8000000000000007</v>
      </c>
      <c r="H11" s="17">
        <f t="shared" si="1"/>
        <v>-2.2999999999999989</v>
      </c>
      <c r="I11" s="158"/>
    </row>
    <row r="12" spans="2:9" ht="16.5" customHeight="1" x14ac:dyDescent="0.25">
      <c r="B12" s="12" t="s">
        <v>30</v>
      </c>
      <c r="C12" s="13">
        <v>5179</v>
      </c>
      <c r="D12" s="104">
        <v>4918</v>
      </c>
      <c r="E12" s="15">
        <f t="shared" si="0"/>
        <v>-261</v>
      </c>
      <c r="F12" s="730">
        <v>9.9</v>
      </c>
      <c r="G12" s="16">
        <v>9.3000000000000007</v>
      </c>
      <c r="H12" s="17">
        <f t="shared" si="1"/>
        <v>-0.59999999999999964</v>
      </c>
      <c r="I12" s="158"/>
    </row>
    <row r="13" spans="2:9" ht="15.75" customHeight="1" x14ac:dyDescent="0.25">
      <c r="B13" s="12" t="s">
        <v>31</v>
      </c>
      <c r="C13" s="13">
        <v>1972</v>
      </c>
      <c r="D13" s="104">
        <v>1817</v>
      </c>
      <c r="E13" s="15">
        <f t="shared" si="0"/>
        <v>-155</v>
      </c>
      <c r="F13" s="730">
        <v>8.1999999999999993</v>
      </c>
      <c r="G13" s="16">
        <v>7.5</v>
      </c>
      <c r="H13" s="17">
        <f t="shared" si="1"/>
        <v>-0.69999999999999929</v>
      </c>
      <c r="I13" s="158"/>
    </row>
    <row r="14" spans="2:9" x14ac:dyDescent="0.25">
      <c r="B14" s="12" t="s">
        <v>32</v>
      </c>
      <c r="C14" s="13">
        <v>2187</v>
      </c>
      <c r="D14" s="104">
        <v>1841</v>
      </c>
      <c r="E14" s="15">
        <f t="shared" si="0"/>
        <v>-346</v>
      </c>
      <c r="F14" s="730">
        <v>6.1</v>
      </c>
      <c r="G14" s="16">
        <v>5.0999999999999996</v>
      </c>
      <c r="H14" s="17">
        <f t="shared" si="1"/>
        <v>-1</v>
      </c>
      <c r="I14" s="158"/>
    </row>
    <row r="15" spans="2:9" x14ac:dyDescent="0.25">
      <c r="B15" s="12" t="s">
        <v>33</v>
      </c>
      <c r="C15" s="13">
        <v>1923</v>
      </c>
      <c r="D15" s="104">
        <v>1852</v>
      </c>
      <c r="E15" s="15">
        <f t="shared" si="0"/>
        <v>-71</v>
      </c>
      <c r="F15" s="730">
        <v>16.399999999999999</v>
      </c>
      <c r="G15" s="16">
        <v>15.8</v>
      </c>
      <c r="H15" s="17">
        <f t="shared" si="1"/>
        <v>-0.59999999999999787</v>
      </c>
      <c r="I15" s="158"/>
    </row>
    <row r="16" spans="2:9" ht="16.5" customHeight="1" x14ac:dyDescent="0.25">
      <c r="B16" s="12" t="s">
        <v>34</v>
      </c>
      <c r="C16" s="13">
        <v>3686</v>
      </c>
      <c r="D16" s="104">
        <v>3380</v>
      </c>
      <c r="E16" s="15">
        <f t="shared" si="0"/>
        <v>-306</v>
      </c>
      <c r="F16" s="730">
        <v>13.5</v>
      </c>
      <c r="G16" s="16">
        <v>12.5</v>
      </c>
      <c r="H16" s="17">
        <f t="shared" si="1"/>
        <v>-1</v>
      </c>
      <c r="I16" s="158"/>
    </row>
    <row r="17" spans="2:9" x14ac:dyDescent="0.25">
      <c r="B17" s="12" t="s">
        <v>35</v>
      </c>
      <c r="C17" s="13">
        <v>2125</v>
      </c>
      <c r="D17" s="104">
        <v>1986</v>
      </c>
      <c r="E17" s="15">
        <f t="shared" si="0"/>
        <v>-139</v>
      </c>
      <c r="F17" s="730">
        <v>8.9</v>
      </c>
      <c r="G17" s="16">
        <v>8.3000000000000007</v>
      </c>
      <c r="H17" s="17">
        <f t="shared" si="1"/>
        <v>-0.59999999999999964</v>
      </c>
      <c r="I17" s="158"/>
    </row>
    <row r="18" spans="2:9" x14ac:dyDescent="0.25">
      <c r="B18" s="12" t="s">
        <v>36</v>
      </c>
      <c r="C18" s="13">
        <v>3482</v>
      </c>
      <c r="D18" s="104">
        <v>3089</v>
      </c>
      <c r="E18" s="15">
        <f t="shared" si="0"/>
        <v>-393</v>
      </c>
      <c r="F18" s="730">
        <v>10.8</v>
      </c>
      <c r="G18" s="16">
        <v>9.6</v>
      </c>
      <c r="H18" s="17">
        <f t="shared" si="1"/>
        <v>-1.2000000000000011</v>
      </c>
      <c r="I18" s="158"/>
    </row>
    <row r="19" spans="2:9" x14ac:dyDescent="0.25">
      <c r="B19" s="12" t="s">
        <v>37</v>
      </c>
      <c r="C19" s="13">
        <v>2895</v>
      </c>
      <c r="D19" s="104">
        <v>2849</v>
      </c>
      <c r="E19" s="15">
        <f t="shared" si="0"/>
        <v>-46</v>
      </c>
      <c r="F19" s="730">
        <v>4.4000000000000004</v>
      </c>
      <c r="G19" s="16">
        <v>4.3</v>
      </c>
      <c r="H19" s="17">
        <f t="shared" si="1"/>
        <v>-0.10000000000000053</v>
      </c>
      <c r="I19" s="158"/>
    </row>
    <row r="20" spans="2:9" x14ac:dyDescent="0.25">
      <c r="B20" s="12" t="s">
        <v>38</v>
      </c>
      <c r="C20" s="13">
        <v>3868</v>
      </c>
      <c r="D20" s="104">
        <v>3616</v>
      </c>
      <c r="E20" s="15">
        <f t="shared" si="0"/>
        <v>-252</v>
      </c>
      <c r="F20" s="730">
        <v>16.7</v>
      </c>
      <c r="G20" s="16">
        <v>15.7</v>
      </c>
      <c r="H20" s="17">
        <f t="shared" si="1"/>
        <v>-1</v>
      </c>
      <c r="I20" s="158"/>
    </row>
    <row r="21" spans="2:9" x14ac:dyDescent="0.25">
      <c r="B21" s="18" t="s">
        <v>39</v>
      </c>
      <c r="C21" s="13">
        <v>3691</v>
      </c>
      <c r="D21" s="104">
        <v>3465</v>
      </c>
      <c r="E21" s="15">
        <f t="shared" si="0"/>
        <v>-226</v>
      </c>
      <c r="F21" s="730">
        <v>13.2</v>
      </c>
      <c r="G21" s="16">
        <v>12.5</v>
      </c>
      <c r="H21" s="17">
        <f t="shared" si="1"/>
        <v>-0.69999999999999929</v>
      </c>
      <c r="I21" s="158"/>
    </row>
    <row r="22" spans="2:9" x14ac:dyDescent="0.25">
      <c r="B22" s="18" t="s">
        <v>40</v>
      </c>
      <c r="C22" s="13">
        <v>4085</v>
      </c>
      <c r="D22" s="104">
        <v>3933</v>
      </c>
      <c r="E22" s="15">
        <f t="shared" si="0"/>
        <v>-152</v>
      </c>
      <c r="F22" s="730">
        <v>12.2</v>
      </c>
      <c r="G22" s="16">
        <v>11.7</v>
      </c>
      <c r="H22" s="17">
        <f t="shared" si="1"/>
        <v>-0.5</v>
      </c>
      <c r="I22" s="158"/>
    </row>
    <row r="23" spans="2:9" x14ac:dyDescent="0.25">
      <c r="B23" s="18" t="s">
        <v>41</v>
      </c>
      <c r="C23" s="13">
        <v>3426</v>
      </c>
      <c r="D23" s="104">
        <v>2919</v>
      </c>
      <c r="E23" s="15">
        <f t="shared" si="0"/>
        <v>-507</v>
      </c>
      <c r="F23" s="730">
        <v>11.9</v>
      </c>
      <c r="G23" s="16">
        <v>10.199999999999999</v>
      </c>
      <c r="H23" s="17">
        <f t="shared" si="1"/>
        <v>-1.7000000000000011</v>
      </c>
      <c r="I23" s="158"/>
    </row>
    <row r="24" spans="2:9" x14ac:dyDescent="0.25">
      <c r="B24" s="18" t="s">
        <v>42</v>
      </c>
      <c r="C24" s="13">
        <v>6405</v>
      </c>
      <c r="D24" s="104">
        <v>5711</v>
      </c>
      <c r="E24" s="15">
        <f t="shared" si="0"/>
        <v>-694</v>
      </c>
      <c r="F24" s="730">
        <v>8.6999999999999993</v>
      </c>
      <c r="G24" s="16">
        <v>7.8</v>
      </c>
      <c r="H24" s="17">
        <f t="shared" si="1"/>
        <v>-0.89999999999999947</v>
      </c>
      <c r="I24" s="158"/>
    </row>
    <row r="25" spans="2:9" x14ac:dyDescent="0.25">
      <c r="B25" s="18" t="s">
        <v>43</v>
      </c>
      <c r="C25" s="13">
        <v>2822</v>
      </c>
      <c r="D25" s="104">
        <v>2741</v>
      </c>
      <c r="E25" s="15">
        <f t="shared" si="0"/>
        <v>-81</v>
      </c>
      <c r="F25" s="730">
        <v>6.8</v>
      </c>
      <c r="G25" s="16">
        <v>6.5</v>
      </c>
      <c r="H25" s="17">
        <f t="shared" si="1"/>
        <v>-0.29999999999999982</v>
      </c>
      <c r="I25" s="158"/>
    </row>
    <row r="26" spans="2:9" x14ac:dyDescent="0.25">
      <c r="B26" s="18" t="s">
        <v>44</v>
      </c>
      <c r="C26" s="13">
        <v>2417</v>
      </c>
      <c r="D26" s="104">
        <v>2077</v>
      </c>
      <c r="E26" s="15">
        <f t="shared" si="0"/>
        <v>-340</v>
      </c>
      <c r="F26" s="730">
        <v>5.5</v>
      </c>
      <c r="G26" s="16">
        <v>4.7</v>
      </c>
      <c r="H26" s="17">
        <f t="shared" si="1"/>
        <v>-0.79999999999999982</v>
      </c>
      <c r="I26" s="158"/>
    </row>
    <row r="27" spans="2:9" x14ac:dyDescent="0.25">
      <c r="B27" s="18" t="s">
        <v>45</v>
      </c>
      <c r="C27" s="13">
        <v>3730</v>
      </c>
      <c r="D27" s="104">
        <v>3441</v>
      </c>
      <c r="E27" s="15">
        <f t="shared" si="0"/>
        <v>-289</v>
      </c>
      <c r="F27" s="730">
        <v>14</v>
      </c>
      <c r="G27" s="16">
        <v>13</v>
      </c>
      <c r="H27" s="17">
        <f t="shared" si="1"/>
        <v>-1</v>
      </c>
      <c r="I27" s="158"/>
    </row>
    <row r="28" spans="2:9" x14ac:dyDescent="0.25">
      <c r="B28" s="18" t="s">
        <v>46</v>
      </c>
      <c r="C28" s="13">
        <v>1526</v>
      </c>
      <c r="D28" s="104">
        <v>1472</v>
      </c>
      <c r="E28" s="15">
        <f t="shared" si="0"/>
        <v>-54</v>
      </c>
      <c r="F28" s="730">
        <v>6.5</v>
      </c>
      <c r="G28" s="16">
        <v>6.3</v>
      </c>
      <c r="H28" s="17">
        <f t="shared" si="1"/>
        <v>-0.20000000000000018</v>
      </c>
      <c r="I28" s="158"/>
    </row>
    <row r="29" spans="2:9" x14ac:dyDescent="0.25">
      <c r="B29" s="18" t="s">
        <v>533</v>
      </c>
      <c r="C29" s="13">
        <v>789</v>
      </c>
      <c r="D29" s="104">
        <v>695</v>
      </c>
      <c r="E29" s="15">
        <f t="shared" si="0"/>
        <v>-94</v>
      </c>
      <c r="F29" s="730">
        <v>2.6</v>
      </c>
      <c r="G29" s="16">
        <v>2.2999999999999998</v>
      </c>
      <c r="H29" s="17">
        <f t="shared" si="1"/>
        <v>-0.30000000000000027</v>
      </c>
      <c r="I29" s="158"/>
    </row>
    <row r="30" spans="2:9" x14ac:dyDescent="0.25">
      <c r="B30" s="18" t="s">
        <v>534</v>
      </c>
      <c r="C30" s="13">
        <v>3088</v>
      </c>
      <c r="D30" s="104">
        <v>2851</v>
      </c>
      <c r="E30" s="15">
        <f t="shared" si="0"/>
        <v>-237</v>
      </c>
      <c r="F30" s="730">
        <v>11.2</v>
      </c>
      <c r="G30" s="16">
        <v>10.3</v>
      </c>
      <c r="H30" s="17">
        <f t="shared" si="1"/>
        <v>-0.89999999999999858</v>
      </c>
      <c r="I30" s="158"/>
    </row>
    <row r="31" spans="2:9" x14ac:dyDescent="0.25">
      <c r="B31" s="18" t="s">
        <v>535</v>
      </c>
      <c r="C31" s="13">
        <v>6571</v>
      </c>
      <c r="D31" s="104">
        <v>6181</v>
      </c>
      <c r="E31" s="15">
        <f t="shared" si="0"/>
        <v>-390</v>
      </c>
      <c r="F31" s="730">
        <v>5.2</v>
      </c>
      <c r="G31" s="16">
        <v>4.8</v>
      </c>
      <c r="H31" s="17">
        <f t="shared" si="1"/>
        <v>-0.40000000000000036</v>
      </c>
      <c r="I31" s="158"/>
    </row>
    <row r="32" spans="2:9" ht="15.75" thickBot="1" x14ac:dyDescent="0.3">
      <c r="B32" s="19" t="s">
        <v>536</v>
      </c>
      <c r="C32" s="20">
        <v>1473</v>
      </c>
      <c r="D32" s="105">
        <v>1284</v>
      </c>
      <c r="E32" s="22">
        <f t="shared" si="0"/>
        <v>-189</v>
      </c>
      <c r="F32" s="731">
        <v>8.5</v>
      </c>
      <c r="G32" s="23">
        <v>7.4</v>
      </c>
      <c r="H32" s="24">
        <f t="shared" si="1"/>
        <v>-1.0999999999999996</v>
      </c>
      <c r="I32" s="158"/>
    </row>
    <row r="33" spans="2:2" x14ac:dyDescent="0.25">
      <c r="B33" s="68" t="s">
        <v>145</v>
      </c>
    </row>
  </sheetData>
  <mergeCells count="3">
    <mergeCell ref="B5:B6"/>
    <mergeCell ref="C5:E5"/>
    <mergeCell ref="F5:H5"/>
  </mergeCells>
  <printOptions horizontalCentered="1"/>
  <pageMargins left="0" right="0" top="0.78740157480314965" bottom="0.39370078740157483" header="0" footer="0"/>
  <pageSetup paperSize="9" scale="9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F2"/>
  </sheetPr>
  <dimension ref="A2:M43"/>
  <sheetViews>
    <sheetView zoomScale="90" zoomScaleNormal="90" workbookViewId="0">
      <selection activeCell="B1" sqref="B1"/>
    </sheetView>
  </sheetViews>
  <sheetFormatPr defaultRowHeight="15" x14ac:dyDescent="0.25"/>
  <cols>
    <col min="1" max="1" width="3.85546875" style="2" customWidth="1"/>
    <col min="2" max="2" width="12" style="2" customWidth="1"/>
    <col min="3" max="3" width="15.42578125" style="2" customWidth="1"/>
    <col min="4" max="4" width="9.85546875" style="2" customWidth="1"/>
    <col min="5" max="5" width="7.42578125" style="2" customWidth="1"/>
    <col min="6" max="6" width="10.5703125" style="95" customWidth="1"/>
    <col min="7" max="7" width="8.28515625" style="2" customWidth="1"/>
    <col min="8" max="8" width="8" style="2" customWidth="1"/>
    <col min="9" max="10" width="9.42578125" style="2" customWidth="1"/>
    <col min="11" max="11" width="9.85546875" style="2" customWidth="1"/>
    <col min="12" max="12" width="7.85546875" style="2" customWidth="1"/>
    <col min="13" max="16384" width="9.140625" style="2"/>
  </cols>
  <sheetData>
    <row r="2" spans="1:13" x14ac:dyDescent="0.25">
      <c r="B2" s="157" t="s">
        <v>476</v>
      </c>
    </row>
    <row r="3" spans="1:13" ht="19.5" thickBot="1" x14ac:dyDescent="0.3">
      <c r="B3" s="157" t="s">
        <v>477</v>
      </c>
      <c r="G3" s="569"/>
    </row>
    <row r="4" spans="1:13" ht="18.75" customHeight="1" x14ac:dyDescent="0.25">
      <c r="B4" s="614" t="s">
        <v>3</v>
      </c>
      <c r="C4" s="615"/>
      <c r="D4" s="615"/>
      <c r="E4" s="615"/>
      <c r="F4" s="802"/>
      <c r="G4" s="1147" t="s">
        <v>447</v>
      </c>
      <c r="H4" s="1147"/>
      <c r="I4" s="1147"/>
      <c r="J4" s="1147"/>
      <c r="K4" s="1147"/>
      <c r="L4" s="1148"/>
    </row>
    <row r="5" spans="1:13" ht="45" customHeight="1" thickBot="1" x14ac:dyDescent="0.3">
      <c r="A5" s="576"/>
      <c r="B5" s="787"/>
      <c r="C5" s="819"/>
      <c r="D5" s="819"/>
      <c r="E5" s="819"/>
      <c r="F5" s="803" t="s">
        <v>62</v>
      </c>
      <c r="G5" s="788" t="s">
        <v>88</v>
      </c>
      <c r="H5" s="789" t="s">
        <v>77</v>
      </c>
      <c r="I5" s="789" t="s">
        <v>84</v>
      </c>
      <c r="J5" s="790" t="s">
        <v>85</v>
      </c>
      <c r="K5" s="791" t="s">
        <v>86</v>
      </c>
      <c r="L5" s="792" t="s">
        <v>87</v>
      </c>
    </row>
    <row r="6" spans="1:13" ht="16.5" customHeight="1" thickTop="1" x14ac:dyDescent="0.25">
      <c r="B6" s="793" t="s">
        <v>480</v>
      </c>
      <c r="C6" s="810"/>
      <c r="D6" s="1149" t="s">
        <v>4</v>
      </c>
      <c r="E6" s="794" t="s">
        <v>137</v>
      </c>
      <c r="F6" s="856">
        <f t="shared" ref="F6:F30" si="0">SUM(G6:L6)</f>
        <v>47408</v>
      </c>
      <c r="G6" s="857">
        <f>SUM(T.XVI!D8)</f>
        <v>4973</v>
      </c>
      <c r="H6" s="858">
        <f>SUM(T.XVI!E8)</f>
        <v>8520</v>
      </c>
      <c r="I6" s="858">
        <f>SUM(T.XVI!F8)</f>
        <v>6649</v>
      </c>
      <c r="J6" s="859">
        <f>SUM(T.XVI!G8)</f>
        <v>6575</v>
      </c>
      <c r="K6" s="857">
        <f>SUM(T.XVI!H8)</f>
        <v>6833</v>
      </c>
      <c r="L6" s="860">
        <f>SUM(T.XVI!I8)</f>
        <v>13858</v>
      </c>
      <c r="M6" s="769"/>
    </row>
    <row r="7" spans="1:13" ht="15" customHeight="1" x14ac:dyDescent="0.25">
      <c r="B7" s="593" t="s">
        <v>479</v>
      </c>
      <c r="C7" s="811"/>
      <c r="D7" s="1150"/>
      <c r="E7" s="783" t="s">
        <v>138</v>
      </c>
      <c r="F7" s="805">
        <f>SUM(G7:L7)</f>
        <v>100.00000000000001</v>
      </c>
      <c r="G7" s="406">
        <f>G6*100/F6</f>
        <v>10.489790752615592</v>
      </c>
      <c r="H7" s="16">
        <f>H6*100/F6</f>
        <v>17.971650354370571</v>
      </c>
      <c r="I7" s="16">
        <f>I6*100/F6</f>
        <v>14.025059061761729</v>
      </c>
      <c r="J7" s="784">
        <f>J6*100/F6</f>
        <v>13.868967262909214</v>
      </c>
      <c r="K7" s="406">
        <f>K6*100/F6</f>
        <v>14.413179210259871</v>
      </c>
      <c r="L7" s="17">
        <f>L6*100/F6</f>
        <v>29.231353358083023</v>
      </c>
    </row>
    <row r="8" spans="1:13" ht="18.75" customHeight="1" x14ac:dyDescent="0.25">
      <c r="B8" s="593" t="s">
        <v>446</v>
      </c>
      <c r="C8" s="811"/>
      <c r="D8" s="1151" t="s">
        <v>119</v>
      </c>
      <c r="E8" s="813" t="s">
        <v>137</v>
      </c>
      <c r="F8" s="861">
        <f>SUM(G8:L8)</f>
        <v>25451</v>
      </c>
      <c r="G8" s="862">
        <f>SUM(T.XVII!D8)</f>
        <v>1935</v>
      </c>
      <c r="H8" s="863">
        <f>SUM(T.XVII!E8)</f>
        <v>3919</v>
      </c>
      <c r="I8" s="863">
        <f>SUM(T.XVII!F8)</f>
        <v>3419</v>
      </c>
      <c r="J8" s="864">
        <f>SUM(T.XVII!G8)</f>
        <v>3359</v>
      </c>
      <c r="K8" s="1039">
        <f>SUM(T.XVII!H8)</f>
        <v>3901</v>
      </c>
      <c r="L8" s="866">
        <f>SUM(T.XVII!I8)</f>
        <v>8918</v>
      </c>
      <c r="M8" s="769"/>
    </row>
    <row r="9" spans="1:13" ht="15.75" customHeight="1" thickBot="1" x14ac:dyDescent="0.3">
      <c r="B9" s="796"/>
      <c r="C9" s="812"/>
      <c r="D9" s="1152"/>
      <c r="E9" s="797" t="s">
        <v>138</v>
      </c>
      <c r="F9" s="806">
        <f>SUM(G9:L9)</f>
        <v>100</v>
      </c>
      <c r="G9" s="799">
        <f>G8*100/F8</f>
        <v>7.6028446819378415</v>
      </c>
      <c r="H9" s="800">
        <f>H8*100/F8</f>
        <v>15.398216180110801</v>
      </c>
      <c r="I9" s="800">
        <f>I8*100/F8</f>
        <v>13.433656830772858</v>
      </c>
      <c r="J9" s="798">
        <f>J8*100/F8</f>
        <v>13.197909708852304</v>
      </c>
      <c r="K9" s="799">
        <f>K8*100/F8</f>
        <v>15.327492043534635</v>
      </c>
      <c r="L9" s="801">
        <f>L8*100/F8</f>
        <v>35.039880554791559</v>
      </c>
      <c r="M9" s="578"/>
    </row>
    <row r="10" spans="1:13" ht="15" customHeight="1" thickTop="1" x14ac:dyDescent="0.25">
      <c r="B10" s="1193" t="s">
        <v>459</v>
      </c>
      <c r="C10" s="1155" t="s">
        <v>75</v>
      </c>
      <c r="D10" s="1157" t="s">
        <v>4</v>
      </c>
      <c r="E10" s="917" t="s">
        <v>137</v>
      </c>
      <c r="F10" s="807">
        <f t="shared" si="0"/>
        <v>9602</v>
      </c>
      <c r="G10" s="605">
        <f>SUM(T.XVI!D23)</f>
        <v>1239</v>
      </c>
      <c r="H10" s="606">
        <f>SUM(T.XVI!E23)</f>
        <v>2075</v>
      </c>
      <c r="I10" s="606">
        <f>SUM(T.XVI!F23)</f>
        <v>1363</v>
      </c>
      <c r="J10" s="781">
        <f>SUM(T.XVI!G23)</f>
        <v>1183</v>
      </c>
      <c r="K10" s="605">
        <f>SUM(T.XVI!H23)</f>
        <v>1297</v>
      </c>
      <c r="L10" s="607">
        <f>SUM(T.XVI!I23)</f>
        <v>2445</v>
      </c>
      <c r="M10" s="769"/>
    </row>
    <row r="11" spans="1:13" x14ac:dyDescent="0.25">
      <c r="B11" s="1172"/>
      <c r="C11" s="1156"/>
      <c r="D11" s="1150"/>
      <c r="E11" s="783" t="s">
        <v>138</v>
      </c>
      <c r="F11" s="805">
        <f>SUM(G11:L11)</f>
        <v>100</v>
      </c>
      <c r="G11" s="406">
        <f>G10*100/F10</f>
        <v>12.90356175796709</v>
      </c>
      <c r="H11" s="16">
        <f>H10*100/F10</f>
        <v>21.610081233076443</v>
      </c>
      <c r="I11" s="16">
        <f>I10*100/F10</f>
        <v>14.194959383461779</v>
      </c>
      <c r="J11" s="784">
        <f>J10*100/F10</f>
        <v>12.320349927098521</v>
      </c>
      <c r="K11" s="406">
        <f>K10*100/F10</f>
        <v>13.507602582795251</v>
      </c>
      <c r="L11" s="17">
        <f>L10*100/F10</f>
        <v>25.463445115600916</v>
      </c>
    </row>
    <row r="12" spans="1:13" ht="15" customHeight="1" x14ac:dyDescent="0.25">
      <c r="B12" s="1172"/>
      <c r="C12" s="1156"/>
      <c r="D12" s="1151" t="s">
        <v>119</v>
      </c>
      <c r="E12" s="813" t="s">
        <v>137</v>
      </c>
      <c r="F12" s="814">
        <f>SUM(G12:L12)</f>
        <v>5731</v>
      </c>
      <c r="G12" s="815">
        <f>SUM(T.XVII!D23)</f>
        <v>578</v>
      </c>
      <c r="H12" s="816">
        <f>SUM(T.XVII!E23)</f>
        <v>1071</v>
      </c>
      <c r="I12" s="816">
        <f>SUM(T.XVII!F23)</f>
        <v>772</v>
      </c>
      <c r="J12" s="817">
        <f>SUM(T.XVII!G23)</f>
        <v>701</v>
      </c>
      <c r="K12" s="815">
        <f>SUM(T.XVII!H23)</f>
        <v>834</v>
      </c>
      <c r="L12" s="818">
        <f>SUM(T.XVII!I23)</f>
        <v>1775</v>
      </c>
      <c r="M12" s="769"/>
    </row>
    <row r="13" spans="1:13" x14ac:dyDescent="0.25">
      <c r="B13" s="1172"/>
      <c r="C13" s="1156"/>
      <c r="D13" s="1151"/>
      <c r="E13" s="783" t="s">
        <v>138</v>
      </c>
      <c r="F13" s="805">
        <f>SUM(G13:L13)</f>
        <v>100.00000000000001</v>
      </c>
      <c r="G13" s="406">
        <f>G12*100/F12</f>
        <v>10.085499912755191</v>
      </c>
      <c r="H13" s="16">
        <f>H12*100/F12</f>
        <v>18.687838073634619</v>
      </c>
      <c r="I13" s="16">
        <f>I12*100/F12</f>
        <v>13.470598499389286</v>
      </c>
      <c r="J13" s="784">
        <f>J12*100/F12</f>
        <v>12.231722212528355</v>
      </c>
      <c r="K13" s="406">
        <f>K12*100/F12</f>
        <v>14.552434130169255</v>
      </c>
      <c r="L13" s="17">
        <f>L12*100/F12</f>
        <v>30.971907171523295</v>
      </c>
    </row>
    <row r="14" spans="1:13" ht="15" customHeight="1" x14ac:dyDescent="0.25">
      <c r="B14" s="1172"/>
      <c r="C14" s="1158" t="s">
        <v>79</v>
      </c>
      <c r="D14" s="1150" t="s">
        <v>4</v>
      </c>
      <c r="E14" s="909" t="s">
        <v>137</v>
      </c>
      <c r="F14" s="808">
        <f t="shared" si="0"/>
        <v>12726</v>
      </c>
      <c r="G14" s="609">
        <f>SUM(T.XVI!D24)</f>
        <v>1468</v>
      </c>
      <c r="H14" s="547">
        <f>SUM(T.XVI!E24)</f>
        <v>2430</v>
      </c>
      <c r="I14" s="547">
        <f>SUM(T.XVI!F24)</f>
        <v>1869</v>
      </c>
      <c r="J14" s="780">
        <f>SUM(T.XVI!G24)</f>
        <v>1920</v>
      </c>
      <c r="K14" s="609">
        <f>SUM(T.XVI!H24)</f>
        <v>1866</v>
      </c>
      <c r="L14" s="610">
        <f>SUM(T.XVI!I24)</f>
        <v>3173</v>
      </c>
      <c r="M14" s="769"/>
    </row>
    <row r="15" spans="1:13" x14ac:dyDescent="0.25">
      <c r="B15" s="1172"/>
      <c r="C15" s="1158"/>
      <c r="D15" s="1150"/>
      <c r="E15" s="783" t="s">
        <v>138</v>
      </c>
      <c r="F15" s="805">
        <f>SUM(G15:L15)</f>
        <v>100</v>
      </c>
      <c r="G15" s="406">
        <f>G14*100/F14</f>
        <v>11.535439258211536</v>
      </c>
      <c r="H15" s="16">
        <f>H14*100/F14</f>
        <v>19.094766619519095</v>
      </c>
      <c r="I15" s="16">
        <f>I14*100/F14</f>
        <v>14.686468646864686</v>
      </c>
      <c r="J15" s="784">
        <f>J14*100/F14</f>
        <v>15.087223008015087</v>
      </c>
      <c r="K15" s="406">
        <f>K14*100/F14</f>
        <v>14.662894860914664</v>
      </c>
      <c r="L15" s="17">
        <f>L14*100/F14</f>
        <v>24.933207606474934</v>
      </c>
    </row>
    <row r="16" spans="1:13" ht="15" customHeight="1" x14ac:dyDescent="0.25">
      <c r="B16" s="1172"/>
      <c r="C16" s="1158"/>
      <c r="D16" s="1151" t="s">
        <v>119</v>
      </c>
      <c r="E16" s="813" t="s">
        <v>137</v>
      </c>
      <c r="F16" s="814">
        <f>SUM(G16:L16)</f>
        <v>7096</v>
      </c>
      <c r="G16" s="815">
        <f>SUM(T.XVII!D24)</f>
        <v>540</v>
      </c>
      <c r="H16" s="816">
        <f>SUM(T.XVII!E24)</f>
        <v>1129</v>
      </c>
      <c r="I16" s="816">
        <f>SUM(T.XVII!F24)</f>
        <v>1002</v>
      </c>
      <c r="J16" s="817">
        <f>SUM(T.XVII!G24)</f>
        <v>1067</v>
      </c>
      <c r="K16" s="815">
        <f>SUM(T.XVII!H24)</f>
        <v>1167</v>
      </c>
      <c r="L16" s="818">
        <f>SUM(T.XVII!I24)</f>
        <v>2191</v>
      </c>
      <c r="M16" s="769"/>
    </row>
    <row r="17" spans="2:13" x14ac:dyDescent="0.25">
      <c r="B17" s="1172"/>
      <c r="C17" s="1158"/>
      <c r="D17" s="1151"/>
      <c r="E17" s="783" t="s">
        <v>138</v>
      </c>
      <c r="F17" s="805">
        <f>SUM(G17:L17)</f>
        <v>100</v>
      </c>
      <c r="G17" s="406">
        <f>G16*100/F16</f>
        <v>7.6099210822998868</v>
      </c>
      <c r="H17" s="16">
        <f>H16*100/F16</f>
        <v>15.910372040586246</v>
      </c>
      <c r="I17" s="16">
        <f>I16*100/F16</f>
        <v>14.120631341600902</v>
      </c>
      <c r="J17" s="784">
        <f>J16*100/F16</f>
        <v>15.036640360766629</v>
      </c>
      <c r="K17" s="406">
        <f>K16*100/F16</f>
        <v>16.445885005636978</v>
      </c>
      <c r="L17" s="17">
        <f>L16*100/F16</f>
        <v>30.876550169109358</v>
      </c>
    </row>
    <row r="18" spans="2:13" x14ac:dyDescent="0.25">
      <c r="B18" s="1172"/>
      <c r="C18" s="1158" t="s">
        <v>80</v>
      </c>
      <c r="D18" s="1150" t="s">
        <v>4</v>
      </c>
      <c r="E18" s="909" t="s">
        <v>137</v>
      </c>
      <c r="F18" s="808">
        <f t="shared" si="0"/>
        <v>7001</v>
      </c>
      <c r="G18" s="609">
        <f>SUM(T.XVI!D25)</f>
        <v>707</v>
      </c>
      <c r="H18" s="547">
        <f>SUM(T.XVI!E25)</f>
        <v>1087</v>
      </c>
      <c r="I18" s="547">
        <f>SUM(T.XVI!F25)</f>
        <v>950</v>
      </c>
      <c r="J18" s="780">
        <f>SUM(T.XVI!G25)</f>
        <v>1100</v>
      </c>
      <c r="K18" s="609">
        <f>SUM(T.XVI!H25)</f>
        <v>1102</v>
      </c>
      <c r="L18" s="610">
        <f>SUM(T.XVI!I25)</f>
        <v>2055</v>
      </c>
    </row>
    <row r="19" spans="2:13" x14ac:dyDescent="0.25">
      <c r="B19" s="1172"/>
      <c r="C19" s="1158"/>
      <c r="D19" s="1150"/>
      <c r="E19" s="783" t="s">
        <v>138</v>
      </c>
      <c r="F19" s="805">
        <f>SUM(G19:L19)</f>
        <v>100</v>
      </c>
      <c r="G19" s="406">
        <f>G18*100/F18</f>
        <v>10.09855734895015</v>
      </c>
      <c r="H19" s="16">
        <f>H18*100/F18</f>
        <v>15.526353378088844</v>
      </c>
      <c r="I19" s="16">
        <f>I18*100/F18</f>
        <v>13.569490072846737</v>
      </c>
      <c r="J19" s="784">
        <f>J18*100/F18</f>
        <v>15.712041136980432</v>
      </c>
      <c r="K19" s="406">
        <f>K18*100/F18</f>
        <v>15.740608484502214</v>
      </c>
      <c r="L19" s="17">
        <f>L18*100/F18</f>
        <v>29.352949578631623</v>
      </c>
    </row>
    <row r="20" spans="2:13" ht="15" customHeight="1" x14ac:dyDescent="0.25">
      <c r="B20" s="1172"/>
      <c r="C20" s="1158"/>
      <c r="D20" s="1151" t="s">
        <v>119</v>
      </c>
      <c r="E20" s="813" t="s">
        <v>137</v>
      </c>
      <c r="F20" s="814">
        <f>SUM(G20:L20)</f>
        <v>3626</v>
      </c>
      <c r="G20" s="815">
        <f>SUM(T.XVII!D25)</f>
        <v>242</v>
      </c>
      <c r="H20" s="816">
        <f>SUM(T.XVII!E25)</f>
        <v>453</v>
      </c>
      <c r="I20" s="816">
        <f>SUM(T.XVII!F25)</f>
        <v>474</v>
      </c>
      <c r="J20" s="817">
        <f>SUM(T.XVII!G25)</f>
        <v>561</v>
      </c>
      <c r="K20" s="815">
        <f>SUM(T.XVII!H25)</f>
        <v>614</v>
      </c>
      <c r="L20" s="818">
        <f>SUM(T.XVII!I25)</f>
        <v>1282</v>
      </c>
    </row>
    <row r="21" spans="2:13" x14ac:dyDescent="0.25">
      <c r="B21" s="1172"/>
      <c r="C21" s="1158"/>
      <c r="D21" s="1151"/>
      <c r="E21" s="783" t="s">
        <v>138</v>
      </c>
      <c r="F21" s="805">
        <f>SUM(G21:L21)</f>
        <v>100</v>
      </c>
      <c r="G21" s="406">
        <f>G20*100/F20</f>
        <v>6.6740209597352456</v>
      </c>
      <c r="H21" s="16">
        <f>H20*100/F20</f>
        <v>12.493105350248207</v>
      </c>
      <c r="I21" s="16">
        <f>I20*100/F20</f>
        <v>13.072255929398786</v>
      </c>
      <c r="J21" s="784">
        <f>J20*100/F20</f>
        <v>15.471594043022614</v>
      </c>
      <c r="K21" s="406">
        <f>K20*100/F20</f>
        <v>16.933259790402648</v>
      </c>
      <c r="L21" s="17">
        <f>L20*100/F20</f>
        <v>35.355763927192498</v>
      </c>
    </row>
    <row r="22" spans="2:13" x14ac:dyDescent="0.25">
      <c r="B22" s="1172"/>
      <c r="C22" s="1158" t="s">
        <v>81</v>
      </c>
      <c r="D22" s="1150" t="s">
        <v>4</v>
      </c>
      <c r="E22" s="909" t="s">
        <v>137</v>
      </c>
      <c r="F22" s="808">
        <f t="shared" si="0"/>
        <v>6418</v>
      </c>
      <c r="G22" s="609">
        <f>SUM(T.XVI!D26)</f>
        <v>618</v>
      </c>
      <c r="H22" s="547">
        <f>SUM(T.XVI!E26)</f>
        <v>1031</v>
      </c>
      <c r="I22" s="547">
        <f>SUM(T.XVI!F26)</f>
        <v>808</v>
      </c>
      <c r="J22" s="780">
        <f>SUM(T.XVI!G26)</f>
        <v>931</v>
      </c>
      <c r="K22" s="609">
        <f>SUM(T.XVI!H26)</f>
        <v>979</v>
      </c>
      <c r="L22" s="610">
        <f>SUM(T.XVI!I26)</f>
        <v>2051</v>
      </c>
    </row>
    <row r="23" spans="2:13" x14ac:dyDescent="0.25">
      <c r="B23" s="1172"/>
      <c r="C23" s="1158"/>
      <c r="D23" s="1150"/>
      <c r="E23" s="783" t="s">
        <v>138</v>
      </c>
      <c r="F23" s="805">
        <f>SUM(G23:L23)</f>
        <v>100</v>
      </c>
      <c r="G23" s="406">
        <f>G22*100/F22</f>
        <v>9.6291679650981621</v>
      </c>
      <c r="H23" s="16">
        <f>H22*100/F22</f>
        <v>16.064194453100654</v>
      </c>
      <c r="I23" s="16">
        <f>I22*100/F22</f>
        <v>12.58959177313805</v>
      </c>
      <c r="J23" s="784">
        <f>J22*100/F22</f>
        <v>14.50607665939545</v>
      </c>
      <c r="K23" s="406">
        <f>K22*100/F22</f>
        <v>15.253973200373949</v>
      </c>
      <c r="L23" s="17">
        <f>L22*100/F22</f>
        <v>31.956995948893738</v>
      </c>
    </row>
    <row r="24" spans="2:13" ht="15" customHeight="1" x14ac:dyDescent="0.25">
      <c r="B24" s="1172"/>
      <c r="C24" s="1158"/>
      <c r="D24" s="1151" t="s">
        <v>119</v>
      </c>
      <c r="E24" s="813" t="s">
        <v>137</v>
      </c>
      <c r="F24" s="814">
        <f>SUM(G24:L24)</f>
        <v>2988</v>
      </c>
      <c r="G24" s="815">
        <f>SUM(T.XVII!D26)</f>
        <v>213</v>
      </c>
      <c r="H24" s="816">
        <f>SUM(T.XVII!E26)</f>
        <v>440</v>
      </c>
      <c r="I24" s="816">
        <f>SUM(T.XVII!F26)</f>
        <v>383</v>
      </c>
      <c r="J24" s="817">
        <f>SUM(T.XVII!G26)</f>
        <v>399</v>
      </c>
      <c r="K24" s="815">
        <f>SUM(T.XVII!H26)</f>
        <v>459</v>
      </c>
      <c r="L24" s="818">
        <f>SUM(T.XVII!I26)</f>
        <v>1094</v>
      </c>
    </row>
    <row r="25" spans="2:13" x14ac:dyDescent="0.25">
      <c r="B25" s="1172"/>
      <c r="C25" s="1158"/>
      <c r="D25" s="1151"/>
      <c r="E25" s="783" t="s">
        <v>138</v>
      </c>
      <c r="F25" s="805">
        <f>SUM(G25:L25)</f>
        <v>100</v>
      </c>
      <c r="G25" s="406">
        <f>G24*100/F24</f>
        <v>7.1285140562248994</v>
      </c>
      <c r="H25" s="16">
        <f>H24*100/F24</f>
        <v>14.725568942436412</v>
      </c>
      <c r="I25" s="16">
        <f>I24*100/F24</f>
        <v>12.817938420348058</v>
      </c>
      <c r="J25" s="784">
        <f>J24*100/F24</f>
        <v>13.353413654618475</v>
      </c>
      <c r="K25" s="406">
        <f>K24*100/F24</f>
        <v>15.361445783132529</v>
      </c>
      <c r="L25" s="17">
        <f>L24*100/F24</f>
        <v>36.613119143239622</v>
      </c>
    </row>
    <row r="26" spans="2:13" x14ac:dyDescent="0.25">
      <c r="B26" s="1172"/>
      <c r="C26" s="1163" t="s">
        <v>82</v>
      </c>
      <c r="D26" s="1157" t="s">
        <v>4</v>
      </c>
      <c r="E26" s="917" t="s">
        <v>137</v>
      </c>
      <c r="F26" s="807">
        <f t="shared" si="0"/>
        <v>3141</v>
      </c>
      <c r="G26" s="605">
        <f>SUM(T.XVI!D27)</f>
        <v>304</v>
      </c>
      <c r="H26" s="606">
        <f>SUM(T.XVI!E27)</f>
        <v>524</v>
      </c>
      <c r="I26" s="606">
        <f>SUM(T.XVI!F27)</f>
        <v>404</v>
      </c>
      <c r="J26" s="781">
        <f>SUM(T.XVI!G27)</f>
        <v>536</v>
      </c>
      <c r="K26" s="605">
        <f>SUM(T.XVI!H27)</f>
        <v>440</v>
      </c>
      <c r="L26" s="607">
        <f>SUM(T.XVI!I27)</f>
        <v>933</v>
      </c>
    </row>
    <row r="27" spans="2:13" x14ac:dyDescent="0.25">
      <c r="B27" s="1172"/>
      <c r="C27" s="1158"/>
      <c r="D27" s="1150"/>
      <c r="E27" s="783" t="s">
        <v>138</v>
      </c>
      <c r="F27" s="805">
        <f>SUM(G27:L27)</f>
        <v>100</v>
      </c>
      <c r="G27" s="406">
        <f>G26*100/F26</f>
        <v>9.6784463546641195</v>
      </c>
      <c r="H27" s="16">
        <f>H26*100/F26</f>
        <v>16.682585163960521</v>
      </c>
      <c r="I27" s="16">
        <f>I26*100/F26</f>
        <v>12.862145813435212</v>
      </c>
      <c r="J27" s="784">
        <f>J26*100/F26</f>
        <v>17.064629099013054</v>
      </c>
      <c r="K27" s="406">
        <f>K26*100/F26</f>
        <v>14.008277618592805</v>
      </c>
      <c r="L27" s="17">
        <f>L26*100/F26</f>
        <v>29.703915950334288</v>
      </c>
    </row>
    <row r="28" spans="2:13" ht="15" customHeight="1" x14ac:dyDescent="0.25">
      <c r="B28" s="1172"/>
      <c r="C28" s="1158"/>
      <c r="D28" s="1151" t="s">
        <v>119</v>
      </c>
      <c r="E28" s="813" t="s">
        <v>137</v>
      </c>
      <c r="F28" s="814">
        <f>SUM(G28:L28)</f>
        <v>1026</v>
      </c>
      <c r="G28" s="815">
        <f>SUM(T.XVII!D27)</f>
        <v>87</v>
      </c>
      <c r="H28" s="816">
        <f>SUM(T.XVII!E27)</f>
        <v>181</v>
      </c>
      <c r="I28" s="816">
        <f>SUM(T.XVII!F27)</f>
        <v>149</v>
      </c>
      <c r="J28" s="817">
        <f>SUM(T.XVII!G27)</f>
        <v>182</v>
      </c>
      <c r="K28" s="815">
        <f>SUM(T.XVII!H27)</f>
        <v>148</v>
      </c>
      <c r="L28" s="818">
        <f>SUM(T.XVII!I27)</f>
        <v>279</v>
      </c>
    </row>
    <row r="29" spans="2:13" x14ac:dyDescent="0.25">
      <c r="B29" s="1172"/>
      <c r="C29" s="1158"/>
      <c r="D29" s="1151"/>
      <c r="E29" s="783" t="s">
        <v>138</v>
      </c>
      <c r="F29" s="805">
        <f>SUM(G29:L29)</f>
        <v>100</v>
      </c>
      <c r="G29" s="406">
        <f>G28*100/F28</f>
        <v>8.4795321637426895</v>
      </c>
      <c r="H29" s="16">
        <f>H28*100/F28</f>
        <v>17.641325536062379</v>
      </c>
      <c r="I29" s="16">
        <f>I28*100/F28</f>
        <v>14.522417153996102</v>
      </c>
      <c r="J29" s="784">
        <f>J28*100/F28</f>
        <v>17.738791423001949</v>
      </c>
      <c r="K29" s="406">
        <f>K28*100/F28</f>
        <v>14.42495126705653</v>
      </c>
      <c r="L29" s="17">
        <f>L28*100/F28</f>
        <v>27.192982456140349</v>
      </c>
    </row>
    <row r="30" spans="2:13" x14ac:dyDescent="0.25">
      <c r="B30" s="1172"/>
      <c r="C30" s="1158" t="s">
        <v>83</v>
      </c>
      <c r="D30" s="1150" t="s">
        <v>4</v>
      </c>
      <c r="E30" s="909" t="s">
        <v>137</v>
      </c>
      <c r="F30" s="808">
        <f t="shared" si="0"/>
        <v>1058</v>
      </c>
      <c r="G30" s="609">
        <f>SUM(T.XVI!D28)</f>
        <v>114</v>
      </c>
      <c r="H30" s="547">
        <f>SUM(T.XVI!E28)</f>
        <v>186</v>
      </c>
      <c r="I30" s="547">
        <f>SUM(T.XVI!F28)</f>
        <v>175</v>
      </c>
      <c r="J30" s="780">
        <f>SUM(T.XVI!G28)</f>
        <v>215</v>
      </c>
      <c r="K30" s="609">
        <f>SUM(T.XVI!H28)</f>
        <v>141</v>
      </c>
      <c r="L30" s="610">
        <f>SUM(T.XVI!I28)</f>
        <v>227</v>
      </c>
    </row>
    <row r="31" spans="2:13" x14ac:dyDescent="0.25">
      <c r="B31" s="1172"/>
      <c r="C31" s="1158"/>
      <c r="D31" s="1150"/>
      <c r="E31" s="783" t="s">
        <v>138</v>
      </c>
      <c r="F31" s="805">
        <f>SUM(G31:L31)</f>
        <v>100</v>
      </c>
      <c r="G31" s="406">
        <f>G30*100/F30</f>
        <v>10.775047258979207</v>
      </c>
      <c r="H31" s="16">
        <f>H30*100/F30</f>
        <v>17.580340264650285</v>
      </c>
      <c r="I31" s="16">
        <f>I30*100/F30</f>
        <v>16.540642722117202</v>
      </c>
      <c r="J31" s="784">
        <f>J30*100/F30</f>
        <v>20.321361058601134</v>
      </c>
      <c r="K31" s="406">
        <f>K30*100/F30</f>
        <v>13.32703213610586</v>
      </c>
      <c r="L31" s="17">
        <f>L30*100/F30</f>
        <v>21.455576559546312</v>
      </c>
      <c r="M31" s="578"/>
    </row>
    <row r="32" spans="2:13" ht="15" customHeight="1" x14ac:dyDescent="0.25">
      <c r="B32" s="1172"/>
      <c r="C32" s="1158"/>
      <c r="D32" s="1151" t="s">
        <v>119</v>
      </c>
      <c r="E32" s="813" t="s">
        <v>137</v>
      </c>
      <c r="F32" s="814">
        <f>SUM(G32:L32)</f>
        <v>239</v>
      </c>
      <c r="G32" s="815">
        <f>SUM(T.XVII!D28)</f>
        <v>29</v>
      </c>
      <c r="H32" s="816">
        <f>SUM(T.XVII!E28)</f>
        <v>56</v>
      </c>
      <c r="I32" s="816">
        <f>SUM(T.XVII!F28)</f>
        <v>53</v>
      </c>
      <c r="J32" s="817">
        <f>SUM(T.XVII!G28)</f>
        <v>44</v>
      </c>
      <c r="K32" s="815">
        <f>SUM(T.XVII!H28)</f>
        <v>27</v>
      </c>
      <c r="L32" s="818">
        <f>SUM(T.XVII!I28)</f>
        <v>30</v>
      </c>
    </row>
    <row r="33" spans="2:13" ht="15.75" thickBot="1" x14ac:dyDescent="0.3">
      <c r="B33" s="1172"/>
      <c r="C33" s="1175"/>
      <c r="D33" s="1174"/>
      <c r="E33" s="899" t="s">
        <v>138</v>
      </c>
      <c r="F33" s="805">
        <f>SUM(G33:L33)</f>
        <v>99.999999999999986</v>
      </c>
      <c r="G33" s="901">
        <f>G32*100/F32</f>
        <v>12.133891213389122</v>
      </c>
      <c r="H33" s="902">
        <f>H32*100/F32</f>
        <v>23.430962343096233</v>
      </c>
      <c r="I33" s="902">
        <f>I32*100/F32</f>
        <v>22.175732217573223</v>
      </c>
      <c r="J33" s="903">
        <f>J32*100/F32</f>
        <v>18.410041841004183</v>
      </c>
      <c r="K33" s="901">
        <f>K32*100/F32</f>
        <v>11.297071129707113</v>
      </c>
      <c r="L33" s="904">
        <f>L32*100/F32</f>
        <v>12.552301255230125</v>
      </c>
      <c r="M33" s="578"/>
    </row>
    <row r="34" spans="2:13" ht="15.75" thickTop="1" x14ac:dyDescent="0.25">
      <c r="B34" s="906"/>
      <c r="C34" s="1176" t="s">
        <v>76</v>
      </c>
      <c r="D34" s="1149" t="s">
        <v>4</v>
      </c>
      <c r="E34" s="794" t="s">
        <v>137</v>
      </c>
      <c r="F34" s="804">
        <f t="shared" ref="F34" si="1">SUM(G34:L34)</f>
        <v>7462</v>
      </c>
      <c r="G34" s="611">
        <f>SUM(T.XVI!D29)</f>
        <v>523</v>
      </c>
      <c r="H34" s="612">
        <f>SUM(T.XVI!E29)</f>
        <v>1187</v>
      </c>
      <c r="I34" s="612">
        <f>SUM(T.XVI!F29)</f>
        <v>1080</v>
      </c>
      <c r="J34" s="795">
        <f>SUM(T.XVI!G29)</f>
        <v>690</v>
      </c>
      <c r="K34" s="611">
        <f>SUM(T.XVI!H29)</f>
        <v>1008</v>
      </c>
      <c r="L34" s="613">
        <f>SUM(T.XVI!I29)</f>
        <v>2974</v>
      </c>
    </row>
    <row r="35" spans="2:13" x14ac:dyDescent="0.25">
      <c r="B35" s="906"/>
      <c r="C35" s="1158"/>
      <c r="D35" s="1150"/>
      <c r="E35" s="783" t="s">
        <v>138</v>
      </c>
      <c r="F35" s="805">
        <f>SUM(G35:L35)</f>
        <v>100</v>
      </c>
      <c r="G35" s="406">
        <f>G34*100/F34</f>
        <v>7.0088448137228623</v>
      </c>
      <c r="H35" s="16">
        <f>H34*100/F34</f>
        <v>15.907263468239078</v>
      </c>
      <c r="I35" s="16">
        <f>I34*100/F34</f>
        <v>14.473331546502278</v>
      </c>
      <c r="J35" s="784">
        <f>J34*100/F34</f>
        <v>9.2468507102653437</v>
      </c>
      <c r="K35" s="406">
        <f>K34*100/F34</f>
        <v>13.50844277673546</v>
      </c>
      <c r="L35" s="17">
        <f>L34*100/F34</f>
        <v>39.855266684534975</v>
      </c>
    </row>
    <row r="36" spans="2:13" x14ac:dyDescent="0.25">
      <c r="B36" s="906"/>
      <c r="C36" s="1158"/>
      <c r="D36" s="1151" t="s">
        <v>119</v>
      </c>
      <c r="E36" s="813" t="s">
        <v>137</v>
      </c>
      <c r="F36" s="814">
        <f>SUM(G36:L36)</f>
        <v>4745</v>
      </c>
      <c r="G36" s="815">
        <f>SUM(T.XVII!D29)</f>
        <v>246</v>
      </c>
      <c r="H36" s="816">
        <f>SUM(T.XVII!E29)</f>
        <v>589</v>
      </c>
      <c r="I36" s="816">
        <f>SUM(T.XVII!F29)</f>
        <v>586</v>
      </c>
      <c r="J36" s="817">
        <f>SUM(T.XVII!G29)</f>
        <v>405</v>
      </c>
      <c r="K36" s="815">
        <f>SUM(T.XVII!H29)</f>
        <v>652</v>
      </c>
      <c r="L36" s="818">
        <f>SUM(T.XVII!I29:N29)</f>
        <v>2267</v>
      </c>
    </row>
    <row r="37" spans="2:13" ht="15.75" thickBot="1" x14ac:dyDescent="0.3">
      <c r="B37" s="842"/>
      <c r="C37" s="1159"/>
      <c r="D37" s="1160"/>
      <c r="E37" s="785" t="s">
        <v>138</v>
      </c>
      <c r="F37" s="809">
        <f>SUM(G37:L37)</f>
        <v>100</v>
      </c>
      <c r="G37" s="409">
        <f>G36*100/F36</f>
        <v>5.1844046364594307</v>
      </c>
      <c r="H37" s="23">
        <f>H36*100/F36</f>
        <v>12.413066385669126</v>
      </c>
      <c r="I37" s="23">
        <f>I36*100/F36</f>
        <v>12.349841938883035</v>
      </c>
      <c r="J37" s="786">
        <f>J36*100/F36</f>
        <v>8.5353003161222336</v>
      </c>
      <c r="K37" s="409">
        <f>K36*100/F36</f>
        <v>13.740779768177028</v>
      </c>
      <c r="L37" s="24">
        <f>L36*100/F36</f>
        <v>47.776606954689143</v>
      </c>
    </row>
    <row r="38" spans="2:13" x14ac:dyDescent="0.25">
      <c r="B38" s="586"/>
      <c r="C38" s="1041"/>
      <c r="D38" s="1042"/>
      <c r="E38" s="418"/>
      <c r="F38" s="1047"/>
      <c r="G38" s="1047"/>
      <c r="H38" s="1047"/>
      <c r="I38" s="1047"/>
      <c r="J38" s="1047"/>
      <c r="K38" s="1047"/>
      <c r="L38" s="1047"/>
    </row>
    <row r="39" spans="2:13" x14ac:dyDescent="0.25">
      <c r="F39" s="1043">
        <f>SUM(F10,F14,F18,F22,F26,F30,F34)</f>
        <v>47408</v>
      </c>
      <c r="G39" s="1043">
        <f t="shared" ref="G39:L39" si="2">SUM(G10,G14,G18,G22,G26,G30,G34)</f>
        <v>4973</v>
      </c>
      <c r="H39" s="1043">
        <f t="shared" si="2"/>
        <v>8520</v>
      </c>
      <c r="I39" s="1043">
        <f t="shared" si="2"/>
        <v>6649</v>
      </c>
      <c r="J39" s="1043">
        <f t="shared" si="2"/>
        <v>6575</v>
      </c>
      <c r="K39" s="1043">
        <f t="shared" si="2"/>
        <v>6833</v>
      </c>
      <c r="L39" s="1043">
        <f t="shared" si="2"/>
        <v>13858</v>
      </c>
    </row>
    <row r="40" spans="2:13" x14ac:dyDescent="0.25">
      <c r="F40" s="1043">
        <f>SUM(F12,F16,F20,F24,F28,F32,F36)</f>
        <v>25451</v>
      </c>
      <c r="G40" s="1043">
        <f t="shared" ref="G40:L40" si="3">SUM(G12,G16,G20,G24,G28,G32,G36)</f>
        <v>1935</v>
      </c>
      <c r="H40" s="1043">
        <f t="shared" si="3"/>
        <v>3919</v>
      </c>
      <c r="I40" s="1043">
        <f t="shared" si="3"/>
        <v>3419</v>
      </c>
      <c r="J40" s="1043">
        <f t="shared" si="3"/>
        <v>3359</v>
      </c>
      <c r="K40" s="1043">
        <f t="shared" si="3"/>
        <v>3901</v>
      </c>
      <c r="L40" s="1043">
        <f t="shared" si="3"/>
        <v>8918</v>
      </c>
    </row>
    <row r="42" spans="2:13" x14ac:dyDescent="0.25">
      <c r="F42" s="1043">
        <f>SUM(F10,F14,F18,F22,F26,F30,F34)</f>
        <v>47408</v>
      </c>
      <c r="G42" s="1043">
        <f>SUM(F10+F14+F34)</f>
        <v>29790</v>
      </c>
    </row>
    <row r="43" spans="2:13" x14ac:dyDescent="0.25">
      <c r="F43" s="1043">
        <f>SUM(F12,F16,F20,F24,F28,F32,F36)</f>
        <v>25451</v>
      </c>
      <c r="G43" s="1046">
        <f>SUM(G42/F6)*100</f>
        <v>62.837495781302735</v>
      </c>
    </row>
  </sheetData>
  <mergeCells count="25">
    <mergeCell ref="G4:L4"/>
    <mergeCell ref="C34:C37"/>
    <mergeCell ref="D34:D35"/>
    <mergeCell ref="D36:D37"/>
    <mergeCell ref="D24:D25"/>
    <mergeCell ref="C26:C29"/>
    <mergeCell ref="D26:D27"/>
    <mergeCell ref="D28:D29"/>
    <mergeCell ref="C30:C33"/>
    <mergeCell ref="D30:D31"/>
    <mergeCell ref="D32:D33"/>
    <mergeCell ref="D6:D7"/>
    <mergeCell ref="D8:D9"/>
    <mergeCell ref="B10:B33"/>
    <mergeCell ref="C10:C13"/>
    <mergeCell ref="D10:D11"/>
    <mergeCell ref="D12:D13"/>
    <mergeCell ref="C14:C17"/>
    <mergeCell ref="D14:D15"/>
    <mergeCell ref="D16:D17"/>
    <mergeCell ref="C18:C21"/>
    <mergeCell ref="D18:D19"/>
    <mergeCell ref="D20:D21"/>
    <mergeCell ref="C22:C25"/>
    <mergeCell ref="D22:D23"/>
  </mergeCells>
  <printOptions horizontalCentered="1"/>
  <pageMargins left="0" right="0" top="0.6692913385826772" bottom="0" header="0" footer="0"/>
  <pageSetup paperSize="9" scale="8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N19"/>
  <sheetViews>
    <sheetView workbookViewId="0">
      <selection activeCell="B1" sqref="B1"/>
    </sheetView>
  </sheetViews>
  <sheetFormatPr defaultRowHeight="15" x14ac:dyDescent="0.25"/>
  <cols>
    <col min="1" max="1" width="3.28515625" style="11" customWidth="1"/>
    <col min="2" max="2" width="52.5703125" style="11" customWidth="1"/>
    <col min="3" max="3" width="10.85546875" style="11" customWidth="1"/>
    <col min="4" max="4" width="7.85546875" style="11" customWidth="1"/>
    <col min="5" max="5" width="9.28515625" style="11" bestFit="1" customWidth="1"/>
    <col min="6" max="6" width="7.85546875" style="11" customWidth="1"/>
    <col min="7" max="7" width="10.5703125" style="11" bestFit="1" customWidth="1"/>
    <col min="8" max="8" width="8" style="11" customWidth="1"/>
    <col min="9" max="9" width="9.28515625" style="11" bestFit="1" customWidth="1"/>
    <col min="10" max="10" width="8.7109375" style="11" customWidth="1"/>
    <col min="11" max="11" width="10" style="11" bestFit="1" customWidth="1"/>
    <col min="12" max="12" width="7.28515625" style="11" customWidth="1"/>
    <col min="13" max="13" width="9.28515625" style="11" bestFit="1" customWidth="1"/>
    <col min="14" max="14" width="7" style="11" customWidth="1"/>
    <col min="15" max="16384" width="9.140625" style="11"/>
  </cols>
  <sheetData>
    <row r="2" spans="2:14" ht="15.75" thickBot="1" x14ac:dyDescent="0.3">
      <c r="B2" s="1198" t="s">
        <v>286</v>
      </c>
      <c r="C2" s="1198"/>
      <c r="D2" s="1198"/>
      <c r="E2" s="1198"/>
      <c r="F2" s="1198"/>
      <c r="G2" s="1198"/>
      <c r="H2" s="1198"/>
      <c r="I2" s="1198"/>
      <c r="J2" s="1198"/>
      <c r="K2" s="1198"/>
      <c r="L2" s="1198"/>
      <c r="M2" s="1198"/>
      <c r="N2" s="1198"/>
    </row>
    <row r="3" spans="2:14" x14ac:dyDescent="0.25">
      <c r="B3" s="1199" t="s">
        <v>133</v>
      </c>
      <c r="C3" s="1205" t="s">
        <v>342</v>
      </c>
      <c r="D3" s="1206"/>
      <c r="E3" s="1206"/>
      <c r="F3" s="1207"/>
      <c r="G3" s="1202" t="s">
        <v>422</v>
      </c>
      <c r="H3" s="1203"/>
      <c r="I3" s="1203"/>
      <c r="J3" s="1204"/>
      <c r="K3" s="1208" t="s">
        <v>140</v>
      </c>
      <c r="L3" s="1206"/>
      <c r="M3" s="1206"/>
      <c r="N3" s="1207"/>
    </row>
    <row r="4" spans="2:14" ht="27.75" customHeight="1" x14ac:dyDescent="0.25">
      <c r="B4" s="1200"/>
      <c r="C4" s="1209" t="s">
        <v>4</v>
      </c>
      <c r="D4" s="1195"/>
      <c r="E4" s="1196" t="s">
        <v>119</v>
      </c>
      <c r="F4" s="1197"/>
      <c r="G4" s="1209" t="s">
        <v>4</v>
      </c>
      <c r="H4" s="1195"/>
      <c r="I4" s="1196" t="s">
        <v>119</v>
      </c>
      <c r="J4" s="1197"/>
      <c r="K4" s="1194" t="s">
        <v>4</v>
      </c>
      <c r="L4" s="1195"/>
      <c r="M4" s="1196" t="s">
        <v>119</v>
      </c>
      <c r="N4" s="1197"/>
    </row>
    <row r="5" spans="2:14" ht="27.75" customHeight="1" thickBot="1" x14ac:dyDescent="0.3">
      <c r="B5" s="1201"/>
      <c r="C5" s="210" t="s">
        <v>137</v>
      </c>
      <c r="D5" s="211" t="s">
        <v>138</v>
      </c>
      <c r="E5" s="213" t="s">
        <v>137</v>
      </c>
      <c r="F5" s="212" t="s">
        <v>138</v>
      </c>
      <c r="G5" s="210" t="s">
        <v>137</v>
      </c>
      <c r="H5" s="211" t="s">
        <v>138</v>
      </c>
      <c r="I5" s="213" t="s">
        <v>137</v>
      </c>
      <c r="J5" s="212" t="s">
        <v>138</v>
      </c>
      <c r="K5" s="213" t="s">
        <v>137</v>
      </c>
      <c r="L5" s="211" t="s">
        <v>138</v>
      </c>
      <c r="M5" s="213" t="s">
        <v>137</v>
      </c>
      <c r="N5" s="212" t="s">
        <v>138</v>
      </c>
    </row>
    <row r="6" spans="2:14" ht="18.75" x14ac:dyDescent="0.3">
      <c r="B6" s="324" t="s">
        <v>338</v>
      </c>
      <c r="C6" s="325">
        <v>82933</v>
      </c>
      <c r="D6" s="707">
        <v>100</v>
      </c>
      <c r="E6" s="65">
        <v>45024</v>
      </c>
      <c r="F6" s="706">
        <v>100</v>
      </c>
      <c r="G6" s="325">
        <v>75455</v>
      </c>
      <c r="H6" s="707">
        <v>100</v>
      </c>
      <c r="I6" s="65">
        <v>40284</v>
      </c>
      <c r="J6" s="706">
        <v>100</v>
      </c>
      <c r="K6" s="326">
        <f>G6-C6</f>
        <v>-7478</v>
      </c>
      <c r="L6" s="327">
        <f>K6/C6*100</f>
        <v>-9.0169172705678076</v>
      </c>
      <c r="M6" s="328">
        <f>I6-E6</f>
        <v>-4740</v>
      </c>
      <c r="N6" s="329">
        <f>M6/E6*100</f>
        <v>-10.527718550106609</v>
      </c>
    </row>
    <row r="7" spans="2:14" ht="16.5" customHeight="1" thickBot="1" x14ac:dyDescent="0.3">
      <c r="B7" s="317" t="s">
        <v>490</v>
      </c>
      <c r="C7" s="3">
        <v>72624</v>
      </c>
      <c r="D7" s="314" t="s">
        <v>118</v>
      </c>
      <c r="E7" s="5">
        <v>40475</v>
      </c>
      <c r="F7" s="318" t="s">
        <v>118</v>
      </c>
      <c r="G7" s="3">
        <v>65461</v>
      </c>
      <c r="H7" s="314" t="s">
        <v>118</v>
      </c>
      <c r="I7" s="5">
        <v>36007</v>
      </c>
      <c r="J7" s="318" t="s">
        <v>118</v>
      </c>
      <c r="K7" s="133">
        <f>SUM(G7)-C7</f>
        <v>-7163</v>
      </c>
      <c r="L7" s="315">
        <f>K7/C7*100</f>
        <v>-9.8631306455166339</v>
      </c>
      <c r="M7" s="134">
        <f>SUM(I7)-E7</f>
        <v>-4468</v>
      </c>
      <c r="N7" s="316">
        <f>M7/E7*100</f>
        <v>-11.038912909203212</v>
      </c>
    </row>
    <row r="8" spans="2:14" ht="16.5" customHeight="1" thickBot="1" x14ac:dyDescent="0.3">
      <c r="B8" s="935" t="s">
        <v>489</v>
      </c>
      <c r="C8" s="564"/>
      <c r="D8" s="565"/>
      <c r="E8" s="564"/>
      <c r="F8" s="565"/>
      <c r="G8" s="564"/>
      <c r="H8" s="565"/>
      <c r="I8" s="564"/>
      <c r="J8" s="565"/>
      <c r="K8" s="566"/>
      <c r="L8" s="567"/>
      <c r="M8" s="566"/>
      <c r="N8" s="568"/>
    </row>
    <row r="9" spans="2:14" x14ac:dyDescent="0.25">
      <c r="B9" s="300" t="s">
        <v>488</v>
      </c>
      <c r="C9" s="301">
        <v>24119</v>
      </c>
      <c r="D9" s="304">
        <f>SUM(C9*100/C6)</f>
        <v>29.082512389519252</v>
      </c>
      <c r="E9" s="305">
        <v>14175</v>
      </c>
      <c r="F9" s="306">
        <f>SUM(E9*100/E6)</f>
        <v>31.48320895522388</v>
      </c>
      <c r="G9" s="301">
        <v>21402</v>
      </c>
      <c r="H9" s="320">
        <f>SUM(G9*100/G6)</f>
        <v>28.363925518520972</v>
      </c>
      <c r="I9" s="303">
        <v>12287</v>
      </c>
      <c r="J9" s="320">
        <f>SUM(I9*100/I6)</f>
        <v>30.500943302551882</v>
      </c>
      <c r="K9" s="307">
        <f>G9-C9</f>
        <v>-2717</v>
      </c>
      <c r="L9" s="320">
        <f>K9/C9*100</f>
        <v>-11.26497781831751</v>
      </c>
      <c r="M9" s="302">
        <f t="shared" ref="M9:M16" si="0">I9-E9</f>
        <v>-1888</v>
      </c>
      <c r="N9" s="322">
        <f t="shared" ref="N9:N16" si="1">M9/E9*100</f>
        <v>-13.319223985890652</v>
      </c>
    </row>
    <row r="10" spans="2:14" x14ac:dyDescent="0.25">
      <c r="B10" s="725" t="s">
        <v>487</v>
      </c>
      <c r="C10" s="174">
        <v>11412</v>
      </c>
      <c r="D10" s="170">
        <f>SUM(C10*100/C6)</f>
        <v>13.760505468269567</v>
      </c>
      <c r="E10" s="176">
        <v>6109</v>
      </c>
      <c r="F10" s="171">
        <f>SUM(E10*100/E6)</f>
        <v>13.568319118692253</v>
      </c>
      <c r="G10" s="174">
        <v>10295</v>
      </c>
      <c r="H10" s="170">
        <f>SUM(G10*100/G6)</f>
        <v>13.643893711483665</v>
      </c>
      <c r="I10" s="175">
        <v>5362</v>
      </c>
      <c r="J10" s="170">
        <f>SUM(I10*100/I6)</f>
        <v>13.310495482077252</v>
      </c>
      <c r="K10" s="129">
        <f>G10-C10</f>
        <v>-1117</v>
      </c>
      <c r="L10" s="224">
        <f>K10/C10*100</f>
        <v>-9.7879425166491405</v>
      </c>
      <c r="M10" s="131">
        <f t="shared" si="0"/>
        <v>-747</v>
      </c>
      <c r="N10" s="128">
        <f t="shared" si="1"/>
        <v>-12.227860533638893</v>
      </c>
    </row>
    <row r="11" spans="2:14" x14ac:dyDescent="0.25">
      <c r="B11" s="173" t="s">
        <v>486</v>
      </c>
      <c r="C11" s="174">
        <v>47197</v>
      </c>
      <c r="D11" s="170">
        <f>SUM(C11*100/C6)</f>
        <v>56.90979465351549</v>
      </c>
      <c r="E11" s="176">
        <v>27819</v>
      </c>
      <c r="F11" s="171">
        <f>SUM(E11*100/E6)</f>
        <v>61.787046908315567</v>
      </c>
      <c r="G11" s="174">
        <v>41520</v>
      </c>
      <c r="H11" s="170">
        <f>SUM(G11*100/G6)</f>
        <v>55.026174541117221</v>
      </c>
      <c r="I11" s="175">
        <v>24263</v>
      </c>
      <c r="J11" s="170">
        <f>SUM(I11*100/I6)</f>
        <v>60.229867937642737</v>
      </c>
      <c r="K11" s="129">
        <f>G11-C11</f>
        <v>-5677</v>
      </c>
      <c r="L11" s="224">
        <f>K11/C11*100</f>
        <v>-12.028306883912112</v>
      </c>
      <c r="M11" s="131">
        <f t="shared" si="0"/>
        <v>-3556</v>
      </c>
      <c r="N11" s="128">
        <f t="shared" si="1"/>
        <v>-12.782630576224882</v>
      </c>
    </row>
    <row r="12" spans="2:14" x14ac:dyDescent="0.25">
      <c r="B12" s="173" t="s">
        <v>485</v>
      </c>
      <c r="C12" s="174">
        <v>19822</v>
      </c>
      <c r="D12" s="170">
        <f>SUM(C12*100/C6)</f>
        <v>23.901221467931943</v>
      </c>
      <c r="E12" s="176">
        <v>7618</v>
      </c>
      <c r="F12" s="171">
        <f>SUM(E12*100/E6)</f>
        <v>16.919864960909738</v>
      </c>
      <c r="G12" s="174">
        <v>18279</v>
      </c>
      <c r="H12" s="170">
        <f>SUM(G12*100/G6)</f>
        <v>24.225034788947056</v>
      </c>
      <c r="I12" s="175">
        <v>6923</v>
      </c>
      <c r="J12" s="170">
        <f>SUM(I12*100/I6)</f>
        <v>17.18548307020157</v>
      </c>
      <c r="K12" s="129">
        <f>G12-C12</f>
        <v>-1543</v>
      </c>
      <c r="L12" s="224">
        <f t="shared" ref="L12:L16" si="2">K12/C12*100</f>
        <v>-7.7842800928261529</v>
      </c>
      <c r="M12" s="131">
        <f t="shared" si="0"/>
        <v>-695</v>
      </c>
      <c r="N12" s="128">
        <f t="shared" si="1"/>
        <v>-9.1231294302966663</v>
      </c>
    </row>
    <row r="13" spans="2:14" x14ac:dyDescent="0.25">
      <c r="B13" s="173" t="s">
        <v>484</v>
      </c>
      <c r="C13" s="177">
        <v>1430</v>
      </c>
      <c r="D13" s="170">
        <f>SUM(C13*100/C6)</f>
        <v>1.7242834577309394</v>
      </c>
      <c r="E13" s="178">
        <v>822</v>
      </c>
      <c r="F13" s="171">
        <f>SUM(E13*100/E6)</f>
        <v>1.8256929637526653</v>
      </c>
      <c r="G13" s="174">
        <v>1191</v>
      </c>
      <c r="H13" s="321">
        <f>SUM(G13*100/G6)</f>
        <v>1.5784242263600821</v>
      </c>
      <c r="I13" s="175">
        <v>663</v>
      </c>
      <c r="J13" s="321">
        <f>SUM(I13*100/I6)</f>
        <v>1.6458147155198093</v>
      </c>
      <c r="K13" s="172">
        <f t="shared" ref="K13:K16" si="3">G13-C13</f>
        <v>-239</v>
      </c>
      <c r="L13" s="321">
        <f t="shared" si="2"/>
        <v>-16.713286713286713</v>
      </c>
      <c r="M13" s="169">
        <f t="shared" si="0"/>
        <v>-159</v>
      </c>
      <c r="N13" s="323">
        <f t="shared" si="1"/>
        <v>-19.34306569343066</v>
      </c>
    </row>
    <row r="14" spans="2:14" ht="15.75" customHeight="1" x14ac:dyDescent="0.25">
      <c r="B14" s="173" t="s">
        <v>483</v>
      </c>
      <c r="C14" s="174">
        <v>16771</v>
      </c>
      <c r="D14" s="170">
        <f>SUM(C14*100/C6)</f>
        <v>20.222348160563346</v>
      </c>
      <c r="E14" s="176">
        <v>13940</v>
      </c>
      <c r="F14" s="171">
        <f>SUM(E14*100/E6)</f>
        <v>30.961265103056149</v>
      </c>
      <c r="G14" s="174">
        <v>15457</v>
      </c>
      <c r="H14" s="321">
        <f>SUM(G14*100/G6)</f>
        <v>20.485057318931812</v>
      </c>
      <c r="I14" s="175">
        <v>12875</v>
      </c>
      <c r="J14" s="321">
        <f>SUM(I14*100/I6)</f>
        <v>31.960579882831894</v>
      </c>
      <c r="K14" s="172">
        <f t="shared" si="3"/>
        <v>-1314</v>
      </c>
      <c r="L14" s="321">
        <f t="shared" si="2"/>
        <v>-7.8349531930117466</v>
      </c>
      <c r="M14" s="169">
        <f t="shared" si="0"/>
        <v>-1065</v>
      </c>
      <c r="N14" s="323">
        <f t="shared" si="1"/>
        <v>-7.6398852223816354</v>
      </c>
    </row>
    <row r="15" spans="2:14" ht="16.5" customHeight="1" x14ac:dyDescent="0.25">
      <c r="B15" s="725" t="s">
        <v>481</v>
      </c>
      <c r="C15" s="174">
        <v>161</v>
      </c>
      <c r="D15" s="170">
        <f>SUM(C15*100/C6)</f>
        <v>0.19413261307320367</v>
      </c>
      <c r="E15" s="176">
        <v>104</v>
      </c>
      <c r="F15" s="171">
        <f>SUM(E15*100/E6)</f>
        <v>0.23098791755508175</v>
      </c>
      <c r="G15" s="174">
        <v>184</v>
      </c>
      <c r="H15" s="321">
        <f>SUM(G15*100/G6)</f>
        <v>0.243853952687032</v>
      </c>
      <c r="I15" s="175">
        <v>132</v>
      </c>
      <c r="J15" s="321">
        <f>SUM(I15*100/I6)</f>
        <v>0.32767351802204348</v>
      </c>
      <c r="K15" s="172">
        <f t="shared" si="3"/>
        <v>23</v>
      </c>
      <c r="L15" s="321">
        <f t="shared" si="2"/>
        <v>14.285714285714285</v>
      </c>
      <c r="M15" s="169">
        <f t="shared" si="0"/>
        <v>28</v>
      </c>
      <c r="N15" s="323">
        <f t="shared" si="1"/>
        <v>26.923076923076923</v>
      </c>
    </row>
    <row r="16" spans="2:14" ht="15.75" thickBot="1" x14ac:dyDescent="0.3">
      <c r="B16" s="179" t="s">
        <v>482</v>
      </c>
      <c r="C16" s="180">
        <v>3890</v>
      </c>
      <c r="D16" s="181">
        <f>SUM(C16*100/C6)</f>
        <v>4.6905333220792684</v>
      </c>
      <c r="E16" s="183">
        <v>1764</v>
      </c>
      <c r="F16" s="319">
        <f>SUM(E16*100/E6)</f>
        <v>3.9179104477611939</v>
      </c>
      <c r="G16" s="180">
        <v>3608</v>
      </c>
      <c r="H16" s="181">
        <f>SUM(G16*100/G6)</f>
        <v>4.7816579418196277</v>
      </c>
      <c r="I16" s="182">
        <v>1649</v>
      </c>
      <c r="J16" s="181">
        <f>SUM(I16*100/I6)</f>
        <v>4.0934366001390128</v>
      </c>
      <c r="K16" s="132">
        <f t="shared" si="3"/>
        <v>-282</v>
      </c>
      <c r="L16" s="227">
        <f t="shared" si="2"/>
        <v>-7.2493573264781492</v>
      </c>
      <c r="M16" s="134">
        <f t="shared" si="0"/>
        <v>-115</v>
      </c>
      <c r="N16" s="135">
        <f t="shared" si="1"/>
        <v>-6.5192743764172336</v>
      </c>
    </row>
    <row r="17" spans="2:14" x14ac:dyDescent="0.25">
      <c r="B17" s="187"/>
      <c r="C17" s="184"/>
      <c r="D17" s="185"/>
      <c r="E17" s="184"/>
      <c r="F17" s="185"/>
      <c r="G17" s="184"/>
      <c r="H17" s="186"/>
      <c r="I17" s="184"/>
      <c r="J17" s="186"/>
      <c r="K17" s="186"/>
      <c r="L17" s="186"/>
      <c r="M17" s="186"/>
      <c r="N17" s="186"/>
    </row>
    <row r="18" spans="2:14" ht="12.75" customHeight="1" x14ac:dyDescent="0.25">
      <c r="B18" s="915"/>
      <c r="C18" s="915"/>
      <c r="D18" s="915"/>
      <c r="E18" s="915"/>
      <c r="F18" s="915"/>
      <c r="G18" s="915"/>
      <c r="H18" s="915"/>
      <c r="I18" s="915"/>
      <c r="J18" s="915"/>
      <c r="K18" s="915"/>
      <c r="L18" s="915"/>
      <c r="M18" s="915"/>
      <c r="N18" s="915"/>
    </row>
    <row r="19" spans="2:14" x14ac:dyDescent="0.25">
      <c r="F19" s="423"/>
    </row>
  </sheetData>
  <mergeCells count="11">
    <mergeCell ref="K4:L4"/>
    <mergeCell ref="M4:N4"/>
    <mergeCell ref="B2:N2"/>
    <mergeCell ref="B3:B5"/>
    <mergeCell ref="G3:J3"/>
    <mergeCell ref="C3:F3"/>
    <mergeCell ref="K3:N3"/>
    <mergeCell ref="G4:H4"/>
    <mergeCell ref="I4:J4"/>
    <mergeCell ref="C4:D4"/>
    <mergeCell ref="E4:F4"/>
  </mergeCells>
  <pageMargins left="0.6692913385826772" right="0.6692913385826772" top="2.0866141732283467" bottom="0.74803149606299213" header="0.31496062992125984" footer="0.31496062992125984"/>
  <pageSetup paperSize="9" scale="8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Q38"/>
  <sheetViews>
    <sheetView workbookViewId="0">
      <selection activeCell="B1" sqref="B1"/>
    </sheetView>
  </sheetViews>
  <sheetFormatPr defaultRowHeight="15" x14ac:dyDescent="0.25"/>
  <cols>
    <col min="1" max="1" width="1.140625" style="95" customWidth="1"/>
    <col min="2" max="2" width="21.140625" style="95" customWidth="1"/>
    <col min="3" max="3" width="9" style="95" customWidth="1"/>
    <col min="4" max="4" width="8.85546875" style="95" customWidth="1"/>
    <col min="5" max="5" width="6.42578125" style="95" customWidth="1"/>
    <col min="6" max="6" width="9.28515625" style="95" customWidth="1"/>
    <col min="7" max="7" width="9" style="95" customWidth="1"/>
    <col min="8" max="8" width="7.85546875" style="95" customWidth="1"/>
    <col min="9" max="9" width="6.7109375" style="95" customWidth="1"/>
    <col min="10" max="11" width="8.85546875" style="95" customWidth="1"/>
    <col min="12" max="12" width="6.140625" style="95" customWidth="1"/>
    <col min="13" max="13" width="6.5703125" style="95" customWidth="1"/>
    <col min="14" max="14" width="9" style="95" customWidth="1"/>
    <col min="15" max="15" width="7.5703125" style="95" customWidth="1"/>
    <col min="16" max="16" width="6.28515625" style="95" customWidth="1"/>
    <col min="17" max="17" width="7.140625" style="95" customWidth="1"/>
    <col min="18" max="16384" width="9.140625" style="95"/>
  </cols>
  <sheetData>
    <row r="1" spans="2:17" ht="12" customHeight="1" x14ac:dyDescent="0.25"/>
    <row r="2" spans="2:17" x14ac:dyDescent="0.25">
      <c r="B2" s="11" t="s">
        <v>287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2:17" ht="12" customHeight="1" x14ac:dyDescent="0.25">
      <c r="B3" s="11" t="s">
        <v>304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7" ht="13.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7" ht="17.25" customHeight="1" thickBot="1" x14ac:dyDescent="0.3">
      <c r="B5" s="1124" t="s">
        <v>133</v>
      </c>
      <c r="C5" s="1210" t="s">
        <v>427</v>
      </c>
      <c r="D5" s="1211"/>
      <c r="E5" s="1211"/>
      <c r="F5" s="1211"/>
      <c r="G5" s="1211"/>
      <c r="H5" s="1211"/>
      <c r="I5" s="1211"/>
      <c r="J5" s="1211"/>
      <c r="K5" s="1211"/>
      <c r="L5" s="1211"/>
      <c r="M5" s="1211"/>
      <c r="N5" s="1211"/>
      <c r="O5" s="1211"/>
      <c r="P5" s="1211"/>
      <c r="Q5" s="1142"/>
    </row>
    <row r="6" spans="2:17" ht="21" customHeight="1" thickBot="1" x14ac:dyDescent="0.3">
      <c r="B6" s="1221"/>
      <c r="C6" s="1101" t="s">
        <v>136</v>
      </c>
      <c r="D6" s="1121"/>
      <c r="E6" s="1102"/>
      <c r="F6" s="1225" t="s">
        <v>265</v>
      </c>
      <c r="G6" s="1226"/>
      <c r="H6" s="1226"/>
      <c r="I6" s="1226"/>
      <c r="J6" s="1226"/>
      <c r="K6" s="1226"/>
      <c r="L6" s="1226"/>
      <c r="M6" s="1226"/>
      <c r="N6" s="1226"/>
      <c r="O6" s="1226"/>
      <c r="P6" s="1226"/>
      <c r="Q6" s="705"/>
    </row>
    <row r="7" spans="2:17" ht="17.25" customHeight="1" thickBot="1" x14ac:dyDescent="0.3">
      <c r="B7" s="1221"/>
      <c r="C7" s="1222"/>
      <c r="D7" s="1223"/>
      <c r="E7" s="1224"/>
      <c r="F7" s="1210" t="s">
        <v>188</v>
      </c>
      <c r="G7" s="1211"/>
      <c r="H7" s="1211"/>
      <c r="I7" s="677"/>
      <c r="J7" s="1210" t="s">
        <v>120</v>
      </c>
      <c r="K7" s="1211"/>
      <c r="L7" s="1211"/>
      <c r="M7" s="677"/>
      <c r="N7" s="1210" t="s">
        <v>189</v>
      </c>
      <c r="O7" s="1211"/>
      <c r="P7" s="1211"/>
      <c r="Q7" s="677"/>
    </row>
    <row r="8" spans="2:17" ht="18" customHeight="1" x14ac:dyDescent="0.25">
      <c r="B8" s="1221"/>
      <c r="C8" s="1212" t="s">
        <v>4</v>
      </c>
      <c r="D8" s="1214" t="s">
        <v>119</v>
      </c>
      <c r="E8" s="1215"/>
      <c r="F8" s="1216" t="s">
        <v>4</v>
      </c>
      <c r="G8" s="1218" t="s">
        <v>119</v>
      </c>
      <c r="H8" s="1108"/>
      <c r="I8" s="675" t="s">
        <v>138</v>
      </c>
      <c r="J8" s="1212" t="s">
        <v>4</v>
      </c>
      <c r="K8" s="1218" t="s">
        <v>119</v>
      </c>
      <c r="L8" s="1219"/>
      <c r="M8" s="675" t="s">
        <v>138</v>
      </c>
      <c r="N8" s="1212" t="s">
        <v>4</v>
      </c>
      <c r="O8" s="1218" t="s">
        <v>119</v>
      </c>
      <c r="P8" s="1108"/>
      <c r="Q8" s="675" t="s">
        <v>138</v>
      </c>
    </row>
    <row r="9" spans="2:17" ht="15.75" thickBot="1" x14ac:dyDescent="0.3">
      <c r="B9" s="1134"/>
      <c r="C9" s="1213"/>
      <c r="D9" s="308" t="s">
        <v>137</v>
      </c>
      <c r="E9" s="309" t="s">
        <v>409</v>
      </c>
      <c r="F9" s="1123"/>
      <c r="G9" s="680" t="s">
        <v>137</v>
      </c>
      <c r="H9" s="701" t="s">
        <v>409</v>
      </c>
      <c r="I9" s="673" t="s">
        <v>410</v>
      </c>
      <c r="J9" s="1213"/>
      <c r="K9" s="680" t="s">
        <v>137</v>
      </c>
      <c r="L9" s="681" t="s">
        <v>409</v>
      </c>
      <c r="M9" s="673" t="s">
        <v>410</v>
      </c>
      <c r="N9" s="1213"/>
      <c r="O9" s="680" t="s">
        <v>137</v>
      </c>
      <c r="P9" s="701" t="s">
        <v>409</v>
      </c>
      <c r="Q9" s="673" t="s">
        <v>410</v>
      </c>
    </row>
    <row r="10" spans="2:17" ht="26.25" customHeight="1" thickBot="1" x14ac:dyDescent="0.3">
      <c r="B10" s="332" t="s">
        <v>25</v>
      </c>
      <c r="C10" s="333">
        <f>SUM(C11:C35)</f>
        <v>75455</v>
      </c>
      <c r="D10" s="334">
        <f>SUM(D11:D35)</f>
        <v>40284</v>
      </c>
      <c r="E10" s="335">
        <f>D10/C10*100</f>
        <v>53.388112119806507</v>
      </c>
      <c r="F10" s="333">
        <f>SUM(F11:F35)</f>
        <v>21402</v>
      </c>
      <c r="G10" s="334">
        <f>SUM(G11:G35)</f>
        <v>12287</v>
      </c>
      <c r="H10" s="336">
        <f>G10/F10*100</f>
        <v>57.410522381085883</v>
      </c>
      <c r="I10" s="689">
        <f>SUM(F10/C10)*100</f>
        <v>28.363925518520972</v>
      </c>
      <c r="J10" s="333">
        <f>SUM(J11:J35)</f>
        <v>35774</v>
      </c>
      <c r="K10" s="334">
        <f t="shared" ref="K10" si="0">SUM(K11:K35)</f>
        <v>21074</v>
      </c>
      <c r="L10" s="335">
        <f>K10/J10*100</f>
        <v>58.908704645832167</v>
      </c>
      <c r="M10" s="689">
        <f>SUM(J10/C10)*100</f>
        <v>47.411039692531972</v>
      </c>
      <c r="N10" s="333">
        <f>SUM(N11:N35)</f>
        <v>18279</v>
      </c>
      <c r="O10" s="334">
        <f>SUM(O11:O35)</f>
        <v>6923</v>
      </c>
      <c r="P10" s="336">
        <f>O10/N10*100</f>
        <v>37.874063132556486</v>
      </c>
      <c r="Q10" s="689">
        <f t="shared" ref="Q10:Q35" si="1">SUM(N10/C10)*100</f>
        <v>24.225034788947056</v>
      </c>
    </row>
    <row r="11" spans="2:17" ht="15.75" thickTop="1" x14ac:dyDescent="0.25">
      <c r="B11" s="214" t="s">
        <v>26</v>
      </c>
      <c r="C11" s="218">
        <f>SUM(T.II!D8)</f>
        <v>1162</v>
      </c>
      <c r="D11" s="219">
        <v>622</v>
      </c>
      <c r="E11" s="72">
        <f>D11/C11*100</f>
        <v>53.528399311531835</v>
      </c>
      <c r="F11" s="218">
        <v>354</v>
      </c>
      <c r="G11" s="219">
        <v>218</v>
      </c>
      <c r="H11" s="337">
        <f>G11/F11*100</f>
        <v>61.581920903954803</v>
      </c>
      <c r="I11" s="690">
        <f>SUM(F11/C11)*100</f>
        <v>30.464716006884679</v>
      </c>
      <c r="J11" s="218">
        <f>SUM(C11)-(F11+N11)</f>
        <v>547</v>
      </c>
      <c r="K11" s="219">
        <f t="shared" ref="K11:K35" si="2">SUM(D11)-(G11+O11)</f>
        <v>312</v>
      </c>
      <c r="L11" s="72">
        <f>K11/J11*100</f>
        <v>57.038391224862885</v>
      </c>
      <c r="M11" s="690">
        <f>SUM(J11/C11)*100</f>
        <v>47.074010327022378</v>
      </c>
      <c r="N11" s="218">
        <v>261</v>
      </c>
      <c r="O11" s="219">
        <v>92</v>
      </c>
      <c r="P11" s="337">
        <f t="shared" ref="P11:P35" si="3">O11/N11*100</f>
        <v>35.249042145593869</v>
      </c>
      <c r="Q11" s="690">
        <f t="shared" si="1"/>
        <v>22.461273666092943</v>
      </c>
    </row>
    <row r="12" spans="2:17" x14ac:dyDescent="0.25">
      <c r="B12" s="215" t="s">
        <v>27</v>
      </c>
      <c r="C12" s="70">
        <f>SUM(T.II!D9)</f>
        <v>4241</v>
      </c>
      <c r="D12" s="9">
        <v>2304</v>
      </c>
      <c r="E12" s="7">
        <f>D12/C12*100</f>
        <v>54.326809714689929</v>
      </c>
      <c r="F12" s="70">
        <v>1182</v>
      </c>
      <c r="G12" s="9">
        <v>658</v>
      </c>
      <c r="H12" s="124">
        <f>G12/F12*100</f>
        <v>55.668358714043997</v>
      </c>
      <c r="I12" s="703">
        <f t="shared" ref="I12:I35" si="4">SUM(F12/C12)*100</f>
        <v>27.87078519217166</v>
      </c>
      <c r="J12" s="70">
        <f t="shared" ref="J12:J35" si="5">SUM(C12)-(F12+N12)</f>
        <v>2013</v>
      </c>
      <c r="K12" s="9">
        <f t="shared" si="2"/>
        <v>1189</v>
      </c>
      <c r="L12" s="7">
        <f t="shared" ref="L12:L35" si="6">K12/J12*100</f>
        <v>59.066070541480379</v>
      </c>
      <c r="M12" s="703">
        <f>SUM(J12/C12)*100</f>
        <v>47.465220466871024</v>
      </c>
      <c r="N12" s="70">
        <v>1046</v>
      </c>
      <c r="O12" s="9">
        <v>457</v>
      </c>
      <c r="P12" s="124">
        <f t="shared" si="3"/>
        <v>43.690248565965582</v>
      </c>
      <c r="Q12" s="703">
        <f t="shared" si="1"/>
        <v>24.66399434095732</v>
      </c>
    </row>
    <row r="13" spans="2:17" x14ac:dyDescent="0.25">
      <c r="B13" s="215" t="s">
        <v>28</v>
      </c>
      <c r="C13" s="70">
        <f>SUM(T.II!D10)</f>
        <v>2719</v>
      </c>
      <c r="D13" s="9">
        <v>1743</v>
      </c>
      <c r="E13" s="7">
        <f t="shared" ref="E13:E35" si="7">D13/C13*100</f>
        <v>64.10445016550203</v>
      </c>
      <c r="F13" s="70">
        <v>898</v>
      </c>
      <c r="G13" s="9">
        <v>631</v>
      </c>
      <c r="H13" s="124">
        <f>G13/F13*100</f>
        <v>70.267260579064583</v>
      </c>
      <c r="I13" s="703">
        <f t="shared" si="4"/>
        <v>33.026848105921296</v>
      </c>
      <c r="J13" s="70">
        <f t="shared" si="5"/>
        <v>1174</v>
      </c>
      <c r="K13" s="9">
        <f t="shared" si="2"/>
        <v>821</v>
      </c>
      <c r="L13" s="7">
        <f t="shared" si="6"/>
        <v>69.931856899488935</v>
      </c>
      <c r="M13" s="703">
        <f t="shared" ref="M13:M35" si="8">SUM(J13/C13)*100</f>
        <v>43.177638837808018</v>
      </c>
      <c r="N13" s="70">
        <v>647</v>
      </c>
      <c r="O13" s="9">
        <v>291</v>
      </c>
      <c r="P13" s="124">
        <f t="shared" si="3"/>
        <v>44.976816074188562</v>
      </c>
      <c r="Q13" s="703">
        <f t="shared" si="1"/>
        <v>23.795513056270686</v>
      </c>
    </row>
    <row r="14" spans="2:17" x14ac:dyDescent="0.25">
      <c r="B14" s="215" t="s">
        <v>29</v>
      </c>
      <c r="C14" s="70">
        <f>SUM(T.II!D11)</f>
        <v>5215</v>
      </c>
      <c r="D14" s="9">
        <v>2729</v>
      </c>
      <c r="E14" s="7">
        <f t="shared" si="7"/>
        <v>52.329817833173543</v>
      </c>
      <c r="F14" s="70">
        <v>1407</v>
      </c>
      <c r="G14" s="9">
        <v>806</v>
      </c>
      <c r="H14" s="124">
        <f>G14/F14*100</f>
        <v>57.285003553660275</v>
      </c>
      <c r="I14" s="703">
        <f t="shared" si="4"/>
        <v>26.979865771812079</v>
      </c>
      <c r="J14" s="70">
        <f t="shared" si="5"/>
        <v>2566</v>
      </c>
      <c r="K14" s="9">
        <f t="shared" si="2"/>
        <v>1475</v>
      </c>
      <c r="L14" s="7">
        <f t="shared" si="6"/>
        <v>57.482462977396729</v>
      </c>
      <c r="M14" s="703">
        <f t="shared" si="8"/>
        <v>49.204218600191759</v>
      </c>
      <c r="N14" s="70">
        <v>1242</v>
      </c>
      <c r="O14" s="9">
        <v>448</v>
      </c>
      <c r="P14" s="124">
        <f t="shared" si="3"/>
        <v>36.070853462157807</v>
      </c>
      <c r="Q14" s="703">
        <f t="shared" si="1"/>
        <v>23.815915627996166</v>
      </c>
    </row>
    <row r="15" spans="2:17" x14ac:dyDescent="0.25">
      <c r="B15" s="215" t="s">
        <v>30</v>
      </c>
      <c r="C15" s="70">
        <f>SUM(T.II!D12)</f>
        <v>4918</v>
      </c>
      <c r="D15" s="9">
        <v>2889</v>
      </c>
      <c r="E15" s="7">
        <f t="shared" si="7"/>
        <v>58.743391622610815</v>
      </c>
      <c r="F15" s="70">
        <v>1294</v>
      </c>
      <c r="G15" s="9">
        <v>778</v>
      </c>
      <c r="H15" s="124">
        <f t="shared" ref="H15:H33" si="9">G15/F15*100</f>
        <v>60.123647604327665</v>
      </c>
      <c r="I15" s="703">
        <f t="shared" si="4"/>
        <v>26.31150874339162</v>
      </c>
      <c r="J15" s="70">
        <f t="shared" si="5"/>
        <v>2484</v>
      </c>
      <c r="K15" s="9">
        <f t="shared" si="2"/>
        <v>1592</v>
      </c>
      <c r="L15" s="7">
        <f t="shared" si="6"/>
        <v>64.090177133655388</v>
      </c>
      <c r="M15" s="703">
        <f t="shared" si="8"/>
        <v>50.50833672224482</v>
      </c>
      <c r="N15" s="70">
        <v>1140</v>
      </c>
      <c r="O15" s="9">
        <v>519</v>
      </c>
      <c r="P15" s="124">
        <f>O15/N15*100</f>
        <v>45.526315789473685</v>
      </c>
      <c r="Q15" s="703">
        <f t="shared" si="1"/>
        <v>23.180154534363563</v>
      </c>
    </row>
    <row r="16" spans="2:17" x14ac:dyDescent="0.25">
      <c r="B16" s="215" t="s">
        <v>31</v>
      </c>
      <c r="C16" s="70">
        <f>SUM(T.II!D13)</f>
        <v>1817</v>
      </c>
      <c r="D16" s="9">
        <v>950</v>
      </c>
      <c r="E16" s="7">
        <f t="shared" si="7"/>
        <v>52.28398458998349</v>
      </c>
      <c r="F16" s="70">
        <v>590</v>
      </c>
      <c r="G16" s="9">
        <v>339</v>
      </c>
      <c r="H16" s="124">
        <f t="shared" si="9"/>
        <v>57.457627118644069</v>
      </c>
      <c r="I16" s="703">
        <f t="shared" si="4"/>
        <v>32.471106219042376</v>
      </c>
      <c r="J16" s="70">
        <f t="shared" si="5"/>
        <v>745</v>
      </c>
      <c r="K16" s="9">
        <f t="shared" si="2"/>
        <v>445</v>
      </c>
      <c r="L16" s="7">
        <f>K16/J16*100</f>
        <v>59.731543624161077</v>
      </c>
      <c r="M16" s="703">
        <f t="shared" si="8"/>
        <v>41.001651073197579</v>
      </c>
      <c r="N16" s="70">
        <v>482</v>
      </c>
      <c r="O16" s="9">
        <v>166</v>
      </c>
      <c r="P16" s="124">
        <f t="shared" si="3"/>
        <v>34.439834024896264</v>
      </c>
      <c r="Q16" s="703">
        <f t="shared" si="1"/>
        <v>26.527242707760045</v>
      </c>
    </row>
    <row r="17" spans="2:17" x14ac:dyDescent="0.25">
      <c r="B17" s="215" t="s">
        <v>32</v>
      </c>
      <c r="C17" s="70">
        <f>SUM(T.II!D14)</f>
        <v>1841</v>
      </c>
      <c r="D17" s="9">
        <v>1021</v>
      </c>
      <c r="E17" s="7">
        <f>D17/C17*100</f>
        <v>55.458989679521999</v>
      </c>
      <c r="F17" s="70">
        <v>508</v>
      </c>
      <c r="G17" s="9">
        <v>318</v>
      </c>
      <c r="H17" s="124">
        <f t="shared" si="9"/>
        <v>62.598425196850393</v>
      </c>
      <c r="I17" s="703">
        <f t="shared" si="4"/>
        <v>27.593699076588813</v>
      </c>
      <c r="J17" s="70">
        <f t="shared" si="5"/>
        <v>809</v>
      </c>
      <c r="K17" s="9">
        <f t="shared" si="2"/>
        <v>504</v>
      </c>
      <c r="L17" s="7">
        <f t="shared" si="6"/>
        <v>62.2991347342398</v>
      </c>
      <c r="M17" s="703">
        <f t="shared" si="8"/>
        <v>43.943508962520369</v>
      </c>
      <c r="N17" s="70">
        <v>524</v>
      </c>
      <c r="O17" s="9">
        <v>199</v>
      </c>
      <c r="P17" s="124">
        <f>O17/N17*100</f>
        <v>37.977099236641223</v>
      </c>
      <c r="Q17" s="703">
        <f t="shared" si="1"/>
        <v>28.462791960890822</v>
      </c>
    </row>
    <row r="18" spans="2:17" x14ac:dyDescent="0.25">
      <c r="B18" s="215" t="s">
        <v>33</v>
      </c>
      <c r="C18" s="70">
        <f>SUM(T.II!D15)</f>
        <v>1852</v>
      </c>
      <c r="D18" s="9">
        <v>864</v>
      </c>
      <c r="E18" s="7">
        <f t="shared" si="7"/>
        <v>46.652267818574515</v>
      </c>
      <c r="F18" s="70">
        <v>529</v>
      </c>
      <c r="G18" s="9">
        <v>243</v>
      </c>
      <c r="H18" s="124">
        <f>G18/F18*100</f>
        <v>45.93572778827977</v>
      </c>
      <c r="I18" s="703">
        <f t="shared" si="4"/>
        <v>28.563714902807774</v>
      </c>
      <c r="J18" s="70">
        <f t="shared" si="5"/>
        <v>851</v>
      </c>
      <c r="K18" s="9">
        <f t="shared" si="2"/>
        <v>444</v>
      </c>
      <c r="L18" s="7">
        <f t="shared" si="6"/>
        <v>52.173913043478258</v>
      </c>
      <c r="M18" s="703">
        <f t="shared" si="8"/>
        <v>45.950323974082075</v>
      </c>
      <c r="N18" s="70">
        <v>472</v>
      </c>
      <c r="O18" s="9">
        <v>177</v>
      </c>
      <c r="P18" s="124">
        <f>O18/N18*100</f>
        <v>37.5</v>
      </c>
      <c r="Q18" s="703">
        <f t="shared" si="1"/>
        <v>25.485961123110151</v>
      </c>
    </row>
    <row r="19" spans="2:17" x14ac:dyDescent="0.25">
      <c r="B19" s="215" t="s">
        <v>34</v>
      </c>
      <c r="C19" s="70">
        <f>SUM(T.II!D16)</f>
        <v>3380</v>
      </c>
      <c r="D19" s="9">
        <v>1768</v>
      </c>
      <c r="E19" s="7">
        <f t="shared" si="7"/>
        <v>52.307692307692314</v>
      </c>
      <c r="F19" s="70">
        <v>1118</v>
      </c>
      <c r="G19" s="9">
        <v>598</v>
      </c>
      <c r="H19" s="124">
        <f t="shared" si="9"/>
        <v>53.488372093023251</v>
      </c>
      <c r="I19" s="703">
        <f t="shared" si="4"/>
        <v>33.076923076923073</v>
      </c>
      <c r="J19" s="70">
        <f t="shared" si="5"/>
        <v>1552</v>
      </c>
      <c r="K19" s="9">
        <f t="shared" si="2"/>
        <v>914</v>
      </c>
      <c r="L19" s="7">
        <f>K19/J19*100</f>
        <v>58.891752577319586</v>
      </c>
      <c r="M19" s="703">
        <f t="shared" si="8"/>
        <v>45.917159763313606</v>
      </c>
      <c r="N19" s="70">
        <v>710</v>
      </c>
      <c r="O19" s="9">
        <v>256</v>
      </c>
      <c r="P19" s="124">
        <f>O19/N19*100</f>
        <v>36.056338028169016</v>
      </c>
      <c r="Q19" s="703">
        <f t="shared" si="1"/>
        <v>21.005917159763314</v>
      </c>
    </row>
    <row r="20" spans="2:17" x14ac:dyDescent="0.25">
      <c r="B20" s="215" t="s">
        <v>35</v>
      </c>
      <c r="C20" s="70">
        <f>SUM(T.II!D17)</f>
        <v>1986</v>
      </c>
      <c r="D20" s="9">
        <v>916</v>
      </c>
      <c r="E20" s="7">
        <f t="shared" si="7"/>
        <v>46.12286002014099</v>
      </c>
      <c r="F20" s="70">
        <v>605</v>
      </c>
      <c r="G20" s="9">
        <v>316</v>
      </c>
      <c r="H20" s="124">
        <f t="shared" si="9"/>
        <v>52.231404958677686</v>
      </c>
      <c r="I20" s="703">
        <f t="shared" si="4"/>
        <v>30.463242698892245</v>
      </c>
      <c r="J20" s="70">
        <f t="shared" si="5"/>
        <v>844</v>
      </c>
      <c r="K20" s="9">
        <f t="shared" si="2"/>
        <v>426</v>
      </c>
      <c r="L20" s="7">
        <f t="shared" si="6"/>
        <v>50.473933649289101</v>
      </c>
      <c r="M20" s="703">
        <f t="shared" si="8"/>
        <v>42.497482376636455</v>
      </c>
      <c r="N20" s="70">
        <v>537</v>
      </c>
      <c r="O20" s="9">
        <v>174</v>
      </c>
      <c r="P20" s="124">
        <f>O20/N20*100</f>
        <v>32.402234636871505</v>
      </c>
      <c r="Q20" s="703">
        <f t="shared" si="1"/>
        <v>27.0392749244713</v>
      </c>
    </row>
    <row r="21" spans="2:17" x14ac:dyDescent="0.25">
      <c r="B21" s="215" t="s">
        <v>36</v>
      </c>
      <c r="C21" s="70">
        <f>SUM(T.II!D18)</f>
        <v>3089</v>
      </c>
      <c r="D21" s="9">
        <v>1524</v>
      </c>
      <c r="E21" s="7">
        <f t="shared" si="7"/>
        <v>49.336354807381028</v>
      </c>
      <c r="F21" s="70">
        <v>961</v>
      </c>
      <c r="G21" s="9">
        <v>519</v>
      </c>
      <c r="H21" s="124">
        <f>G21/F21*100</f>
        <v>54.006243496357968</v>
      </c>
      <c r="I21" s="703">
        <f t="shared" si="4"/>
        <v>31.110391712528322</v>
      </c>
      <c r="J21" s="70">
        <f t="shared" si="5"/>
        <v>1433</v>
      </c>
      <c r="K21" s="9">
        <f t="shared" si="2"/>
        <v>774</v>
      </c>
      <c r="L21" s="7">
        <f t="shared" si="6"/>
        <v>54.012561060711796</v>
      </c>
      <c r="M21" s="703">
        <f t="shared" si="8"/>
        <v>46.390417610877307</v>
      </c>
      <c r="N21" s="70">
        <v>695</v>
      </c>
      <c r="O21" s="9">
        <v>231</v>
      </c>
      <c r="P21" s="124">
        <f t="shared" si="3"/>
        <v>33.237410071942449</v>
      </c>
      <c r="Q21" s="703">
        <f t="shared" si="1"/>
        <v>22.499190676594367</v>
      </c>
    </row>
    <row r="22" spans="2:17" x14ac:dyDescent="0.25">
      <c r="B22" s="215" t="s">
        <v>37</v>
      </c>
      <c r="C22" s="70">
        <f>SUM(T.II!D19)</f>
        <v>2849</v>
      </c>
      <c r="D22" s="9">
        <v>1555</v>
      </c>
      <c r="E22" s="7">
        <f t="shared" si="7"/>
        <v>54.580554580554583</v>
      </c>
      <c r="F22" s="70">
        <v>761</v>
      </c>
      <c r="G22" s="9">
        <v>475</v>
      </c>
      <c r="H22" s="124">
        <f t="shared" si="9"/>
        <v>62.417871222076215</v>
      </c>
      <c r="I22" s="703">
        <f t="shared" si="4"/>
        <v>26.71112671112671</v>
      </c>
      <c r="J22" s="70">
        <f t="shared" si="5"/>
        <v>1351</v>
      </c>
      <c r="K22" s="9">
        <f t="shared" si="2"/>
        <v>800</v>
      </c>
      <c r="L22" s="7">
        <f t="shared" si="6"/>
        <v>59.215396002960773</v>
      </c>
      <c r="M22" s="703">
        <f t="shared" si="8"/>
        <v>47.420147420147416</v>
      </c>
      <c r="N22" s="70">
        <v>737</v>
      </c>
      <c r="O22" s="9">
        <v>280</v>
      </c>
      <c r="P22" s="124">
        <f t="shared" si="3"/>
        <v>37.991858887381277</v>
      </c>
      <c r="Q22" s="703">
        <f t="shared" si="1"/>
        <v>25.868725868725868</v>
      </c>
    </row>
    <row r="23" spans="2:17" x14ac:dyDescent="0.25">
      <c r="B23" s="215" t="s">
        <v>38</v>
      </c>
      <c r="C23" s="70">
        <f>SUM(T.II!D20)</f>
        <v>3616</v>
      </c>
      <c r="D23" s="9">
        <v>1944</v>
      </c>
      <c r="E23" s="7">
        <f t="shared" si="7"/>
        <v>53.761061946902657</v>
      </c>
      <c r="F23" s="70">
        <v>1141</v>
      </c>
      <c r="G23" s="9">
        <v>630</v>
      </c>
      <c r="H23" s="124">
        <f t="shared" si="9"/>
        <v>55.214723926380373</v>
      </c>
      <c r="I23" s="703">
        <f t="shared" si="4"/>
        <v>31.554203539823011</v>
      </c>
      <c r="J23" s="70">
        <f t="shared" si="5"/>
        <v>1632</v>
      </c>
      <c r="K23" s="9">
        <f t="shared" si="2"/>
        <v>979</v>
      </c>
      <c r="L23" s="7">
        <f t="shared" si="6"/>
        <v>59.987745098039213</v>
      </c>
      <c r="M23" s="703">
        <f t="shared" si="8"/>
        <v>45.132743362831853</v>
      </c>
      <c r="N23" s="70">
        <v>843</v>
      </c>
      <c r="O23" s="9">
        <v>335</v>
      </c>
      <c r="P23" s="124">
        <f t="shared" si="3"/>
        <v>39.73902728351127</v>
      </c>
      <c r="Q23" s="703">
        <f t="shared" si="1"/>
        <v>23.313053097345133</v>
      </c>
    </row>
    <row r="24" spans="2:17" x14ac:dyDescent="0.25">
      <c r="B24" s="216" t="s">
        <v>39</v>
      </c>
      <c r="C24" s="129">
        <f>SUM(T.II!D21)</f>
        <v>3465</v>
      </c>
      <c r="D24" s="131">
        <v>1801</v>
      </c>
      <c r="E24" s="7">
        <f t="shared" si="7"/>
        <v>51.976911976911978</v>
      </c>
      <c r="F24" s="129">
        <v>1096</v>
      </c>
      <c r="G24" s="131">
        <v>632</v>
      </c>
      <c r="H24" s="124">
        <f t="shared" si="9"/>
        <v>57.664233576642332</v>
      </c>
      <c r="I24" s="703">
        <f t="shared" si="4"/>
        <v>31.630591630591631</v>
      </c>
      <c r="J24" s="129">
        <f t="shared" si="5"/>
        <v>1590</v>
      </c>
      <c r="K24" s="131">
        <f t="shared" si="2"/>
        <v>902</v>
      </c>
      <c r="L24" s="7">
        <f t="shared" si="6"/>
        <v>56.729559748427668</v>
      </c>
      <c r="M24" s="703">
        <f t="shared" si="8"/>
        <v>45.887445887445885</v>
      </c>
      <c r="N24" s="129">
        <v>779</v>
      </c>
      <c r="O24" s="131">
        <v>267</v>
      </c>
      <c r="P24" s="124">
        <f t="shared" si="3"/>
        <v>34.274711168164309</v>
      </c>
      <c r="Q24" s="703">
        <f t="shared" si="1"/>
        <v>22.48196248196248</v>
      </c>
    </row>
    <row r="25" spans="2:17" x14ac:dyDescent="0.25">
      <c r="B25" s="216" t="s">
        <v>40</v>
      </c>
      <c r="C25" s="129">
        <f>SUM(T.II!D22)</f>
        <v>3933</v>
      </c>
      <c r="D25" s="131">
        <v>2186</v>
      </c>
      <c r="E25" s="7">
        <f t="shared" si="7"/>
        <v>55.580981439105003</v>
      </c>
      <c r="F25" s="129">
        <v>1235</v>
      </c>
      <c r="G25" s="131">
        <v>717</v>
      </c>
      <c r="H25" s="124">
        <f>G25/F25*100</f>
        <v>58.056680161943319</v>
      </c>
      <c r="I25" s="703">
        <f t="shared" si="4"/>
        <v>31.40096618357488</v>
      </c>
      <c r="J25" s="129">
        <f t="shared" si="5"/>
        <v>1894</v>
      </c>
      <c r="K25" s="131">
        <f t="shared" si="2"/>
        <v>1180</v>
      </c>
      <c r="L25" s="7">
        <f t="shared" si="6"/>
        <v>62.302006335797259</v>
      </c>
      <c r="M25" s="703">
        <f t="shared" si="8"/>
        <v>48.156623442664632</v>
      </c>
      <c r="N25" s="129">
        <v>804</v>
      </c>
      <c r="O25" s="131">
        <v>289</v>
      </c>
      <c r="P25" s="124">
        <f t="shared" si="3"/>
        <v>35.945273631840799</v>
      </c>
      <c r="Q25" s="703">
        <f t="shared" si="1"/>
        <v>20.442410373760488</v>
      </c>
    </row>
    <row r="26" spans="2:17" x14ac:dyDescent="0.25">
      <c r="B26" s="216" t="s">
        <v>41</v>
      </c>
      <c r="C26" s="129">
        <f>SUM(T.II!D23)</f>
        <v>2919</v>
      </c>
      <c r="D26" s="131">
        <v>1622</v>
      </c>
      <c r="E26" s="7">
        <f t="shared" si="7"/>
        <v>55.566974991435423</v>
      </c>
      <c r="F26" s="129">
        <v>904</v>
      </c>
      <c r="G26" s="131">
        <v>528</v>
      </c>
      <c r="H26" s="124">
        <f t="shared" si="9"/>
        <v>58.407079646017699</v>
      </c>
      <c r="I26" s="703">
        <f t="shared" si="4"/>
        <v>30.969510106200755</v>
      </c>
      <c r="J26" s="129">
        <f t="shared" si="5"/>
        <v>1410</v>
      </c>
      <c r="K26" s="131">
        <f t="shared" si="2"/>
        <v>859</v>
      </c>
      <c r="L26" s="7">
        <f t="shared" si="6"/>
        <v>60.921985815602838</v>
      </c>
      <c r="M26" s="703">
        <f t="shared" si="8"/>
        <v>48.30421377183967</v>
      </c>
      <c r="N26" s="129">
        <v>605</v>
      </c>
      <c r="O26" s="131">
        <v>235</v>
      </c>
      <c r="P26" s="124">
        <f t="shared" si="3"/>
        <v>38.84297520661157</v>
      </c>
      <c r="Q26" s="703">
        <f t="shared" si="1"/>
        <v>20.726276121959575</v>
      </c>
    </row>
    <row r="27" spans="2:17" x14ac:dyDescent="0.25">
      <c r="B27" s="216" t="s">
        <v>42</v>
      </c>
      <c r="C27" s="129">
        <f>SUM(T.II!D24)</f>
        <v>5711</v>
      </c>
      <c r="D27" s="131">
        <v>2900</v>
      </c>
      <c r="E27" s="7">
        <f t="shared" si="7"/>
        <v>50.779198038872352</v>
      </c>
      <c r="F27" s="129">
        <v>1794</v>
      </c>
      <c r="G27" s="131">
        <v>943</v>
      </c>
      <c r="H27" s="124">
        <f t="shared" si="9"/>
        <v>52.564102564102569</v>
      </c>
      <c r="I27" s="703">
        <f t="shared" si="4"/>
        <v>31.413062510943789</v>
      </c>
      <c r="J27" s="129">
        <f t="shared" si="5"/>
        <v>2636</v>
      </c>
      <c r="K27" s="131">
        <f t="shared" si="2"/>
        <v>1536</v>
      </c>
      <c r="L27" s="7">
        <f t="shared" si="6"/>
        <v>58.270106221547799</v>
      </c>
      <c r="M27" s="703">
        <f t="shared" si="8"/>
        <v>46.156540010506042</v>
      </c>
      <c r="N27" s="129">
        <v>1281</v>
      </c>
      <c r="O27" s="131">
        <v>421</v>
      </c>
      <c r="P27" s="124">
        <f t="shared" si="3"/>
        <v>32.864949258391881</v>
      </c>
      <c r="Q27" s="703">
        <f t="shared" si="1"/>
        <v>22.430397478550166</v>
      </c>
    </row>
    <row r="28" spans="2:17" x14ac:dyDescent="0.25">
      <c r="B28" s="216" t="s">
        <v>43</v>
      </c>
      <c r="C28" s="129">
        <f>SUM(T.II!D25)</f>
        <v>2741</v>
      </c>
      <c r="D28" s="131">
        <v>1375</v>
      </c>
      <c r="E28" s="7">
        <f t="shared" si="7"/>
        <v>50.164173659248448</v>
      </c>
      <c r="F28" s="129">
        <v>753</v>
      </c>
      <c r="G28" s="131">
        <v>436</v>
      </c>
      <c r="H28" s="124">
        <f>G28/F28*100</f>
        <v>57.901726427622847</v>
      </c>
      <c r="I28" s="703">
        <f t="shared" si="4"/>
        <v>27.47172564757388</v>
      </c>
      <c r="J28" s="129">
        <f t="shared" si="5"/>
        <v>1321</v>
      </c>
      <c r="K28" s="131">
        <f t="shared" si="2"/>
        <v>708</v>
      </c>
      <c r="L28" s="7">
        <f t="shared" si="6"/>
        <v>53.595760787282366</v>
      </c>
      <c r="M28" s="703">
        <f t="shared" si="8"/>
        <v>48.194089748267054</v>
      </c>
      <c r="N28" s="129">
        <v>667</v>
      </c>
      <c r="O28" s="131">
        <v>231</v>
      </c>
      <c r="P28" s="124">
        <f t="shared" si="3"/>
        <v>34.632683658170919</v>
      </c>
      <c r="Q28" s="703">
        <f t="shared" si="1"/>
        <v>24.334184604159066</v>
      </c>
    </row>
    <row r="29" spans="2:17" x14ac:dyDescent="0.25">
      <c r="B29" s="216" t="s">
        <v>44</v>
      </c>
      <c r="C29" s="129">
        <f>SUM(T.II!D26)</f>
        <v>2077</v>
      </c>
      <c r="D29" s="131">
        <v>1148</v>
      </c>
      <c r="E29" s="7">
        <f t="shared" si="7"/>
        <v>55.272026961964372</v>
      </c>
      <c r="F29" s="129">
        <v>553</v>
      </c>
      <c r="G29" s="131">
        <v>365</v>
      </c>
      <c r="H29" s="124">
        <f t="shared" si="9"/>
        <v>66.003616636528022</v>
      </c>
      <c r="I29" s="703">
        <f t="shared" si="4"/>
        <v>26.624939817043813</v>
      </c>
      <c r="J29" s="129">
        <f t="shared" si="5"/>
        <v>929</v>
      </c>
      <c r="K29" s="131">
        <f t="shared" si="2"/>
        <v>570</v>
      </c>
      <c r="L29" s="7">
        <f t="shared" si="6"/>
        <v>61.356297093649083</v>
      </c>
      <c r="M29" s="703">
        <f t="shared" si="8"/>
        <v>44.727973038035628</v>
      </c>
      <c r="N29" s="129">
        <v>595</v>
      </c>
      <c r="O29" s="131">
        <v>213</v>
      </c>
      <c r="P29" s="124">
        <f t="shared" si="3"/>
        <v>35.798319327731093</v>
      </c>
      <c r="Q29" s="703">
        <f t="shared" si="1"/>
        <v>28.647087144920558</v>
      </c>
    </row>
    <row r="30" spans="2:17" x14ac:dyDescent="0.25">
      <c r="B30" s="216" t="s">
        <v>45</v>
      </c>
      <c r="C30" s="129">
        <f>SUM(T.II!D27)</f>
        <v>3441</v>
      </c>
      <c r="D30" s="131">
        <v>1865</v>
      </c>
      <c r="E30" s="7">
        <f t="shared" si="7"/>
        <v>54.199360650973546</v>
      </c>
      <c r="F30" s="129">
        <v>980</v>
      </c>
      <c r="G30" s="131">
        <v>555</v>
      </c>
      <c r="H30" s="124">
        <f t="shared" si="9"/>
        <v>56.632653061224488</v>
      </c>
      <c r="I30" s="703">
        <f t="shared" si="4"/>
        <v>28.480092996222027</v>
      </c>
      <c r="J30" s="129">
        <f t="shared" si="5"/>
        <v>1680</v>
      </c>
      <c r="K30" s="131">
        <f t="shared" si="2"/>
        <v>1012</v>
      </c>
      <c r="L30" s="7">
        <f t="shared" si="6"/>
        <v>60.238095238095234</v>
      </c>
      <c r="M30" s="703">
        <f t="shared" si="8"/>
        <v>48.823016564952049</v>
      </c>
      <c r="N30" s="129">
        <v>781</v>
      </c>
      <c r="O30" s="131">
        <v>298</v>
      </c>
      <c r="P30" s="124">
        <f t="shared" si="3"/>
        <v>38.156209987195908</v>
      </c>
      <c r="Q30" s="703">
        <f t="shared" si="1"/>
        <v>22.696890438825925</v>
      </c>
    </row>
    <row r="31" spans="2:17" x14ac:dyDescent="0.25">
      <c r="B31" s="216" t="s">
        <v>46</v>
      </c>
      <c r="C31" s="129">
        <f>SUM(T.II!D28)</f>
        <v>1472</v>
      </c>
      <c r="D31" s="131">
        <v>836</v>
      </c>
      <c r="E31" s="7">
        <f t="shared" si="7"/>
        <v>56.79347826086957</v>
      </c>
      <c r="F31" s="129">
        <v>418</v>
      </c>
      <c r="G31" s="131">
        <v>257</v>
      </c>
      <c r="H31" s="124">
        <f t="shared" si="9"/>
        <v>61.483253588516753</v>
      </c>
      <c r="I31" s="703">
        <f t="shared" si="4"/>
        <v>28.396739130434785</v>
      </c>
      <c r="J31" s="129">
        <f t="shared" si="5"/>
        <v>662</v>
      </c>
      <c r="K31" s="131">
        <f t="shared" si="2"/>
        <v>426</v>
      </c>
      <c r="L31" s="7">
        <f t="shared" si="6"/>
        <v>64.350453172205434</v>
      </c>
      <c r="M31" s="703">
        <f t="shared" si="8"/>
        <v>44.972826086956523</v>
      </c>
      <c r="N31" s="129">
        <v>392</v>
      </c>
      <c r="O31" s="131">
        <v>153</v>
      </c>
      <c r="P31" s="124">
        <f t="shared" si="3"/>
        <v>39.030612244897959</v>
      </c>
      <c r="Q31" s="703">
        <f t="shared" si="1"/>
        <v>26.630434782608699</v>
      </c>
    </row>
    <row r="32" spans="2:17" x14ac:dyDescent="0.25">
      <c r="B32" s="216" t="s">
        <v>47</v>
      </c>
      <c r="C32" s="129">
        <f>SUM(T.II!D29)</f>
        <v>695</v>
      </c>
      <c r="D32" s="131">
        <v>347</v>
      </c>
      <c r="E32" s="7">
        <f t="shared" si="7"/>
        <v>49.928057553956833</v>
      </c>
      <c r="F32" s="129">
        <v>129</v>
      </c>
      <c r="G32" s="131">
        <v>73</v>
      </c>
      <c r="H32" s="124">
        <f>G32/F32*100</f>
        <v>56.589147286821706</v>
      </c>
      <c r="I32" s="703">
        <f t="shared" si="4"/>
        <v>18.561151079136689</v>
      </c>
      <c r="J32" s="129">
        <f t="shared" si="5"/>
        <v>342</v>
      </c>
      <c r="K32" s="131">
        <f t="shared" si="2"/>
        <v>191</v>
      </c>
      <c r="L32" s="7">
        <f t="shared" si="6"/>
        <v>55.847953216374272</v>
      </c>
      <c r="M32" s="703">
        <f t="shared" si="8"/>
        <v>49.208633093525179</v>
      </c>
      <c r="N32" s="129">
        <v>224</v>
      </c>
      <c r="O32" s="131">
        <v>83</v>
      </c>
      <c r="P32" s="124">
        <f t="shared" si="3"/>
        <v>37.053571428571431</v>
      </c>
      <c r="Q32" s="703">
        <f t="shared" si="1"/>
        <v>32.230215827338128</v>
      </c>
    </row>
    <row r="33" spans="2:17" x14ac:dyDescent="0.25">
      <c r="B33" s="216" t="s">
        <v>48</v>
      </c>
      <c r="C33" s="129">
        <f>SUM(T.II!D30)</f>
        <v>2851</v>
      </c>
      <c r="D33" s="131">
        <v>1495</v>
      </c>
      <c r="E33" s="7">
        <f t="shared" si="7"/>
        <v>52.437741143458439</v>
      </c>
      <c r="F33" s="129">
        <v>567</v>
      </c>
      <c r="G33" s="131">
        <v>318</v>
      </c>
      <c r="H33" s="124">
        <f t="shared" si="9"/>
        <v>56.084656084656082</v>
      </c>
      <c r="I33" s="703">
        <f t="shared" si="4"/>
        <v>19.887758681164502</v>
      </c>
      <c r="J33" s="129">
        <f t="shared" si="5"/>
        <v>1516</v>
      </c>
      <c r="K33" s="131">
        <f t="shared" si="2"/>
        <v>850</v>
      </c>
      <c r="L33" s="7">
        <f t="shared" si="6"/>
        <v>56.068601583113455</v>
      </c>
      <c r="M33" s="703">
        <f t="shared" si="8"/>
        <v>53.174324798316377</v>
      </c>
      <c r="N33" s="129">
        <v>768</v>
      </c>
      <c r="O33" s="131">
        <v>327</v>
      </c>
      <c r="P33" s="124">
        <f t="shared" si="3"/>
        <v>42.578125</v>
      </c>
      <c r="Q33" s="703">
        <f t="shared" si="1"/>
        <v>26.937916520519117</v>
      </c>
    </row>
    <row r="34" spans="2:17" x14ac:dyDescent="0.25">
      <c r="B34" s="216" t="s">
        <v>49</v>
      </c>
      <c r="C34" s="129">
        <f>SUM(T.II!D31)</f>
        <v>6181</v>
      </c>
      <c r="D34" s="131">
        <v>3204</v>
      </c>
      <c r="E34" s="7">
        <f t="shared" si="7"/>
        <v>51.836272447823973</v>
      </c>
      <c r="F34" s="129">
        <v>1373</v>
      </c>
      <c r="G34" s="131">
        <v>782</v>
      </c>
      <c r="H34" s="124">
        <f>G34/F34*100</f>
        <v>56.955571740713765</v>
      </c>
      <c r="I34" s="703">
        <f t="shared" si="4"/>
        <v>22.21323410451383</v>
      </c>
      <c r="J34" s="129">
        <f t="shared" si="5"/>
        <v>3106</v>
      </c>
      <c r="K34" s="131">
        <f t="shared" si="2"/>
        <v>1775</v>
      </c>
      <c r="L34" s="7">
        <f t="shared" si="6"/>
        <v>57.147456535737284</v>
      </c>
      <c r="M34" s="703">
        <f t="shared" si="8"/>
        <v>50.250768484064068</v>
      </c>
      <c r="N34" s="129">
        <v>1702</v>
      </c>
      <c r="O34" s="131">
        <v>647</v>
      </c>
      <c r="P34" s="124">
        <f t="shared" si="3"/>
        <v>38.014101057579317</v>
      </c>
      <c r="Q34" s="703">
        <f t="shared" si="1"/>
        <v>27.535997411422098</v>
      </c>
    </row>
    <row r="35" spans="2:17" ht="15.75" thickBot="1" x14ac:dyDescent="0.3">
      <c r="B35" s="217" t="s">
        <v>50</v>
      </c>
      <c r="C35" s="132">
        <f>SUM(T.II!D32)</f>
        <v>1284</v>
      </c>
      <c r="D35" s="134">
        <v>676</v>
      </c>
      <c r="E35" s="8">
        <f t="shared" si="7"/>
        <v>52.647975077881611</v>
      </c>
      <c r="F35" s="132">
        <v>252</v>
      </c>
      <c r="G35" s="134">
        <v>152</v>
      </c>
      <c r="H35" s="702">
        <f>G35/F35*100</f>
        <v>60.317460317460316</v>
      </c>
      <c r="I35" s="704">
        <f t="shared" si="4"/>
        <v>19.626168224299064</v>
      </c>
      <c r="J35" s="132">
        <f t="shared" si="5"/>
        <v>687</v>
      </c>
      <c r="K35" s="134">
        <f t="shared" si="2"/>
        <v>390</v>
      </c>
      <c r="L35" s="8">
        <f t="shared" si="6"/>
        <v>56.768558951965062</v>
      </c>
      <c r="M35" s="704">
        <f t="shared" si="8"/>
        <v>53.504672897196258</v>
      </c>
      <c r="N35" s="132">
        <v>345</v>
      </c>
      <c r="O35" s="134">
        <v>134</v>
      </c>
      <c r="P35" s="702">
        <f t="shared" si="3"/>
        <v>38.840579710144929</v>
      </c>
      <c r="Q35" s="704">
        <f t="shared" si="1"/>
        <v>26.869158878504674</v>
      </c>
    </row>
    <row r="36" spans="2:17" ht="13.5" customHeight="1" x14ac:dyDescent="0.25">
      <c r="B36" s="1220" t="s">
        <v>190</v>
      </c>
      <c r="C36" s="1220"/>
      <c r="D36" s="1220"/>
      <c r="E36" s="1220"/>
      <c r="F36" s="1220"/>
      <c r="G36" s="1220"/>
      <c r="H36" s="1220"/>
      <c r="I36" s="1220"/>
      <c r="J36" s="1220"/>
      <c r="K36" s="1220"/>
      <c r="L36" s="1220"/>
      <c r="M36" s="1220"/>
      <c r="N36" s="1220"/>
      <c r="O36" s="1220"/>
      <c r="P36" s="1220"/>
    </row>
    <row r="37" spans="2:17" ht="14.25" customHeight="1" x14ac:dyDescent="0.25">
      <c r="B37" s="1217" t="s">
        <v>191</v>
      </c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</row>
    <row r="38" spans="2:17" x14ac:dyDescent="0.25">
      <c r="B38" s="11" t="s">
        <v>411</v>
      </c>
    </row>
  </sheetData>
  <mergeCells count="17">
    <mergeCell ref="B37:P37"/>
    <mergeCell ref="G8:H8"/>
    <mergeCell ref="J8:J9"/>
    <mergeCell ref="K8:L8"/>
    <mergeCell ref="N8:N9"/>
    <mergeCell ref="O8:P8"/>
    <mergeCell ref="B36:P36"/>
    <mergeCell ref="B5:B9"/>
    <mergeCell ref="C6:E7"/>
    <mergeCell ref="F6:P6"/>
    <mergeCell ref="F7:H7"/>
    <mergeCell ref="J7:L7"/>
    <mergeCell ref="N7:P7"/>
    <mergeCell ref="C8:C9"/>
    <mergeCell ref="D8:E8"/>
    <mergeCell ref="F8:F9"/>
    <mergeCell ref="C5:Q5"/>
  </mergeCells>
  <pageMargins left="1.3779527559055118" right="0.6692913385826772" top="1.0236220472440944" bottom="0.31496062992125984" header="0.31496062992125984" footer="0.31496062992125984"/>
  <pageSetup paperSize="9" scale="85" fitToWidth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N37"/>
  <sheetViews>
    <sheetView zoomScale="90" zoomScaleNormal="90" workbookViewId="0">
      <selection activeCell="B1" sqref="B1"/>
    </sheetView>
  </sheetViews>
  <sheetFormatPr defaultRowHeight="15" x14ac:dyDescent="0.25"/>
  <cols>
    <col min="1" max="1" width="2.140625" style="95" customWidth="1"/>
    <col min="2" max="2" width="23.7109375" style="95" customWidth="1"/>
    <col min="3" max="3" width="11.42578125" style="95" customWidth="1"/>
    <col min="4" max="4" width="10.28515625" style="95" customWidth="1"/>
    <col min="5" max="5" width="11" style="95" customWidth="1"/>
    <col min="6" max="7" width="8.28515625" style="95" customWidth="1"/>
    <col min="8" max="8" width="10.42578125" style="95" customWidth="1"/>
    <col min="9" max="10" width="9.28515625" style="95" bestFit="1" customWidth="1"/>
    <col min="11" max="12" width="7.85546875" style="95" customWidth="1"/>
    <col min="13" max="14" width="13.140625" style="95" customWidth="1"/>
    <col min="15" max="16384" width="9.140625" style="95"/>
  </cols>
  <sheetData>
    <row r="2" spans="2:14" x14ac:dyDescent="0.25">
      <c r="B2" s="11" t="s">
        <v>288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4" x14ac:dyDescent="0.25">
      <c r="B3" s="11" t="s">
        <v>303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4" ht="13.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14" ht="15.75" customHeight="1" thickBot="1" x14ac:dyDescent="0.3">
      <c r="B5" s="1124" t="s">
        <v>133</v>
      </c>
      <c r="C5" s="676"/>
      <c r="D5" s="1226" t="s">
        <v>342</v>
      </c>
      <c r="E5" s="1226"/>
      <c r="F5" s="1226"/>
      <c r="G5" s="700"/>
      <c r="H5" s="687"/>
      <c r="I5" s="1226" t="s">
        <v>422</v>
      </c>
      <c r="J5" s="1226"/>
      <c r="K5" s="1226"/>
      <c r="L5" s="700"/>
      <c r="M5" s="1115" t="s">
        <v>187</v>
      </c>
      <c r="N5" s="1089"/>
    </row>
    <row r="6" spans="2:14" ht="19.5" customHeight="1" thickBot="1" x14ac:dyDescent="0.3">
      <c r="B6" s="1221"/>
      <c r="C6" s="683" t="s">
        <v>356</v>
      </c>
      <c r="D6" s="1228" t="s">
        <v>187</v>
      </c>
      <c r="E6" s="1229"/>
      <c r="F6" s="1231"/>
      <c r="G6" s="678" t="s">
        <v>138</v>
      </c>
      <c r="H6" s="688" t="s">
        <v>356</v>
      </c>
      <c r="I6" s="1228" t="s">
        <v>187</v>
      </c>
      <c r="J6" s="1229"/>
      <c r="K6" s="1230"/>
      <c r="L6" s="678" t="s">
        <v>138</v>
      </c>
      <c r="M6" s="1227"/>
      <c r="N6" s="1091"/>
    </row>
    <row r="7" spans="2:14" ht="17.25" customHeight="1" x14ac:dyDescent="0.25">
      <c r="B7" s="1221"/>
      <c r="C7" s="683" t="s">
        <v>4</v>
      </c>
      <c r="D7" s="1232" t="s">
        <v>4</v>
      </c>
      <c r="E7" s="1233" t="s">
        <v>119</v>
      </c>
      <c r="F7" s="1235"/>
      <c r="G7" s="675" t="s">
        <v>412</v>
      </c>
      <c r="H7" s="688" t="s">
        <v>4</v>
      </c>
      <c r="I7" s="1232" t="s">
        <v>4</v>
      </c>
      <c r="J7" s="1233" t="s">
        <v>119</v>
      </c>
      <c r="K7" s="1234"/>
      <c r="L7" s="675" t="s">
        <v>412</v>
      </c>
      <c r="M7" s="1087" t="s">
        <v>185</v>
      </c>
      <c r="N7" s="1139" t="s">
        <v>408</v>
      </c>
    </row>
    <row r="8" spans="2:14" ht="23.25" customHeight="1" thickBot="1" x14ac:dyDescent="0.3">
      <c r="B8" s="1134"/>
      <c r="C8" s="679"/>
      <c r="D8" s="1213"/>
      <c r="E8" s="684" t="s">
        <v>137</v>
      </c>
      <c r="F8" s="685" t="s">
        <v>409</v>
      </c>
      <c r="G8" s="674"/>
      <c r="H8" s="672"/>
      <c r="I8" s="1213"/>
      <c r="J8" s="114" t="s">
        <v>137</v>
      </c>
      <c r="K8" s="310" t="s">
        <v>409</v>
      </c>
      <c r="L8" s="674"/>
      <c r="M8" s="1088"/>
      <c r="N8" s="1113"/>
    </row>
    <row r="9" spans="2:14" ht="27" customHeight="1" thickBot="1" x14ac:dyDescent="0.3">
      <c r="B9" s="332" t="s">
        <v>25</v>
      </c>
      <c r="C9" s="692">
        <f>SUM(T.II!C7)</f>
        <v>82933</v>
      </c>
      <c r="D9" s="333">
        <f>SUM(D10:D34)</f>
        <v>47197</v>
      </c>
      <c r="E9" s="334">
        <f>SUM(E10:E34)</f>
        <v>27819</v>
      </c>
      <c r="F9" s="335">
        <f>E9*100/D9</f>
        <v>58.942305655020448</v>
      </c>
      <c r="G9" s="689">
        <f>SUM(D9/C9*100)</f>
        <v>56.90979465351549</v>
      </c>
      <c r="H9" s="697">
        <f>SUM(T.II!D7)</f>
        <v>75455</v>
      </c>
      <c r="I9" s="333">
        <f>SUM(I10:I34)</f>
        <v>41520</v>
      </c>
      <c r="J9" s="334">
        <f>SUM(J10:J34)</f>
        <v>24263</v>
      </c>
      <c r="K9" s="335">
        <f>J9*100/I9</f>
        <v>58.436897880539497</v>
      </c>
      <c r="L9" s="689">
        <f>SUM(I9/H9*100)</f>
        <v>55.026174541117221</v>
      </c>
      <c r="M9" s="333">
        <f>I9-D9</f>
        <v>-5677</v>
      </c>
      <c r="N9" s="335">
        <f>M9*100/D9</f>
        <v>-12.028306883912114</v>
      </c>
    </row>
    <row r="10" spans="2:14" ht="15.75" thickTop="1" x14ac:dyDescent="0.25">
      <c r="B10" s="214" t="s">
        <v>26</v>
      </c>
      <c r="C10" s="693">
        <f>SUM(T.II!C8)</f>
        <v>1175</v>
      </c>
      <c r="D10" s="218">
        <v>710</v>
      </c>
      <c r="E10" s="219">
        <v>413</v>
      </c>
      <c r="F10" s="72">
        <f t="shared" ref="F10:F33" si="0">E10*100/D10</f>
        <v>58.16901408450704</v>
      </c>
      <c r="G10" s="690">
        <f t="shared" ref="G10:G34" si="1">SUM(D10/C10*100)</f>
        <v>60.425531914893618</v>
      </c>
      <c r="H10" s="698">
        <f>SUM(T.II!D8)</f>
        <v>1162</v>
      </c>
      <c r="I10" s="218">
        <v>671</v>
      </c>
      <c r="J10" s="219">
        <v>396</v>
      </c>
      <c r="K10" s="72">
        <f t="shared" ref="K10:K34" si="2">J10*100/I10</f>
        <v>59.016393442622949</v>
      </c>
      <c r="L10" s="690">
        <f>SUM(I10/H10*100)</f>
        <v>57.745266781411367</v>
      </c>
      <c r="M10" s="218">
        <f>I10-D10</f>
        <v>-39</v>
      </c>
      <c r="N10" s="72">
        <f t="shared" ref="N10:N34" si="3">M10*100/D10</f>
        <v>-5.492957746478873</v>
      </c>
    </row>
    <row r="11" spans="2:14" x14ac:dyDescent="0.25">
      <c r="B11" s="215" t="s">
        <v>27</v>
      </c>
      <c r="C11" s="694">
        <f>SUM(T.II!C9)</f>
        <v>4415</v>
      </c>
      <c r="D11" s="70">
        <v>2728</v>
      </c>
      <c r="E11" s="9">
        <v>1672</v>
      </c>
      <c r="F11" s="72">
        <f t="shared" si="0"/>
        <v>61.29032258064516</v>
      </c>
      <c r="G11" s="690">
        <f t="shared" si="1"/>
        <v>61.789354473386183</v>
      </c>
      <c r="H11" s="698">
        <f>SUM(T.II!D9)</f>
        <v>4241</v>
      </c>
      <c r="I11" s="70">
        <v>2563</v>
      </c>
      <c r="J11" s="9">
        <v>1556</v>
      </c>
      <c r="K11" s="72">
        <f t="shared" si="2"/>
        <v>60.71010534529848</v>
      </c>
      <c r="L11" s="690">
        <f t="shared" ref="L11:L34" si="4">SUM(I11/H11*100)</f>
        <v>60.433859938693701</v>
      </c>
      <c r="M11" s="70">
        <f>I11-D11</f>
        <v>-165</v>
      </c>
      <c r="N11" s="7">
        <f>M11*100/D11</f>
        <v>-6.0483870967741939</v>
      </c>
    </row>
    <row r="12" spans="2:14" x14ac:dyDescent="0.25">
      <c r="B12" s="215" t="s">
        <v>28</v>
      </c>
      <c r="C12" s="694">
        <f>SUM(T.II!C10)</f>
        <v>3452</v>
      </c>
      <c r="D12" s="70">
        <v>1791</v>
      </c>
      <c r="E12" s="9">
        <v>1299</v>
      </c>
      <c r="F12" s="72">
        <f t="shared" si="0"/>
        <v>72.529313232830816</v>
      </c>
      <c r="G12" s="690">
        <f t="shared" si="1"/>
        <v>51.882966396292005</v>
      </c>
      <c r="H12" s="698">
        <f>SUM(T.II!D10)</f>
        <v>2719</v>
      </c>
      <c r="I12" s="70">
        <v>1227</v>
      </c>
      <c r="J12" s="9">
        <v>887</v>
      </c>
      <c r="K12" s="72">
        <f t="shared" si="2"/>
        <v>72.290138549307258</v>
      </c>
      <c r="L12" s="690">
        <f t="shared" si="4"/>
        <v>45.126884884148581</v>
      </c>
      <c r="M12" s="70">
        <f t="shared" ref="M12:M34" si="5">I12-D12</f>
        <v>-564</v>
      </c>
      <c r="N12" s="7">
        <f t="shared" si="3"/>
        <v>-31.490787269681743</v>
      </c>
    </row>
    <row r="13" spans="2:14" x14ac:dyDescent="0.25">
      <c r="B13" s="215" t="s">
        <v>29</v>
      </c>
      <c r="C13" s="694">
        <f>SUM(T.II!C11)</f>
        <v>6551</v>
      </c>
      <c r="D13" s="70">
        <v>4062</v>
      </c>
      <c r="E13" s="9">
        <v>2303</v>
      </c>
      <c r="F13" s="72">
        <f t="shared" si="0"/>
        <v>56.696208764155585</v>
      </c>
      <c r="G13" s="690">
        <f t="shared" si="1"/>
        <v>62.005800641123486</v>
      </c>
      <c r="H13" s="698">
        <f>SUM(T.II!D11)</f>
        <v>5215</v>
      </c>
      <c r="I13" s="70">
        <v>3169</v>
      </c>
      <c r="J13" s="9">
        <v>1811</v>
      </c>
      <c r="K13" s="72">
        <f t="shared" si="2"/>
        <v>57.147365099400439</v>
      </c>
      <c r="L13" s="690">
        <f t="shared" si="4"/>
        <v>60.767018216682644</v>
      </c>
      <c r="M13" s="70">
        <f t="shared" si="5"/>
        <v>-893</v>
      </c>
      <c r="N13" s="7">
        <f t="shared" si="3"/>
        <v>-21.984244214672575</v>
      </c>
    </row>
    <row r="14" spans="2:14" x14ac:dyDescent="0.25">
      <c r="B14" s="215" t="s">
        <v>30</v>
      </c>
      <c r="C14" s="694">
        <f>SUM(T.II!C12)</f>
        <v>5179</v>
      </c>
      <c r="D14" s="70">
        <v>3117</v>
      </c>
      <c r="E14" s="9">
        <v>2169</v>
      </c>
      <c r="F14" s="72">
        <f t="shared" si="0"/>
        <v>69.586140519730506</v>
      </c>
      <c r="G14" s="690">
        <f t="shared" si="1"/>
        <v>60.18536396987836</v>
      </c>
      <c r="H14" s="698">
        <f>SUM(T.II!D12)</f>
        <v>4918</v>
      </c>
      <c r="I14" s="70">
        <v>2895</v>
      </c>
      <c r="J14" s="9">
        <v>1932</v>
      </c>
      <c r="K14" s="72">
        <f t="shared" si="2"/>
        <v>66.735751295336783</v>
      </c>
      <c r="L14" s="690">
        <f t="shared" si="4"/>
        <v>58.865392435949573</v>
      </c>
      <c r="M14" s="70">
        <f t="shared" si="5"/>
        <v>-222</v>
      </c>
      <c r="N14" s="7">
        <f t="shared" si="3"/>
        <v>-7.1222329162656397</v>
      </c>
    </row>
    <row r="15" spans="2:14" x14ac:dyDescent="0.25">
      <c r="B15" s="215" t="s">
        <v>31</v>
      </c>
      <c r="C15" s="694">
        <f>SUM(T.II!C13)</f>
        <v>1972</v>
      </c>
      <c r="D15" s="70">
        <v>1011</v>
      </c>
      <c r="E15" s="9">
        <v>577</v>
      </c>
      <c r="F15" s="72">
        <f t="shared" si="0"/>
        <v>57.072205736894162</v>
      </c>
      <c r="G15" s="690">
        <f t="shared" si="1"/>
        <v>51.267748478701826</v>
      </c>
      <c r="H15" s="698">
        <f>SUM(T.II!D13)</f>
        <v>1817</v>
      </c>
      <c r="I15" s="70">
        <v>861</v>
      </c>
      <c r="J15" s="9">
        <v>529</v>
      </c>
      <c r="K15" s="72">
        <f t="shared" si="2"/>
        <v>61.440185830429733</v>
      </c>
      <c r="L15" s="690">
        <f t="shared" si="4"/>
        <v>47.385800770500822</v>
      </c>
      <c r="M15" s="70">
        <f t="shared" si="5"/>
        <v>-150</v>
      </c>
      <c r="N15" s="7">
        <f t="shared" si="3"/>
        <v>-14.836795252225519</v>
      </c>
    </row>
    <row r="16" spans="2:14" x14ac:dyDescent="0.25">
      <c r="B16" s="215" t="s">
        <v>32</v>
      </c>
      <c r="C16" s="694">
        <f>SUM(T.II!C14)</f>
        <v>2187</v>
      </c>
      <c r="D16" s="70">
        <v>945</v>
      </c>
      <c r="E16" s="9">
        <v>547</v>
      </c>
      <c r="F16" s="72">
        <f t="shared" si="0"/>
        <v>57.883597883597886</v>
      </c>
      <c r="G16" s="690">
        <f t="shared" si="1"/>
        <v>43.209876543209873</v>
      </c>
      <c r="H16" s="698">
        <f>SUM(T.II!D14)</f>
        <v>1841</v>
      </c>
      <c r="I16" s="70">
        <v>757</v>
      </c>
      <c r="J16" s="9">
        <v>438</v>
      </c>
      <c r="K16" s="72">
        <f t="shared" si="2"/>
        <v>57.859973579920741</v>
      </c>
      <c r="L16" s="690">
        <f t="shared" si="4"/>
        <v>41.118957088538835</v>
      </c>
      <c r="M16" s="70">
        <f t="shared" si="5"/>
        <v>-188</v>
      </c>
      <c r="N16" s="7">
        <f t="shared" si="3"/>
        <v>-19.894179894179896</v>
      </c>
    </row>
    <row r="17" spans="2:14" x14ac:dyDescent="0.25">
      <c r="B17" s="215" t="s">
        <v>33</v>
      </c>
      <c r="C17" s="694">
        <f>SUM(T.II!C15)</f>
        <v>1923</v>
      </c>
      <c r="D17" s="70">
        <v>1094</v>
      </c>
      <c r="E17" s="9">
        <v>543</v>
      </c>
      <c r="F17" s="72">
        <f t="shared" si="0"/>
        <v>49.634369287020107</v>
      </c>
      <c r="G17" s="690">
        <f t="shared" si="1"/>
        <v>56.890275611024443</v>
      </c>
      <c r="H17" s="698">
        <f>SUM(T.II!D15)</f>
        <v>1852</v>
      </c>
      <c r="I17" s="70">
        <v>1058</v>
      </c>
      <c r="J17" s="9">
        <v>520</v>
      </c>
      <c r="K17" s="72">
        <f t="shared" si="2"/>
        <v>49.149338374291112</v>
      </c>
      <c r="L17" s="690">
        <f t="shared" si="4"/>
        <v>57.127429805615549</v>
      </c>
      <c r="M17" s="70">
        <f t="shared" si="5"/>
        <v>-36</v>
      </c>
      <c r="N17" s="7">
        <f t="shared" si="3"/>
        <v>-3.290676416819013</v>
      </c>
    </row>
    <row r="18" spans="2:14" x14ac:dyDescent="0.25">
      <c r="B18" s="215" t="s">
        <v>34</v>
      </c>
      <c r="C18" s="694">
        <f>SUM(T.II!C16)</f>
        <v>3686</v>
      </c>
      <c r="D18" s="70">
        <v>2120</v>
      </c>
      <c r="E18" s="9">
        <v>1232</v>
      </c>
      <c r="F18" s="72">
        <f t="shared" si="0"/>
        <v>58.113207547169814</v>
      </c>
      <c r="G18" s="690">
        <f t="shared" si="1"/>
        <v>57.514921323928384</v>
      </c>
      <c r="H18" s="698">
        <f>SUM(T.II!D16)</f>
        <v>3380</v>
      </c>
      <c r="I18" s="70">
        <v>1878</v>
      </c>
      <c r="J18" s="9">
        <v>1082</v>
      </c>
      <c r="K18" s="72">
        <f t="shared" si="2"/>
        <v>57.614483493077742</v>
      </c>
      <c r="L18" s="690">
        <f t="shared" si="4"/>
        <v>55.562130177514788</v>
      </c>
      <c r="M18" s="70">
        <f t="shared" si="5"/>
        <v>-242</v>
      </c>
      <c r="N18" s="7">
        <f t="shared" si="3"/>
        <v>-11.415094339622641</v>
      </c>
    </row>
    <row r="19" spans="2:14" x14ac:dyDescent="0.25">
      <c r="B19" s="215" t="s">
        <v>35</v>
      </c>
      <c r="C19" s="694">
        <f>SUM(T.II!C17)</f>
        <v>2125</v>
      </c>
      <c r="D19" s="70">
        <v>1021</v>
      </c>
      <c r="E19" s="9">
        <v>569</v>
      </c>
      <c r="F19" s="72">
        <f t="shared" si="0"/>
        <v>55.729676787463269</v>
      </c>
      <c r="G19" s="690">
        <f t="shared" si="1"/>
        <v>48.047058823529412</v>
      </c>
      <c r="H19" s="698">
        <f>SUM(T.II!D17)</f>
        <v>1986</v>
      </c>
      <c r="I19" s="70">
        <v>896</v>
      </c>
      <c r="J19" s="9">
        <v>472</v>
      </c>
      <c r="K19" s="72">
        <f t="shared" si="2"/>
        <v>52.678571428571431</v>
      </c>
      <c r="L19" s="690">
        <f t="shared" si="4"/>
        <v>45.115810674723065</v>
      </c>
      <c r="M19" s="70">
        <f t="shared" si="5"/>
        <v>-125</v>
      </c>
      <c r="N19" s="7">
        <f t="shared" si="3"/>
        <v>-12.242899118511264</v>
      </c>
    </row>
    <row r="20" spans="2:14" x14ac:dyDescent="0.25">
      <c r="B20" s="215" t="s">
        <v>36</v>
      </c>
      <c r="C20" s="694">
        <f>SUM(T.II!C18)</f>
        <v>3482</v>
      </c>
      <c r="D20" s="70">
        <v>1861</v>
      </c>
      <c r="E20" s="9">
        <v>1017</v>
      </c>
      <c r="F20" s="72">
        <f t="shared" si="0"/>
        <v>54.648038688876944</v>
      </c>
      <c r="G20" s="690">
        <f t="shared" si="1"/>
        <v>53.446295232624927</v>
      </c>
      <c r="H20" s="698">
        <f>SUM(T.II!D18)</f>
        <v>3089</v>
      </c>
      <c r="I20" s="70">
        <v>1621</v>
      </c>
      <c r="J20" s="9">
        <v>877</v>
      </c>
      <c r="K20" s="72">
        <f t="shared" si="2"/>
        <v>54.102405922270201</v>
      </c>
      <c r="L20" s="690">
        <f t="shared" si="4"/>
        <v>52.476529621236644</v>
      </c>
      <c r="M20" s="70">
        <f t="shared" si="5"/>
        <v>-240</v>
      </c>
      <c r="N20" s="7">
        <f t="shared" si="3"/>
        <v>-12.896292315959162</v>
      </c>
    </row>
    <row r="21" spans="2:14" x14ac:dyDescent="0.25">
      <c r="B21" s="215" t="s">
        <v>37</v>
      </c>
      <c r="C21" s="694">
        <f>SUM(T.II!C19)</f>
        <v>2895</v>
      </c>
      <c r="D21" s="70">
        <v>1425</v>
      </c>
      <c r="E21" s="9">
        <v>889</v>
      </c>
      <c r="F21" s="72">
        <f t="shared" si="0"/>
        <v>62.385964912280699</v>
      </c>
      <c r="G21" s="690">
        <f t="shared" si="1"/>
        <v>49.222797927461137</v>
      </c>
      <c r="H21" s="698">
        <f>SUM(T.II!D19)</f>
        <v>2849</v>
      </c>
      <c r="I21" s="70">
        <v>1153</v>
      </c>
      <c r="J21" s="9">
        <v>709</v>
      </c>
      <c r="K21" s="72">
        <f t="shared" si="2"/>
        <v>61.491760624457939</v>
      </c>
      <c r="L21" s="690">
        <f t="shared" si="4"/>
        <v>40.470340470340474</v>
      </c>
      <c r="M21" s="70">
        <f t="shared" si="5"/>
        <v>-272</v>
      </c>
      <c r="N21" s="7">
        <f t="shared" si="3"/>
        <v>-19.087719298245613</v>
      </c>
    </row>
    <row r="22" spans="2:14" x14ac:dyDescent="0.25">
      <c r="B22" s="215" t="s">
        <v>38</v>
      </c>
      <c r="C22" s="694">
        <f>SUM(T.II!C20)</f>
        <v>3868</v>
      </c>
      <c r="D22" s="70">
        <v>2239</v>
      </c>
      <c r="E22" s="9">
        <v>1281</v>
      </c>
      <c r="F22" s="72">
        <f t="shared" si="0"/>
        <v>57.213041536400176</v>
      </c>
      <c r="G22" s="690">
        <f t="shared" si="1"/>
        <v>57.885211995863493</v>
      </c>
      <c r="H22" s="698">
        <f>SUM(T.II!D20)</f>
        <v>3616</v>
      </c>
      <c r="I22" s="70">
        <v>2030</v>
      </c>
      <c r="J22" s="9">
        <v>1210</v>
      </c>
      <c r="K22" s="72">
        <f t="shared" si="2"/>
        <v>59.60591133004926</v>
      </c>
      <c r="L22" s="690">
        <f t="shared" si="4"/>
        <v>56.139380530973447</v>
      </c>
      <c r="M22" s="70">
        <f t="shared" si="5"/>
        <v>-209</v>
      </c>
      <c r="N22" s="7">
        <f>M22*100/D22</f>
        <v>-9.3345243412237604</v>
      </c>
    </row>
    <row r="23" spans="2:14" x14ac:dyDescent="0.25">
      <c r="B23" s="216" t="s">
        <v>39</v>
      </c>
      <c r="C23" s="695">
        <f>SUM(T.II!C21)</f>
        <v>3691</v>
      </c>
      <c r="D23" s="129">
        <v>2177</v>
      </c>
      <c r="E23" s="131">
        <v>1230</v>
      </c>
      <c r="F23" s="72">
        <f t="shared" si="0"/>
        <v>56.499770326136883</v>
      </c>
      <c r="G23" s="690">
        <f t="shared" si="1"/>
        <v>58.981305879165532</v>
      </c>
      <c r="H23" s="698">
        <f>SUM(T.II!D21)</f>
        <v>3465</v>
      </c>
      <c r="I23" s="129">
        <v>1997</v>
      </c>
      <c r="J23" s="131">
        <v>1135</v>
      </c>
      <c r="K23" s="72">
        <f t="shared" si="2"/>
        <v>56.835252879318979</v>
      </c>
      <c r="L23" s="690">
        <f t="shared" si="4"/>
        <v>57.633477633477639</v>
      </c>
      <c r="M23" s="70">
        <f t="shared" si="5"/>
        <v>-180</v>
      </c>
      <c r="N23" s="7">
        <f t="shared" si="3"/>
        <v>-8.2682590721175924</v>
      </c>
    </row>
    <row r="24" spans="2:14" x14ac:dyDescent="0.25">
      <c r="B24" s="216" t="s">
        <v>40</v>
      </c>
      <c r="C24" s="695">
        <f>SUM(T.II!C22)</f>
        <v>4085</v>
      </c>
      <c r="D24" s="129">
        <v>2444</v>
      </c>
      <c r="E24" s="131">
        <v>1528</v>
      </c>
      <c r="F24" s="72">
        <f t="shared" si="0"/>
        <v>62.520458265139119</v>
      </c>
      <c r="G24" s="690">
        <f t="shared" si="1"/>
        <v>59.828641370869029</v>
      </c>
      <c r="H24" s="698">
        <f>SUM(T.II!D22)</f>
        <v>3933</v>
      </c>
      <c r="I24" s="129">
        <v>2277</v>
      </c>
      <c r="J24" s="131">
        <v>1410</v>
      </c>
      <c r="K24" s="72">
        <f t="shared" si="2"/>
        <v>61.923583662714094</v>
      </c>
      <c r="L24" s="690">
        <f t="shared" si="4"/>
        <v>57.894736842105267</v>
      </c>
      <c r="M24" s="70">
        <f t="shared" si="5"/>
        <v>-167</v>
      </c>
      <c r="N24" s="7">
        <f t="shared" si="3"/>
        <v>-6.8330605564648117</v>
      </c>
    </row>
    <row r="25" spans="2:14" x14ac:dyDescent="0.25">
      <c r="B25" s="216" t="s">
        <v>41</v>
      </c>
      <c r="C25" s="695">
        <f>SUM(T.II!C23)</f>
        <v>3426</v>
      </c>
      <c r="D25" s="129">
        <v>1875</v>
      </c>
      <c r="E25" s="131">
        <v>1196</v>
      </c>
      <c r="F25" s="72">
        <f t="shared" si="0"/>
        <v>63.786666666666669</v>
      </c>
      <c r="G25" s="690">
        <f t="shared" si="1"/>
        <v>54.728546409807358</v>
      </c>
      <c r="H25" s="698">
        <f>SUM(T.II!D23)</f>
        <v>2919</v>
      </c>
      <c r="I25" s="129">
        <v>1517</v>
      </c>
      <c r="J25" s="131">
        <v>956</v>
      </c>
      <c r="K25" s="72">
        <f t="shared" si="2"/>
        <v>63.019116677653265</v>
      </c>
      <c r="L25" s="690">
        <f t="shared" si="4"/>
        <v>51.969852689277154</v>
      </c>
      <c r="M25" s="70">
        <f t="shared" si="5"/>
        <v>-358</v>
      </c>
      <c r="N25" s="7">
        <f t="shared" si="3"/>
        <v>-19.093333333333334</v>
      </c>
    </row>
    <row r="26" spans="2:14" x14ac:dyDescent="0.25">
      <c r="B26" s="216" t="s">
        <v>42</v>
      </c>
      <c r="C26" s="695">
        <f>SUM(T.II!C24)</f>
        <v>6405</v>
      </c>
      <c r="D26" s="129">
        <v>3749</v>
      </c>
      <c r="E26" s="131">
        <v>2025</v>
      </c>
      <c r="F26" s="72">
        <f t="shared" si="0"/>
        <v>54.014403841024276</v>
      </c>
      <c r="G26" s="690">
        <f t="shared" si="1"/>
        <v>58.532396565183454</v>
      </c>
      <c r="H26" s="698">
        <f>SUM(T.II!D24)</f>
        <v>5711</v>
      </c>
      <c r="I26" s="129">
        <v>3347</v>
      </c>
      <c r="J26" s="131">
        <v>1782</v>
      </c>
      <c r="K26" s="72">
        <f t="shared" si="2"/>
        <v>53.241708993128178</v>
      </c>
      <c r="L26" s="690">
        <f t="shared" si="4"/>
        <v>58.606198564174406</v>
      </c>
      <c r="M26" s="70">
        <f t="shared" si="5"/>
        <v>-402</v>
      </c>
      <c r="N26" s="7">
        <f t="shared" si="3"/>
        <v>-10.722859429181115</v>
      </c>
    </row>
    <row r="27" spans="2:14" x14ac:dyDescent="0.25">
      <c r="B27" s="216" t="s">
        <v>43</v>
      </c>
      <c r="C27" s="695">
        <f>SUM(T.II!C25)</f>
        <v>2822</v>
      </c>
      <c r="D27" s="129">
        <v>1468</v>
      </c>
      <c r="E27" s="131">
        <v>855</v>
      </c>
      <c r="F27" s="72">
        <f t="shared" si="0"/>
        <v>58.242506811989102</v>
      </c>
      <c r="G27" s="690">
        <f t="shared" si="1"/>
        <v>52.0198440822112</v>
      </c>
      <c r="H27" s="698">
        <f>SUM(T.II!D25)</f>
        <v>2741</v>
      </c>
      <c r="I27" s="129">
        <v>1344</v>
      </c>
      <c r="J27" s="131">
        <v>764</v>
      </c>
      <c r="K27" s="72">
        <f t="shared" si="2"/>
        <v>56.845238095238095</v>
      </c>
      <c r="L27" s="690">
        <f t="shared" si="4"/>
        <v>49.033199562203578</v>
      </c>
      <c r="M27" s="70">
        <f t="shared" si="5"/>
        <v>-124</v>
      </c>
      <c r="N27" s="7">
        <f t="shared" si="3"/>
        <v>-8.4468664850136239</v>
      </c>
    </row>
    <row r="28" spans="2:14" x14ac:dyDescent="0.25">
      <c r="B28" s="216" t="s">
        <v>44</v>
      </c>
      <c r="C28" s="695">
        <f>SUM(T.II!C26)</f>
        <v>2417</v>
      </c>
      <c r="D28" s="129">
        <v>1076</v>
      </c>
      <c r="E28" s="131">
        <v>681</v>
      </c>
      <c r="F28" s="72">
        <f t="shared" si="0"/>
        <v>63.289962825278813</v>
      </c>
      <c r="G28" s="690">
        <f t="shared" si="1"/>
        <v>44.51799751758378</v>
      </c>
      <c r="H28" s="698">
        <f>SUM(T.II!D26)</f>
        <v>2077</v>
      </c>
      <c r="I28" s="129">
        <v>873</v>
      </c>
      <c r="J28" s="131">
        <v>536</v>
      </c>
      <c r="K28" s="72">
        <f t="shared" si="2"/>
        <v>61.397479954180987</v>
      </c>
      <c r="L28" s="690">
        <f t="shared" si="4"/>
        <v>42.031776600866635</v>
      </c>
      <c r="M28" s="70">
        <f t="shared" si="5"/>
        <v>-203</v>
      </c>
      <c r="N28" s="7">
        <f t="shared" si="3"/>
        <v>-18.866171003717472</v>
      </c>
    </row>
    <row r="29" spans="2:14" x14ac:dyDescent="0.25">
      <c r="B29" s="216" t="s">
        <v>45</v>
      </c>
      <c r="C29" s="695">
        <f>SUM(T.II!C27)</f>
        <v>3730</v>
      </c>
      <c r="D29" s="129">
        <v>2248</v>
      </c>
      <c r="E29" s="131">
        <v>1364</v>
      </c>
      <c r="F29" s="72">
        <f t="shared" si="0"/>
        <v>60.67615658362989</v>
      </c>
      <c r="G29" s="690">
        <f t="shared" si="1"/>
        <v>60.268096514745309</v>
      </c>
      <c r="H29" s="698">
        <f>SUM(T.II!D27)</f>
        <v>3441</v>
      </c>
      <c r="I29" s="129">
        <v>2070</v>
      </c>
      <c r="J29" s="131">
        <v>1265</v>
      </c>
      <c r="K29" s="72">
        <f t="shared" si="2"/>
        <v>61.111111111111114</v>
      </c>
      <c r="L29" s="690">
        <f t="shared" si="4"/>
        <v>60.156931124673065</v>
      </c>
      <c r="M29" s="70">
        <f t="shared" si="5"/>
        <v>-178</v>
      </c>
      <c r="N29" s="7">
        <f t="shared" si="3"/>
        <v>-7.9181494661921707</v>
      </c>
    </row>
    <row r="30" spans="2:14" x14ac:dyDescent="0.25">
      <c r="B30" s="216" t="s">
        <v>46</v>
      </c>
      <c r="C30" s="695">
        <f>SUM(T.II!C28)</f>
        <v>1526</v>
      </c>
      <c r="D30" s="129">
        <v>746</v>
      </c>
      <c r="E30" s="131">
        <v>492</v>
      </c>
      <c r="F30" s="72">
        <f t="shared" si="0"/>
        <v>65.951742627345851</v>
      </c>
      <c r="G30" s="690">
        <f t="shared" si="1"/>
        <v>48.885976408912192</v>
      </c>
      <c r="H30" s="698">
        <f>SUM(T.II!D28)</f>
        <v>1472</v>
      </c>
      <c r="I30" s="129">
        <v>706</v>
      </c>
      <c r="J30" s="131">
        <v>443</v>
      </c>
      <c r="K30" s="72">
        <f t="shared" si="2"/>
        <v>62.747875354107649</v>
      </c>
      <c r="L30" s="690">
        <f t="shared" si="4"/>
        <v>47.961956521739133</v>
      </c>
      <c r="M30" s="70">
        <f t="shared" si="5"/>
        <v>-40</v>
      </c>
      <c r="N30" s="7">
        <f t="shared" si="3"/>
        <v>-5.3619302949061662</v>
      </c>
    </row>
    <row r="31" spans="2:14" x14ac:dyDescent="0.25">
      <c r="B31" s="216" t="s">
        <v>47</v>
      </c>
      <c r="C31" s="695">
        <f>SUM(T.II!C29)</f>
        <v>789</v>
      </c>
      <c r="D31" s="129">
        <v>349</v>
      </c>
      <c r="E31" s="131">
        <v>188</v>
      </c>
      <c r="F31" s="72">
        <f t="shared" si="0"/>
        <v>53.868194842406879</v>
      </c>
      <c r="G31" s="690">
        <f t="shared" si="1"/>
        <v>44.233206590621037</v>
      </c>
      <c r="H31" s="698">
        <f>SUM(T.II!D29)</f>
        <v>695</v>
      </c>
      <c r="I31" s="129">
        <v>280</v>
      </c>
      <c r="J31" s="131">
        <v>152</v>
      </c>
      <c r="K31" s="72">
        <f t="shared" si="2"/>
        <v>54.285714285714285</v>
      </c>
      <c r="L31" s="690">
        <f t="shared" si="4"/>
        <v>40.28776978417266</v>
      </c>
      <c r="M31" s="70">
        <f t="shared" si="5"/>
        <v>-69</v>
      </c>
      <c r="N31" s="7">
        <f t="shared" si="3"/>
        <v>-19.770773638968482</v>
      </c>
    </row>
    <row r="32" spans="2:14" x14ac:dyDescent="0.25">
      <c r="B32" s="216" t="s">
        <v>48</v>
      </c>
      <c r="C32" s="695">
        <f>SUM(T.II!C30)</f>
        <v>3088</v>
      </c>
      <c r="D32" s="129">
        <v>2031</v>
      </c>
      <c r="E32" s="131">
        <v>1157</v>
      </c>
      <c r="F32" s="72">
        <f t="shared" si="0"/>
        <v>56.967011324470704</v>
      </c>
      <c r="G32" s="690">
        <f t="shared" si="1"/>
        <v>65.770725388601036</v>
      </c>
      <c r="H32" s="698">
        <f>SUM(T.II!D30)</f>
        <v>2851</v>
      </c>
      <c r="I32" s="129">
        <v>1851</v>
      </c>
      <c r="J32" s="131">
        <v>1029</v>
      </c>
      <c r="K32" s="72">
        <f t="shared" si="2"/>
        <v>55.591572123176661</v>
      </c>
      <c r="L32" s="690">
        <f t="shared" si="4"/>
        <v>64.924587863907405</v>
      </c>
      <c r="M32" s="70">
        <f t="shared" si="5"/>
        <v>-180</v>
      </c>
      <c r="N32" s="7">
        <f t="shared" si="3"/>
        <v>-8.862629246676514</v>
      </c>
    </row>
    <row r="33" spans="2:14" x14ac:dyDescent="0.25">
      <c r="B33" s="216" t="s">
        <v>49</v>
      </c>
      <c r="C33" s="695">
        <f>SUM(T.II!C31)</f>
        <v>6571</v>
      </c>
      <c r="D33" s="129">
        <v>4148</v>
      </c>
      <c r="E33" s="131">
        <v>2167</v>
      </c>
      <c r="F33" s="72">
        <f t="shared" si="0"/>
        <v>52.2420443587271</v>
      </c>
      <c r="G33" s="690">
        <f t="shared" si="1"/>
        <v>63.125856034089182</v>
      </c>
      <c r="H33" s="698">
        <f>SUM(T.II!D31)</f>
        <v>6181</v>
      </c>
      <c r="I33" s="129">
        <v>3822</v>
      </c>
      <c r="J33" s="131">
        <v>1989</v>
      </c>
      <c r="K33" s="72">
        <f t="shared" si="2"/>
        <v>52.04081632653061</v>
      </c>
      <c r="L33" s="690">
        <f t="shared" si="4"/>
        <v>61.834654586636461</v>
      </c>
      <c r="M33" s="70">
        <f t="shared" si="5"/>
        <v>-326</v>
      </c>
      <c r="N33" s="7">
        <f t="shared" si="3"/>
        <v>-7.8592092574734815</v>
      </c>
    </row>
    <row r="34" spans="2:14" ht="15.75" thickBot="1" x14ac:dyDescent="0.3">
      <c r="B34" s="217" t="s">
        <v>50</v>
      </c>
      <c r="C34" s="696">
        <f>SUM(T.II!C32)</f>
        <v>1473</v>
      </c>
      <c r="D34" s="132">
        <v>762</v>
      </c>
      <c r="E34" s="134">
        <v>425</v>
      </c>
      <c r="F34" s="111">
        <f>E34*100/D34</f>
        <v>55.774278215223099</v>
      </c>
      <c r="G34" s="691">
        <f t="shared" si="1"/>
        <v>51.731160896130348</v>
      </c>
      <c r="H34" s="699">
        <f>SUM(T.II!D32)</f>
        <v>1284</v>
      </c>
      <c r="I34" s="132">
        <v>657</v>
      </c>
      <c r="J34" s="134">
        <v>383</v>
      </c>
      <c r="K34" s="111">
        <f t="shared" si="2"/>
        <v>58.295281582952818</v>
      </c>
      <c r="L34" s="691">
        <f t="shared" si="4"/>
        <v>51.168224299065422</v>
      </c>
      <c r="M34" s="3">
        <f t="shared" si="5"/>
        <v>-105</v>
      </c>
      <c r="N34" s="8">
        <f t="shared" si="3"/>
        <v>-13.779527559055119</v>
      </c>
    </row>
    <row r="35" spans="2:14" x14ac:dyDescent="0.25">
      <c r="B35" s="527" t="s">
        <v>413</v>
      </c>
      <c r="C35" s="68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x14ac:dyDescent="0.25">
      <c r="B36" s="11" t="s">
        <v>414</v>
      </c>
      <c r="C36" s="11"/>
      <c r="D36" s="527"/>
      <c r="E36" s="527"/>
      <c r="F36" s="527"/>
      <c r="G36" s="682"/>
      <c r="H36" s="682"/>
      <c r="I36" s="298"/>
      <c r="J36" s="298"/>
      <c r="K36" s="298"/>
      <c r="L36" s="682"/>
      <c r="M36" s="298"/>
      <c r="N36" s="298"/>
    </row>
    <row r="37" spans="2:14" x14ac:dyDescent="0.25">
      <c r="B37" s="11" t="s">
        <v>491</v>
      </c>
      <c r="C37" s="11"/>
      <c r="D37" s="11"/>
      <c r="E37" s="11"/>
      <c r="F37" s="11"/>
      <c r="G37" s="11"/>
      <c r="H37" s="11"/>
    </row>
  </sheetData>
  <mergeCells count="12">
    <mergeCell ref="M7:M8"/>
    <mergeCell ref="N7:N8"/>
    <mergeCell ref="M5:N6"/>
    <mergeCell ref="B5:B8"/>
    <mergeCell ref="I5:K5"/>
    <mergeCell ref="D5:F5"/>
    <mergeCell ref="I6:K6"/>
    <mergeCell ref="D6:F6"/>
    <mergeCell ref="I7:I8"/>
    <mergeCell ref="J7:K7"/>
    <mergeCell ref="D7:D8"/>
    <mergeCell ref="E7:F7"/>
  </mergeCells>
  <printOptions horizontalCentered="1"/>
  <pageMargins left="0" right="0.6692913385826772" top="0.6692913385826772" bottom="0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F2"/>
  </sheetPr>
  <dimension ref="B1:AF33"/>
  <sheetViews>
    <sheetView workbookViewId="0">
      <selection activeCell="B1" sqref="B1"/>
    </sheetView>
  </sheetViews>
  <sheetFormatPr defaultRowHeight="12" x14ac:dyDescent="0.2"/>
  <cols>
    <col min="1" max="1" width="3.140625" style="68" customWidth="1"/>
    <col min="2" max="2" width="62.42578125" style="68" customWidth="1"/>
    <col min="3" max="3" width="15.7109375" style="952" customWidth="1"/>
    <col min="4" max="4" width="10.140625" style="68" customWidth="1"/>
    <col min="5" max="5" width="11.140625" style="68" customWidth="1"/>
    <col min="6" max="6" width="9.5703125" style="68" customWidth="1"/>
    <col min="7" max="7" width="3.140625" style="68" customWidth="1"/>
    <col min="8" max="8" width="3.5703125" style="952" customWidth="1"/>
    <col min="9" max="9" width="3.7109375" style="68" customWidth="1"/>
    <col min="10" max="10" width="4.28515625" style="986" customWidth="1"/>
    <col min="11" max="11" width="11.85546875" style="68" customWidth="1"/>
    <col min="12" max="12" width="9.42578125" style="68" customWidth="1"/>
    <col min="13" max="14" width="10.85546875" style="68" customWidth="1"/>
    <col min="15" max="15" width="15.42578125" style="68" customWidth="1"/>
    <col min="16" max="16" width="1.5703125" style="68" customWidth="1"/>
    <col min="17" max="17" width="4" style="68" customWidth="1"/>
    <col min="18" max="18" width="10.85546875" style="68" customWidth="1"/>
    <col min="19" max="19" width="9.140625" style="68"/>
    <col min="20" max="20" width="10.28515625" style="68" customWidth="1"/>
    <col min="21" max="21" width="9.140625" style="68"/>
    <col min="22" max="22" width="16.140625" style="68" customWidth="1"/>
    <col min="23" max="23" width="2.140625" style="68" customWidth="1"/>
    <col min="24" max="24" width="4" style="68" customWidth="1"/>
    <col min="25" max="25" width="11.140625" style="68" customWidth="1"/>
    <col min="26" max="26" width="9.140625" style="68"/>
    <col min="27" max="27" width="10.85546875" style="68" customWidth="1"/>
    <col min="28" max="28" width="9.140625" style="68"/>
    <col min="29" max="29" width="11.5703125" style="68" customWidth="1"/>
    <col min="30" max="30" width="2.85546875" style="68" customWidth="1"/>
    <col min="31" max="31" width="112.28515625" style="68" customWidth="1"/>
    <col min="32" max="32" width="5.42578125" style="68" customWidth="1"/>
    <col min="33" max="16384" width="9.140625" style="68"/>
  </cols>
  <sheetData>
    <row r="1" spans="2:32" ht="12" customHeight="1" x14ac:dyDescent="0.2"/>
    <row r="2" spans="2:32" ht="12.75" customHeight="1" x14ac:dyDescent="0.2">
      <c r="B2" s="1238" t="s">
        <v>400</v>
      </c>
      <c r="C2" s="1238"/>
      <c r="D2" s="1238"/>
      <c r="E2" s="1238"/>
      <c r="F2" s="1238"/>
    </row>
    <row r="3" spans="2:32" ht="13.5" customHeight="1" x14ac:dyDescent="0.2">
      <c r="B3" s="1236" t="s">
        <v>545</v>
      </c>
      <c r="C3" s="1236"/>
      <c r="D3" s="1236"/>
      <c r="E3" s="1236"/>
      <c r="F3" s="1236"/>
    </row>
    <row r="4" spans="2:32" ht="14.25" customHeight="1" x14ac:dyDescent="0.2">
      <c r="B4" s="1237" t="s">
        <v>546</v>
      </c>
      <c r="C4" s="1237"/>
      <c r="D4" s="1237"/>
      <c r="E4" s="1237"/>
      <c r="F4" s="1237"/>
    </row>
    <row r="5" spans="2:32" ht="14.25" customHeight="1" thickBot="1" x14ac:dyDescent="0.25">
      <c r="K5" s="68" t="s">
        <v>428</v>
      </c>
      <c r="R5" s="68" t="s">
        <v>365</v>
      </c>
      <c r="Y5" s="68" t="s">
        <v>366</v>
      </c>
    </row>
    <row r="6" spans="2:32" ht="45.75" customHeight="1" x14ac:dyDescent="0.2">
      <c r="B6" s="943" t="s">
        <v>133</v>
      </c>
      <c r="C6" s="944" t="s">
        <v>266</v>
      </c>
      <c r="D6" s="1239" t="s">
        <v>138</v>
      </c>
      <c r="E6" s="945" t="s">
        <v>269</v>
      </c>
      <c r="F6" s="1241" t="s">
        <v>542</v>
      </c>
      <c r="H6" s="981" t="s">
        <v>508</v>
      </c>
      <c r="I6" s="985"/>
      <c r="J6" s="987" t="s">
        <v>509</v>
      </c>
      <c r="K6" s="981" t="s">
        <v>356</v>
      </c>
      <c r="L6" s="947" t="s">
        <v>357</v>
      </c>
      <c r="M6" s="947" t="s">
        <v>358</v>
      </c>
      <c r="N6" s="947" t="s">
        <v>359</v>
      </c>
      <c r="O6" s="948" t="s">
        <v>364</v>
      </c>
      <c r="Q6" s="946"/>
      <c r="R6" s="947" t="s">
        <v>356</v>
      </c>
      <c r="S6" s="947" t="s">
        <v>357</v>
      </c>
      <c r="T6" s="947" t="s">
        <v>358</v>
      </c>
      <c r="U6" s="947" t="s">
        <v>359</v>
      </c>
      <c r="V6" s="948" t="s">
        <v>363</v>
      </c>
      <c r="X6" s="946"/>
      <c r="Y6" s="947" t="s">
        <v>356</v>
      </c>
      <c r="Z6" s="947" t="s">
        <v>357</v>
      </c>
      <c r="AA6" s="947" t="s">
        <v>358</v>
      </c>
      <c r="AB6" s="947" t="s">
        <v>359</v>
      </c>
      <c r="AC6" s="948" t="s">
        <v>363</v>
      </c>
    </row>
    <row r="7" spans="2:32" ht="31.5" customHeight="1" thickBot="1" x14ac:dyDescent="0.25">
      <c r="B7" s="949"/>
      <c r="C7" s="950" t="s">
        <v>422</v>
      </c>
      <c r="D7" s="1240"/>
      <c r="E7" s="951" t="s">
        <v>268</v>
      </c>
      <c r="F7" s="1242"/>
      <c r="H7" s="981" t="s">
        <v>194</v>
      </c>
      <c r="I7" s="947" t="s">
        <v>362</v>
      </c>
      <c r="J7" s="987"/>
      <c r="K7" s="981" t="s">
        <v>360</v>
      </c>
      <c r="L7" s="947" t="s">
        <v>361</v>
      </c>
      <c r="M7" s="947">
        <v>1</v>
      </c>
      <c r="N7" s="947">
        <v>2</v>
      </c>
      <c r="O7" s="947">
        <v>3</v>
      </c>
      <c r="P7" s="952"/>
      <c r="Q7" s="947" t="s">
        <v>362</v>
      </c>
      <c r="R7" s="947" t="s">
        <v>360</v>
      </c>
      <c r="S7" s="947" t="s">
        <v>361</v>
      </c>
      <c r="T7" s="947">
        <v>1</v>
      </c>
      <c r="U7" s="947">
        <v>2</v>
      </c>
      <c r="V7" s="947">
        <v>3</v>
      </c>
      <c r="W7" s="952"/>
      <c r="X7" s="947" t="s">
        <v>362</v>
      </c>
      <c r="Y7" s="947" t="s">
        <v>360</v>
      </c>
      <c r="Z7" s="947" t="s">
        <v>361</v>
      </c>
      <c r="AA7" s="947">
        <v>1</v>
      </c>
      <c r="AB7" s="947">
        <v>2</v>
      </c>
      <c r="AC7" s="947">
        <v>3</v>
      </c>
    </row>
    <row r="8" spans="2:32" ht="26.25" customHeight="1" thickBot="1" x14ac:dyDescent="0.25">
      <c r="B8" s="617" t="s">
        <v>355</v>
      </c>
      <c r="C8" s="988">
        <f>SUM(K32)</f>
        <v>75455</v>
      </c>
      <c r="D8" s="989">
        <v>100</v>
      </c>
      <c r="E8" s="618">
        <f>SUM(O32)</f>
        <v>2715</v>
      </c>
      <c r="F8" s="990">
        <f>SUM(L32)</f>
        <v>53714</v>
      </c>
      <c r="H8" s="979">
        <f>RANK(K8,$K$8:$K$29,1)+COUNTIF($K$8:K8,K8)-1</f>
        <v>14</v>
      </c>
      <c r="I8" s="947">
        <v>1</v>
      </c>
      <c r="J8" s="987" t="str">
        <f>T(AE8)</f>
        <v>Rolnictwo, leśnictwo, łowiectwo i rybactwo</v>
      </c>
      <c r="K8" s="953">
        <f>SUM(Y8)</f>
        <v>2387</v>
      </c>
      <c r="L8" s="953">
        <f>SUM(S8,Z8)</f>
        <v>457</v>
      </c>
      <c r="M8" s="953">
        <f>SUM(K8/L8)</f>
        <v>5.2231947483588623</v>
      </c>
      <c r="N8" s="953">
        <f>SUM(AB8)</f>
        <v>1881</v>
      </c>
      <c r="O8" s="953">
        <f>SUM(AC8)</f>
        <v>75</v>
      </c>
      <c r="P8" s="952"/>
      <c r="Q8" s="947">
        <v>1</v>
      </c>
      <c r="R8" s="953">
        <v>2076</v>
      </c>
      <c r="S8" s="953">
        <v>277</v>
      </c>
      <c r="T8" s="953">
        <f>SUM(R8/S8)</f>
        <v>7.4945848375451263</v>
      </c>
      <c r="U8" s="953">
        <v>1443</v>
      </c>
      <c r="V8" s="953">
        <v>68</v>
      </c>
      <c r="W8" s="952"/>
      <c r="X8" s="947">
        <v>1</v>
      </c>
      <c r="Y8" s="953">
        <v>2387</v>
      </c>
      <c r="Z8" s="953">
        <v>180</v>
      </c>
      <c r="AA8" s="953">
        <f>SUM(Y8/Z8)</f>
        <v>13.261111111111111</v>
      </c>
      <c r="AB8" s="953">
        <v>1881</v>
      </c>
      <c r="AC8" s="953">
        <v>75</v>
      </c>
      <c r="AE8" s="954" t="s">
        <v>373</v>
      </c>
      <c r="AF8" s="975" t="s">
        <v>493</v>
      </c>
    </row>
    <row r="9" spans="2:32" ht="20.25" customHeight="1" thickTop="1" x14ac:dyDescent="0.2">
      <c r="B9" s="956" t="str">
        <f>INDEX(J8:O29,MATCH(22,H8:H29,0),1)</f>
        <v>Handel hurtowy i detaliczny; naprawa pojazdów samochodowych, włączając motocykle</v>
      </c>
      <c r="C9" s="957">
        <f>INDEX(J8:O29,MATCH(22,H8:H29,0),2)</f>
        <v>12452</v>
      </c>
      <c r="D9" s="994">
        <f>SUM(C9/C8)*100</f>
        <v>16.502551189450664</v>
      </c>
      <c r="E9" s="958">
        <f>INDEX(J8:O29,MATCH(22,H8:H29,0),6)</f>
        <v>821</v>
      </c>
      <c r="F9" s="959">
        <f>INDEX(J8:O29,MATCH(22,H8:H29,0),3)</f>
        <v>9305</v>
      </c>
      <c r="H9" s="979">
        <f>RANK(K9,$K$8:$K$29,1)+COUNTIF($K$9:K9,K9)-1</f>
        <v>3</v>
      </c>
      <c r="I9" s="947">
        <v>2</v>
      </c>
      <c r="J9" s="987" t="str">
        <f t="shared" ref="J9:J32" si="0">T(AE9)</f>
        <v>Górnictwo i wydobywanie</v>
      </c>
      <c r="K9" s="953">
        <f t="shared" ref="K9:K32" si="1">SUM(Y9)</f>
        <v>112</v>
      </c>
      <c r="L9" s="953">
        <f t="shared" ref="L9:L32" si="2">SUM(S9,Z9)</f>
        <v>81</v>
      </c>
      <c r="M9" s="953">
        <f t="shared" ref="M9:M32" si="3">SUM(K9/L9)</f>
        <v>1.382716049382716</v>
      </c>
      <c r="N9" s="953">
        <f t="shared" ref="N9:N32" si="4">SUM(AB9)</f>
        <v>51</v>
      </c>
      <c r="O9" s="953">
        <f t="shared" ref="O9:O32" si="5">SUM(AC9)</f>
        <v>7</v>
      </c>
      <c r="P9" s="952"/>
      <c r="Q9" s="947">
        <v>2</v>
      </c>
      <c r="R9" s="953">
        <v>123</v>
      </c>
      <c r="S9" s="953">
        <v>46</v>
      </c>
      <c r="T9" s="953">
        <f t="shared" ref="T9:T32" si="6">SUM(R9/S9)</f>
        <v>2.6739130434782608</v>
      </c>
      <c r="U9" s="953">
        <v>65</v>
      </c>
      <c r="V9" s="953">
        <v>6</v>
      </c>
      <c r="W9" s="952"/>
      <c r="X9" s="947">
        <v>2</v>
      </c>
      <c r="Y9" s="953">
        <v>112</v>
      </c>
      <c r="Z9" s="953">
        <v>35</v>
      </c>
      <c r="AA9" s="953">
        <f t="shared" ref="AA9:AA32" si="7">SUM(Y9/Z9)</f>
        <v>3.2</v>
      </c>
      <c r="AB9" s="953">
        <v>51</v>
      </c>
      <c r="AC9" s="953">
        <v>7</v>
      </c>
      <c r="AE9" s="954" t="s">
        <v>376</v>
      </c>
      <c r="AF9" s="975" t="s">
        <v>494</v>
      </c>
    </row>
    <row r="10" spans="2:32" ht="15.75" customHeight="1" x14ac:dyDescent="0.2">
      <c r="B10" s="960" t="str">
        <f>INDEX(J8:O29,MATCH(21,H8:H29,0),1)</f>
        <v>Przetwórstwo przemysłowe</v>
      </c>
      <c r="C10" s="961">
        <f>INDEX(J8:O29,MATCH(21,H8:H29,0),2)</f>
        <v>12214</v>
      </c>
      <c r="D10" s="991">
        <f>SUM(C10/C8)*100</f>
        <v>16.187131402822875</v>
      </c>
      <c r="E10" s="962">
        <f>INDEX(J8:O29,MATCH(21,H8:H29,0),6)</f>
        <v>710</v>
      </c>
      <c r="F10" s="963">
        <f>INDEX(J8:O29,MATCH(21,H8:H29,0),3)</f>
        <v>9830</v>
      </c>
      <c r="H10" s="979">
        <f>RANK(K10,$K$8:$K$29,1)+COUNTIF($K$10:K10,K10)-1</f>
        <v>21</v>
      </c>
      <c r="I10" s="947">
        <v>3</v>
      </c>
      <c r="J10" s="987" t="str">
        <f t="shared" si="0"/>
        <v>Przetwórstwo przemysłowe</v>
      </c>
      <c r="K10" s="953">
        <f t="shared" si="1"/>
        <v>12214</v>
      </c>
      <c r="L10" s="953">
        <f t="shared" si="2"/>
        <v>9830</v>
      </c>
      <c r="M10" s="953">
        <f t="shared" si="3"/>
        <v>1.2425228891149542</v>
      </c>
      <c r="N10" s="953">
        <f t="shared" si="4"/>
        <v>8431</v>
      </c>
      <c r="O10" s="953">
        <f t="shared" si="5"/>
        <v>710</v>
      </c>
      <c r="P10" s="952"/>
      <c r="Q10" s="947">
        <v>3</v>
      </c>
      <c r="R10" s="953">
        <v>12170</v>
      </c>
      <c r="S10" s="953">
        <v>5793</v>
      </c>
      <c r="T10" s="953">
        <f t="shared" si="6"/>
        <v>2.1008113240117381</v>
      </c>
      <c r="U10" s="953">
        <v>8181</v>
      </c>
      <c r="V10" s="953">
        <v>767</v>
      </c>
      <c r="W10" s="952"/>
      <c r="X10" s="947">
        <v>3</v>
      </c>
      <c r="Y10" s="953">
        <v>12214</v>
      </c>
      <c r="Z10" s="953">
        <v>4037</v>
      </c>
      <c r="AA10" s="953">
        <f t="shared" si="7"/>
        <v>3.0255139955412433</v>
      </c>
      <c r="AB10" s="953">
        <v>8431</v>
      </c>
      <c r="AC10" s="953">
        <v>710</v>
      </c>
      <c r="AE10" s="954" t="s">
        <v>377</v>
      </c>
      <c r="AF10" s="975" t="s">
        <v>495</v>
      </c>
    </row>
    <row r="11" spans="2:32" ht="16.5" customHeight="1" x14ac:dyDescent="0.2">
      <c r="B11" s="964" t="str">
        <f>INDEX(J8:O29,MATCH(20,H8:H29,0),1)</f>
        <v>Budownictwo</v>
      </c>
      <c r="C11" s="982">
        <f>INDEX(J8:O29,MATCH(20,H8:H29,0),2)</f>
        <v>7213</v>
      </c>
      <c r="D11" s="992">
        <f>SUM(C11/C8)*100</f>
        <v>9.5593400039758798</v>
      </c>
      <c r="E11" s="965">
        <f>INDEX(J8:O29,MATCH(20,H8:H29,0),6)</f>
        <v>241</v>
      </c>
      <c r="F11" s="966">
        <f>INDEX(J8:O29,MATCH(20,H8:H29,0),3)</f>
        <v>8516</v>
      </c>
      <c r="H11" s="979">
        <f>RANK(K11,$K$8:$K$29,1)+COUNTIF($K$11:K11,K11)-1</f>
        <v>2</v>
      </c>
      <c r="I11" s="947">
        <v>4</v>
      </c>
      <c r="J11" s="987" t="str">
        <f t="shared" si="0"/>
        <v>Wytwarzanie i zaopatrywanie w energię elektryczną, gaz, parę wodną, gorącą wodę i powietrze do układów klimatyzacyjnych</v>
      </c>
      <c r="K11" s="953">
        <f t="shared" si="1"/>
        <v>95</v>
      </c>
      <c r="L11" s="953">
        <f t="shared" si="2"/>
        <v>203</v>
      </c>
      <c r="M11" s="953">
        <f t="shared" si="3"/>
        <v>0.46798029556650245</v>
      </c>
      <c r="N11" s="953">
        <f t="shared" si="4"/>
        <v>62</v>
      </c>
      <c r="O11" s="953">
        <f t="shared" si="5"/>
        <v>5</v>
      </c>
      <c r="P11" s="952"/>
      <c r="Q11" s="947">
        <v>4</v>
      </c>
      <c r="R11" s="953">
        <v>105</v>
      </c>
      <c r="S11" s="953">
        <v>112</v>
      </c>
      <c r="T11" s="953">
        <f t="shared" si="6"/>
        <v>0.9375</v>
      </c>
      <c r="U11" s="953">
        <v>54</v>
      </c>
      <c r="V11" s="953">
        <v>8</v>
      </c>
      <c r="W11" s="952"/>
      <c r="X11" s="947">
        <v>4</v>
      </c>
      <c r="Y11" s="953">
        <v>95</v>
      </c>
      <c r="Z11" s="953">
        <v>91</v>
      </c>
      <c r="AA11" s="953">
        <f t="shared" si="7"/>
        <v>1.043956043956044</v>
      </c>
      <c r="AB11" s="953">
        <v>62</v>
      </c>
      <c r="AC11" s="953">
        <v>5</v>
      </c>
      <c r="AE11" s="967" t="s">
        <v>378</v>
      </c>
      <c r="AF11" s="975" t="s">
        <v>496</v>
      </c>
    </row>
    <row r="12" spans="2:32" ht="20.25" customHeight="1" x14ac:dyDescent="0.2">
      <c r="B12" s="964" t="str">
        <f>INDEX(J8:O29,MATCH(19,H8:H29,0),1)</f>
        <v>Działalność niezidentyfikowana</v>
      </c>
      <c r="C12" s="982">
        <f>INDEX(J8:O29,MATCH(19,H8:H29,0),2)</f>
        <v>6797</v>
      </c>
      <c r="D12" s="992">
        <f>SUM(C12/C8)*100</f>
        <v>9.0080180239878072</v>
      </c>
      <c r="E12" s="965">
        <f>INDEX(J8:O29,MATCH(19,H8:H29,0),6)</f>
        <v>93</v>
      </c>
      <c r="F12" s="966">
        <f>INDEX(J8:O29,MATCH(19,H8:H29,0),3)</f>
        <v>0</v>
      </c>
      <c r="H12" s="979">
        <f>RANK(K12,$K$8:$K$29,1)+COUNTIF($K$12:K12,K12)-1</f>
        <v>6</v>
      </c>
      <c r="I12" s="947">
        <v>5</v>
      </c>
      <c r="J12" s="987" t="str">
        <f t="shared" si="0"/>
        <v>Dostawa wody, gospodarowanie ściekami i odpadami oraz działalność związana z rekultywacją</v>
      </c>
      <c r="K12" s="953">
        <f t="shared" si="1"/>
        <v>526</v>
      </c>
      <c r="L12" s="953">
        <f t="shared" si="2"/>
        <v>555</v>
      </c>
      <c r="M12" s="953">
        <f t="shared" si="3"/>
        <v>0.94774774774774773</v>
      </c>
      <c r="N12" s="953">
        <f t="shared" si="4"/>
        <v>328</v>
      </c>
      <c r="O12" s="953">
        <f t="shared" si="5"/>
        <v>22</v>
      </c>
      <c r="P12" s="952"/>
      <c r="Q12" s="947">
        <v>5</v>
      </c>
      <c r="R12" s="953">
        <v>507</v>
      </c>
      <c r="S12" s="953">
        <v>352</v>
      </c>
      <c r="T12" s="953">
        <f t="shared" si="6"/>
        <v>1.4403409090909092</v>
      </c>
      <c r="U12" s="953">
        <v>323</v>
      </c>
      <c r="V12" s="953">
        <v>18</v>
      </c>
      <c r="W12" s="952"/>
      <c r="X12" s="947">
        <v>5</v>
      </c>
      <c r="Y12" s="953">
        <v>526</v>
      </c>
      <c r="Z12" s="953">
        <v>203</v>
      </c>
      <c r="AA12" s="953">
        <f t="shared" si="7"/>
        <v>2.5911330049261085</v>
      </c>
      <c r="AB12" s="953">
        <v>328</v>
      </c>
      <c r="AC12" s="953">
        <v>22</v>
      </c>
      <c r="AE12" s="967" t="s">
        <v>379</v>
      </c>
      <c r="AF12" s="975" t="s">
        <v>121</v>
      </c>
    </row>
    <row r="13" spans="2:32" ht="20.25" customHeight="1" x14ac:dyDescent="0.2">
      <c r="B13" s="964" t="str">
        <f>INDEX(J8:O29,MATCH(18,H8:H29,0),1)</f>
        <v>Pozostała działalność usługowa</v>
      </c>
      <c r="C13" s="982">
        <f>INDEX(J8:O29,MATCH(18,H8:H29,0),2)</f>
        <v>3576</v>
      </c>
      <c r="D13" s="992">
        <f>SUM(C13/C8)*100</f>
        <v>4.7392485587436219</v>
      </c>
      <c r="E13" s="965">
        <f>INDEX(J8:O29,MATCH(18,H8:H29,0),6)</f>
        <v>93</v>
      </c>
      <c r="F13" s="966">
        <f>INDEX(J8:O29,MATCH(18,H8:H29,0),3)</f>
        <v>1841</v>
      </c>
      <c r="H13" s="979">
        <f>RANK(K13,$K$8:$K$29,1)+COUNTIF($K$13:K13,K13)-1</f>
        <v>20</v>
      </c>
      <c r="I13" s="947">
        <v>6</v>
      </c>
      <c r="J13" s="987" t="str">
        <f t="shared" si="0"/>
        <v>Budownictwo</v>
      </c>
      <c r="K13" s="953">
        <f t="shared" si="1"/>
        <v>7213</v>
      </c>
      <c r="L13" s="953">
        <f t="shared" si="2"/>
        <v>8516</v>
      </c>
      <c r="M13" s="953">
        <f t="shared" si="3"/>
        <v>0.84699389384687651</v>
      </c>
      <c r="N13" s="953">
        <f t="shared" si="4"/>
        <v>5068</v>
      </c>
      <c r="O13" s="953">
        <f t="shared" si="5"/>
        <v>241</v>
      </c>
      <c r="P13" s="952"/>
      <c r="Q13" s="947">
        <v>6</v>
      </c>
      <c r="R13" s="953">
        <v>6876</v>
      </c>
      <c r="S13" s="953">
        <v>4996</v>
      </c>
      <c r="T13" s="953">
        <f t="shared" si="6"/>
        <v>1.3763010408326661</v>
      </c>
      <c r="U13" s="953">
        <v>5280</v>
      </c>
      <c r="V13" s="953">
        <v>254</v>
      </c>
      <c r="W13" s="952"/>
      <c r="X13" s="947">
        <v>6</v>
      </c>
      <c r="Y13" s="953">
        <v>7213</v>
      </c>
      <c r="Z13" s="953">
        <v>3520</v>
      </c>
      <c r="AA13" s="953">
        <f t="shared" si="7"/>
        <v>2.0491477272727274</v>
      </c>
      <c r="AB13" s="953">
        <v>5068</v>
      </c>
      <c r="AC13" s="953">
        <v>241</v>
      </c>
      <c r="AE13" s="954" t="s">
        <v>380</v>
      </c>
      <c r="AF13" s="975" t="s">
        <v>122</v>
      </c>
    </row>
    <row r="14" spans="2:32" ht="19.5" customHeight="1" x14ac:dyDescent="0.2">
      <c r="B14" s="964" t="str">
        <f>INDEX(J8:O29,MATCH(17,H8:H29,0),1)</f>
        <v>Działalność w zakresie usług administrowania i działalność wspierająca</v>
      </c>
      <c r="C14" s="982">
        <f>INDEX(J8:O29,MATCH(17,H8:H29,0),2)</f>
        <v>3548</v>
      </c>
      <c r="D14" s="992">
        <f>SUM(C14/C8)*100</f>
        <v>4.7021403485521169</v>
      </c>
      <c r="E14" s="965">
        <f>INDEX(J8:O29,MATCH(17,H8:H29,0),6)</f>
        <v>63</v>
      </c>
      <c r="F14" s="966">
        <f>INDEX(J8:O29,MATCH(17,H8:H29,0),3)</f>
        <v>6284</v>
      </c>
      <c r="H14" s="979">
        <f>RANK(K14,$K$8:$K$29,1)+COUNTIF($K$14:K14,K14)-1</f>
        <v>22</v>
      </c>
      <c r="I14" s="947">
        <v>7</v>
      </c>
      <c r="J14" s="987" t="str">
        <f t="shared" si="0"/>
        <v>Handel hurtowy i detaliczny; naprawa pojazdów samochodowych, włączając motocykle</v>
      </c>
      <c r="K14" s="979">
        <f t="shared" si="1"/>
        <v>12452</v>
      </c>
      <c r="L14" s="978">
        <f t="shared" si="2"/>
        <v>9305</v>
      </c>
      <c r="M14" s="953">
        <f t="shared" si="3"/>
        <v>1.3382052659860291</v>
      </c>
      <c r="N14" s="953">
        <f t="shared" si="4"/>
        <v>8443</v>
      </c>
      <c r="O14" s="980">
        <f t="shared" si="5"/>
        <v>821</v>
      </c>
      <c r="P14" s="952"/>
      <c r="Q14" s="947">
        <v>7</v>
      </c>
      <c r="R14" s="953">
        <v>12922</v>
      </c>
      <c r="S14" s="953">
        <v>5351</v>
      </c>
      <c r="T14" s="953">
        <f t="shared" si="6"/>
        <v>2.4148757241637075</v>
      </c>
      <c r="U14" s="953">
        <v>8539</v>
      </c>
      <c r="V14" s="953">
        <v>838</v>
      </c>
      <c r="W14" s="952"/>
      <c r="X14" s="947">
        <v>7</v>
      </c>
      <c r="Y14" s="953">
        <v>12452</v>
      </c>
      <c r="Z14" s="953">
        <v>3954</v>
      </c>
      <c r="AA14" s="953">
        <f t="shared" si="7"/>
        <v>3.1492159838138596</v>
      </c>
      <c r="AB14" s="953">
        <v>8443</v>
      </c>
      <c r="AC14" s="953">
        <v>821</v>
      </c>
      <c r="AE14" s="954" t="s">
        <v>381</v>
      </c>
      <c r="AF14" s="975" t="s">
        <v>123</v>
      </c>
    </row>
    <row r="15" spans="2:32" ht="19.5" customHeight="1" x14ac:dyDescent="0.2">
      <c r="B15" s="964" t="str">
        <f>INDEX(J8:O29,MATCH(16,H8:H29,0),1)</f>
        <v>Administracja publiczna i obrona narodowa; obowiązkowe zabezpieczenia społeczne</v>
      </c>
      <c r="C15" s="982">
        <f>INDEX(J8:O29,MATCH(16,H8:H29,0),2)</f>
        <v>2803</v>
      </c>
      <c r="D15" s="992">
        <f>SUM(C15/C8)*100</f>
        <v>3.7147968988138622</v>
      </c>
      <c r="E15" s="965">
        <f>INDEX(J8:O29,MATCH(16,H8:H29,0),6)</f>
        <v>26</v>
      </c>
      <c r="F15" s="966">
        <f>INDEX(J8:O29,MATCH(16,H8:H29,0),3)</f>
        <v>3380</v>
      </c>
      <c r="H15" s="979">
        <f>RANK(K15,$K$8:$K$29,1)+COUNTIF($K$15:K15,K15)-1</f>
        <v>15</v>
      </c>
      <c r="I15" s="947">
        <v>8</v>
      </c>
      <c r="J15" s="987" t="str">
        <f t="shared" si="0"/>
        <v>Działalność związana z zakwaterowaniem i usługami gastronomicznymi</v>
      </c>
      <c r="K15" s="953">
        <f t="shared" si="1"/>
        <v>2653</v>
      </c>
      <c r="L15" s="953">
        <f t="shared" si="2"/>
        <v>2595</v>
      </c>
      <c r="M15" s="953">
        <f t="shared" si="3"/>
        <v>1.0223506743737958</v>
      </c>
      <c r="N15" s="953">
        <f t="shared" si="4"/>
        <v>2027</v>
      </c>
      <c r="O15" s="953">
        <f t="shared" si="5"/>
        <v>83</v>
      </c>
      <c r="P15" s="952"/>
      <c r="Q15" s="947">
        <v>8</v>
      </c>
      <c r="R15" s="953">
        <v>2524</v>
      </c>
      <c r="S15" s="953">
        <v>1482</v>
      </c>
      <c r="T15" s="953">
        <f t="shared" si="6"/>
        <v>1.7031039136302295</v>
      </c>
      <c r="U15" s="953">
        <v>1652</v>
      </c>
      <c r="V15" s="953">
        <v>93</v>
      </c>
      <c r="W15" s="952"/>
      <c r="X15" s="947">
        <v>8</v>
      </c>
      <c r="Y15" s="953">
        <v>2653</v>
      </c>
      <c r="Z15" s="953">
        <v>1113</v>
      </c>
      <c r="AA15" s="953">
        <f t="shared" si="7"/>
        <v>2.3836477987421385</v>
      </c>
      <c r="AB15" s="953">
        <v>2027</v>
      </c>
      <c r="AC15" s="953">
        <v>83</v>
      </c>
      <c r="AE15" s="954" t="s">
        <v>382</v>
      </c>
      <c r="AF15" s="975" t="s">
        <v>124</v>
      </c>
    </row>
    <row r="16" spans="2:32" ht="19.5" customHeight="1" x14ac:dyDescent="0.2">
      <c r="B16" s="964" t="str">
        <f>INDEX(J8:O29,MATCH(15,H8:H29,0),1)</f>
        <v>Działalność związana z zakwaterowaniem i usługami gastronomicznymi</v>
      </c>
      <c r="C16" s="982">
        <f>INDEX(J8:O29,MATCH(15,H8:H29,0),2)</f>
        <v>2653</v>
      </c>
      <c r="D16" s="992">
        <f>SUM(C16/C8)*100</f>
        <v>3.5160029156450863</v>
      </c>
      <c r="E16" s="965">
        <f>INDEX(J8:O29,MATCH(15,H8:H29,0),6)</f>
        <v>83</v>
      </c>
      <c r="F16" s="966">
        <f>INDEX(J8:O29,MATCH(15,H8:H29,0),3)</f>
        <v>2595</v>
      </c>
      <c r="H16" s="979">
        <f>RANK(K16,$K$8:$K$29,1)+COUNTIF($K$16:K16,K16)-1</f>
        <v>12</v>
      </c>
      <c r="I16" s="947">
        <v>9</v>
      </c>
      <c r="J16" s="987" t="str">
        <f t="shared" si="0"/>
        <v>Transport i gospodarka magazynowa</v>
      </c>
      <c r="K16" s="953">
        <f t="shared" si="1"/>
        <v>1804</v>
      </c>
      <c r="L16" s="953">
        <f>SUM(S16,Z16)</f>
        <v>2191</v>
      </c>
      <c r="M16" s="953">
        <f t="shared" si="3"/>
        <v>0.82336832496576906</v>
      </c>
      <c r="N16" s="953">
        <f t="shared" si="4"/>
        <v>1484</v>
      </c>
      <c r="O16" s="953">
        <f t="shared" si="5"/>
        <v>114</v>
      </c>
      <c r="P16" s="952"/>
      <c r="Q16" s="947">
        <v>9</v>
      </c>
      <c r="R16" s="953">
        <v>1804</v>
      </c>
      <c r="S16" s="953">
        <v>1168</v>
      </c>
      <c r="T16" s="953">
        <f t="shared" si="6"/>
        <v>1.5445205479452055</v>
      </c>
      <c r="U16" s="953">
        <v>1476</v>
      </c>
      <c r="V16" s="953">
        <v>113</v>
      </c>
      <c r="W16" s="952"/>
      <c r="X16" s="947">
        <v>9</v>
      </c>
      <c r="Y16" s="953">
        <v>1804</v>
      </c>
      <c r="Z16" s="953">
        <v>1023</v>
      </c>
      <c r="AA16" s="953">
        <f t="shared" si="7"/>
        <v>1.7634408602150538</v>
      </c>
      <c r="AB16" s="953">
        <v>1484</v>
      </c>
      <c r="AC16" s="953">
        <v>114</v>
      </c>
      <c r="AE16" s="954" t="s">
        <v>383</v>
      </c>
      <c r="AF16" s="975" t="s">
        <v>125</v>
      </c>
    </row>
    <row r="17" spans="2:32" ht="19.5" customHeight="1" x14ac:dyDescent="0.2">
      <c r="B17" s="964" t="str">
        <f>INDEX(J8:O29,MATCH(14,H8:H29,0),1)</f>
        <v>Rolnictwo, leśnictwo, łowiectwo i rybactwo</v>
      </c>
      <c r="C17" s="982">
        <f>INDEX(J8:O29,MATCH(14,H8:H29,0),2)</f>
        <v>2387</v>
      </c>
      <c r="D17" s="992">
        <f>SUM(C17/C8)*100</f>
        <v>3.16347491882579</v>
      </c>
      <c r="E17" s="965">
        <f>INDEX(J8:O29,MATCH(14,H8:H29,0),6)</f>
        <v>75</v>
      </c>
      <c r="F17" s="966">
        <f>INDEX(J8:O29,MATCH(14,H8:H29,0),3)</f>
        <v>457</v>
      </c>
      <c r="H17" s="979">
        <f>RANK(K17,$K$8:$K$29,1)+COUNTIF($K$17:K17,K17)-1</f>
        <v>5</v>
      </c>
      <c r="I17" s="947">
        <v>10</v>
      </c>
      <c r="J17" s="987" t="str">
        <f t="shared" si="0"/>
        <v>Informacja i komunikacja</v>
      </c>
      <c r="K17" s="953">
        <f t="shared" si="1"/>
        <v>432</v>
      </c>
      <c r="L17" s="953">
        <f t="shared" si="2"/>
        <v>409</v>
      </c>
      <c r="M17" s="953">
        <f t="shared" si="3"/>
        <v>1.0562347188264058</v>
      </c>
      <c r="N17" s="953">
        <f t="shared" si="4"/>
        <v>372</v>
      </c>
      <c r="O17" s="953">
        <f t="shared" si="5"/>
        <v>37</v>
      </c>
      <c r="P17" s="952"/>
      <c r="Q17" s="947">
        <v>10</v>
      </c>
      <c r="R17" s="953">
        <v>443</v>
      </c>
      <c r="S17" s="953">
        <v>220</v>
      </c>
      <c r="T17" s="953">
        <f t="shared" si="6"/>
        <v>2.0136363636363637</v>
      </c>
      <c r="U17" s="953">
        <v>368</v>
      </c>
      <c r="V17" s="953">
        <v>40</v>
      </c>
      <c r="W17" s="952"/>
      <c r="X17" s="947">
        <v>10</v>
      </c>
      <c r="Y17" s="953">
        <v>432</v>
      </c>
      <c r="Z17" s="953">
        <v>189</v>
      </c>
      <c r="AA17" s="953">
        <f t="shared" si="7"/>
        <v>2.2857142857142856</v>
      </c>
      <c r="AB17" s="953">
        <v>372</v>
      </c>
      <c r="AC17" s="953">
        <v>37</v>
      </c>
      <c r="AE17" s="968" t="s">
        <v>384</v>
      </c>
      <c r="AF17" s="976" t="s">
        <v>126</v>
      </c>
    </row>
    <row r="18" spans="2:32" ht="17.25" customHeight="1" x14ac:dyDescent="0.2">
      <c r="B18" s="964" t="str">
        <f>INDEX(J8:O29,MATCH(13,H8:H29,0),1)</f>
        <v>Edukacja</v>
      </c>
      <c r="C18" s="982">
        <f>INDEX(J8:O29,MATCH(13,H8:H29,0),2)</f>
        <v>1855</v>
      </c>
      <c r="D18" s="992">
        <f>SUM(C18/C8)*100</f>
        <v>2.458418925187198</v>
      </c>
      <c r="E18" s="965">
        <f>INDEX(J8:O29,MATCH(13,H8:H29,0),6)</f>
        <v>58</v>
      </c>
      <c r="F18" s="966">
        <f>INDEX(J8:O29,MATCH(13,H8:H29,0),3)</f>
        <v>2398</v>
      </c>
      <c r="H18" s="979">
        <f>RANK(K18,$K$8:$K$29,1)+COUNTIF($K$18:K18,K18)-1</f>
        <v>9</v>
      </c>
      <c r="I18" s="947">
        <v>11</v>
      </c>
      <c r="J18" s="987" t="str">
        <f t="shared" si="0"/>
        <v>Działalność finansowa i ubazpieczeniowa</v>
      </c>
      <c r="K18" s="953">
        <f t="shared" si="1"/>
        <v>781</v>
      </c>
      <c r="L18" s="953">
        <f t="shared" si="2"/>
        <v>449</v>
      </c>
      <c r="M18" s="953">
        <f t="shared" si="3"/>
        <v>1.7394209354120267</v>
      </c>
      <c r="N18" s="953">
        <f t="shared" si="4"/>
        <v>544</v>
      </c>
      <c r="O18" s="953">
        <f t="shared" si="5"/>
        <v>97</v>
      </c>
      <c r="P18" s="952"/>
      <c r="Q18" s="947">
        <v>11</v>
      </c>
      <c r="R18" s="953">
        <v>785</v>
      </c>
      <c r="S18" s="953">
        <v>278</v>
      </c>
      <c r="T18" s="953">
        <f t="shared" si="6"/>
        <v>2.8237410071942448</v>
      </c>
      <c r="U18" s="953">
        <v>558</v>
      </c>
      <c r="V18" s="953">
        <v>94</v>
      </c>
      <c r="W18" s="952"/>
      <c r="X18" s="947">
        <v>11</v>
      </c>
      <c r="Y18" s="953">
        <v>781</v>
      </c>
      <c r="Z18" s="953">
        <v>171</v>
      </c>
      <c r="AA18" s="953">
        <f t="shared" si="7"/>
        <v>4.5672514619883042</v>
      </c>
      <c r="AB18" s="953">
        <v>544</v>
      </c>
      <c r="AC18" s="953">
        <v>97</v>
      </c>
      <c r="AE18" s="968" t="s">
        <v>497</v>
      </c>
      <c r="AF18" s="976" t="s">
        <v>127</v>
      </c>
    </row>
    <row r="19" spans="2:32" ht="21.75" customHeight="1" x14ac:dyDescent="0.2">
      <c r="B19" s="964" t="str">
        <f>INDEX(J8:O29,MATCH(12,H8:H29,0),1)</f>
        <v>Transport i gospodarka magazynowa</v>
      </c>
      <c r="C19" s="982">
        <f>INDEX(J8:O29,MATCH(12,H8:H29,0),2)</f>
        <v>1804</v>
      </c>
      <c r="D19" s="992">
        <f>SUM(C19/C8)*100</f>
        <v>2.3908289709098138</v>
      </c>
      <c r="E19" s="965">
        <f>INDEX(J8:O29,MATCH(12,H8:H29,0),6)</f>
        <v>114</v>
      </c>
      <c r="F19" s="966">
        <f>INDEX(J8:O29,MATCH(12,H8:H29,0),3)</f>
        <v>2191</v>
      </c>
      <c r="H19" s="979">
        <f>RANK(K19,$K$8:$K$29,1)+COUNTIF($K$19:K19,K19)-1</f>
        <v>4</v>
      </c>
      <c r="I19" s="947">
        <v>12</v>
      </c>
      <c r="J19" s="987" t="str">
        <f t="shared" si="0"/>
        <v>Działalność związana z obsługą rynku nieruchomości</v>
      </c>
      <c r="K19" s="953">
        <f t="shared" si="1"/>
        <v>422</v>
      </c>
      <c r="L19" s="953">
        <f t="shared" si="2"/>
        <v>254</v>
      </c>
      <c r="M19" s="953">
        <f t="shared" si="3"/>
        <v>1.6614173228346456</v>
      </c>
      <c r="N19" s="953">
        <f t="shared" si="4"/>
        <v>273</v>
      </c>
      <c r="O19" s="953">
        <f t="shared" si="5"/>
        <v>23</v>
      </c>
      <c r="P19" s="952"/>
      <c r="Q19" s="947">
        <v>12</v>
      </c>
      <c r="R19" s="953">
        <v>451</v>
      </c>
      <c r="S19" s="953">
        <v>165</v>
      </c>
      <c r="T19" s="953">
        <f t="shared" si="6"/>
        <v>2.7333333333333334</v>
      </c>
      <c r="U19" s="953">
        <v>280</v>
      </c>
      <c r="V19" s="953">
        <v>35</v>
      </c>
      <c r="W19" s="952"/>
      <c r="X19" s="947">
        <v>12</v>
      </c>
      <c r="Y19" s="953">
        <v>422</v>
      </c>
      <c r="Z19" s="953">
        <v>89</v>
      </c>
      <c r="AA19" s="953">
        <f t="shared" si="7"/>
        <v>4.7415730337078648</v>
      </c>
      <c r="AB19" s="953">
        <v>273</v>
      </c>
      <c r="AC19" s="953">
        <v>23</v>
      </c>
      <c r="AE19" s="969" t="s">
        <v>386</v>
      </c>
      <c r="AF19" s="975" t="s">
        <v>128</v>
      </c>
    </row>
    <row r="20" spans="2:32" ht="18.75" customHeight="1" x14ac:dyDescent="0.2">
      <c r="B20" s="964" t="str">
        <f>INDEX(J8:O29,MATCH(11,H8:H29,0),1)</f>
        <v>Opieka zdrowotna i pomoc społeczna</v>
      </c>
      <c r="C20" s="982">
        <f>INDEX(J8:O29,MATCH(11,H8:H29,0),2)</f>
        <v>1678</v>
      </c>
      <c r="D20" s="992">
        <f>SUM(C20/C8)*100</f>
        <v>2.2238420250480417</v>
      </c>
      <c r="E20" s="965">
        <f>INDEX(J8:O29,MATCH(11,H8:H29,0),6)</f>
        <v>46</v>
      </c>
      <c r="F20" s="966">
        <f>INDEX(J8:O29,MATCH(11,H8:H29,0),3)</f>
        <v>2658</v>
      </c>
      <c r="H20" s="979">
        <f>RANK(K20,$K$8:$K$29,1)+COUNTIF($K$20:K20,K20)-1</f>
        <v>10</v>
      </c>
      <c r="I20" s="947">
        <v>13</v>
      </c>
      <c r="J20" s="987" t="str">
        <f t="shared" si="0"/>
        <v>Działalność profesjonalna, naukowa i techniczna</v>
      </c>
      <c r="K20" s="953">
        <f t="shared" si="1"/>
        <v>1667</v>
      </c>
      <c r="L20" s="953">
        <f t="shared" si="2"/>
        <v>1690</v>
      </c>
      <c r="M20" s="953">
        <f t="shared" si="3"/>
        <v>0.9863905325443787</v>
      </c>
      <c r="N20" s="953">
        <f t="shared" si="4"/>
        <v>1332</v>
      </c>
      <c r="O20" s="953">
        <f t="shared" si="5"/>
        <v>78</v>
      </c>
      <c r="P20" s="952"/>
      <c r="Q20" s="947">
        <v>13</v>
      </c>
      <c r="R20" s="953">
        <v>1760</v>
      </c>
      <c r="S20" s="953">
        <v>970</v>
      </c>
      <c r="T20" s="953">
        <f t="shared" si="6"/>
        <v>1.8144329896907216</v>
      </c>
      <c r="U20" s="953">
        <v>1370</v>
      </c>
      <c r="V20" s="953">
        <v>94</v>
      </c>
      <c r="W20" s="952"/>
      <c r="X20" s="947">
        <v>13</v>
      </c>
      <c r="Y20" s="953">
        <v>1667</v>
      </c>
      <c r="Z20" s="953">
        <v>720</v>
      </c>
      <c r="AA20" s="953">
        <f t="shared" si="7"/>
        <v>2.3152777777777778</v>
      </c>
      <c r="AB20" s="953">
        <v>1332</v>
      </c>
      <c r="AC20" s="953">
        <v>78</v>
      </c>
      <c r="AE20" s="954" t="s">
        <v>387</v>
      </c>
      <c r="AF20" s="975" t="s">
        <v>129</v>
      </c>
    </row>
    <row r="21" spans="2:32" ht="20.25" customHeight="1" x14ac:dyDescent="0.2">
      <c r="B21" s="964" t="str">
        <f>INDEX(J8:O29,MATCH(10,H8:H29,0),1)</f>
        <v>Działalność profesjonalna, naukowa i techniczna</v>
      </c>
      <c r="C21" s="982">
        <f>INDEX(J8:O29,MATCH(10,H8:H29,0),2)</f>
        <v>1667</v>
      </c>
      <c r="D21" s="992">
        <f>SUM(C21/C8)*100</f>
        <v>2.2092637996156648</v>
      </c>
      <c r="E21" s="965">
        <f>INDEX(J8:O29,MATCH(10,H8:H29,0),6)</f>
        <v>78</v>
      </c>
      <c r="F21" s="970">
        <f>INDEX(J8:O29,MATCH(10,H8:H29,0),3)</f>
        <v>1690</v>
      </c>
      <c r="H21" s="979">
        <f>RANK(K21,$K$8:$K$29,1)+COUNTIF($K$21:K21,K21)-1</f>
        <v>17</v>
      </c>
      <c r="I21" s="947">
        <v>14</v>
      </c>
      <c r="J21" s="987" t="str">
        <f t="shared" si="0"/>
        <v>Działalność w zakresie usług administrowania i działalność wspierająca</v>
      </c>
      <c r="K21" s="953">
        <f t="shared" si="1"/>
        <v>3548</v>
      </c>
      <c r="L21" s="953">
        <f t="shared" si="2"/>
        <v>6284</v>
      </c>
      <c r="M21" s="953">
        <f t="shared" si="3"/>
        <v>0.56460852959898156</v>
      </c>
      <c r="N21" s="953">
        <f t="shared" si="4"/>
        <v>2899</v>
      </c>
      <c r="O21" s="953">
        <f t="shared" si="5"/>
        <v>63</v>
      </c>
      <c r="P21" s="952"/>
      <c r="Q21" s="947">
        <v>14</v>
      </c>
      <c r="R21" s="953">
        <v>3564</v>
      </c>
      <c r="S21" s="953">
        <v>3733</v>
      </c>
      <c r="T21" s="953">
        <f t="shared" si="6"/>
        <v>0.95472810072327885</v>
      </c>
      <c r="U21" s="953">
        <v>2953</v>
      </c>
      <c r="V21" s="953">
        <v>77</v>
      </c>
      <c r="W21" s="952"/>
      <c r="X21" s="947">
        <v>14</v>
      </c>
      <c r="Y21" s="953">
        <v>3548</v>
      </c>
      <c r="Z21" s="953">
        <v>2551</v>
      </c>
      <c r="AA21" s="953">
        <f t="shared" si="7"/>
        <v>1.3908271266170129</v>
      </c>
      <c r="AB21" s="953">
        <v>2899</v>
      </c>
      <c r="AC21" s="953">
        <v>63</v>
      </c>
      <c r="AE21" s="954" t="s">
        <v>388</v>
      </c>
      <c r="AF21" s="975" t="s">
        <v>130</v>
      </c>
    </row>
    <row r="22" spans="2:32" ht="18.75" customHeight="1" x14ac:dyDescent="0.2">
      <c r="B22" s="964" t="str">
        <f>INDEX(J8:O29,MATCH(9,H8:H29,0),1)</f>
        <v>Działalność finansowa i ubazpieczeniowa</v>
      </c>
      <c r="C22" s="982">
        <f>INDEX(J8:O29,MATCH(9,H8:H29,0),2)</f>
        <v>781</v>
      </c>
      <c r="D22" s="992">
        <f>SUM(C22/C8)*100</f>
        <v>1.0350540056987609</v>
      </c>
      <c r="E22" s="965">
        <f>INDEX(J8:O29,MATCH(9,H8:H29,0),6)</f>
        <v>97</v>
      </c>
      <c r="F22" s="966">
        <f>INDEX(J8:O29,MATCH(9,H8:H29,0),3)</f>
        <v>449</v>
      </c>
      <c r="H22" s="979">
        <f>RANK(K22,$K$8:$K$29,1)+COUNTIF($K$22:K22,K22)-1</f>
        <v>16</v>
      </c>
      <c r="I22" s="947">
        <v>15</v>
      </c>
      <c r="J22" s="987" t="str">
        <f t="shared" si="0"/>
        <v>Administracja publiczna i obrona narodowa; obowiązkowe zabezpieczenia społeczne</v>
      </c>
      <c r="K22" s="953">
        <f t="shared" si="1"/>
        <v>2803</v>
      </c>
      <c r="L22" s="953">
        <f t="shared" si="2"/>
        <v>3380</v>
      </c>
      <c r="M22" s="953">
        <f t="shared" si="3"/>
        <v>0.82928994082840235</v>
      </c>
      <c r="N22" s="953">
        <f t="shared" si="4"/>
        <v>1608</v>
      </c>
      <c r="O22" s="953">
        <f t="shared" si="5"/>
        <v>26</v>
      </c>
      <c r="P22" s="952"/>
      <c r="Q22" s="947">
        <v>15</v>
      </c>
      <c r="R22" s="953">
        <v>2764</v>
      </c>
      <c r="S22" s="953">
        <v>2394</v>
      </c>
      <c r="T22" s="953">
        <f t="shared" si="6"/>
        <v>1.1545530492898914</v>
      </c>
      <c r="U22" s="953">
        <v>1838</v>
      </c>
      <c r="V22" s="953">
        <v>34</v>
      </c>
      <c r="W22" s="952"/>
      <c r="X22" s="947">
        <v>15</v>
      </c>
      <c r="Y22" s="953">
        <v>2803</v>
      </c>
      <c r="Z22" s="953">
        <v>986</v>
      </c>
      <c r="AA22" s="953">
        <f t="shared" si="7"/>
        <v>2.8427991886409738</v>
      </c>
      <c r="AB22" s="953">
        <v>1608</v>
      </c>
      <c r="AC22" s="953">
        <v>26</v>
      </c>
      <c r="AE22" s="954" t="s">
        <v>389</v>
      </c>
      <c r="AF22" s="975" t="s">
        <v>131</v>
      </c>
    </row>
    <row r="23" spans="2:32" ht="31.5" customHeight="1" thickBot="1" x14ac:dyDescent="0.25">
      <c r="B23" s="971" t="str">
        <f>INDEX(J8:O29,MATCH(8,H8:H29,0),1)</f>
        <v>Gospodarstwa domowe zatrudniające pracowników; gospodarstwa domowe produkujące wyroby i świadczące usługi na własne potrzeby</v>
      </c>
      <c r="C23" s="983">
        <f>INDEX(J8:O29,MATCH(8,H8:H29,0),2)</f>
        <v>754</v>
      </c>
      <c r="D23" s="993">
        <f>SUM(C23/C8)*100</f>
        <v>0.99927108872838111</v>
      </c>
      <c r="E23" s="972">
        <f>INDEX(J8:O29,MATCH(8,H8:H29,0),6)</f>
        <v>5</v>
      </c>
      <c r="F23" s="973">
        <f>INDEX(J8:O29,MATCH(8,H8:H29,0),6)</f>
        <v>5</v>
      </c>
      <c r="H23" s="979">
        <f>RANK(K23,$K$8:$K$29,1)+COUNTIF($K$23:K23,K23)-1</f>
        <v>13</v>
      </c>
      <c r="I23" s="947">
        <v>16</v>
      </c>
      <c r="J23" s="987" t="str">
        <f t="shared" si="0"/>
        <v>Edukacja</v>
      </c>
      <c r="K23" s="953">
        <f t="shared" si="1"/>
        <v>1855</v>
      </c>
      <c r="L23" s="953">
        <f t="shared" si="2"/>
        <v>2398</v>
      </c>
      <c r="M23" s="953">
        <f t="shared" si="3"/>
        <v>0.77356130108423682</v>
      </c>
      <c r="N23" s="953">
        <f t="shared" si="4"/>
        <v>1891</v>
      </c>
      <c r="O23" s="953">
        <f t="shared" si="5"/>
        <v>58</v>
      </c>
      <c r="P23" s="952"/>
      <c r="Q23" s="947">
        <v>16</v>
      </c>
      <c r="R23" s="953">
        <v>2054</v>
      </c>
      <c r="S23" s="953">
        <v>900</v>
      </c>
      <c r="T23" s="953">
        <f t="shared" si="6"/>
        <v>2.2822222222222224</v>
      </c>
      <c r="U23" s="953">
        <v>1436</v>
      </c>
      <c r="V23" s="953">
        <v>47</v>
      </c>
      <c r="W23" s="952"/>
      <c r="X23" s="947">
        <v>16</v>
      </c>
      <c r="Y23" s="953">
        <v>1855</v>
      </c>
      <c r="Z23" s="953">
        <v>1498</v>
      </c>
      <c r="AA23" s="953">
        <f t="shared" si="7"/>
        <v>1.2383177570093458</v>
      </c>
      <c r="AB23" s="953">
        <v>1891</v>
      </c>
      <c r="AC23" s="953">
        <v>58</v>
      </c>
      <c r="AE23" s="954" t="s">
        <v>390</v>
      </c>
      <c r="AF23" s="975" t="s">
        <v>336</v>
      </c>
    </row>
    <row r="24" spans="2:32" x14ac:dyDescent="0.2">
      <c r="B24" s="68" t="s">
        <v>354</v>
      </c>
      <c r="H24" s="979">
        <f>RANK(K24,$K$8:$K$29,1)+COUNTIF($K$24:K24,K24)-1</f>
        <v>11</v>
      </c>
      <c r="I24" s="947">
        <v>17</v>
      </c>
      <c r="J24" s="987" t="str">
        <f t="shared" si="0"/>
        <v>Opieka zdrowotna i pomoc społeczna</v>
      </c>
      <c r="K24" s="953">
        <f t="shared" si="1"/>
        <v>1678</v>
      </c>
      <c r="L24" s="953">
        <f t="shared" si="2"/>
        <v>2658</v>
      </c>
      <c r="M24" s="953">
        <f t="shared" si="3"/>
        <v>0.63130173062452977</v>
      </c>
      <c r="N24" s="953">
        <f t="shared" si="4"/>
        <v>1353</v>
      </c>
      <c r="O24" s="953">
        <f t="shared" si="5"/>
        <v>46</v>
      </c>
      <c r="P24" s="952"/>
      <c r="Q24" s="947">
        <v>17</v>
      </c>
      <c r="R24" s="953">
        <v>1741</v>
      </c>
      <c r="S24" s="953">
        <v>1492</v>
      </c>
      <c r="T24" s="953">
        <f t="shared" si="6"/>
        <v>1.1668900804289544</v>
      </c>
      <c r="U24" s="953">
        <v>1296</v>
      </c>
      <c r="V24" s="953">
        <v>52</v>
      </c>
      <c r="W24" s="952"/>
      <c r="X24" s="947">
        <v>17</v>
      </c>
      <c r="Y24" s="953">
        <v>1678</v>
      </c>
      <c r="Z24" s="953">
        <v>1166</v>
      </c>
      <c r="AA24" s="953">
        <f t="shared" si="7"/>
        <v>1.4391080617495713</v>
      </c>
      <c r="AB24" s="953">
        <v>1353</v>
      </c>
      <c r="AC24" s="953">
        <v>46</v>
      </c>
      <c r="AE24" s="954" t="s">
        <v>391</v>
      </c>
      <c r="AF24" s="975" t="s">
        <v>347</v>
      </c>
    </row>
    <row r="25" spans="2:32" x14ac:dyDescent="0.2">
      <c r="H25" s="979">
        <f>RANK(K25,$K$8:$K$29,1)+COUNTIF($K$25:K25,K25)-1</f>
        <v>7</v>
      </c>
      <c r="I25" s="947">
        <v>18</v>
      </c>
      <c r="J25" s="987" t="str">
        <f t="shared" si="0"/>
        <v>Działalność związana z kulturą, rozrywką i rekreacją</v>
      </c>
      <c r="K25" s="953">
        <f t="shared" si="1"/>
        <v>624</v>
      </c>
      <c r="L25" s="953">
        <f t="shared" si="2"/>
        <v>613</v>
      </c>
      <c r="M25" s="953">
        <f t="shared" si="3"/>
        <v>1.0179445350734095</v>
      </c>
      <c r="N25" s="953">
        <f t="shared" si="4"/>
        <v>540</v>
      </c>
      <c r="O25" s="953">
        <f t="shared" si="5"/>
        <v>17</v>
      </c>
      <c r="P25" s="952"/>
      <c r="Q25" s="947">
        <v>18</v>
      </c>
      <c r="R25" s="953">
        <v>632</v>
      </c>
      <c r="S25" s="953">
        <v>381</v>
      </c>
      <c r="T25" s="953">
        <f t="shared" si="6"/>
        <v>1.6587926509186353</v>
      </c>
      <c r="U25" s="953">
        <v>473</v>
      </c>
      <c r="V25" s="953">
        <v>28</v>
      </c>
      <c r="W25" s="952"/>
      <c r="X25" s="947">
        <v>18</v>
      </c>
      <c r="Y25" s="953">
        <v>624</v>
      </c>
      <c r="Z25" s="953">
        <v>232</v>
      </c>
      <c r="AA25" s="953">
        <f t="shared" si="7"/>
        <v>2.6896551724137931</v>
      </c>
      <c r="AB25" s="953">
        <v>540</v>
      </c>
      <c r="AC25" s="953">
        <v>17</v>
      </c>
      <c r="AE25" s="954" t="s">
        <v>392</v>
      </c>
      <c r="AF25" s="975" t="s">
        <v>433</v>
      </c>
    </row>
    <row r="26" spans="2:32" x14ac:dyDescent="0.2">
      <c r="H26" s="979">
        <f>RANK(K26,$K$8:$K$29,1)+COUNTIF($K$26:K26,K26)-1</f>
        <v>18</v>
      </c>
      <c r="I26" s="947">
        <v>19</v>
      </c>
      <c r="J26" s="987" t="str">
        <f t="shared" si="0"/>
        <v>Pozostała działalność usługowa</v>
      </c>
      <c r="K26" s="953">
        <f t="shared" si="1"/>
        <v>3576</v>
      </c>
      <c r="L26" s="953">
        <f t="shared" si="2"/>
        <v>1841</v>
      </c>
      <c r="M26" s="953">
        <f t="shared" si="3"/>
        <v>1.9424225964149919</v>
      </c>
      <c r="N26" s="953">
        <f t="shared" si="4"/>
        <v>2356</v>
      </c>
      <c r="O26" s="953">
        <f t="shared" si="5"/>
        <v>93</v>
      </c>
      <c r="P26" s="952"/>
      <c r="Q26" s="947">
        <v>19</v>
      </c>
      <c r="R26" s="953">
        <v>3638</v>
      </c>
      <c r="S26" s="953">
        <v>1021</v>
      </c>
      <c r="T26" s="953">
        <f t="shared" si="6"/>
        <v>3.5631733594515183</v>
      </c>
      <c r="U26" s="953">
        <v>2159</v>
      </c>
      <c r="V26" s="953">
        <v>98</v>
      </c>
      <c r="W26" s="952"/>
      <c r="X26" s="947">
        <v>19</v>
      </c>
      <c r="Y26" s="953">
        <v>3576</v>
      </c>
      <c r="Z26" s="953">
        <v>820</v>
      </c>
      <c r="AA26" s="953">
        <f t="shared" si="7"/>
        <v>4.3609756097560979</v>
      </c>
      <c r="AB26" s="953">
        <v>2356</v>
      </c>
      <c r="AC26" s="953">
        <v>93</v>
      </c>
      <c r="AE26" s="954" t="s">
        <v>393</v>
      </c>
      <c r="AF26" s="975" t="s">
        <v>498</v>
      </c>
    </row>
    <row r="27" spans="2:32" x14ac:dyDescent="0.2">
      <c r="H27" s="979">
        <f>RANK(K27,$K$8:$K$29,1)+COUNTIF($K$27:K27,K27)-1</f>
        <v>8</v>
      </c>
      <c r="I27" s="947">
        <v>20</v>
      </c>
      <c r="J27" s="987" t="str">
        <f t="shared" si="0"/>
        <v>Gospodarstwa domowe zatrudniające pracowników; gospodarstwa domowe produkujące wyroby i świadczące usługi na własne potrzeby</v>
      </c>
      <c r="K27" s="953">
        <f t="shared" si="1"/>
        <v>754</v>
      </c>
      <c r="L27" s="953">
        <f t="shared" si="2"/>
        <v>5</v>
      </c>
      <c r="M27" s="953">
        <f t="shared" si="3"/>
        <v>150.80000000000001</v>
      </c>
      <c r="N27" s="953">
        <f t="shared" si="4"/>
        <v>650</v>
      </c>
      <c r="O27" s="953">
        <f t="shared" si="5"/>
        <v>5</v>
      </c>
      <c r="P27" s="952"/>
      <c r="Q27" s="947">
        <v>20</v>
      </c>
      <c r="R27" s="953">
        <v>679</v>
      </c>
      <c r="S27" s="953">
        <v>0</v>
      </c>
      <c r="T27" s="953" t="e">
        <f t="shared" si="6"/>
        <v>#DIV/0!</v>
      </c>
      <c r="U27" s="953">
        <v>504</v>
      </c>
      <c r="V27" s="953">
        <v>8</v>
      </c>
      <c r="W27" s="952"/>
      <c r="X27" s="947">
        <v>20</v>
      </c>
      <c r="Y27" s="953">
        <v>754</v>
      </c>
      <c r="Z27" s="953">
        <v>5</v>
      </c>
      <c r="AA27" s="953">
        <f t="shared" si="7"/>
        <v>150.80000000000001</v>
      </c>
      <c r="AB27" s="953">
        <v>650</v>
      </c>
      <c r="AC27" s="953">
        <v>5</v>
      </c>
      <c r="AE27" s="954" t="s">
        <v>394</v>
      </c>
      <c r="AF27" s="975" t="s">
        <v>499</v>
      </c>
    </row>
    <row r="28" spans="2:32" x14ac:dyDescent="0.2">
      <c r="H28" s="979">
        <f>RANK(K28,$K$8:$K$29,1)+COUNTIF($K$28:K28,K28)-1</f>
        <v>1</v>
      </c>
      <c r="I28" s="947">
        <v>21</v>
      </c>
      <c r="J28" s="987" t="str">
        <f t="shared" si="0"/>
        <v>Organizacje i zespoły eksterytorialne</v>
      </c>
      <c r="K28" s="953">
        <f t="shared" si="1"/>
        <v>4</v>
      </c>
      <c r="L28" s="953">
        <f t="shared" si="2"/>
        <v>0</v>
      </c>
      <c r="M28" s="953" t="e">
        <f t="shared" si="3"/>
        <v>#DIV/0!</v>
      </c>
      <c r="N28" s="953">
        <f t="shared" si="4"/>
        <v>3</v>
      </c>
      <c r="O28" s="953">
        <f t="shared" si="5"/>
        <v>1</v>
      </c>
      <c r="P28" s="952"/>
      <c r="Q28" s="947">
        <v>21</v>
      </c>
      <c r="R28" s="953">
        <v>2</v>
      </c>
      <c r="S28" s="953">
        <v>0</v>
      </c>
      <c r="T28" s="953" t="e">
        <f t="shared" si="6"/>
        <v>#DIV/0!</v>
      </c>
      <c r="U28" s="953">
        <v>0</v>
      </c>
      <c r="V28" s="953">
        <v>0</v>
      </c>
      <c r="W28" s="952"/>
      <c r="X28" s="947">
        <v>21</v>
      </c>
      <c r="Y28" s="953">
        <v>4</v>
      </c>
      <c r="Z28" s="953">
        <v>0</v>
      </c>
      <c r="AA28" s="953" t="e">
        <f t="shared" si="7"/>
        <v>#DIV/0!</v>
      </c>
      <c r="AB28" s="953">
        <v>3</v>
      </c>
      <c r="AC28" s="953">
        <v>1</v>
      </c>
      <c r="AE28" s="954" t="s">
        <v>395</v>
      </c>
      <c r="AF28" s="975" t="s">
        <v>500</v>
      </c>
    </row>
    <row r="29" spans="2:32" x14ac:dyDescent="0.2">
      <c r="H29" s="979">
        <f>RANK(K29,$K$8:$K$29,1)+COUNTIF($K$29:K29,K29)-1</f>
        <v>19</v>
      </c>
      <c r="I29" s="947">
        <v>22</v>
      </c>
      <c r="J29" s="987" t="str">
        <f t="shared" si="0"/>
        <v>Działalność niezidentyfikowana</v>
      </c>
      <c r="K29" s="953">
        <f t="shared" si="1"/>
        <v>6797</v>
      </c>
      <c r="L29" s="953">
        <f t="shared" si="2"/>
        <v>0</v>
      </c>
      <c r="M29" s="953" t="e">
        <f t="shared" si="3"/>
        <v>#DIV/0!</v>
      </c>
      <c r="N29" s="953">
        <f t="shared" si="4"/>
        <v>6345</v>
      </c>
      <c r="O29" s="953">
        <f t="shared" si="5"/>
        <v>93</v>
      </c>
      <c r="P29" s="952"/>
      <c r="Q29" s="947">
        <v>22</v>
      </c>
      <c r="R29" s="953">
        <v>5781</v>
      </c>
      <c r="S29" s="953"/>
      <c r="T29" s="953" t="e">
        <f t="shared" si="6"/>
        <v>#DIV/0!</v>
      </c>
      <c r="U29" s="953">
        <v>4944</v>
      </c>
      <c r="V29" s="953">
        <v>96</v>
      </c>
      <c r="W29" s="952"/>
      <c r="X29" s="947">
        <v>22</v>
      </c>
      <c r="Y29" s="953">
        <v>6797</v>
      </c>
      <c r="Z29" s="974"/>
      <c r="AA29" s="953" t="e">
        <f t="shared" si="7"/>
        <v>#DIV/0!</v>
      </c>
      <c r="AB29" s="953">
        <v>6345</v>
      </c>
      <c r="AC29" s="953">
        <v>93</v>
      </c>
      <c r="AE29" s="954" t="s">
        <v>396</v>
      </c>
      <c r="AF29" s="975" t="s">
        <v>501</v>
      </c>
    </row>
    <row r="30" spans="2:32" x14ac:dyDescent="0.2">
      <c r="H30" s="981"/>
      <c r="I30" s="947">
        <v>23</v>
      </c>
      <c r="J30" s="987" t="str">
        <f t="shared" si="0"/>
        <v>Razem (w. od 01 do 22)</v>
      </c>
      <c r="K30" s="953">
        <f t="shared" si="1"/>
        <v>64397</v>
      </c>
      <c r="L30" s="953">
        <f t="shared" si="2"/>
        <v>53714</v>
      </c>
      <c r="M30" s="953">
        <f t="shared" si="3"/>
        <v>1.1988866962058309</v>
      </c>
      <c r="N30" s="953">
        <f t="shared" si="4"/>
        <v>47941</v>
      </c>
      <c r="O30" s="953">
        <f t="shared" si="5"/>
        <v>2715</v>
      </c>
      <c r="P30" s="952"/>
      <c r="Q30" s="947">
        <v>23</v>
      </c>
      <c r="R30" s="953">
        <v>63401</v>
      </c>
      <c r="S30" s="953">
        <v>31131</v>
      </c>
      <c r="T30" s="953">
        <f t="shared" si="6"/>
        <v>2.0365873245318173</v>
      </c>
      <c r="U30" s="953">
        <v>45192</v>
      </c>
      <c r="V30" s="953">
        <v>2868</v>
      </c>
      <c r="W30" s="952"/>
      <c r="X30" s="947">
        <v>23</v>
      </c>
      <c r="Y30" s="953">
        <v>64397</v>
      </c>
      <c r="Z30" s="953">
        <v>22583</v>
      </c>
      <c r="AA30" s="953">
        <f t="shared" si="7"/>
        <v>2.8515697648673779</v>
      </c>
      <c r="AB30" s="953">
        <v>47941</v>
      </c>
      <c r="AC30" s="953">
        <v>2715</v>
      </c>
      <c r="AE30" s="955" t="s">
        <v>502</v>
      </c>
      <c r="AF30" s="975" t="s">
        <v>503</v>
      </c>
    </row>
    <row r="31" spans="2:32" x14ac:dyDescent="0.2">
      <c r="H31" s="981"/>
      <c r="I31" s="947">
        <v>24</v>
      </c>
      <c r="J31" s="987" t="str">
        <f t="shared" si="0"/>
        <v>Dotychczas niepracujący</v>
      </c>
      <c r="K31" s="953">
        <f t="shared" si="1"/>
        <v>11058</v>
      </c>
      <c r="L31" s="953">
        <f t="shared" si="2"/>
        <v>0</v>
      </c>
      <c r="M31" s="953" t="e">
        <f t="shared" si="3"/>
        <v>#DIV/0!</v>
      </c>
      <c r="N31" s="953">
        <f t="shared" si="4"/>
        <v>9032</v>
      </c>
      <c r="O31" s="953">
        <f t="shared" si="5"/>
        <v>0</v>
      </c>
      <c r="P31" s="952"/>
      <c r="Q31" s="947">
        <v>24</v>
      </c>
      <c r="R31" s="953">
        <v>11283</v>
      </c>
      <c r="S31" s="953"/>
      <c r="T31" s="953" t="e">
        <f t="shared" si="6"/>
        <v>#DIV/0!</v>
      </c>
      <c r="U31" s="953">
        <v>6972</v>
      </c>
      <c r="V31" s="953">
        <v>0</v>
      </c>
      <c r="W31" s="952"/>
      <c r="X31" s="947">
        <v>24</v>
      </c>
      <c r="Y31" s="953">
        <v>11058</v>
      </c>
      <c r="Z31" s="974"/>
      <c r="AA31" s="953" t="e">
        <f t="shared" si="7"/>
        <v>#DIV/0!</v>
      </c>
      <c r="AB31" s="953">
        <v>9032</v>
      </c>
      <c r="AC31" s="974">
        <v>0</v>
      </c>
      <c r="AE31" s="955" t="s">
        <v>504</v>
      </c>
      <c r="AF31" s="975" t="s">
        <v>505</v>
      </c>
    </row>
    <row r="32" spans="2:32" x14ac:dyDescent="0.2">
      <c r="H32" s="981"/>
      <c r="I32" s="947">
        <v>25</v>
      </c>
      <c r="J32" s="987" t="str">
        <f t="shared" si="0"/>
        <v>Ogółem (w. 23+24)</v>
      </c>
      <c r="K32" s="953">
        <f t="shared" si="1"/>
        <v>75455</v>
      </c>
      <c r="L32" s="953">
        <f t="shared" si="2"/>
        <v>53714</v>
      </c>
      <c r="M32" s="953">
        <f t="shared" si="3"/>
        <v>1.4047548125255986</v>
      </c>
      <c r="N32" s="953">
        <f t="shared" si="4"/>
        <v>56973</v>
      </c>
      <c r="O32" s="953">
        <f t="shared" si="5"/>
        <v>2715</v>
      </c>
      <c r="P32" s="952"/>
      <c r="Q32" s="947">
        <v>25</v>
      </c>
      <c r="R32" s="953">
        <v>74684</v>
      </c>
      <c r="S32" s="953">
        <v>31131</v>
      </c>
      <c r="T32" s="953">
        <f t="shared" si="6"/>
        <v>2.3990234814172369</v>
      </c>
      <c r="U32" s="953">
        <v>52164</v>
      </c>
      <c r="V32" s="953">
        <v>2868</v>
      </c>
      <c r="W32" s="952"/>
      <c r="X32" s="947">
        <v>25</v>
      </c>
      <c r="Y32" s="953">
        <v>75455</v>
      </c>
      <c r="Z32" s="953">
        <v>22583</v>
      </c>
      <c r="AA32" s="953">
        <f t="shared" si="7"/>
        <v>3.3412301288579904</v>
      </c>
      <c r="AB32" s="953">
        <v>56973</v>
      </c>
      <c r="AC32" s="953">
        <v>2715</v>
      </c>
      <c r="AE32" s="977" t="s">
        <v>506</v>
      </c>
      <c r="AF32" s="976" t="s">
        <v>507</v>
      </c>
    </row>
    <row r="33" spans="8:15" x14ac:dyDescent="0.2">
      <c r="H33" s="981"/>
      <c r="I33" s="984"/>
      <c r="J33" s="981">
        <v>1</v>
      </c>
      <c r="K33" s="995">
        <v>2</v>
      </c>
      <c r="L33" s="995">
        <v>3</v>
      </c>
      <c r="M33" s="995">
        <v>4</v>
      </c>
      <c r="N33" s="995">
        <v>5</v>
      </c>
      <c r="O33" s="995">
        <v>6</v>
      </c>
    </row>
  </sheetData>
  <sortState ref="B10:G24">
    <sortCondition descending="1" ref="D10:D24"/>
  </sortState>
  <mergeCells count="5">
    <mergeCell ref="B3:F3"/>
    <mergeCell ref="B4:F4"/>
    <mergeCell ref="B2:F2"/>
    <mergeCell ref="D6:D7"/>
    <mergeCell ref="F6:F7"/>
  </mergeCells>
  <printOptions horizontalCentered="1"/>
  <pageMargins left="0.6692913385826772" right="0.6692913385826772" top="1.0236220472440944" bottom="0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F2"/>
    <pageSetUpPr fitToPage="1"/>
  </sheetPr>
  <dimension ref="B2:G60"/>
  <sheetViews>
    <sheetView workbookViewId="0">
      <selection activeCell="B1" sqref="B1"/>
    </sheetView>
  </sheetViews>
  <sheetFormatPr defaultRowHeight="15" x14ac:dyDescent="0.25"/>
  <cols>
    <col min="1" max="1" width="3.5703125" style="11" customWidth="1"/>
    <col min="2" max="2" width="68.5703125" style="11" customWidth="1"/>
    <col min="3" max="3" width="7.28515625" style="11" customWidth="1"/>
    <col min="4" max="4" width="14.42578125" style="11" customWidth="1"/>
    <col min="5" max="5" width="11" style="11" customWidth="1"/>
    <col min="6" max="6" width="14.28515625" style="11" customWidth="1"/>
    <col min="7" max="7" width="12.42578125" style="11" customWidth="1"/>
    <col min="8" max="16384" width="9.140625" style="11"/>
  </cols>
  <sheetData>
    <row r="2" spans="2:7" ht="16.5" customHeight="1" x14ac:dyDescent="0.25">
      <c r="B2" s="1245" t="s">
        <v>402</v>
      </c>
      <c r="C2" s="1245"/>
      <c r="D2" s="1245"/>
      <c r="E2" s="1245"/>
      <c r="F2" s="1245"/>
      <c r="G2" s="1245"/>
    </row>
    <row r="3" spans="2:7" ht="16.5" customHeight="1" x14ac:dyDescent="0.25">
      <c r="B3" s="1246" t="s">
        <v>405</v>
      </c>
      <c r="C3" s="1246"/>
      <c r="D3" s="1246"/>
      <c r="E3" s="1246"/>
      <c r="F3" s="1246"/>
      <c r="G3" s="1246"/>
    </row>
    <row r="4" spans="2:7" ht="14.25" customHeight="1" x14ac:dyDescent="0.25">
      <c r="B4" s="1247" t="s">
        <v>401</v>
      </c>
      <c r="C4" s="1247"/>
      <c r="D4" s="1247"/>
      <c r="E4" s="1247"/>
      <c r="F4" s="1247"/>
      <c r="G4" s="1247"/>
    </row>
    <row r="5" spans="2:7" ht="12" customHeight="1" thickBot="1" x14ac:dyDescent="0.3">
      <c r="D5" s="154"/>
    </row>
    <row r="6" spans="2:7" ht="45" customHeight="1" x14ac:dyDescent="0.25">
      <c r="B6" s="353" t="s">
        <v>133</v>
      </c>
      <c r="C6" s="1248" t="s">
        <v>369</v>
      </c>
      <c r="D6" s="354" t="s">
        <v>266</v>
      </c>
      <c r="E6" s="1248" t="s">
        <v>370</v>
      </c>
      <c r="F6" s="355" t="s">
        <v>269</v>
      </c>
      <c r="G6" s="621" t="s">
        <v>371</v>
      </c>
    </row>
    <row r="7" spans="2:7" ht="30" customHeight="1" thickBot="1" x14ac:dyDescent="0.3">
      <c r="B7" s="376"/>
      <c r="C7" s="1249"/>
      <c r="D7" s="377" t="s">
        <v>422</v>
      </c>
      <c r="E7" s="1249"/>
      <c r="F7" s="619" t="s">
        <v>268</v>
      </c>
      <c r="G7" s="626" t="s">
        <v>543</v>
      </c>
    </row>
    <row r="8" spans="2:7" ht="30.75" customHeight="1" thickBot="1" x14ac:dyDescent="0.3">
      <c r="B8" s="627" t="s">
        <v>62</v>
      </c>
      <c r="C8" s="628"/>
      <c r="D8" s="629">
        <f>SUM(D10,D12,D14,D16,D18,D20,D22,D24,D26,D28,D30,D32,D34,D36,D38,D40,D42,D44,D46,D48,D50,D52,D56)</f>
        <v>75455</v>
      </c>
      <c r="E8" s="630">
        <f>SUM(E10,E12,E14,E16,E18,E20,E22,E24,E26,E28,E30,E32,E34,E36,E38,E40,E42,E44,E46,E48,E50,E52,E56)</f>
        <v>100.00000000000001</v>
      </c>
      <c r="F8" s="631">
        <f>SUM(F10,F12,F14,F16,F18,F20,F22,F24,F26,F28,F30,F32,F34,F36,F38,F40,F42,F44,F46,F48,F50,F52,F56)</f>
        <v>2715</v>
      </c>
      <c r="G8" s="632">
        <f>SUM(G10,G12,G14,G16,G18,G20,G22,G24,G26,G28,G30,G32,G34,G36,G38,G40,G42,G44,G46,G48,G50,G52,G56)</f>
        <v>53714</v>
      </c>
    </row>
    <row r="9" spans="2:7" ht="25.5" customHeight="1" thickBot="1" x14ac:dyDescent="0.3">
      <c r="B9" s="996" t="s">
        <v>372</v>
      </c>
      <c r="C9" s="633"/>
      <c r="D9" s="634"/>
      <c r="E9" s="620"/>
      <c r="F9" s="634"/>
      <c r="G9" s="635"/>
    </row>
    <row r="10" spans="2:7" ht="11.25" customHeight="1" x14ac:dyDescent="0.25">
      <c r="B10" s="1243" t="s">
        <v>373</v>
      </c>
      <c r="C10" s="636" t="s">
        <v>374</v>
      </c>
      <c r="D10" s="637">
        <v>2387</v>
      </c>
      <c r="E10" s="638">
        <f>SUM(D10/D8*100)</f>
        <v>3.16347491882579</v>
      </c>
      <c r="F10" s="639">
        <v>75</v>
      </c>
      <c r="G10" s="640">
        <f>SUM('T.XXII A'!L8)</f>
        <v>457</v>
      </c>
    </row>
    <row r="11" spans="2:7" ht="12.75" customHeight="1" thickBot="1" x14ac:dyDescent="0.3">
      <c r="B11" s="1244"/>
      <c r="C11" s="1048" t="s">
        <v>375</v>
      </c>
      <c r="D11" s="662">
        <v>1001</v>
      </c>
      <c r="E11" s="663"/>
      <c r="F11" s="664">
        <v>26</v>
      </c>
      <c r="G11" s="665" t="s">
        <v>118</v>
      </c>
    </row>
    <row r="12" spans="2:7" ht="12" customHeight="1" x14ac:dyDescent="0.25">
      <c r="B12" s="1243" t="s">
        <v>376</v>
      </c>
      <c r="C12" s="636" t="s">
        <v>374</v>
      </c>
      <c r="D12" s="666">
        <v>112</v>
      </c>
      <c r="E12" s="638">
        <f>SUM(D12/D8*100)</f>
        <v>0.14843284076601948</v>
      </c>
      <c r="F12" s="639">
        <v>7</v>
      </c>
      <c r="G12" s="640">
        <f>SUM('T.XXII A'!L9)</f>
        <v>81</v>
      </c>
    </row>
    <row r="13" spans="2:7" ht="12.75" customHeight="1" thickBot="1" x14ac:dyDescent="0.3">
      <c r="B13" s="1244"/>
      <c r="C13" s="1048" t="s">
        <v>375</v>
      </c>
      <c r="D13" s="338">
        <v>19</v>
      </c>
      <c r="E13" s="663"/>
      <c r="F13" s="339">
        <v>1</v>
      </c>
      <c r="G13" s="667" t="s">
        <v>118</v>
      </c>
    </row>
    <row r="14" spans="2:7" ht="13.5" customHeight="1" x14ac:dyDescent="0.25">
      <c r="B14" s="1243" t="s">
        <v>377</v>
      </c>
      <c r="C14" s="636" t="s">
        <v>374</v>
      </c>
      <c r="D14" s="666">
        <v>12214</v>
      </c>
      <c r="E14" s="638">
        <f>SUM(D14/D8*100)</f>
        <v>16.187131402822875</v>
      </c>
      <c r="F14" s="639">
        <v>710</v>
      </c>
      <c r="G14" s="640">
        <f>SUM('T.XXII A'!L10)</f>
        <v>9830</v>
      </c>
    </row>
    <row r="15" spans="2:7" ht="14.25" customHeight="1" thickBot="1" x14ac:dyDescent="0.3">
      <c r="B15" s="1244"/>
      <c r="C15" s="1048" t="s">
        <v>375</v>
      </c>
      <c r="D15" s="338">
        <v>5580</v>
      </c>
      <c r="E15" s="663"/>
      <c r="F15" s="339">
        <v>333</v>
      </c>
      <c r="G15" s="667" t="s">
        <v>118</v>
      </c>
    </row>
    <row r="16" spans="2:7" ht="12.75" customHeight="1" x14ac:dyDescent="0.25">
      <c r="B16" s="1251" t="s">
        <v>378</v>
      </c>
      <c r="C16" s="636" t="s">
        <v>374</v>
      </c>
      <c r="D16" s="666">
        <v>95</v>
      </c>
      <c r="E16" s="638">
        <f>SUM(D16/D8*100)</f>
        <v>0.12590285600689152</v>
      </c>
      <c r="F16" s="639">
        <v>5</v>
      </c>
      <c r="G16" s="640">
        <f>SUM('T.XXII A'!L11)</f>
        <v>203</v>
      </c>
    </row>
    <row r="17" spans="2:7" ht="12" customHeight="1" thickBot="1" x14ac:dyDescent="0.3">
      <c r="B17" s="1244"/>
      <c r="C17" s="1048" t="s">
        <v>375</v>
      </c>
      <c r="D17" s="338">
        <v>23</v>
      </c>
      <c r="E17" s="663"/>
      <c r="F17" s="339">
        <v>1</v>
      </c>
      <c r="G17" s="667" t="s">
        <v>118</v>
      </c>
    </row>
    <row r="18" spans="2:7" ht="12.75" customHeight="1" x14ac:dyDescent="0.25">
      <c r="B18" s="1251" t="s">
        <v>379</v>
      </c>
      <c r="C18" s="636" t="s">
        <v>374</v>
      </c>
      <c r="D18" s="666">
        <v>526</v>
      </c>
      <c r="E18" s="638">
        <f>SUM(D18/D8*100)</f>
        <v>0.69710423431184154</v>
      </c>
      <c r="F18" s="639">
        <v>22</v>
      </c>
      <c r="G18" s="640">
        <f>SUM('T.XXII A'!L12)</f>
        <v>555</v>
      </c>
    </row>
    <row r="19" spans="2:7" ht="12" customHeight="1" thickBot="1" x14ac:dyDescent="0.3">
      <c r="B19" s="1244"/>
      <c r="C19" s="1048" t="s">
        <v>375</v>
      </c>
      <c r="D19" s="338">
        <v>134</v>
      </c>
      <c r="E19" s="663"/>
      <c r="F19" s="339">
        <v>10</v>
      </c>
      <c r="G19" s="667" t="s">
        <v>118</v>
      </c>
    </row>
    <row r="20" spans="2:7" ht="12.75" customHeight="1" x14ac:dyDescent="0.25">
      <c r="B20" s="1243" t="s">
        <v>380</v>
      </c>
      <c r="C20" s="636" t="s">
        <v>374</v>
      </c>
      <c r="D20" s="666">
        <v>7213</v>
      </c>
      <c r="E20" s="638">
        <f>SUM(D20/D8*100)</f>
        <v>9.5593400039758798</v>
      </c>
      <c r="F20" s="639">
        <v>241</v>
      </c>
      <c r="G20" s="640">
        <f>SUM('T.XXII A'!L13)</f>
        <v>8516</v>
      </c>
    </row>
    <row r="21" spans="2:7" ht="12.75" customHeight="1" thickBot="1" x14ac:dyDescent="0.3">
      <c r="B21" s="1244"/>
      <c r="C21" s="1048" t="s">
        <v>375</v>
      </c>
      <c r="D21" s="338">
        <v>1030</v>
      </c>
      <c r="E21" s="663"/>
      <c r="F21" s="339">
        <v>50</v>
      </c>
      <c r="G21" s="667" t="s">
        <v>118</v>
      </c>
    </row>
    <row r="22" spans="2:7" ht="12.75" customHeight="1" x14ac:dyDescent="0.25">
      <c r="B22" s="1243" t="s">
        <v>381</v>
      </c>
      <c r="C22" s="636" t="s">
        <v>374</v>
      </c>
      <c r="D22" s="666">
        <v>12452</v>
      </c>
      <c r="E22" s="638">
        <f>SUM(D22/D8*100)</f>
        <v>16.502551189450664</v>
      </c>
      <c r="F22" s="639">
        <v>821</v>
      </c>
      <c r="G22" s="640">
        <f>SUM('T.XXII A'!L14)</f>
        <v>9305</v>
      </c>
    </row>
    <row r="23" spans="2:7" ht="11.25" customHeight="1" thickBot="1" x14ac:dyDescent="0.3">
      <c r="B23" s="1250"/>
      <c r="C23" s="1048" t="s">
        <v>375</v>
      </c>
      <c r="D23" s="338">
        <v>8640</v>
      </c>
      <c r="E23" s="663"/>
      <c r="F23" s="339">
        <v>572</v>
      </c>
      <c r="G23" s="667" t="s">
        <v>118</v>
      </c>
    </row>
    <row r="24" spans="2:7" ht="12" customHeight="1" x14ac:dyDescent="0.25">
      <c r="B24" s="1243" t="s">
        <v>382</v>
      </c>
      <c r="C24" s="636" t="s">
        <v>374</v>
      </c>
      <c r="D24" s="666">
        <v>2653</v>
      </c>
      <c r="E24" s="638">
        <f>SUM(D24/D8*100)</f>
        <v>3.5160029156450863</v>
      </c>
      <c r="F24" s="668">
        <v>83</v>
      </c>
      <c r="G24" s="640">
        <f>SUM('T.XXII A'!L15)</f>
        <v>2595</v>
      </c>
    </row>
    <row r="25" spans="2:7" ht="12.75" customHeight="1" thickBot="1" x14ac:dyDescent="0.3">
      <c r="B25" s="1250"/>
      <c r="C25" s="1048" t="s">
        <v>375</v>
      </c>
      <c r="D25" s="21">
        <v>2109</v>
      </c>
      <c r="E25" s="107"/>
      <c r="F25" s="21">
        <v>72</v>
      </c>
      <c r="G25" s="1049" t="s">
        <v>118</v>
      </c>
    </row>
    <row r="26" spans="2:7" x14ac:dyDescent="0.25">
      <c r="B26" s="1243" t="s">
        <v>383</v>
      </c>
      <c r="C26" s="636" t="s">
        <v>374</v>
      </c>
      <c r="D26" s="1050">
        <v>1804</v>
      </c>
      <c r="E26" s="638">
        <f>SUM(D26/D8*100)</f>
        <v>2.3908289709098138</v>
      </c>
      <c r="F26" s="1050">
        <v>114</v>
      </c>
      <c r="G26" s="640">
        <f>SUM('T.XXII A'!L16)</f>
        <v>2191</v>
      </c>
    </row>
    <row r="27" spans="2:7" ht="12" customHeight="1" thickBot="1" x14ac:dyDescent="0.3">
      <c r="B27" s="1250"/>
      <c r="C27" s="1048" t="s">
        <v>375</v>
      </c>
      <c r="D27" s="21">
        <v>572</v>
      </c>
      <c r="E27" s="107"/>
      <c r="F27" s="21">
        <v>27</v>
      </c>
      <c r="G27" s="1049" t="s">
        <v>118</v>
      </c>
    </row>
    <row r="28" spans="2:7" ht="12" customHeight="1" x14ac:dyDescent="0.25">
      <c r="B28" s="1252" t="s">
        <v>384</v>
      </c>
      <c r="C28" s="636" t="s">
        <v>374</v>
      </c>
      <c r="D28" s="1050">
        <v>432</v>
      </c>
      <c r="E28" s="638">
        <f>SUM(D28/D8*100)</f>
        <v>0.57252667152607517</v>
      </c>
      <c r="F28" s="1050">
        <v>37</v>
      </c>
      <c r="G28" s="640">
        <f>SUM('T.XXII A'!L17)</f>
        <v>409</v>
      </c>
    </row>
    <row r="29" spans="2:7" ht="12.75" customHeight="1" thickBot="1" x14ac:dyDescent="0.3">
      <c r="B29" s="1250"/>
      <c r="C29" s="1048" t="s">
        <v>375</v>
      </c>
      <c r="D29" s="21">
        <v>239</v>
      </c>
      <c r="E29" s="107"/>
      <c r="F29" s="21">
        <v>20</v>
      </c>
      <c r="G29" s="1049" t="s">
        <v>118</v>
      </c>
    </row>
    <row r="30" spans="2:7" ht="12.75" customHeight="1" x14ac:dyDescent="0.25">
      <c r="B30" s="1252" t="s">
        <v>385</v>
      </c>
      <c r="C30" s="636" t="s">
        <v>374</v>
      </c>
      <c r="D30" s="1050">
        <v>781</v>
      </c>
      <c r="E30" s="638">
        <f>SUM(D30/D8*100)</f>
        <v>1.0350540056987609</v>
      </c>
      <c r="F30" s="1050">
        <v>97</v>
      </c>
      <c r="G30" s="640">
        <f>SUM('T.XXII A'!L18)</f>
        <v>449</v>
      </c>
    </row>
    <row r="31" spans="2:7" ht="12" customHeight="1" thickBot="1" x14ac:dyDescent="0.3">
      <c r="B31" s="1250"/>
      <c r="C31" s="1048" t="s">
        <v>375</v>
      </c>
      <c r="D31" s="21">
        <v>604</v>
      </c>
      <c r="E31" s="107"/>
      <c r="F31" s="21">
        <v>78</v>
      </c>
      <c r="G31" s="1049" t="s">
        <v>118</v>
      </c>
    </row>
    <row r="32" spans="2:7" ht="12" customHeight="1" x14ac:dyDescent="0.25">
      <c r="B32" s="1243" t="s">
        <v>386</v>
      </c>
      <c r="C32" s="636" t="s">
        <v>374</v>
      </c>
      <c r="D32" s="1050">
        <v>422</v>
      </c>
      <c r="E32" s="638">
        <f>SUM(D32/D8*100)</f>
        <v>0.55927373931482338</v>
      </c>
      <c r="F32" s="1050">
        <v>23</v>
      </c>
      <c r="G32" s="640">
        <f>SUM('T.XXII A'!L19)</f>
        <v>254</v>
      </c>
    </row>
    <row r="33" spans="2:7" ht="12.75" customHeight="1" thickBot="1" x14ac:dyDescent="0.3">
      <c r="B33" s="1250"/>
      <c r="C33" s="1048" t="s">
        <v>375</v>
      </c>
      <c r="D33" s="21">
        <v>224</v>
      </c>
      <c r="E33" s="107"/>
      <c r="F33" s="21">
        <v>10</v>
      </c>
      <c r="G33" s="1049" t="s">
        <v>118</v>
      </c>
    </row>
    <row r="34" spans="2:7" ht="13.5" customHeight="1" x14ac:dyDescent="0.25">
      <c r="B34" s="1243" t="s">
        <v>387</v>
      </c>
      <c r="C34" s="636" t="s">
        <v>374</v>
      </c>
      <c r="D34" s="1050">
        <v>1667</v>
      </c>
      <c r="E34" s="638">
        <f>SUM(D34/D8*100)</f>
        <v>2.2092637996156648</v>
      </c>
      <c r="F34" s="1050">
        <v>78</v>
      </c>
      <c r="G34" s="640">
        <f>SUM('T.XXII A'!L20)</f>
        <v>1690</v>
      </c>
    </row>
    <row r="35" spans="2:7" ht="12.75" customHeight="1" thickBot="1" x14ac:dyDescent="0.3">
      <c r="B35" s="1250"/>
      <c r="C35" s="1048" t="s">
        <v>375</v>
      </c>
      <c r="D35" s="21">
        <v>1028</v>
      </c>
      <c r="E35" s="107"/>
      <c r="F35" s="21">
        <v>48</v>
      </c>
      <c r="G35" s="1049" t="s">
        <v>118</v>
      </c>
    </row>
    <row r="36" spans="2:7" ht="12" customHeight="1" x14ac:dyDescent="0.25">
      <c r="B36" s="1243" t="s">
        <v>388</v>
      </c>
      <c r="C36" s="636" t="s">
        <v>374</v>
      </c>
      <c r="D36" s="1050">
        <v>3548</v>
      </c>
      <c r="E36" s="638">
        <f>SUM(D36/D8*100)</f>
        <v>4.7021403485521169</v>
      </c>
      <c r="F36" s="1050">
        <v>63</v>
      </c>
      <c r="G36" s="640">
        <f>SUM('T.XXII A'!L21)</f>
        <v>6284</v>
      </c>
    </row>
    <row r="37" spans="2:7" ht="12.75" customHeight="1" thickBot="1" x14ac:dyDescent="0.3">
      <c r="B37" s="1250"/>
      <c r="C37" s="1048" t="s">
        <v>375</v>
      </c>
      <c r="D37" s="21">
        <v>1899</v>
      </c>
      <c r="E37" s="107"/>
      <c r="F37" s="21">
        <v>32</v>
      </c>
      <c r="G37" s="1049" t="s">
        <v>118</v>
      </c>
    </row>
    <row r="38" spans="2:7" ht="12.75" customHeight="1" x14ac:dyDescent="0.25">
      <c r="B38" s="1243" t="s">
        <v>389</v>
      </c>
      <c r="C38" s="636" t="s">
        <v>374</v>
      </c>
      <c r="D38" s="1050">
        <v>2803</v>
      </c>
      <c r="E38" s="638">
        <f>SUM(D38/D8*100)</f>
        <v>3.7147968988138622</v>
      </c>
      <c r="F38" s="1050">
        <v>26</v>
      </c>
      <c r="G38" s="640">
        <f>SUM('T.XXII A'!L22)</f>
        <v>3380</v>
      </c>
    </row>
    <row r="39" spans="2:7" ht="12.75" customHeight="1" thickBot="1" x14ac:dyDescent="0.3">
      <c r="B39" s="1250"/>
      <c r="C39" s="1048" t="s">
        <v>375</v>
      </c>
      <c r="D39" s="21">
        <v>1068</v>
      </c>
      <c r="E39" s="107"/>
      <c r="F39" s="21">
        <v>15</v>
      </c>
      <c r="G39" s="1049" t="s">
        <v>118</v>
      </c>
    </row>
    <row r="40" spans="2:7" ht="12" customHeight="1" x14ac:dyDescent="0.25">
      <c r="B40" s="1243" t="s">
        <v>390</v>
      </c>
      <c r="C40" s="636" t="s">
        <v>374</v>
      </c>
      <c r="D40" s="1050">
        <v>1855</v>
      </c>
      <c r="E40" s="638">
        <f>SUM(D40/D8*100)</f>
        <v>2.458418925187198</v>
      </c>
      <c r="F40" s="1050">
        <v>58</v>
      </c>
      <c r="G40" s="640">
        <f>SUM('T.XXII A'!L23)</f>
        <v>2398</v>
      </c>
    </row>
    <row r="41" spans="2:7" ht="12.75" customHeight="1" thickBot="1" x14ac:dyDescent="0.3">
      <c r="B41" s="1250"/>
      <c r="C41" s="1048" t="s">
        <v>375</v>
      </c>
      <c r="D41" s="21">
        <v>1547</v>
      </c>
      <c r="E41" s="107"/>
      <c r="F41" s="21">
        <v>40</v>
      </c>
      <c r="G41" s="1049" t="s">
        <v>118</v>
      </c>
    </row>
    <row r="42" spans="2:7" ht="12.75" customHeight="1" x14ac:dyDescent="0.25">
      <c r="B42" s="1243" t="s">
        <v>391</v>
      </c>
      <c r="C42" s="636" t="s">
        <v>374</v>
      </c>
      <c r="D42" s="1050">
        <v>1678</v>
      </c>
      <c r="E42" s="638">
        <f>SUM(D42/D8*100)</f>
        <v>2.2238420250480417</v>
      </c>
      <c r="F42" s="1050">
        <v>46</v>
      </c>
      <c r="G42" s="640">
        <f>SUM('T.XXII A'!L24)</f>
        <v>2658</v>
      </c>
    </row>
    <row r="43" spans="2:7" ht="12.75" customHeight="1" thickBot="1" x14ac:dyDescent="0.3">
      <c r="B43" s="1250"/>
      <c r="C43" s="1048" t="s">
        <v>375</v>
      </c>
      <c r="D43" s="21">
        <v>1353</v>
      </c>
      <c r="E43" s="107"/>
      <c r="F43" s="21">
        <v>31</v>
      </c>
      <c r="G43" s="1049" t="s">
        <v>118</v>
      </c>
    </row>
    <row r="44" spans="2:7" ht="12.75" customHeight="1" x14ac:dyDescent="0.25">
      <c r="B44" s="1243" t="s">
        <v>392</v>
      </c>
      <c r="C44" s="636" t="s">
        <v>374</v>
      </c>
      <c r="D44" s="1050">
        <v>624</v>
      </c>
      <c r="E44" s="638">
        <f>SUM(D44/D8*100)</f>
        <v>0.82698296998210863</v>
      </c>
      <c r="F44" s="1050">
        <v>17</v>
      </c>
      <c r="G44" s="640">
        <f>SUM('T.XXII A'!L25)</f>
        <v>613</v>
      </c>
    </row>
    <row r="45" spans="2:7" ht="11.25" customHeight="1" thickBot="1" x14ac:dyDescent="0.3">
      <c r="B45" s="1250"/>
      <c r="C45" s="1048" t="s">
        <v>375</v>
      </c>
      <c r="D45" s="21">
        <v>363</v>
      </c>
      <c r="E45" s="107"/>
      <c r="F45" s="21">
        <v>13</v>
      </c>
      <c r="G45" s="1049" t="s">
        <v>118</v>
      </c>
    </row>
    <row r="46" spans="2:7" ht="12.75" customHeight="1" x14ac:dyDescent="0.25">
      <c r="B46" s="1243" t="s">
        <v>393</v>
      </c>
      <c r="C46" s="636" t="s">
        <v>374</v>
      </c>
      <c r="D46" s="1050">
        <v>3576</v>
      </c>
      <c r="E46" s="638">
        <f>SUM(D46/D8*100)</f>
        <v>4.7392485587436219</v>
      </c>
      <c r="F46" s="1050">
        <v>93</v>
      </c>
      <c r="G46" s="640">
        <f>SUM('T.XXII A'!L26)</f>
        <v>1841</v>
      </c>
    </row>
    <row r="47" spans="2:7" ht="12.75" customHeight="1" thickBot="1" x14ac:dyDescent="0.3">
      <c r="B47" s="1250"/>
      <c r="C47" s="1048" t="s">
        <v>375</v>
      </c>
      <c r="D47" s="21">
        <v>2360</v>
      </c>
      <c r="E47" s="107"/>
      <c r="F47" s="21">
        <v>71</v>
      </c>
      <c r="G47" s="1049" t="s">
        <v>118</v>
      </c>
    </row>
    <row r="48" spans="2:7" ht="13.5" customHeight="1" x14ac:dyDescent="0.25">
      <c r="B48" s="1243" t="s">
        <v>394</v>
      </c>
      <c r="C48" s="636" t="s">
        <v>374</v>
      </c>
      <c r="D48" s="1050">
        <v>754</v>
      </c>
      <c r="E48" s="638">
        <f>SUM(D48/D8*100)</f>
        <v>0.99927108872838111</v>
      </c>
      <c r="F48" s="1050">
        <v>5</v>
      </c>
      <c r="G48" s="640">
        <f>SUM('T.XXII A'!L27)</f>
        <v>5</v>
      </c>
    </row>
    <row r="49" spans="2:7" ht="12.75" customHeight="1" thickBot="1" x14ac:dyDescent="0.3">
      <c r="B49" s="1250"/>
      <c r="C49" s="1048" t="s">
        <v>375</v>
      </c>
      <c r="D49" s="21">
        <v>403</v>
      </c>
      <c r="E49" s="107"/>
      <c r="F49" s="21">
        <v>5</v>
      </c>
      <c r="G49" s="1049" t="s">
        <v>118</v>
      </c>
    </row>
    <row r="50" spans="2:7" ht="12" customHeight="1" x14ac:dyDescent="0.25">
      <c r="B50" s="1243" t="s">
        <v>395</v>
      </c>
      <c r="C50" s="636" t="s">
        <v>374</v>
      </c>
      <c r="D50" s="1050">
        <v>4</v>
      </c>
      <c r="E50" s="638">
        <f>SUM(D50/D8*100)</f>
        <v>5.3011728845006956E-3</v>
      </c>
      <c r="F50" s="1050">
        <v>1</v>
      </c>
      <c r="G50" s="640">
        <f>SUM('T.XXII A'!L28)</f>
        <v>0</v>
      </c>
    </row>
    <row r="51" spans="2:7" ht="12.75" customHeight="1" thickBot="1" x14ac:dyDescent="0.3">
      <c r="B51" s="1250"/>
      <c r="C51" s="1048" t="s">
        <v>375</v>
      </c>
      <c r="D51" s="21">
        <v>1</v>
      </c>
      <c r="E51" s="107"/>
      <c r="F51" s="21">
        <v>0</v>
      </c>
      <c r="G51" s="1049" t="s">
        <v>118</v>
      </c>
    </row>
    <row r="52" spans="2:7" ht="12" customHeight="1" x14ac:dyDescent="0.25">
      <c r="B52" s="1243" t="s">
        <v>396</v>
      </c>
      <c r="C52" s="636" t="s">
        <v>374</v>
      </c>
      <c r="D52" s="1050">
        <v>6797</v>
      </c>
      <c r="E52" s="638">
        <f>SUM(D52/D8*100)</f>
        <v>9.0080180239878072</v>
      </c>
      <c r="F52" s="1050">
        <v>93</v>
      </c>
      <c r="G52" s="640">
        <f>SUM('T.XXII A'!L29)</f>
        <v>0</v>
      </c>
    </row>
    <row r="53" spans="2:7" ht="15.75" thickBot="1" x14ac:dyDescent="0.3">
      <c r="B53" s="1250"/>
      <c r="C53" s="1048" t="s">
        <v>375</v>
      </c>
      <c r="D53" s="21">
        <v>3205</v>
      </c>
      <c r="E53" s="107"/>
      <c r="F53" s="21">
        <v>51</v>
      </c>
      <c r="G53" s="1049" t="s">
        <v>118</v>
      </c>
    </row>
    <row r="54" spans="2:7" ht="12.75" customHeight="1" x14ac:dyDescent="0.25">
      <c r="B54" s="1243" t="s">
        <v>397</v>
      </c>
      <c r="C54" s="636" t="s">
        <v>374</v>
      </c>
      <c r="D54" s="1050">
        <v>64397</v>
      </c>
      <c r="E54" s="638">
        <f>SUM(D54/D8*100)</f>
        <v>85.344907560797822</v>
      </c>
      <c r="F54" s="1050">
        <v>2715</v>
      </c>
      <c r="G54" s="640">
        <f>SUM('T.XXII A'!L30)</f>
        <v>53714</v>
      </c>
    </row>
    <row r="55" spans="2:7" ht="12" customHeight="1" thickBot="1" x14ac:dyDescent="0.3">
      <c r="B55" s="1250"/>
      <c r="C55" s="1048" t="s">
        <v>375</v>
      </c>
      <c r="D55" s="21">
        <v>33402</v>
      </c>
      <c r="E55" s="107"/>
      <c r="F55" s="21">
        <v>1506</v>
      </c>
      <c r="G55" s="1049" t="s">
        <v>118</v>
      </c>
    </row>
    <row r="56" spans="2:7" ht="12" customHeight="1" x14ac:dyDescent="0.25">
      <c r="B56" s="1243" t="s">
        <v>398</v>
      </c>
      <c r="C56" s="636" t="s">
        <v>374</v>
      </c>
      <c r="D56" s="1050">
        <v>11058</v>
      </c>
      <c r="E56" s="638">
        <f>SUM(D56/D8*100)</f>
        <v>14.655092439202175</v>
      </c>
      <c r="F56" s="1050">
        <v>0</v>
      </c>
      <c r="G56" s="640">
        <f>SUM('T.XXII A'!L31)</f>
        <v>0</v>
      </c>
    </row>
    <row r="57" spans="2:7" ht="12.75" customHeight="1" thickBot="1" x14ac:dyDescent="0.3">
      <c r="B57" s="1250"/>
      <c r="C57" s="1048" t="s">
        <v>375</v>
      </c>
      <c r="D57" s="21">
        <v>6882</v>
      </c>
      <c r="E57" s="107"/>
      <c r="F57" s="21">
        <v>0</v>
      </c>
      <c r="G57" s="1049" t="s">
        <v>118</v>
      </c>
    </row>
    <row r="58" spans="2:7" ht="12.75" customHeight="1" x14ac:dyDescent="0.25">
      <c r="B58" s="1253" t="s">
        <v>399</v>
      </c>
      <c r="C58" s="659" t="s">
        <v>374</v>
      </c>
      <c r="D58" s="1051">
        <v>75455</v>
      </c>
      <c r="E58" s="660">
        <f>SUM(D58/D8*100)</f>
        <v>100</v>
      </c>
      <c r="F58" s="1051">
        <v>2715</v>
      </c>
      <c r="G58" s="661">
        <f>SUM('T.XXII A'!L32)</f>
        <v>53714</v>
      </c>
    </row>
    <row r="59" spans="2:7" ht="12.75" customHeight="1" thickBot="1" x14ac:dyDescent="0.3">
      <c r="B59" s="1250"/>
      <c r="C59" s="1048" t="s">
        <v>375</v>
      </c>
      <c r="D59" s="21">
        <v>40284</v>
      </c>
      <c r="E59" s="107"/>
      <c r="F59" s="21">
        <v>1506</v>
      </c>
      <c r="G59" s="1049" t="s">
        <v>118</v>
      </c>
    </row>
    <row r="60" spans="2:7" x14ac:dyDescent="0.25">
      <c r="D60" s="658"/>
      <c r="F60" s="658"/>
      <c r="G60" s="658"/>
    </row>
  </sheetData>
  <mergeCells count="30">
    <mergeCell ref="B58:B59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34:B35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10:B11"/>
    <mergeCell ref="B2:G2"/>
    <mergeCell ref="B3:G3"/>
    <mergeCell ref="B4:G4"/>
    <mergeCell ref="C6:C7"/>
    <mergeCell ref="E6:E7"/>
  </mergeCells>
  <printOptions horizontalCentered="1"/>
  <pageMargins left="0" right="0" top="1.3779527559055118" bottom="0" header="0" footer="0"/>
  <pageSetup paperSize="9" scale="7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G19"/>
  <sheetViews>
    <sheetView workbookViewId="0">
      <selection activeCell="B1" sqref="B1"/>
    </sheetView>
  </sheetViews>
  <sheetFormatPr defaultRowHeight="15" x14ac:dyDescent="0.25"/>
  <cols>
    <col min="1" max="1" width="4.42578125" style="11" customWidth="1"/>
    <col min="2" max="2" width="53.140625" style="11" customWidth="1"/>
    <col min="3" max="3" width="10.28515625" style="11" customWidth="1"/>
    <col min="4" max="4" width="11.28515625" style="11" customWidth="1"/>
    <col min="5" max="5" width="11" style="11" customWidth="1"/>
    <col min="6" max="6" width="13.7109375" style="11" customWidth="1"/>
    <col min="7" max="7" width="14" style="11" customWidth="1"/>
    <col min="8" max="16384" width="9.140625" style="11"/>
  </cols>
  <sheetData>
    <row r="2" spans="2:7" x14ac:dyDescent="0.25">
      <c r="B2" s="11" t="s">
        <v>510</v>
      </c>
    </row>
    <row r="3" spans="2:7" x14ac:dyDescent="0.25">
      <c r="B3" s="11" t="s">
        <v>302</v>
      </c>
    </row>
    <row r="4" spans="2:7" ht="15.75" thickBot="1" x14ac:dyDescent="0.3"/>
    <row r="5" spans="2:7" ht="50.25" customHeight="1" x14ac:dyDescent="0.25">
      <c r="B5" s="1254" t="s">
        <v>192</v>
      </c>
      <c r="C5" s="1256" t="s">
        <v>213</v>
      </c>
      <c r="D5" s="1258" t="s">
        <v>136</v>
      </c>
      <c r="E5" s="1259"/>
      <c r="F5" s="1260" t="s">
        <v>541</v>
      </c>
      <c r="G5" s="1261"/>
    </row>
    <row r="6" spans="2:7" ht="35.25" customHeight="1" thickBot="1" x14ac:dyDescent="0.3">
      <c r="B6" s="1255"/>
      <c r="C6" s="1257"/>
      <c r="D6" s="264" t="s">
        <v>342</v>
      </c>
      <c r="E6" s="264" t="s">
        <v>422</v>
      </c>
      <c r="F6" s="641" t="s">
        <v>144</v>
      </c>
      <c r="G6" s="642" t="s">
        <v>552</v>
      </c>
    </row>
    <row r="7" spans="2:7" ht="36" customHeight="1" x14ac:dyDescent="0.25">
      <c r="B7" s="283" t="s">
        <v>202</v>
      </c>
      <c r="C7" s="233">
        <v>1</v>
      </c>
      <c r="D7" s="233">
        <v>482</v>
      </c>
      <c r="E7" s="233">
        <v>469</v>
      </c>
      <c r="F7" s="643">
        <f>SUM(E7)-D7</f>
        <v>-13</v>
      </c>
      <c r="G7" s="644">
        <f t="shared" ref="G7:G19" si="0">SUM(E7-D7)/D7*100</f>
        <v>-2.6970954356846475</v>
      </c>
    </row>
    <row r="8" spans="2:7" ht="21.75" customHeight="1" x14ac:dyDescent="0.25">
      <c r="B8" s="234" t="s">
        <v>203</v>
      </c>
      <c r="C8" s="235">
        <v>2</v>
      </c>
      <c r="D8" s="155">
        <v>9983</v>
      </c>
      <c r="E8" s="155">
        <v>9124</v>
      </c>
      <c r="F8" s="645">
        <f t="shared" ref="F8:F18" si="1">SUM(E8)-D8</f>
        <v>-859</v>
      </c>
      <c r="G8" s="265">
        <f t="shared" si="0"/>
        <v>-8.6046278673745373</v>
      </c>
    </row>
    <row r="9" spans="2:7" ht="20.25" customHeight="1" x14ac:dyDescent="0.25">
      <c r="B9" s="234" t="s">
        <v>204</v>
      </c>
      <c r="C9" s="235">
        <v>3</v>
      </c>
      <c r="D9" s="155">
        <v>11909</v>
      </c>
      <c r="E9" s="155">
        <v>10759</v>
      </c>
      <c r="F9" s="645">
        <f t="shared" si="1"/>
        <v>-1150</v>
      </c>
      <c r="G9" s="265">
        <f t="shared" si="0"/>
        <v>-9.6565622638340738</v>
      </c>
    </row>
    <row r="10" spans="2:7" ht="19.5" customHeight="1" x14ac:dyDescent="0.25">
      <c r="B10" s="234" t="s">
        <v>205</v>
      </c>
      <c r="C10" s="235">
        <v>4</v>
      </c>
      <c r="D10" s="155">
        <v>3229</v>
      </c>
      <c r="E10" s="155">
        <v>2947</v>
      </c>
      <c r="F10" s="645">
        <f t="shared" si="1"/>
        <v>-282</v>
      </c>
      <c r="G10" s="265">
        <f t="shared" si="0"/>
        <v>-8.7333539795602348</v>
      </c>
    </row>
    <row r="11" spans="2:7" ht="21.75" customHeight="1" x14ac:dyDescent="0.25">
      <c r="B11" s="234" t="s">
        <v>206</v>
      </c>
      <c r="C11" s="235">
        <v>5</v>
      </c>
      <c r="D11" s="155">
        <v>15230</v>
      </c>
      <c r="E11" s="155">
        <v>13926</v>
      </c>
      <c r="F11" s="646">
        <f t="shared" si="1"/>
        <v>-1304</v>
      </c>
      <c r="G11" s="265">
        <f t="shared" si="0"/>
        <v>-8.5620485883125408</v>
      </c>
    </row>
    <row r="12" spans="2:7" ht="19.5" customHeight="1" x14ac:dyDescent="0.25">
      <c r="B12" s="234" t="s">
        <v>207</v>
      </c>
      <c r="C12" s="235">
        <v>6</v>
      </c>
      <c r="D12" s="155">
        <v>1414</v>
      </c>
      <c r="E12" s="155">
        <v>1233</v>
      </c>
      <c r="F12" s="646">
        <f t="shared" si="1"/>
        <v>-181</v>
      </c>
      <c r="G12" s="265">
        <f t="shared" si="0"/>
        <v>-12.800565770862802</v>
      </c>
    </row>
    <row r="13" spans="2:7" ht="18.75" customHeight="1" x14ac:dyDescent="0.25">
      <c r="B13" s="234" t="s">
        <v>208</v>
      </c>
      <c r="C13" s="235">
        <v>7</v>
      </c>
      <c r="D13" s="155">
        <v>18845</v>
      </c>
      <c r="E13" s="155">
        <v>17093</v>
      </c>
      <c r="F13" s="645">
        <f t="shared" si="1"/>
        <v>-1752</v>
      </c>
      <c r="G13" s="265">
        <f t="shared" si="0"/>
        <v>-9.296895728309897</v>
      </c>
    </row>
    <row r="14" spans="2:7" ht="20.25" customHeight="1" x14ac:dyDescent="0.25">
      <c r="B14" s="234" t="s">
        <v>209</v>
      </c>
      <c r="C14" s="235">
        <v>8</v>
      </c>
      <c r="D14" s="155">
        <v>4602</v>
      </c>
      <c r="E14" s="155">
        <v>4228</v>
      </c>
      <c r="F14" s="646">
        <f t="shared" si="1"/>
        <v>-374</v>
      </c>
      <c r="G14" s="265">
        <f t="shared" si="0"/>
        <v>-8.1269013472403291</v>
      </c>
    </row>
    <row r="15" spans="2:7" ht="21" customHeight="1" x14ac:dyDescent="0.25">
      <c r="B15" s="234" t="s">
        <v>210</v>
      </c>
      <c r="C15" s="235">
        <v>9</v>
      </c>
      <c r="D15" s="155">
        <v>6322</v>
      </c>
      <c r="E15" s="155">
        <v>6035</v>
      </c>
      <c r="F15" s="646">
        <f t="shared" si="1"/>
        <v>-287</v>
      </c>
      <c r="G15" s="265">
        <f t="shared" si="0"/>
        <v>-4.5397026257513451</v>
      </c>
    </row>
    <row r="16" spans="2:7" ht="21" customHeight="1" thickBot="1" x14ac:dyDescent="0.3">
      <c r="B16" s="238" t="s">
        <v>217</v>
      </c>
      <c r="C16" s="239">
        <v>0</v>
      </c>
      <c r="D16" s="239">
        <v>25</v>
      </c>
      <c r="E16" s="239">
        <v>26</v>
      </c>
      <c r="F16" s="647">
        <f t="shared" si="1"/>
        <v>1</v>
      </c>
      <c r="G16" s="266">
        <f t="shared" si="0"/>
        <v>4</v>
      </c>
    </row>
    <row r="17" spans="2:7" ht="20.25" customHeight="1" x14ac:dyDescent="0.25">
      <c r="B17" s="283" t="s">
        <v>211</v>
      </c>
      <c r="C17" s="249" t="s">
        <v>193</v>
      </c>
      <c r="D17" s="284">
        <v>10892</v>
      </c>
      <c r="E17" s="284">
        <v>9615</v>
      </c>
      <c r="F17" s="648">
        <f t="shared" si="1"/>
        <v>-1277</v>
      </c>
      <c r="G17" s="644">
        <f t="shared" si="0"/>
        <v>-11.724201248622842</v>
      </c>
    </row>
    <row r="18" spans="2:7" ht="22.5" customHeight="1" thickBot="1" x14ac:dyDescent="0.3">
      <c r="B18" s="237" t="s">
        <v>212</v>
      </c>
      <c r="C18" s="232" t="s">
        <v>194</v>
      </c>
      <c r="D18" s="156">
        <f>SUM(D7:D16)</f>
        <v>72041</v>
      </c>
      <c r="E18" s="156">
        <f>SUM(E7:E16)</f>
        <v>65840</v>
      </c>
      <c r="F18" s="649">
        <f t="shared" si="1"/>
        <v>-6201</v>
      </c>
      <c r="G18" s="287">
        <f t="shared" si="0"/>
        <v>-8.6075984508821364</v>
      </c>
    </row>
    <row r="19" spans="2:7" ht="21.75" customHeight="1" thickBot="1" x14ac:dyDescent="0.3">
      <c r="B19" s="268" t="s">
        <v>62</v>
      </c>
      <c r="C19" s="269" t="s">
        <v>195</v>
      </c>
      <c r="D19" s="270">
        <f>SUM(D17:D18)</f>
        <v>82933</v>
      </c>
      <c r="E19" s="270">
        <f>SUM(E17:E18)</f>
        <v>75455</v>
      </c>
      <c r="F19" s="650">
        <f>SUM(E19)-D19</f>
        <v>-7478</v>
      </c>
      <c r="G19" s="651">
        <f t="shared" si="0"/>
        <v>-9.0169172705678076</v>
      </c>
    </row>
  </sheetData>
  <mergeCells count="4">
    <mergeCell ref="B5:B6"/>
    <mergeCell ref="C5:C6"/>
    <mergeCell ref="D5:E5"/>
    <mergeCell ref="F5:G5"/>
  </mergeCells>
  <printOptions horizontalCentered="1"/>
  <pageMargins left="0.70866141732283472" right="0.70866141732283472" top="1.5354330708661419" bottom="0.15748031496062992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E64"/>
  <sheetViews>
    <sheetView workbookViewId="0">
      <selection activeCell="B1" sqref="B1"/>
    </sheetView>
  </sheetViews>
  <sheetFormatPr defaultRowHeight="15" x14ac:dyDescent="0.25"/>
  <cols>
    <col min="1" max="1" width="2.140625" style="11" customWidth="1"/>
    <col min="2" max="2" width="62.5703125" style="11" customWidth="1"/>
    <col min="3" max="3" width="10.85546875" style="11" customWidth="1"/>
    <col min="4" max="4" width="12.42578125" style="11" customWidth="1"/>
    <col min="5" max="5" width="7.85546875" style="11" customWidth="1"/>
    <col min="6" max="6" width="5.140625" style="11" customWidth="1"/>
    <col min="7" max="16384" width="9.140625" style="11"/>
  </cols>
  <sheetData>
    <row r="1" spans="2:5" ht="11.25" customHeight="1" x14ac:dyDescent="0.25"/>
    <row r="2" spans="2:5" x14ac:dyDescent="0.25">
      <c r="B2" s="11" t="s">
        <v>544</v>
      </c>
    </row>
    <row r="3" spans="2:5" x14ac:dyDescent="0.25">
      <c r="B3" s="11" t="s">
        <v>301</v>
      </c>
    </row>
    <row r="4" spans="2:5" ht="13.5" customHeight="1" thickBot="1" x14ac:dyDescent="0.3"/>
    <row r="5" spans="2:5" ht="45.75" thickBot="1" x14ac:dyDescent="0.3">
      <c r="B5" s="244" t="s">
        <v>192</v>
      </c>
      <c r="C5" s="245" t="s">
        <v>213</v>
      </c>
      <c r="D5" s="245" t="s">
        <v>429</v>
      </c>
      <c r="E5" s="246" t="s">
        <v>262</v>
      </c>
    </row>
    <row r="6" spans="2:5" ht="28.5" x14ac:dyDescent="0.25">
      <c r="B6" s="1052" t="s">
        <v>258</v>
      </c>
      <c r="C6" s="1053">
        <v>1</v>
      </c>
      <c r="D6" s="1053">
        <f>SUM(D7:D10)</f>
        <v>469</v>
      </c>
      <c r="E6" s="1054">
        <f>SUM(D6/D60)*100</f>
        <v>0.7123329283110571</v>
      </c>
    </row>
    <row r="7" spans="2:5" ht="30" x14ac:dyDescent="0.25">
      <c r="B7" s="234" t="s">
        <v>259</v>
      </c>
      <c r="C7" s="235">
        <v>11</v>
      </c>
      <c r="D7" s="235">
        <v>50</v>
      </c>
      <c r="E7" s="265">
        <f>SUM(D7)/D6*100</f>
        <v>10.660980810234541</v>
      </c>
    </row>
    <row r="8" spans="2:5" x14ac:dyDescent="0.25">
      <c r="B8" s="234" t="s">
        <v>214</v>
      </c>
      <c r="C8" s="235">
        <v>12</v>
      </c>
      <c r="D8" s="235">
        <v>118</v>
      </c>
      <c r="E8" s="265">
        <f>SUM(D8)/D6*100</f>
        <v>25.159914712153519</v>
      </c>
    </row>
    <row r="9" spans="2:5" x14ac:dyDescent="0.25">
      <c r="B9" s="234" t="s">
        <v>215</v>
      </c>
      <c r="C9" s="235">
        <v>13</v>
      </c>
      <c r="D9" s="235">
        <v>106</v>
      </c>
      <c r="E9" s="265">
        <f>SUM(D9)/D6*100</f>
        <v>22.60127931769723</v>
      </c>
    </row>
    <row r="10" spans="2:5" ht="30" x14ac:dyDescent="0.25">
      <c r="B10" s="234" t="s">
        <v>216</v>
      </c>
      <c r="C10" s="235">
        <v>14</v>
      </c>
      <c r="D10" s="235">
        <v>195</v>
      </c>
      <c r="E10" s="266">
        <f>SUM(D10)/D6*100</f>
        <v>41.57782515991471</v>
      </c>
    </row>
    <row r="11" spans="2:5" x14ac:dyDescent="0.25">
      <c r="B11" s="1055" t="s">
        <v>203</v>
      </c>
      <c r="C11" s="1056">
        <v>2</v>
      </c>
      <c r="D11" s="1057">
        <f>SUM(D12:D17)</f>
        <v>9124</v>
      </c>
      <c r="E11" s="1058">
        <f>SUM(D11/D60)*100</f>
        <v>13.857837181044957</v>
      </c>
    </row>
    <row r="12" spans="2:5" x14ac:dyDescent="0.25">
      <c r="B12" s="234" t="s">
        <v>219</v>
      </c>
      <c r="C12" s="235">
        <v>21</v>
      </c>
      <c r="D12" s="155">
        <v>1630</v>
      </c>
      <c r="E12" s="265">
        <f>SUM(D12)/D11*100</f>
        <v>17.864971503726434</v>
      </c>
    </row>
    <row r="13" spans="2:5" x14ac:dyDescent="0.25">
      <c r="B13" s="234" t="s">
        <v>220</v>
      </c>
      <c r="C13" s="235">
        <v>22</v>
      </c>
      <c r="D13" s="235">
        <v>589</v>
      </c>
      <c r="E13" s="265">
        <f>SUM(D13)/D11*100</f>
        <v>6.4555019728189391</v>
      </c>
    </row>
    <row r="14" spans="2:5" x14ac:dyDescent="0.25">
      <c r="B14" s="234" t="s">
        <v>221</v>
      </c>
      <c r="C14" s="235">
        <v>23</v>
      </c>
      <c r="D14" s="155">
        <v>1407</v>
      </c>
      <c r="E14" s="265">
        <f>SUM(D14)/D11*100</f>
        <v>15.420868040333188</v>
      </c>
    </row>
    <row r="15" spans="2:5" x14ac:dyDescent="0.25">
      <c r="B15" s="234" t="s">
        <v>222</v>
      </c>
      <c r="C15" s="235">
        <v>24</v>
      </c>
      <c r="D15" s="155">
        <v>3204</v>
      </c>
      <c r="E15" s="265">
        <f>SUM(D15)/D11*100</f>
        <v>35.116177115300303</v>
      </c>
    </row>
    <row r="16" spans="2:5" x14ac:dyDescent="0.25">
      <c r="B16" s="234" t="s">
        <v>223</v>
      </c>
      <c r="C16" s="235">
        <v>25</v>
      </c>
      <c r="D16" s="235">
        <v>182</v>
      </c>
      <c r="E16" s="265">
        <f>SUM(D16)/D11*100</f>
        <v>1.9947391494958351</v>
      </c>
    </row>
    <row r="17" spans="2:5" x14ac:dyDescent="0.25">
      <c r="B17" s="234" t="s">
        <v>224</v>
      </c>
      <c r="C17" s="235">
        <v>26</v>
      </c>
      <c r="D17" s="155">
        <v>2112</v>
      </c>
      <c r="E17" s="265">
        <f>SUM(D17)/D11*100</f>
        <v>23.147742218325295</v>
      </c>
    </row>
    <row r="18" spans="2:5" x14ac:dyDescent="0.25">
      <c r="B18" s="1055" t="s">
        <v>204</v>
      </c>
      <c r="C18" s="1056">
        <v>3</v>
      </c>
      <c r="D18" s="1057">
        <f>SUM(D19:D23)</f>
        <v>10759</v>
      </c>
      <c r="E18" s="1058">
        <f>SUM(D18)/D60*100</f>
        <v>16.341130012150668</v>
      </c>
    </row>
    <row r="19" spans="2:5" x14ac:dyDescent="0.25">
      <c r="B19" s="234" t="s">
        <v>225</v>
      </c>
      <c r="C19" s="235">
        <v>31</v>
      </c>
      <c r="D19" s="155">
        <v>4746</v>
      </c>
      <c r="E19" s="265">
        <f>SUM(D19)/D18*100</f>
        <v>44.111906310995444</v>
      </c>
    </row>
    <row r="20" spans="2:5" x14ac:dyDescent="0.25">
      <c r="B20" s="234" t="s">
        <v>226</v>
      </c>
      <c r="C20" s="235">
        <v>32</v>
      </c>
      <c r="D20" s="155">
        <v>1760</v>
      </c>
      <c r="E20" s="265">
        <f>SUM(D20)/D18*100</f>
        <v>16.358397620596708</v>
      </c>
    </row>
    <row r="21" spans="2:5" x14ac:dyDescent="0.25">
      <c r="B21" s="234" t="s">
        <v>227</v>
      </c>
      <c r="C21" s="235">
        <v>33</v>
      </c>
      <c r="D21" s="155">
        <v>2683</v>
      </c>
      <c r="E21" s="265">
        <f>SUM(D21)/D18*100</f>
        <v>24.937261827307371</v>
      </c>
    </row>
    <row r="22" spans="2:5" ht="30" x14ac:dyDescent="0.25">
      <c r="B22" s="234" t="s">
        <v>228</v>
      </c>
      <c r="C22" s="235">
        <v>34</v>
      </c>
      <c r="D22" s="155">
        <v>1048</v>
      </c>
      <c r="E22" s="265">
        <f>SUM(D22)/D18*100</f>
        <v>9.7406822195371312</v>
      </c>
    </row>
    <row r="23" spans="2:5" x14ac:dyDescent="0.25">
      <c r="B23" s="234" t="s">
        <v>229</v>
      </c>
      <c r="C23" s="235">
        <v>35</v>
      </c>
      <c r="D23" s="235">
        <v>522</v>
      </c>
      <c r="E23" s="265">
        <f>SUM(D23)/D18*100</f>
        <v>4.8517520215633425</v>
      </c>
    </row>
    <row r="24" spans="2:5" x14ac:dyDescent="0.25">
      <c r="B24" s="1055" t="s">
        <v>205</v>
      </c>
      <c r="C24" s="1056">
        <v>4</v>
      </c>
      <c r="D24" s="1057">
        <f>SUM(D25:D28)</f>
        <v>2947</v>
      </c>
      <c r="E24" s="1058">
        <f>SUM(D24)/D60*100</f>
        <v>4.4760024301336578</v>
      </c>
    </row>
    <row r="25" spans="2:5" x14ac:dyDescent="0.25">
      <c r="B25" s="234" t="s">
        <v>230</v>
      </c>
      <c r="C25" s="235">
        <v>41</v>
      </c>
      <c r="D25" s="155">
        <v>1059</v>
      </c>
      <c r="E25" s="265">
        <f>SUM(D25)/D24*100</f>
        <v>35.934848998982019</v>
      </c>
    </row>
    <row r="26" spans="2:5" x14ac:dyDescent="0.25">
      <c r="B26" s="234" t="s">
        <v>231</v>
      </c>
      <c r="C26" s="235">
        <v>42</v>
      </c>
      <c r="D26" s="235">
        <v>713</v>
      </c>
      <c r="E26" s="265">
        <f>SUM(D26)/D24*100</f>
        <v>24.194095690532748</v>
      </c>
    </row>
    <row r="27" spans="2:5" ht="30" x14ac:dyDescent="0.25">
      <c r="B27" s="234" t="s">
        <v>232</v>
      </c>
      <c r="C27" s="235">
        <v>43</v>
      </c>
      <c r="D27" s="155">
        <v>1023</v>
      </c>
      <c r="E27" s="265">
        <f>SUM(D27)/D24*100</f>
        <v>34.71326772989481</v>
      </c>
    </row>
    <row r="28" spans="2:5" x14ac:dyDescent="0.25">
      <c r="B28" s="234" t="s">
        <v>233</v>
      </c>
      <c r="C28" s="235">
        <v>44</v>
      </c>
      <c r="D28" s="235">
        <v>152</v>
      </c>
      <c r="E28" s="265">
        <f>SUM(D28)/D24*100</f>
        <v>5.1577875805904307</v>
      </c>
    </row>
    <row r="29" spans="2:5" x14ac:dyDescent="0.25">
      <c r="B29" s="1055" t="s">
        <v>206</v>
      </c>
      <c r="C29" s="1056">
        <v>5</v>
      </c>
      <c r="D29" s="1057">
        <f>SUM(D30:D33)</f>
        <v>13926</v>
      </c>
      <c r="E29" s="1058">
        <f>SUM(D29)/D60*100</f>
        <v>21.15127582017011</v>
      </c>
    </row>
    <row r="30" spans="2:5" x14ac:dyDescent="0.25">
      <c r="B30" s="234" t="s">
        <v>234</v>
      </c>
      <c r="C30" s="235">
        <v>51</v>
      </c>
      <c r="D30" s="155">
        <v>6342</v>
      </c>
      <c r="E30" s="265">
        <f>SUM(D30)/D29*100</f>
        <v>45.54071520896165</v>
      </c>
    </row>
    <row r="31" spans="2:5" x14ac:dyDescent="0.25">
      <c r="B31" s="234" t="s">
        <v>235</v>
      </c>
      <c r="C31" s="235">
        <v>52</v>
      </c>
      <c r="D31" s="155">
        <v>6921</v>
      </c>
      <c r="E31" s="265">
        <f>SUM(D31)/D29*100</f>
        <v>49.6984058595433</v>
      </c>
    </row>
    <row r="32" spans="2:5" x14ac:dyDescent="0.25">
      <c r="B32" s="234" t="s">
        <v>236</v>
      </c>
      <c r="C32" s="235">
        <v>53</v>
      </c>
      <c r="D32" s="235">
        <v>336</v>
      </c>
      <c r="E32" s="265">
        <f>SUM(D32)/D29*100</f>
        <v>2.4127531236535975</v>
      </c>
    </row>
    <row r="33" spans="2:5" x14ac:dyDescent="0.25">
      <c r="B33" s="234" t="s">
        <v>237</v>
      </c>
      <c r="C33" s="235">
        <v>54</v>
      </c>
      <c r="D33" s="235">
        <v>327</v>
      </c>
      <c r="E33" s="265">
        <f>SUM(D33)/D29*100</f>
        <v>2.348125807841448</v>
      </c>
    </row>
    <row r="34" spans="2:5" x14ac:dyDescent="0.25">
      <c r="B34" s="1055" t="s">
        <v>207</v>
      </c>
      <c r="C34" s="1056">
        <v>6</v>
      </c>
      <c r="D34" s="1057">
        <f>SUM(D35:D37)</f>
        <v>1233</v>
      </c>
      <c r="E34" s="1058">
        <f>SUM(D34)/D60*100</f>
        <v>1.8727217496962334</v>
      </c>
    </row>
    <row r="35" spans="2:5" x14ac:dyDescent="0.25">
      <c r="B35" s="234" t="s">
        <v>238</v>
      </c>
      <c r="C35" s="235">
        <v>61</v>
      </c>
      <c r="D35" s="155">
        <v>819</v>
      </c>
      <c r="E35" s="265">
        <f>SUM(D35)/D34*100</f>
        <v>66.423357664233578</v>
      </c>
    </row>
    <row r="36" spans="2:5" x14ac:dyDescent="0.25">
      <c r="B36" s="234" t="s">
        <v>239</v>
      </c>
      <c r="C36" s="235">
        <v>62</v>
      </c>
      <c r="D36" s="235">
        <v>286</v>
      </c>
      <c r="E36" s="265">
        <f>SUM(D36)/D34*100</f>
        <v>23.195458231954582</v>
      </c>
    </row>
    <row r="37" spans="2:5" x14ac:dyDescent="0.25">
      <c r="B37" s="234" t="s">
        <v>240</v>
      </c>
      <c r="C37" s="235">
        <v>63</v>
      </c>
      <c r="D37" s="235">
        <v>128</v>
      </c>
      <c r="E37" s="265">
        <f>SUM(D37)/D34*100</f>
        <v>10.381184103811842</v>
      </c>
    </row>
    <row r="38" spans="2:5" x14ac:dyDescent="0.25">
      <c r="B38" s="1055" t="s">
        <v>208</v>
      </c>
      <c r="C38" s="1056">
        <v>7</v>
      </c>
      <c r="D38" s="1057">
        <f>SUM(D39:D43)</f>
        <v>17093</v>
      </c>
      <c r="E38" s="1058">
        <f>SUM(D38)/D60*100</f>
        <v>25.961421628189552</v>
      </c>
    </row>
    <row r="39" spans="2:5" x14ac:dyDescent="0.25">
      <c r="B39" s="234" t="s">
        <v>241</v>
      </c>
      <c r="C39" s="235">
        <v>71</v>
      </c>
      <c r="D39" s="155">
        <v>4367</v>
      </c>
      <c r="E39" s="265">
        <f>SUM(D39)/D38*100</f>
        <v>25.548470133972973</v>
      </c>
    </row>
    <row r="40" spans="2:5" x14ac:dyDescent="0.25">
      <c r="B40" s="234" t="s">
        <v>242</v>
      </c>
      <c r="C40" s="235">
        <v>72</v>
      </c>
      <c r="D40" s="155">
        <v>5898</v>
      </c>
      <c r="E40" s="265">
        <f>SUM(D40)/D38*100</f>
        <v>34.505353068507574</v>
      </c>
    </row>
    <row r="41" spans="2:5" x14ac:dyDescent="0.25">
      <c r="B41" s="234" t="s">
        <v>243</v>
      </c>
      <c r="C41" s="235">
        <v>73</v>
      </c>
      <c r="D41" s="155">
        <v>762</v>
      </c>
      <c r="E41" s="265">
        <f>SUM(D41)/D38*100</f>
        <v>4.4579652489323118</v>
      </c>
    </row>
    <row r="42" spans="2:5" x14ac:dyDescent="0.25">
      <c r="B42" s="234" t="s">
        <v>244</v>
      </c>
      <c r="C42" s="235">
        <v>74</v>
      </c>
      <c r="D42" s="155">
        <v>1200</v>
      </c>
      <c r="E42" s="265">
        <f>SUM(D42)/D38*100</f>
        <v>7.0204177148540339</v>
      </c>
    </row>
    <row r="43" spans="2:5" ht="30" x14ac:dyDescent="0.25">
      <c r="B43" s="234" t="s">
        <v>245</v>
      </c>
      <c r="C43" s="235">
        <v>75</v>
      </c>
      <c r="D43" s="155">
        <v>4866</v>
      </c>
      <c r="E43" s="265">
        <f>SUM(D43)/D38*100</f>
        <v>28.467793833733108</v>
      </c>
    </row>
    <row r="44" spans="2:5" x14ac:dyDescent="0.25">
      <c r="B44" s="1055" t="s">
        <v>209</v>
      </c>
      <c r="C44" s="1056">
        <v>8</v>
      </c>
      <c r="D44" s="1057">
        <f>SUM(D45:D47)</f>
        <v>4228</v>
      </c>
      <c r="E44" s="1058">
        <f>SUM(D44)/D60*100</f>
        <v>6.4216281895504252</v>
      </c>
    </row>
    <row r="45" spans="2:5" x14ac:dyDescent="0.25">
      <c r="B45" s="234" t="s">
        <v>246</v>
      </c>
      <c r="C45" s="235">
        <v>81</v>
      </c>
      <c r="D45" s="155">
        <v>2132</v>
      </c>
      <c r="E45" s="265">
        <f>SUM(D45)/D44*100</f>
        <v>50.425733207190163</v>
      </c>
    </row>
    <row r="46" spans="2:5" x14ac:dyDescent="0.25">
      <c r="B46" s="234" t="s">
        <v>247</v>
      </c>
      <c r="C46" s="235">
        <v>82</v>
      </c>
      <c r="D46" s="235">
        <v>427</v>
      </c>
      <c r="E46" s="265">
        <f>SUM(D46)/D44*100</f>
        <v>10.099337748344372</v>
      </c>
    </row>
    <row r="47" spans="2:5" x14ac:dyDescent="0.25">
      <c r="B47" s="234" t="s">
        <v>248</v>
      </c>
      <c r="C47" s="235">
        <v>83</v>
      </c>
      <c r="D47" s="155">
        <v>1669</v>
      </c>
      <c r="E47" s="265">
        <f>SUM(D47)/D44*100</f>
        <v>39.474929044465469</v>
      </c>
    </row>
    <row r="48" spans="2:5" x14ac:dyDescent="0.25">
      <c r="B48" s="1055" t="s">
        <v>210</v>
      </c>
      <c r="C48" s="1056">
        <v>9</v>
      </c>
      <c r="D48" s="1057">
        <f>SUM(D49:D54)</f>
        <v>6035</v>
      </c>
      <c r="E48" s="1058">
        <f>SUM(D48)/D60*100</f>
        <v>9.1661603888213854</v>
      </c>
    </row>
    <row r="49" spans="2:5" x14ac:dyDescent="0.25">
      <c r="B49" s="234" t="s">
        <v>249</v>
      </c>
      <c r="C49" s="235">
        <v>91</v>
      </c>
      <c r="D49" s="155">
        <v>1136</v>
      </c>
      <c r="E49" s="265">
        <f>SUM(D49)/D48*100</f>
        <v>18.823529411764707</v>
      </c>
    </row>
    <row r="50" spans="2:5" ht="30" x14ac:dyDescent="0.25">
      <c r="B50" s="234" t="s">
        <v>250</v>
      </c>
      <c r="C50" s="235">
        <v>92</v>
      </c>
      <c r="D50" s="235">
        <v>354</v>
      </c>
      <c r="E50" s="265">
        <f>SUM(D50)/D48*100</f>
        <v>5.8657829328914657</v>
      </c>
    </row>
    <row r="51" spans="2:5" ht="30" x14ac:dyDescent="0.25">
      <c r="B51" s="234" t="s">
        <v>251</v>
      </c>
      <c r="C51" s="235">
        <v>93</v>
      </c>
      <c r="D51" s="155">
        <v>3334</v>
      </c>
      <c r="E51" s="265">
        <f>SUM(D51)/D48*100</f>
        <v>55.244407622203809</v>
      </c>
    </row>
    <row r="52" spans="2:5" ht="30" x14ac:dyDescent="0.25">
      <c r="B52" s="234" t="s">
        <v>252</v>
      </c>
      <c r="C52" s="235">
        <v>94</v>
      </c>
      <c r="D52" s="235">
        <v>358</v>
      </c>
      <c r="E52" s="265">
        <f>SUM(D52)/D48*100</f>
        <v>5.9320629660314834</v>
      </c>
    </row>
    <row r="53" spans="2:5" x14ac:dyDescent="0.25">
      <c r="B53" s="234" t="s">
        <v>253</v>
      </c>
      <c r="C53" s="235">
        <v>95</v>
      </c>
      <c r="D53" s="235">
        <v>15</v>
      </c>
      <c r="E53" s="265">
        <f>SUM(D53)/D48*100</f>
        <v>0.24855012427506215</v>
      </c>
    </row>
    <row r="54" spans="2:5" x14ac:dyDescent="0.25">
      <c r="B54" s="234" t="s">
        <v>254</v>
      </c>
      <c r="C54" s="235">
        <v>96</v>
      </c>
      <c r="D54" s="155">
        <v>838</v>
      </c>
      <c r="E54" s="265">
        <f>SUM(D54)/D48*100</f>
        <v>13.885666942833472</v>
      </c>
    </row>
    <row r="55" spans="2:5" x14ac:dyDescent="0.25">
      <c r="B55" s="1055" t="s">
        <v>217</v>
      </c>
      <c r="C55" s="1056">
        <v>0</v>
      </c>
      <c r="D55" s="1056">
        <f>SUM(D56:D58)</f>
        <v>26</v>
      </c>
      <c r="E55" s="1059">
        <f>SUM(D55)/D60*100</f>
        <v>3.9489671931956259E-2</v>
      </c>
    </row>
    <row r="56" spans="2:5" x14ac:dyDescent="0.25">
      <c r="B56" s="234" t="s">
        <v>255</v>
      </c>
      <c r="C56" s="235">
        <v>1</v>
      </c>
      <c r="D56" s="235">
        <v>0</v>
      </c>
      <c r="E56" s="265">
        <f>SUM(D56)/D55*100</f>
        <v>0</v>
      </c>
    </row>
    <row r="57" spans="2:5" x14ac:dyDescent="0.25">
      <c r="B57" s="234" t="s">
        <v>256</v>
      </c>
      <c r="C57" s="235">
        <v>2</v>
      </c>
      <c r="D57" s="235">
        <v>1</v>
      </c>
      <c r="E57" s="265">
        <f>SUM(D57)/D55*100</f>
        <v>3.8461538461538463</v>
      </c>
    </row>
    <row r="58" spans="2:5" ht="15.75" thickBot="1" x14ac:dyDescent="0.3">
      <c r="B58" s="237" t="s">
        <v>257</v>
      </c>
      <c r="C58" s="232">
        <v>3</v>
      </c>
      <c r="D58" s="232">
        <v>25</v>
      </c>
      <c r="E58" s="287">
        <f>SUM(D58)/D55*100</f>
        <v>96.15384615384616</v>
      </c>
    </row>
    <row r="59" spans="2:5" x14ac:dyDescent="0.25">
      <c r="B59" s="1052" t="s">
        <v>260</v>
      </c>
      <c r="C59" s="1053" t="s">
        <v>193</v>
      </c>
      <c r="D59" s="1060">
        <f>SUM(T.XXIII!E17)</f>
        <v>9615</v>
      </c>
      <c r="E59" s="1054">
        <f>SUM(D59)/D61*100</f>
        <v>12.742694321118547</v>
      </c>
    </row>
    <row r="60" spans="2:5" ht="15.75" thickBot="1" x14ac:dyDescent="0.3">
      <c r="B60" s="1061" t="s">
        <v>218</v>
      </c>
      <c r="C60" s="1062" t="s">
        <v>194</v>
      </c>
      <c r="D60" s="1063">
        <f>SUM(D6,D11,D18,D24,D29,D34,D38,D44,D48,D55)</f>
        <v>65840</v>
      </c>
      <c r="E60" s="1064">
        <f>SUM(E6,E11,E18,E24,E29,E34,E38,E44,E48,E55)</f>
        <v>99.999999999999986</v>
      </c>
    </row>
    <row r="61" spans="2:5" ht="19.5" thickBot="1" x14ac:dyDescent="0.3">
      <c r="B61" s="1065" t="s">
        <v>62</v>
      </c>
      <c r="C61" s="1066" t="s">
        <v>195</v>
      </c>
      <c r="D61" s="1067">
        <f>SUM(D59:D60)</f>
        <v>75455</v>
      </c>
      <c r="E61" s="1068" t="s">
        <v>118</v>
      </c>
    </row>
    <row r="62" spans="2:5" x14ac:dyDescent="0.25">
      <c r="B62" s="240" t="s">
        <v>270</v>
      </c>
      <c r="C62" s="240"/>
      <c r="D62" s="240"/>
      <c r="E62" s="240"/>
    </row>
    <row r="63" spans="2:5" ht="14.25" customHeight="1" x14ac:dyDescent="0.25">
      <c r="B63" s="11" t="s">
        <v>261</v>
      </c>
    </row>
    <row r="64" spans="2:5" ht="13.5" customHeight="1" x14ac:dyDescent="0.25">
      <c r="B64" s="11" t="s">
        <v>367</v>
      </c>
    </row>
  </sheetData>
  <printOptions horizontalCentered="1"/>
  <pageMargins left="1.0236220472440944" right="0" top="0.6692913385826772" bottom="0" header="0" footer="0"/>
  <pageSetup paperSize="9" scale="7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N35"/>
  <sheetViews>
    <sheetView topLeftCell="B1" workbookViewId="0">
      <selection activeCell="B1" sqref="B1"/>
    </sheetView>
  </sheetViews>
  <sheetFormatPr defaultRowHeight="15" x14ac:dyDescent="0.25"/>
  <cols>
    <col min="1" max="1" width="1.85546875" style="11" customWidth="1"/>
    <col min="2" max="2" width="22.5703125" style="11" customWidth="1"/>
    <col min="3" max="3" width="14.42578125" style="11" customWidth="1"/>
    <col min="4" max="4" width="14.5703125" style="11" customWidth="1"/>
    <col min="5" max="5" width="15.28515625" style="11" customWidth="1"/>
    <col min="6" max="6" width="3.140625" style="11" customWidth="1"/>
    <col min="7" max="7" width="6.42578125" style="11" customWidth="1"/>
    <col min="8" max="8" width="13" style="11" customWidth="1"/>
    <col min="9" max="9" width="15.140625" style="11" customWidth="1"/>
    <col min="10" max="10" width="13" style="11" customWidth="1"/>
    <col min="11" max="11" width="9.28515625" style="11" customWidth="1"/>
    <col min="12" max="12" width="10.7109375" style="11" customWidth="1"/>
    <col min="13" max="13" width="11.5703125" style="11" customWidth="1"/>
    <col min="14" max="14" width="9" style="11" customWidth="1"/>
    <col min="15" max="15" width="2.7109375" style="11" customWidth="1"/>
    <col min="16" max="16" width="2.5703125" style="11" customWidth="1"/>
    <col min="17" max="17" width="7" style="11" customWidth="1"/>
    <col min="18" max="16384" width="9.140625" style="11"/>
  </cols>
  <sheetData>
    <row r="1" spans="2:14" ht="11.25" customHeight="1" x14ac:dyDescent="0.25"/>
    <row r="2" spans="2:14" x14ac:dyDescent="0.25">
      <c r="B2" s="11" t="s">
        <v>289</v>
      </c>
    </row>
    <row r="3" spans="2:14" x14ac:dyDescent="0.25">
      <c r="B3" s="11" t="s">
        <v>300</v>
      </c>
    </row>
    <row r="4" spans="2:14" ht="13.5" customHeight="1" thickBot="1" x14ac:dyDescent="0.3"/>
    <row r="5" spans="2:14" ht="22.5" customHeight="1" thickBot="1" x14ac:dyDescent="0.3">
      <c r="B5" s="201"/>
      <c r="C5" s="262"/>
      <c r="D5" s="205" t="s">
        <v>430</v>
      </c>
      <c r="E5" s="263"/>
    </row>
    <row r="6" spans="2:14" ht="21.75" customHeight="1" thickBot="1" x14ac:dyDescent="0.3">
      <c r="B6" s="204" t="s">
        <v>24</v>
      </c>
      <c r="C6" s="113"/>
      <c r="D6" s="1210" t="s">
        <v>61</v>
      </c>
      <c r="E6" s="1142"/>
    </row>
    <row r="7" spans="2:14" ht="34.5" customHeight="1" thickBot="1" x14ac:dyDescent="0.3">
      <c r="B7" s="142"/>
      <c r="C7" s="203" t="s">
        <v>58</v>
      </c>
      <c r="D7" s="197" t="s">
        <v>59</v>
      </c>
      <c r="E7" s="198" t="s">
        <v>60</v>
      </c>
    </row>
    <row r="8" spans="2:14" ht="23.25" customHeight="1" thickBot="1" x14ac:dyDescent="0.3">
      <c r="B8" s="143" t="s">
        <v>25</v>
      </c>
      <c r="C8" s="161">
        <f>SUM(C9:C33)</f>
        <v>53791</v>
      </c>
      <c r="D8" s="144">
        <f>SUM(D9:D33)</f>
        <v>20491</v>
      </c>
      <c r="E8" s="162">
        <f>SUM(E9:E33)</f>
        <v>7499</v>
      </c>
      <c r="F8" s="425"/>
    </row>
    <row r="9" spans="2:14" ht="14.25" customHeight="1" x14ac:dyDescent="0.25">
      <c r="B9" s="71" t="s">
        <v>26</v>
      </c>
      <c r="C9" s="49">
        <v>692</v>
      </c>
      <c r="D9" s="45">
        <v>351</v>
      </c>
      <c r="E9" s="163">
        <v>133</v>
      </c>
    </row>
    <row r="10" spans="2:14" x14ac:dyDescent="0.25">
      <c r="B10" s="12" t="s">
        <v>27</v>
      </c>
      <c r="C10" s="47">
        <v>1186</v>
      </c>
      <c r="D10" s="13">
        <v>885</v>
      </c>
      <c r="E10" s="15">
        <v>284</v>
      </c>
    </row>
    <row r="11" spans="2:14" ht="14.25" customHeight="1" x14ac:dyDescent="0.25">
      <c r="B11" s="12" t="s">
        <v>28</v>
      </c>
      <c r="C11" s="47">
        <v>4097</v>
      </c>
      <c r="D11" s="13">
        <v>931</v>
      </c>
      <c r="E11" s="15">
        <v>305</v>
      </c>
    </row>
    <row r="12" spans="2:14" ht="15.75" customHeight="1" thickBot="1" x14ac:dyDescent="0.3">
      <c r="B12" s="12" t="s">
        <v>29</v>
      </c>
      <c r="C12" s="47">
        <v>3642</v>
      </c>
      <c r="D12" s="13">
        <v>1816</v>
      </c>
      <c r="E12" s="15">
        <v>396</v>
      </c>
    </row>
    <row r="13" spans="2:14" ht="14.25" customHeight="1" x14ac:dyDescent="0.25">
      <c r="B13" s="12" t="s">
        <v>30</v>
      </c>
      <c r="C13" s="47">
        <v>1392</v>
      </c>
      <c r="D13" s="13">
        <v>869</v>
      </c>
      <c r="E13" s="15">
        <v>248</v>
      </c>
      <c r="G13" s="1007" t="s">
        <v>403</v>
      </c>
      <c r="H13" s="999" t="s">
        <v>511</v>
      </c>
      <c r="I13" s="1008" t="s">
        <v>512</v>
      </c>
      <c r="J13" s="1001" t="s">
        <v>513</v>
      </c>
      <c r="K13" s="1000" t="s">
        <v>514</v>
      </c>
      <c r="L13" s="1001" t="s">
        <v>515</v>
      </c>
      <c r="M13" s="1001" t="s">
        <v>516</v>
      </c>
      <c r="N13" s="1004" t="s">
        <v>517</v>
      </c>
    </row>
    <row r="14" spans="2:14" x14ac:dyDescent="0.25">
      <c r="B14" s="12" t="s">
        <v>31</v>
      </c>
      <c r="C14" s="47">
        <v>1699</v>
      </c>
      <c r="D14" s="13">
        <v>893</v>
      </c>
      <c r="E14" s="15">
        <v>199</v>
      </c>
      <c r="G14" s="936">
        <v>1998</v>
      </c>
      <c r="H14" s="536" t="s">
        <v>118</v>
      </c>
      <c r="I14" s="1009" t="s">
        <v>118</v>
      </c>
      <c r="J14" s="1010" t="s">
        <v>118</v>
      </c>
      <c r="K14" s="1013" t="s">
        <v>118</v>
      </c>
      <c r="L14" s="1011" t="s">
        <v>118</v>
      </c>
      <c r="M14" s="1009" t="s">
        <v>118</v>
      </c>
      <c r="N14" s="1012" t="s">
        <v>118</v>
      </c>
    </row>
    <row r="15" spans="2:14" ht="15.75" customHeight="1" x14ac:dyDescent="0.25">
      <c r="B15" s="12" t="s">
        <v>32</v>
      </c>
      <c r="C15" s="47">
        <v>823</v>
      </c>
      <c r="D15" s="13">
        <v>353</v>
      </c>
      <c r="E15" s="15">
        <v>123</v>
      </c>
      <c r="G15" s="937">
        <v>1999</v>
      </c>
      <c r="H15" s="13">
        <v>38322</v>
      </c>
      <c r="I15" s="164">
        <v>14842</v>
      </c>
      <c r="J15" s="14">
        <v>19411</v>
      </c>
      <c r="K15" s="1015"/>
      <c r="L15" s="1014"/>
      <c r="M15" s="164">
        <f t="shared" ref="M15:M34" si="0">SUM(I15-L15)</f>
        <v>14842</v>
      </c>
      <c r="N15" s="36">
        <f t="shared" ref="N15:N35" si="1">SUM(L15/J15*100)</f>
        <v>0</v>
      </c>
    </row>
    <row r="16" spans="2:14" x14ac:dyDescent="0.25">
      <c r="B16" s="12" t="s">
        <v>33</v>
      </c>
      <c r="C16" s="47">
        <v>551</v>
      </c>
      <c r="D16" s="13">
        <v>247</v>
      </c>
      <c r="E16" s="15">
        <v>80</v>
      </c>
      <c r="G16" s="937">
        <v>2000</v>
      </c>
      <c r="H16" s="13">
        <v>31625</v>
      </c>
      <c r="I16" s="164">
        <v>14996</v>
      </c>
      <c r="J16" s="14">
        <v>16479</v>
      </c>
      <c r="K16" s="1015"/>
      <c r="L16" s="1014"/>
      <c r="M16" s="164">
        <f t="shared" si="0"/>
        <v>14996</v>
      </c>
      <c r="N16" s="36">
        <f t="shared" si="1"/>
        <v>0</v>
      </c>
    </row>
    <row r="17" spans="2:14" x14ac:dyDescent="0.25">
      <c r="B17" s="12" t="s">
        <v>34</v>
      </c>
      <c r="C17" s="47">
        <v>1747</v>
      </c>
      <c r="D17" s="13">
        <v>903</v>
      </c>
      <c r="E17" s="15">
        <v>278</v>
      </c>
      <c r="G17" s="937">
        <v>2001</v>
      </c>
      <c r="H17" s="13">
        <v>25129</v>
      </c>
      <c r="I17" s="164">
        <v>8521</v>
      </c>
      <c r="J17" s="14">
        <v>12461</v>
      </c>
      <c r="K17" s="1015"/>
      <c r="L17" s="104">
        <v>4362</v>
      </c>
      <c r="M17" s="164">
        <f t="shared" si="0"/>
        <v>4159</v>
      </c>
      <c r="N17" s="36">
        <f t="shared" si="1"/>
        <v>35.005216274777304</v>
      </c>
    </row>
    <row r="18" spans="2:14" x14ac:dyDescent="0.25">
      <c r="B18" s="12" t="s">
        <v>35</v>
      </c>
      <c r="C18" s="47">
        <v>1032</v>
      </c>
      <c r="D18" s="13">
        <v>689</v>
      </c>
      <c r="E18" s="15">
        <v>275</v>
      </c>
      <c r="G18" s="937">
        <v>2002</v>
      </c>
      <c r="H18" s="13">
        <v>28470</v>
      </c>
      <c r="I18" s="164">
        <v>12944</v>
      </c>
      <c r="J18" s="14">
        <v>12658</v>
      </c>
      <c r="K18" s="1015"/>
      <c r="L18" s="104">
        <v>4639</v>
      </c>
      <c r="M18" s="164">
        <f t="shared" si="0"/>
        <v>8305</v>
      </c>
      <c r="N18" s="36">
        <f t="shared" si="1"/>
        <v>36.6487596776742</v>
      </c>
    </row>
    <row r="19" spans="2:14" x14ac:dyDescent="0.25">
      <c r="B19" s="12" t="s">
        <v>36</v>
      </c>
      <c r="C19" s="47">
        <v>1595</v>
      </c>
      <c r="D19" s="13">
        <v>855</v>
      </c>
      <c r="E19" s="15">
        <v>308</v>
      </c>
      <c r="G19" s="937">
        <v>2003</v>
      </c>
      <c r="H19" s="13">
        <v>39334</v>
      </c>
      <c r="I19" s="164">
        <v>22556</v>
      </c>
      <c r="J19" s="14">
        <v>19490</v>
      </c>
      <c r="K19" s="1015"/>
      <c r="L19" s="104">
        <v>11201</v>
      </c>
      <c r="M19" s="164">
        <f t="shared" si="0"/>
        <v>11355</v>
      </c>
      <c r="N19" s="36">
        <f t="shared" si="1"/>
        <v>57.470497691123654</v>
      </c>
    </row>
    <row r="20" spans="2:14" x14ac:dyDescent="0.25">
      <c r="B20" s="12" t="s">
        <v>37</v>
      </c>
      <c r="C20" s="47">
        <v>5675</v>
      </c>
      <c r="D20" s="13">
        <v>1352</v>
      </c>
      <c r="E20" s="15">
        <v>401</v>
      </c>
      <c r="G20" s="937">
        <v>2004</v>
      </c>
      <c r="H20" s="13">
        <v>40346</v>
      </c>
      <c r="I20" s="164">
        <v>20038</v>
      </c>
      <c r="J20" s="14">
        <v>21329</v>
      </c>
      <c r="K20" s="1015"/>
      <c r="L20" s="1014"/>
      <c r="M20" s="164">
        <f t="shared" si="0"/>
        <v>20038</v>
      </c>
      <c r="N20" s="36">
        <f t="shared" si="1"/>
        <v>0</v>
      </c>
    </row>
    <row r="21" spans="2:14" x14ac:dyDescent="0.25">
      <c r="B21" s="12" t="s">
        <v>38</v>
      </c>
      <c r="C21" s="47">
        <v>1373</v>
      </c>
      <c r="D21" s="13">
        <v>963</v>
      </c>
      <c r="E21" s="15">
        <v>388</v>
      </c>
      <c r="G21" s="937">
        <v>2005</v>
      </c>
      <c r="H21" s="13">
        <v>41016</v>
      </c>
      <c r="I21" s="164">
        <v>18757</v>
      </c>
      <c r="J21" s="14">
        <v>21427</v>
      </c>
      <c r="K21" s="1015"/>
      <c r="L21" s="104">
        <v>10813</v>
      </c>
      <c r="M21" s="164">
        <f t="shared" si="0"/>
        <v>7944</v>
      </c>
      <c r="N21" s="36">
        <f t="shared" si="1"/>
        <v>50.46436738694171</v>
      </c>
    </row>
    <row r="22" spans="2:14" x14ac:dyDescent="0.25">
      <c r="B22" s="18" t="s">
        <v>39</v>
      </c>
      <c r="C22" s="260">
        <v>578</v>
      </c>
      <c r="D22" s="129">
        <v>433</v>
      </c>
      <c r="E22" s="15">
        <v>230</v>
      </c>
      <c r="G22" s="937">
        <v>2006</v>
      </c>
      <c r="H22" s="13">
        <v>48932</v>
      </c>
      <c r="I22" s="164">
        <v>20054</v>
      </c>
      <c r="J22" s="14">
        <v>25517</v>
      </c>
      <c r="K22" s="1015"/>
      <c r="L22" s="104">
        <v>9779</v>
      </c>
      <c r="M22" s="164">
        <f t="shared" si="0"/>
        <v>10275</v>
      </c>
      <c r="N22" s="36">
        <f t="shared" si="1"/>
        <v>38.323470627424854</v>
      </c>
    </row>
    <row r="23" spans="2:14" x14ac:dyDescent="0.25">
      <c r="B23" s="18" t="s">
        <v>40</v>
      </c>
      <c r="C23" s="260">
        <v>2256</v>
      </c>
      <c r="D23" s="129">
        <v>1218</v>
      </c>
      <c r="E23" s="15">
        <v>520</v>
      </c>
      <c r="G23" s="937">
        <v>2007</v>
      </c>
      <c r="H23" s="13">
        <v>49327</v>
      </c>
      <c r="I23" s="164">
        <v>24494</v>
      </c>
      <c r="J23" s="14">
        <v>27392</v>
      </c>
      <c r="K23" s="1015"/>
      <c r="L23" s="104">
        <v>14414</v>
      </c>
      <c r="M23" s="164">
        <f t="shared" si="0"/>
        <v>10080</v>
      </c>
      <c r="N23" s="36">
        <f t="shared" si="1"/>
        <v>52.621203271028037</v>
      </c>
    </row>
    <row r="24" spans="2:14" x14ac:dyDescent="0.25">
      <c r="B24" s="18" t="s">
        <v>41</v>
      </c>
      <c r="C24" s="260">
        <v>2024</v>
      </c>
      <c r="D24" s="129">
        <v>949</v>
      </c>
      <c r="E24" s="15">
        <v>383</v>
      </c>
      <c r="G24" s="937">
        <v>2008</v>
      </c>
      <c r="H24" s="13">
        <v>51046</v>
      </c>
      <c r="I24" s="164">
        <v>28458</v>
      </c>
      <c r="J24" s="14">
        <v>28169</v>
      </c>
      <c r="K24" s="1015"/>
      <c r="L24" s="104">
        <v>15639</v>
      </c>
      <c r="M24" s="164">
        <f t="shared" si="0"/>
        <v>12819</v>
      </c>
      <c r="N24" s="36">
        <f t="shared" si="1"/>
        <v>55.518477759238884</v>
      </c>
    </row>
    <row r="25" spans="2:14" x14ac:dyDescent="0.25">
      <c r="B25" s="18" t="s">
        <v>42</v>
      </c>
      <c r="C25" s="260">
        <v>3422</v>
      </c>
      <c r="D25" s="129">
        <v>669</v>
      </c>
      <c r="E25" s="15">
        <v>532</v>
      </c>
      <c r="G25" s="937">
        <v>2009</v>
      </c>
      <c r="H25" s="13">
        <v>47263</v>
      </c>
      <c r="I25" s="164">
        <v>28957</v>
      </c>
      <c r="J25" s="14">
        <v>25139</v>
      </c>
      <c r="K25" s="1015"/>
      <c r="L25" s="104">
        <v>16435</v>
      </c>
      <c r="M25" s="164">
        <f t="shared" si="0"/>
        <v>12522</v>
      </c>
      <c r="N25" s="36">
        <f t="shared" si="1"/>
        <v>65.376506623175146</v>
      </c>
    </row>
    <row r="26" spans="2:14" x14ac:dyDescent="0.25">
      <c r="B26" s="18" t="s">
        <v>43</v>
      </c>
      <c r="C26" s="260">
        <v>2043</v>
      </c>
      <c r="D26" s="129">
        <v>650</v>
      </c>
      <c r="E26" s="15">
        <v>162</v>
      </c>
      <c r="G26" s="937">
        <v>2010</v>
      </c>
      <c r="H26" s="13">
        <v>57481</v>
      </c>
      <c r="I26" s="164">
        <v>35663</v>
      </c>
      <c r="J26" s="14">
        <v>30966</v>
      </c>
      <c r="K26" s="1015"/>
      <c r="L26" s="104">
        <v>21368</v>
      </c>
      <c r="M26" s="164">
        <f t="shared" si="0"/>
        <v>14295</v>
      </c>
      <c r="N26" s="36">
        <f t="shared" si="1"/>
        <v>69.004714848543571</v>
      </c>
    </row>
    <row r="27" spans="2:14" x14ac:dyDescent="0.25">
      <c r="B27" s="18" t="s">
        <v>44</v>
      </c>
      <c r="C27" s="260">
        <v>1775</v>
      </c>
      <c r="D27" s="129">
        <v>909</v>
      </c>
      <c r="E27" s="15">
        <v>354</v>
      </c>
      <c r="G27" s="937">
        <v>2011</v>
      </c>
      <c r="H27" s="13">
        <v>42554</v>
      </c>
      <c r="I27" s="164">
        <v>16768</v>
      </c>
      <c r="J27" s="14">
        <v>24104</v>
      </c>
      <c r="K27" s="1015"/>
      <c r="L27" s="104">
        <v>10464</v>
      </c>
      <c r="M27" s="164">
        <f t="shared" si="0"/>
        <v>6304</v>
      </c>
      <c r="N27" s="36">
        <f t="shared" si="1"/>
        <v>43.411881845336872</v>
      </c>
    </row>
    <row r="28" spans="2:14" x14ac:dyDescent="0.25">
      <c r="B28" s="18" t="s">
        <v>45</v>
      </c>
      <c r="C28" s="260">
        <v>2156</v>
      </c>
      <c r="D28" s="129">
        <v>1103</v>
      </c>
      <c r="E28" s="15">
        <v>416</v>
      </c>
      <c r="G28" s="937">
        <v>2012</v>
      </c>
      <c r="H28" s="13">
        <v>48689</v>
      </c>
      <c r="I28" s="164">
        <v>25146</v>
      </c>
      <c r="J28" s="14">
        <v>24066</v>
      </c>
      <c r="K28" s="1016">
        <v>100</v>
      </c>
      <c r="L28" s="104">
        <v>12684</v>
      </c>
      <c r="M28" s="164">
        <f t="shared" si="0"/>
        <v>12462</v>
      </c>
      <c r="N28" s="36">
        <f t="shared" si="1"/>
        <v>52.705061082024429</v>
      </c>
    </row>
    <row r="29" spans="2:14" x14ac:dyDescent="0.25">
      <c r="B29" s="18" t="s">
        <v>46</v>
      </c>
      <c r="C29" s="260">
        <v>1053</v>
      </c>
      <c r="D29" s="129">
        <v>489</v>
      </c>
      <c r="E29" s="15">
        <v>291</v>
      </c>
      <c r="G29" s="937">
        <v>2013</v>
      </c>
      <c r="H29" s="13">
        <v>54304</v>
      </c>
      <c r="I29" s="164">
        <v>26050</v>
      </c>
      <c r="J29" s="14">
        <v>31113</v>
      </c>
      <c r="K29" s="106">
        <f>SUM(J29-J28)/J28*100</f>
        <v>29.281974569932682</v>
      </c>
      <c r="L29" s="104">
        <v>17521</v>
      </c>
      <c r="M29" s="164">
        <f t="shared" si="0"/>
        <v>8529</v>
      </c>
      <c r="N29" s="36">
        <f t="shared" si="1"/>
        <v>56.314080930800628</v>
      </c>
    </row>
    <row r="30" spans="2:14" x14ac:dyDescent="0.25">
      <c r="B30" s="18" t="s">
        <v>47</v>
      </c>
      <c r="C30" s="260">
        <v>1116</v>
      </c>
      <c r="D30" s="129">
        <v>407</v>
      </c>
      <c r="E30" s="15">
        <v>144</v>
      </c>
      <c r="G30" s="937">
        <v>2014</v>
      </c>
      <c r="H30" s="13">
        <v>60555</v>
      </c>
      <c r="I30" s="164">
        <v>27292</v>
      </c>
      <c r="J30" s="14">
        <v>31924</v>
      </c>
      <c r="K30" s="106">
        <f>SUM(J30-J28)/J28*100</f>
        <v>32.651874013130552</v>
      </c>
      <c r="L30" s="104">
        <v>16121</v>
      </c>
      <c r="M30" s="164">
        <f t="shared" si="0"/>
        <v>11171</v>
      </c>
      <c r="N30" s="36">
        <f t="shared" si="1"/>
        <v>50.498057887482773</v>
      </c>
    </row>
    <row r="31" spans="2:14" x14ac:dyDescent="0.25">
      <c r="B31" s="18" t="s">
        <v>48</v>
      </c>
      <c r="C31" s="260">
        <v>1254</v>
      </c>
      <c r="D31" s="129">
        <v>710</v>
      </c>
      <c r="E31" s="15">
        <v>231</v>
      </c>
      <c r="G31" s="937">
        <v>2015</v>
      </c>
      <c r="H31" s="13">
        <v>61276</v>
      </c>
      <c r="I31" s="164">
        <v>28848</v>
      </c>
      <c r="J31" s="14">
        <v>33364</v>
      </c>
      <c r="K31" s="106">
        <f>SUM(J31-J28)/J28*100</f>
        <v>38.635419263691517</v>
      </c>
      <c r="L31" s="104">
        <v>16952</v>
      </c>
      <c r="M31" s="164">
        <f t="shared" si="0"/>
        <v>11896</v>
      </c>
      <c r="N31" s="36">
        <f t="shared" si="1"/>
        <v>50.809255484953844</v>
      </c>
    </row>
    <row r="32" spans="2:14" x14ac:dyDescent="0.25">
      <c r="B32" s="18" t="s">
        <v>49</v>
      </c>
      <c r="C32" s="260">
        <v>9353</v>
      </c>
      <c r="D32" s="129">
        <v>1275</v>
      </c>
      <c r="E32" s="15">
        <v>564</v>
      </c>
      <c r="G32" s="937">
        <v>2016</v>
      </c>
      <c r="H32" s="13">
        <v>72410</v>
      </c>
      <c r="I32" s="164">
        <v>31407</v>
      </c>
      <c r="J32" s="14">
        <v>38617</v>
      </c>
      <c r="K32" s="106">
        <f>SUM(J32-J28)/J28*100</f>
        <v>60.462893708967002</v>
      </c>
      <c r="L32" s="104">
        <v>19558</v>
      </c>
      <c r="M32" s="164">
        <f t="shared" si="0"/>
        <v>11849</v>
      </c>
      <c r="N32" s="36">
        <f t="shared" si="1"/>
        <v>50.646088510241604</v>
      </c>
    </row>
    <row r="33" spans="2:14" ht="15.75" thickBot="1" x14ac:dyDescent="0.3">
      <c r="B33" s="19" t="s">
        <v>50</v>
      </c>
      <c r="C33" s="261">
        <v>1257</v>
      </c>
      <c r="D33" s="132">
        <v>572</v>
      </c>
      <c r="E33" s="22">
        <v>254</v>
      </c>
      <c r="G33" s="1018">
        <v>2017</v>
      </c>
      <c r="H33" s="1017">
        <v>75836</v>
      </c>
      <c r="I33" s="164">
        <v>30828</v>
      </c>
      <c r="J33" s="14">
        <v>41480</v>
      </c>
      <c r="K33" s="106">
        <f>SUM(J33-J28)/J28*100</f>
        <v>72.359345134214252</v>
      </c>
      <c r="L33" s="104">
        <v>17945</v>
      </c>
      <c r="M33" s="164">
        <f t="shared" si="0"/>
        <v>12883</v>
      </c>
      <c r="N33" s="36">
        <f t="shared" si="1"/>
        <v>43.261812921890069</v>
      </c>
    </row>
    <row r="34" spans="2:14" ht="15.75" thickBot="1" x14ac:dyDescent="0.3">
      <c r="D34" s="425">
        <f>SUM(D8/C8*100)</f>
        <v>38.093733152386086</v>
      </c>
      <c r="E34" s="425">
        <f>SUM(E8/C8*100)</f>
        <v>13.940993846554257</v>
      </c>
      <c r="G34" s="938">
        <v>2018</v>
      </c>
      <c r="H34" s="42">
        <v>61438</v>
      </c>
      <c r="I34" s="1002">
        <v>20784</v>
      </c>
      <c r="J34" s="1005">
        <v>34404</v>
      </c>
      <c r="K34" s="941">
        <f>SUM(J34-J28)/J28*100</f>
        <v>42.956868611318875</v>
      </c>
      <c r="L34" s="153">
        <v>12024</v>
      </c>
      <c r="M34" s="1002">
        <f t="shared" si="0"/>
        <v>8760</v>
      </c>
      <c r="N34" s="43">
        <f t="shared" si="1"/>
        <v>34.949424485524936</v>
      </c>
    </row>
    <row r="35" spans="2:14" ht="15.75" thickBot="1" x14ac:dyDescent="0.3">
      <c r="G35" s="939">
        <v>2019</v>
      </c>
      <c r="H35" s="737">
        <v>53791</v>
      </c>
      <c r="I35" s="1003">
        <v>20491</v>
      </c>
      <c r="J35" s="1006">
        <v>31188</v>
      </c>
      <c r="K35" s="942">
        <f>SUM(J35-J28)/J29*100</f>
        <v>22.890753061421272</v>
      </c>
      <c r="L35" s="940">
        <v>12447</v>
      </c>
      <c r="M35" s="1003">
        <v>8044</v>
      </c>
      <c r="N35" s="1019">
        <f t="shared" si="1"/>
        <v>39.909580607926124</v>
      </c>
    </row>
  </sheetData>
  <mergeCells count="1">
    <mergeCell ref="D6:E6"/>
  </mergeCells>
  <printOptions horizontalCentered="1"/>
  <pageMargins left="0.31496062992125984" right="0.31496062992125984" top="1.7322834645669292" bottom="0.31496062992125984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F2"/>
    <pageSetUpPr fitToPage="1"/>
  </sheetPr>
  <dimension ref="B1:M35"/>
  <sheetViews>
    <sheetView workbookViewId="0">
      <selection activeCell="B2" sqref="B2:J34"/>
    </sheetView>
  </sheetViews>
  <sheetFormatPr defaultRowHeight="15" x14ac:dyDescent="0.25"/>
  <cols>
    <col min="1" max="1" width="4.42578125" style="95" customWidth="1"/>
    <col min="2" max="2" width="23.28515625" style="95" customWidth="1"/>
    <col min="3" max="3" width="11.28515625" style="95" customWidth="1"/>
    <col min="4" max="4" width="11.42578125" style="95" customWidth="1"/>
    <col min="5" max="5" width="11.28515625" style="95" customWidth="1"/>
    <col min="6" max="6" width="5.42578125" style="95" customWidth="1"/>
    <col min="7" max="7" width="22.42578125" style="95" customWidth="1"/>
    <col min="8" max="8" width="12.7109375" style="95" customWidth="1"/>
    <col min="9" max="9" width="11.42578125" style="95" customWidth="1"/>
    <col min="10" max="10" width="11.140625" style="95" customWidth="1"/>
    <col min="11" max="16384" width="9.140625" style="95"/>
  </cols>
  <sheetData>
    <row r="1" spans="2:13" ht="9.75" customHeight="1" x14ac:dyDescent="0.25"/>
    <row r="2" spans="2:13" x14ac:dyDescent="0.25">
      <c r="B2" s="11" t="s">
        <v>549</v>
      </c>
      <c r="C2" s="11"/>
      <c r="D2" s="11"/>
      <c r="E2" s="11"/>
    </row>
    <row r="3" spans="2:13" x14ac:dyDescent="0.25">
      <c r="B3" s="11" t="s">
        <v>547</v>
      </c>
      <c r="C3" s="11"/>
      <c r="D3" s="11"/>
      <c r="E3" s="11"/>
    </row>
    <row r="4" spans="2:13" x14ac:dyDescent="0.25">
      <c r="B4" s="11" t="s">
        <v>548</v>
      </c>
      <c r="C4" s="11"/>
      <c r="D4" s="11"/>
      <c r="E4" s="11"/>
    </row>
    <row r="5" spans="2:13" ht="13.5" customHeight="1" thickBot="1" x14ac:dyDescent="0.3">
      <c r="B5" s="11"/>
      <c r="C5" s="11"/>
      <c r="D5" s="11"/>
      <c r="E5" s="11"/>
    </row>
    <row r="6" spans="2:13" ht="15.75" thickBot="1" x14ac:dyDescent="0.3">
      <c r="B6" s="708"/>
      <c r="C6" s="262"/>
      <c r="D6" s="711" t="s">
        <v>430</v>
      </c>
      <c r="E6" s="263"/>
      <c r="G6" s="708"/>
      <c r="H6" s="262"/>
      <c r="I6" s="711" t="s">
        <v>343</v>
      </c>
      <c r="J6" s="263"/>
    </row>
    <row r="7" spans="2:13" ht="15.75" thickBot="1" x14ac:dyDescent="0.3">
      <c r="B7" s="710" t="s">
        <v>24</v>
      </c>
      <c r="C7" s="113"/>
      <c r="D7" s="1210" t="s">
        <v>415</v>
      </c>
      <c r="E7" s="1142"/>
      <c r="G7" s="710" t="s">
        <v>24</v>
      </c>
      <c r="H7" s="113"/>
      <c r="I7" s="1210" t="s">
        <v>415</v>
      </c>
      <c r="J7" s="1142"/>
    </row>
    <row r="8" spans="2:13" ht="60.75" thickBot="1" x14ac:dyDescent="0.3">
      <c r="B8" s="142"/>
      <c r="C8" s="709" t="s">
        <v>58</v>
      </c>
      <c r="D8" s="712" t="s">
        <v>416</v>
      </c>
      <c r="E8" s="713" t="s">
        <v>417</v>
      </c>
      <c r="G8" s="142"/>
      <c r="H8" s="709" t="s">
        <v>58</v>
      </c>
      <c r="I8" s="712" t="s">
        <v>416</v>
      </c>
      <c r="J8" s="713" t="s">
        <v>417</v>
      </c>
    </row>
    <row r="9" spans="2:13" ht="15.75" thickBot="1" x14ac:dyDescent="0.3">
      <c r="B9" s="594" t="s">
        <v>25</v>
      </c>
      <c r="C9" s="595">
        <f>SUM(C10:C34)</f>
        <v>53791</v>
      </c>
      <c r="D9" s="596">
        <f>SUM(D10:D34)</f>
        <v>42821</v>
      </c>
      <c r="E9" s="598">
        <f>SUM(E10:E34)</f>
        <v>10970</v>
      </c>
      <c r="G9" s="594" t="s">
        <v>25</v>
      </c>
      <c r="H9" s="595">
        <f>SUM(H10:H34)</f>
        <v>61438</v>
      </c>
      <c r="I9" s="596">
        <f>SUM(I10:I34)</f>
        <v>51152</v>
      </c>
      <c r="J9" s="598">
        <f>SUM(J10:J34)</f>
        <v>10286</v>
      </c>
      <c r="K9" s="922">
        <f>SUM(C9-H9)</f>
        <v>-7647</v>
      </c>
      <c r="L9" s="449"/>
      <c r="M9" s="449"/>
    </row>
    <row r="10" spans="2:13" x14ac:dyDescent="0.25">
      <c r="B10" s="71" t="s">
        <v>26</v>
      </c>
      <c r="C10" s="49">
        <v>692</v>
      </c>
      <c r="D10" s="45">
        <v>462</v>
      </c>
      <c r="E10" s="163">
        <v>230</v>
      </c>
      <c r="G10" s="71" t="s">
        <v>26</v>
      </c>
      <c r="H10" s="49">
        <v>719</v>
      </c>
      <c r="I10" s="45">
        <v>535</v>
      </c>
      <c r="J10" s="163">
        <v>184</v>
      </c>
      <c r="K10" s="922">
        <f>SUM(D9-I9)</f>
        <v>-8331</v>
      </c>
    </row>
    <row r="11" spans="2:13" x14ac:dyDescent="0.25">
      <c r="B11" s="12" t="s">
        <v>27</v>
      </c>
      <c r="C11" s="47">
        <v>1186</v>
      </c>
      <c r="D11" s="13">
        <v>797</v>
      </c>
      <c r="E11" s="15">
        <v>389</v>
      </c>
      <c r="G11" s="12" t="s">
        <v>27</v>
      </c>
      <c r="H11" s="47">
        <v>1295</v>
      </c>
      <c r="I11" s="13">
        <v>970</v>
      </c>
      <c r="J11" s="15">
        <v>325</v>
      </c>
      <c r="K11" s="922">
        <f>SUM(E9-J9)</f>
        <v>684</v>
      </c>
    </row>
    <row r="12" spans="2:13" x14ac:dyDescent="0.25">
      <c r="B12" s="12" t="s">
        <v>28</v>
      </c>
      <c r="C12" s="47">
        <v>4097</v>
      </c>
      <c r="D12" s="13">
        <v>3726</v>
      </c>
      <c r="E12" s="15">
        <v>371</v>
      </c>
      <c r="G12" s="12" t="s">
        <v>28</v>
      </c>
      <c r="H12" s="47">
        <v>4832</v>
      </c>
      <c r="I12" s="13">
        <v>4520</v>
      </c>
      <c r="J12" s="15">
        <v>312</v>
      </c>
    </row>
    <row r="13" spans="2:13" x14ac:dyDescent="0.25">
      <c r="B13" s="12" t="s">
        <v>29</v>
      </c>
      <c r="C13" s="47">
        <v>3642</v>
      </c>
      <c r="D13" s="13">
        <v>2721</v>
      </c>
      <c r="E13" s="15">
        <v>921</v>
      </c>
      <c r="G13" s="12" t="s">
        <v>29</v>
      </c>
      <c r="H13" s="47">
        <v>3962</v>
      </c>
      <c r="I13" s="13">
        <v>3456</v>
      </c>
      <c r="J13" s="15">
        <v>506</v>
      </c>
    </row>
    <row r="14" spans="2:13" x14ac:dyDescent="0.25">
      <c r="B14" s="12" t="s">
        <v>30</v>
      </c>
      <c r="C14" s="47">
        <v>1392</v>
      </c>
      <c r="D14" s="13">
        <v>1002</v>
      </c>
      <c r="E14" s="15">
        <v>390</v>
      </c>
      <c r="G14" s="12" t="s">
        <v>30</v>
      </c>
      <c r="H14" s="47">
        <v>1722</v>
      </c>
      <c r="I14" s="13">
        <v>1206</v>
      </c>
      <c r="J14" s="15">
        <v>516</v>
      </c>
    </row>
    <row r="15" spans="2:13" x14ac:dyDescent="0.25">
      <c r="B15" s="12" t="s">
        <v>31</v>
      </c>
      <c r="C15" s="47">
        <v>1699</v>
      </c>
      <c r="D15" s="13">
        <v>1163</v>
      </c>
      <c r="E15" s="15">
        <v>536</v>
      </c>
      <c r="G15" s="12" t="s">
        <v>31</v>
      </c>
      <c r="H15" s="47">
        <v>1637</v>
      </c>
      <c r="I15" s="13">
        <v>1138</v>
      </c>
      <c r="J15" s="15">
        <v>499</v>
      </c>
    </row>
    <row r="16" spans="2:13" x14ac:dyDescent="0.25">
      <c r="B16" s="12" t="s">
        <v>32</v>
      </c>
      <c r="C16" s="47">
        <v>823</v>
      </c>
      <c r="D16" s="13">
        <v>649</v>
      </c>
      <c r="E16" s="15">
        <v>174</v>
      </c>
      <c r="G16" s="12" t="s">
        <v>32</v>
      </c>
      <c r="H16" s="47">
        <v>942</v>
      </c>
      <c r="I16" s="13">
        <v>794</v>
      </c>
      <c r="J16" s="15">
        <v>148</v>
      </c>
    </row>
    <row r="17" spans="2:10" x14ac:dyDescent="0.25">
      <c r="B17" s="12" t="s">
        <v>33</v>
      </c>
      <c r="C17" s="47">
        <v>551</v>
      </c>
      <c r="D17" s="13">
        <v>397</v>
      </c>
      <c r="E17" s="15">
        <v>154</v>
      </c>
      <c r="G17" s="12" t="s">
        <v>33</v>
      </c>
      <c r="H17" s="47">
        <v>626</v>
      </c>
      <c r="I17" s="13">
        <v>461</v>
      </c>
      <c r="J17" s="15">
        <v>165</v>
      </c>
    </row>
    <row r="18" spans="2:10" x14ac:dyDescent="0.25">
      <c r="B18" s="12" t="s">
        <v>34</v>
      </c>
      <c r="C18" s="47">
        <v>1747</v>
      </c>
      <c r="D18" s="13">
        <v>994</v>
      </c>
      <c r="E18" s="15">
        <v>753</v>
      </c>
      <c r="G18" s="12" t="s">
        <v>34</v>
      </c>
      <c r="H18" s="47">
        <v>1701</v>
      </c>
      <c r="I18" s="13">
        <v>1136</v>
      </c>
      <c r="J18" s="15">
        <v>565</v>
      </c>
    </row>
    <row r="19" spans="2:10" x14ac:dyDescent="0.25">
      <c r="B19" s="12" t="s">
        <v>35</v>
      </c>
      <c r="C19" s="47">
        <v>1032</v>
      </c>
      <c r="D19" s="13">
        <v>607</v>
      </c>
      <c r="E19" s="15">
        <v>425</v>
      </c>
      <c r="G19" s="12" t="s">
        <v>35</v>
      </c>
      <c r="H19" s="47">
        <v>1333</v>
      </c>
      <c r="I19" s="13">
        <v>941</v>
      </c>
      <c r="J19" s="15">
        <v>392</v>
      </c>
    </row>
    <row r="20" spans="2:10" x14ac:dyDescent="0.25">
      <c r="B20" s="12" t="s">
        <v>36</v>
      </c>
      <c r="C20" s="47">
        <v>1595</v>
      </c>
      <c r="D20" s="13">
        <v>1181</v>
      </c>
      <c r="E20" s="15">
        <v>414</v>
      </c>
      <c r="G20" s="12" t="s">
        <v>36</v>
      </c>
      <c r="H20" s="47">
        <v>1559</v>
      </c>
      <c r="I20" s="13">
        <v>1246</v>
      </c>
      <c r="J20" s="15">
        <v>313</v>
      </c>
    </row>
    <row r="21" spans="2:10" x14ac:dyDescent="0.25">
      <c r="B21" s="12" t="s">
        <v>37</v>
      </c>
      <c r="C21" s="47">
        <v>5675</v>
      </c>
      <c r="D21" s="13">
        <v>4985</v>
      </c>
      <c r="E21" s="15">
        <v>690</v>
      </c>
      <c r="G21" s="12" t="s">
        <v>37</v>
      </c>
      <c r="H21" s="47">
        <v>5939</v>
      </c>
      <c r="I21" s="13">
        <v>5352</v>
      </c>
      <c r="J21" s="15">
        <v>587</v>
      </c>
    </row>
    <row r="22" spans="2:10" x14ac:dyDescent="0.25">
      <c r="B22" s="12" t="s">
        <v>38</v>
      </c>
      <c r="C22" s="47">
        <v>1373</v>
      </c>
      <c r="D22" s="13">
        <v>945</v>
      </c>
      <c r="E22" s="15">
        <v>428</v>
      </c>
      <c r="G22" s="12" t="s">
        <v>38</v>
      </c>
      <c r="H22" s="47">
        <v>1985</v>
      </c>
      <c r="I22" s="13">
        <v>1584</v>
      </c>
      <c r="J22" s="15">
        <v>401</v>
      </c>
    </row>
    <row r="23" spans="2:10" x14ac:dyDescent="0.25">
      <c r="B23" s="18" t="s">
        <v>39</v>
      </c>
      <c r="C23" s="260">
        <v>578</v>
      </c>
      <c r="D23" s="129">
        <v>468</v>
      </c>
      <c r="E23" s="15">
        <v>110</v>
      </c>
      <c r="G23" s="18" t="s">
        <v>39</v>
      </c>
      <c r="H23" s="260">
        <v>685</v>
      </c>
      <c r="I23" s="129">
        <v>564</v>
      </c>
      <c r="J23" s="15">
        <v>121</v>
      </c>
    </row>
    <row r="24" spans="2:10" x14ac:dyDescent="0.25">
      <c r="B24" s="18" t="s">
        <v>40</v>
      </c>
      <c r="C24" s="260">
        <v>2256</v>
      </c>
      <c r="D24" s="129">
        <v>1571</v>
      </c>
      <c r="E24" s="15">
        <v>685</v>
      </c>
      <c r="G24" s="18" t="s">
        <v>40</v>
      </c>
      <c r="H24" s="260">
        <v>2081</v>
      </c>
      <c r="I24" s="129">
        <v>1231</v>
      </c>
      <c r="J24" s="15">
        <v>850</v>
      </c>
    </row>
    <row r="25" spans="2:10" x14ac:dyDescent="0.25">
      <c r="B25" s="18" t="s">
        <v>41</v>
      </c>
      <c r="C25" s="260">
        <v>2024</v>
      </c>
      <c r="D25" s="129">
        <v>1509</v>
      </c>
      <c r="E25" s="15">
        <v>515</v>
      </c>
      <c r="G25" s="18" t="s">
        <v>41</v>
      </c>
      <c r="H25" s="260">
        <v>1834</v>
      </c>
      <c r="I25" s="129">
        <v>1379</v>
      </c>
      <c r="J25" s="15">
        <v>455</v>
      </c>
    </row>
    <row r="26" spans="2:10" x14ac:dyDescent="0.25">
      <c r="B26" s="18" t="s">
        <v>42</v>
      </c>
      <c r="C26" s="260">
        <v>3422</v>
      </c>
      <c r="D26" s="129">
        <v>3097</v>
      </c>
      <c r="E26" s="15">
        <v>325</v>
      </c>
      <c r="G26" s="18" t="s">
        <v>42</v>
      </c>
      <c r="H26" s="260">
        <v>3782</v>
      </c>
      <c r="I26" s="129">
        <v>3413</v>
      </c>
      <c r="J26" s="15">
        <v>369</v>
      </c>
    </row>
    <row r="27" spans="2:10" x14ac:dyDescent="0.25">
      <c r="B27" s="18" t="s">
        <v>43</v>
      </c>
      <c r="C27" s="260">
        <v>2043</v>
      </c>
      <c r="D27" s="129">
        <v>1779</v>
      </c>
      <c r="E27" s="15">
        <v>264</v>
      </c>
      <c r="G27" s="18" t="s">
        <v>43</v>
      </c>
      <c r="H27" s="260">
        <v>2134</v>
      </c>
      <c r="I27" s="129">
        <v>1831</v>
      </c>
      <c r="J27" s="15">
        <v>303</v>
      </c>
    </row>
    <row r="28" spans="2:10" x14ac:dyDescent="0.25">
      <c r="B28" s="18" t="s">
        <v>44</v>
      </c>
      <c r="C28" s="260">
        <v>1775</v>
      </c>
      <c r="D28" s="129">
        <v>1249</v>
      </c>
      <c r="E28" s="15">
        <v>526</v>
      </c>
      <c r="G28" s="18" t="s">
        <v>44</v>
      </c>
      <c r="H28" s="260">
        <v>1847</v>
      </c>
      <c r="I28" s="129">
        <v>1359</v>
      </c>
      <c r="J28" s="15">
        <v>488</v>
      </c>
    </row>
    <row r="29" spans="2:10" x14ac:dyDescent="0.25">
      <c r="B29" s="18" t="s">
        <v>45</v>
      </c>
      <c r="C29" s="260">
        <v>2156</v>
      </c>
      <c r="D29" s="129">
        <v>1426</v>
      </c>
      <c r="E29" s="15">
        <v>730</v>
      </c>
      <c r="G29" s="18" t="s">
        <v>45</v>
      </c>
      <c r="H29" s="260">
        <v>2068</v>
      </c>
      <c r="I29" s="129">
        <v>1404</v>
      </c>
      <c r="J29" s="15">
        <v>664</v>
      </c>
    </row>
    <row r="30" spans="2:10" x14ac:dyDescent="0.25">
      <c r="B30" s="18" t="s">
        <v>46</v>
      </c>
      <c r="C30" s="260">
        <v>1053</v>
      </c>
      <c r="D30" s="129">
        <v>845</v>
      </c>
      <c r="E30" s="15">
        <v>208</v>
      </c>
      <c r="G30" s="18" t="s">
        <v>46</v>
      </c>
      <c r="H30" s="260">
        <v>1564</v>
      </c>
      <c r="I30" s="129">
        <v>1314</v>
      </c>
      <c r="J30" s="15">
        <v>250</v>
      </c>
    </row>
    <row r="31" spans="2:10" x14ac:dyDescent="0.25">
      <c r="B31" s="18" t="s">
        <v>47</v>
      </c>
      <c r="C31" s="260">
        <v>1116</v>
      </c>
      <c r="D31" s="129">
        <v>884</v>
      </c>
      <c r="E31" s="15">
        <v>232</v>
      </c>
      <c r="G31" s="18" t="s">
        <v>47</v>
      </c>
      <c r="H31" s="260">
        <v>1570</v>
      </c>
      <c r="I31" s="129">
        <v>1376</v>
      </c>
      <c r="J31" s="15">
        <v>194</v>
      </c>
    </row>
    <row r="32" spans="2:10" x14ac:dyDescent="0.25">
      <c r="B32" s="18" t="s">
        <v>48</v>
      </c>
      <c r="C32" s="260">
        <v>1254</v>
      </c>
      <c r="D32" s="129">
        <v>933</v>
      </c>
      <c r="E32" s="15">
        <v>321</v>
      </c>
      <c r="G32" s="18" t="s">
        <v>48</v>
      </c>
      <c r="H32" s="260">
        <v>1589</v>
      </c>
      <c r="I32" s="129">
        <v>1240</v>
      </c>
      <c r="J32" s="15">
        <v>349</v>
      </c>
    </row>
    <row r="33" spans="2:10" x14ac:dyDescent="0.25">
      <c r="B33" s="18" t="s">
        <v>49</v>
      </c>
      <c r="C33" s="260">
        <v>9353</v>
      </c>
      <c r="D33" s="129">
        <v>8528</v>
      </c>
      <c r="E33" s="15">
        <v>825</v>
      </c>
      <c r="G33" s="18" t="s">
        <v>49</v>
      </c>
      <c r="H33" s="260">
        <v>12329</v>
      </c>
      <c r="I33" s="129">
        <v>11425</v>
      </c>
      <c r="J33" s="15">
        <v>904</v>
      </c>
    </row>
    <row r="34" spans="2:10" ht="15.75" thickBot="1" x14ac:dyDescent="0.3">
      <c r="B34" s="19" t="s">
        <v>50</v>
      </c>
      <c r="C34" s="261">
        <v>1257</v>
      </c>
      <c r="D34" s="132">
        <v>903</v>
      </c>
      <c r="E34" s="22">
        <v>354</v>
      </c>
      <c r="G34" s="19" t="s">
        <v>50</v>
      </c>
      <c r="H34" s="261">
        <v>1703</v>
      </c>
      <c r="I34" s="132">
        <v>1277</v>
      </c>
      <c r="J34" s="22">
        <v>426</v>
      </c>
    </row>
    <row r="35" spans="2:10" x14ac:dyDescent="0.25">
      <c r="B35" s="11"/>
      <c r="C35" s="922">
        <f>SUM(D9:E9)</f>
        <v>53791</v>
      </c>
      <c r="D35" s="11"/>
      <c r="E35" s="11"/>
    </row>
  </sheetData>
  <mergeCells count="2">
    <mergeCell ref="D7:E7"/>
    <mergeCell ref="I7:J7"/>
  </mergeCells>
  <printOptions horizontalCentered="1"/>
  <pageMargins left="0.6692913385826772" right="0.6692913385826772" top="0.6692913385826772" bottom="0" header="0" footer="0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H22"/>
  <sheetViews>
    <sheetView zoomScale="110" zoomScaleNormal="11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37.28515625" style="11" customWidth="1"/>
    <col min="3" max="3" width="12.85546875" style="11" customWidth="1"/>
    <col min="4" max="4" width="10.140625" style="11" customWidth="1"/>
    <col min="5" max="5" width="13.140625" style="11" customWidth="1"/>
    <col min="6" max="6" width="10" style="11" customWidth="1"/>
    <col min="7" max="7" width="13.85546875" style="11" customWidth="1"/>
    <col min="8" max="8" width="9.140625" style="11"/>
    <col min="9" max="9" width="10.28515625" style="11" customWidth="1"/>
    <col min="10" max="16384" width="9.140625" style="11"/>
  </cols>
  <sheetData>
    <row r="1" spans="2:8" ht="14.25" customHeight="1" x14ac:dyDescent="0.25"/>
    <row r="2" spans="2:8" x14ac:dyDescent="0.25">
      <c r="B2" s="11" t="s">
        <v>317</v>
      </c>
    </row>
    <row r="3" spans="2:8" ht="14.25" customHeight="1" x14ac:dyDescent="0.25">
      <c r="B3" s="40" t="s">
        <v>150</v>
      </c>
    </row>
    <row r="4" spans="2:8" ht="13.5" customHeight="1" thickBot="1" x14ac:dyDescent="0.3">
      <c r="B4" s="40"/>
    </row>
    <row r="5" spans="2:8" ht="39.75" customHeight="1" x14ac:dyDescent="0.25">
      <c r="B5" s="1086" t="s">
        <v>133</v>
      </c>
      <c r="C5" s="1101" t="s">
        <v>342</v>
      </c>
      <c r="D5" s="1102"/>
      <c r="E5" s="1101" t="s">
        <v>422</v>
      </c>
      <c r="F5" s="1102"/>
      <c r="G5" s="1069" t="s">
        <v>550</v>
      </c>
    </row>
    <row r="6" spans="2:8" ht="15.75" thickBot="1" x14ac:dyDescent="0.3">
      <c r="B6" s="1100"/>
      <c r="C6" s="41" t="s">
        <v>4</v>
      </c>
      <c r="D6" s="69" t="s">
        <v>323</v>
      </c>
      <c r="E6" s="41" t="s">
        <v>4</v>
      </c>
      <c r="F6" s="69" t="s">
        <v>323</v>
      </c>
      <c r="G6" s="1074"/>
    </row>
    <row r="7" spans="2:8" ht="42" customHeight="1" thickBot="1" x14ac:dyDescent="0.3">
      <c r="B7" s="60" t="s">
        <v>440</v>
      </c>
      <c r="C7" s="61">
        <v>117364</v>
      </c>
      <c r="D7" s="62">
        <v>100</v>
      </c>
      <c r="E7" s="61">
        <v>109137</v>
      </c>
      <c r="F7" s="62">
        <v>100</v>
      </c>
      <c r="G7" s="63">
        <f>SUM(E7)-C7</f>
        <v>-8227</v>
      </c>
    </row>
    <row r="8" spans="2:8" ht="22.5" customHeight="1" thickBot="1" x14ac:dyDescent="0.3">
      <c r="B8" s="751" t="s">
        <v>146</v>
      </c>
      <c r="C8" s="341"/>
      <c r="D8" s="341"/>
      <c r="E8" s="341"/>
      <c r="F8" s="341"/>
      <c r="G8" s="342"/>
    </row>
    <row r="9" spans="2:8" ht="21" customHeight="1" x14ac:dyDescent="0.25">
      <c r="B9" s="51" t="s">
        <v>97</v>
      </c>
      <c r="C9" s="52">
        <v>19912</v>
      </c>
      <c r="D9" s="53">
        <f>SUM(C9)/C7*100</f>
        <v>16.966020244708769</v>
      </c>
      <c r="E9" s="52">
        <v>19342</v>
      </c>
      <c r="F9" s="53">
        <f>SUM(E9)/E7*100</f>
        <v>17.722678834858936</v>
      </c>
      <c r="G9" s="54">
        <f>SUM(E9)-C9</f>
        <v>-570</v>
      </c>
      <c r="H9" s="425">
        <f>SUM(G9/C9)*100</f>
        <v>-2.8625954198473282</v>
      </c>
    </row>
    <row r="10" spans="2:8" ht="18" customHeight="1" thickBot="1" x14ac:dyDescent="0.3">
      <c r="B10" s="55" t="s">
        <v>98</v>
      </c>
      <c r="C10" s="20">
        <v>97452</v>
      </c>
      <c r="D10" s="39">
        <f>SUM(C10)/C7*100</f>
        <v>83.033979755291227</v>
      </c>
      <c r="E10" s="20">
        <v>89795</v>
      </c>
      <c r="F10" s="39">
        <f>SUM(E10)/E7*100</f>
        <v>82.277321165141061</v>
      </c>
      <c r="G10" s="50">
        <f>SUM(E10)-C10</f>
        <v>-7657</v>
      </c>
      <c r="H10" s="425">
        <f>SUM(G10/C10)*100</f>
        <v>-7.8572014940688746</v>
      </c>
    </row>
    <row r="11" spans="2:8" ht="18" customHeight="1" thickBot="1" x14ac:dyDescent="0.3">
      <c r="B11" s="752" t="s">
        <v>147</v>
      </c>
      <c r="C11" s="343"/>
      <c r="D11" s="343"/>
      <c r="E11" s="343"/>
      <c r="F11" s="343"/>
      <c r="G11" s="344"/>
    </row>
    <row r="12" spans="2:8" x14ac:dyDescent="0.25">
      <c r="B12" s="56" t="s">
        <v>99</v>
      </c>
      <c r="C12" s="57">
        <v>113</v>
      </c>
      <c r="D12" s="58">
        <f>SUM(C12)/C7*100</f>
        <v>9.6281653658702837E-2</v>
      </c>
      <c r="E12" s="57">
        <v>108</v>
      </c>
      <c r="F12" s="58">
        <f>SUM(E12)/E7*100</f>
        <v>9.895819016465543E-2</v>
      </c>
      <c r="G12" s="59">
        <f t="shared" ref="G12:G17" si="0">SUM(E12)-C12</f>
        <v>-5</v>
      </c>
    </row>
    <row r="13" spans="2:8" x14ac:dyDescent="0.25">
      <c r="B13" s="37" t="s">
        <v>100</v>
      </c>
      <c r="C13" s="13">
        <v>523</v>
      </c>
      <c r="D13" s="36">
        <f>SUM(C13)/C7*100</f>
        <v>0.44562216693364237</v>
      </c>
      <c r="E13" s="13">
        <v>469</v>
      </c>
      <c r="F13" s="36">
        <f>SUM(E13)/E7*100</f>
        <v>0.42973510358540179</v>
      </c>
      <c r="G13" s="47">
        <f t="shared" si="0"/>
        <v>-54</v>
      </c>
    </row>
    <row r="14" spans="2:8" x14ac:dyDescent="0.25">
      <c r="B14" s="44" t="s">
        <v>101</v>
      </c>
      <c r="C14" s="45">
        <v>9183</v>
      </c>
      <c r="D14" s="46">
        <f>SUM(C14)/C7*100</f>
        <v>7.8243754473262666</v>
      </c>
      <c r="E14" s="45">
        <v>7609</v>
      </c>
      <c r="F14" s="46">
        <f>SUM(E14)/E7*100</f>
        <v>6.971971008915399</v>
      </c>
      <c r="G14" s="49">
        <f t="shared" si="0"/>
        <v>-1574</v>
      </c>
    </row>
    <row r="15" spans="2:8" ht="30" x14ac:dyDescent="0.25">
      <c r="B15" s="37" t="s">
        <v>110</v>
      </c>
      <c r="C15" s="13">
        <v>2</v>
      </c>
      <c r="D15" s="36">
        <f>SUM(C15)/C7*100</f>
        <v>1.7041000647558026E-3</v>
      </c>
      <c r="E15" s="13">
        <v>1</v>
      </c>
      <c r="F15" s="36">
        <f>SUM(E15)/E7*100</f>
        <v>9.1627953856162432E-4</v>
      </c>
      <c r="G15" s="47">
        <f t="shared" si="0"/>
        <v>-1</v>
      </c>
    </row>
    <row r="16" spans="2:8" x14ac:dyDescent="0.25">
      <c r="B16" s="37" t="s">
        <v>102</v>
      </c>
      <c r="C16" s="13">
        <v>1693</v>
      </c>
      <c r="D16" s="36">
        <f>SUM(C16)/C7*100</f>
        <v>1.4425207048157866</v>
      </c>
      <c r="E16" s="13">
        <v>1379</v>
      </c>
      <c r="F16" s="36">
        <f>SUM(E16)/E7*100</f>
        <v>1.26354948367648</v>
      </c>
      <c r="G16" s="47">
        <f t="shared" si="0"/>
        <v>-314</v>
      </c>
    </row>
    <row r="17" spans="2:7" ht="30.75" thickBot="1" x14ac:dyDescent="0.3">
      <c r="B17" s="38" t="s">
        <v>148</v>
      </c>
      <c r="C17" s="20">
        <v>857</v>
      </c>
      <c r="D17" s="39">
        <f>SUM(C17)/C7*100</f>
        <v>0.73020687774786142</v>
      </c>
      <c r="E17" s="20">
        <v>628</v>
      </c>
      <c r="F17" s="39">
        <f>SUM(E17)/E7*100</f>
        <v>0.57542355021670011</v>
      </c>
      <c r="G17" s="50">
        <f t="shared" si="0"/>
        <v>-229</v>
      </c>
    </row>
    <row r="18" spans="2:7" x14ac:dyDescent="0.25">
      <c r="C18" s="658">
        <f>SUM(C12:C17)</f>
        <v>12371</v>
      </c>
      <c r="D18" s="714">
        <f>SUM(D12:D17)</f>
        <v>10.540710950547016</v>
      </c>
      <c r="E18" s="658">
        <f>SUM(E12:E17)</f>
        <v>10194</v>
      </c>
      <c r="F18" s="714">
        <f>SUM(F12:F17)</f>
        <v>9.3405536160971963</v>
      </c>
    </row>
    <row r="20" spans="2:7" x14ac:dyDescent="0.25">
      <c r="C20" s="425"/>
      <c r="E20" s="425"/>
      <c r="F20" s="423"/>
    </row>
    <row r="22" spans="2:7" x14ac:dyDescent="0.25">
      <c r="E22" s="67"/>
      <c r="F22" s="423"/>
    </row>
  </sheetData>
  <mergeCells count="3">
    <mergeCell ref="B5:B6"/>
    <mergeCell ref="E5:F5"/>
    <mergeCell ref="C5:D5"/>
  </mergeCells>
  <pageMargins left="1.6929133858267718" right="0.70866141732283472" top="1.5354330708661419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AS36"/>
  <sheetViews>
    <sheetView zoomScale="90" zoomScaleNormal="90" workbookViewId="0">
      <selection activeCell="B1" sqref="B1"/>
    </sheetView>
  </sheetViews>
  <sheetFormatPr defaultRowHeight="15" x14ac:dyDescent="0.25"/>
  <cols>
    <col min="1" max="1" width="4.140625" style="95" customWidth="1"/>
    <col min="2" max="2" width="22" style="95" customWidth="1"/>
    <col min="3" max="3" width="9.7109375" style="95" customWidth="1"/>
    <col min="4" max="4" width="13.85546875" style="95" customWidth="1"/>
    <col min="5" max="5" width="11.140625" style="95" customWidth="1"/>
    <col min="6" max="6" width="13.7109375" style="95" customWidth="1"/>
    <col min="7" max="7" width="10" style="95" customWidth="1"/>
    <col min="8" max="8" width="13.7109375" style="95" customWidth="1"/>
    <col min="9" max="9" width="12.140625" style="95" customWidth="1"/>
    <col min="10" max="10" width="12.28515625" style="95" customWidth="1"/>
    <col min="11" max="11" width="10" style="95" customWidth="1"/>
    <col min="12" max="12" width="14" style="95" customWidth="1"/>
    <col min="13" max="13" width="11.5703125" style="95" customWidth="1"/>
    <col min="14" max="14" width="13.42578125" style="95" customWidth="1"/>
    <col min="15" max="15" width="8.85546875" style="95" customWidth="1"/>
    <col min="16" max="16" width="14" style="95" customWidth="1"/>
    <col min="17" max="17" width="12" style="95" customWidth="1"/>
    <col min="18" max="18" width="14.28515625" style="95" customWidth="1"/>
    <col min="19" max="19" width="3.28515625" style="95" customWidth="1"/>
    <col min="20" max="20" width="10.7109375" style="95" customWidth="1"/>
    <col min="21" max="21" width="9.42578125" style="95" customWidth="1"/>
    <col min="22" max="31" width="9.140625" style="95"/>
    <col min="32" max="32" width="10.42578125" style="95" customWidth="1"/>
    <col min="33" max="33" width="10.5703125" style="95" customWidth="1"/>
    <col min="34" max="16384" width="9.140625" style="95"/>
  </cols>
  <sheetData>
    <row r="2" spans="2:45" x14ac:dyDescent="0.25">
      <c r="B2" s="11" t="s">
        <v>290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45" x14ac:dyDescent="0.25">
      <c r="B3" s="11" t="s">
        <v>299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45" ht="15.75" thickBot="1" x14ac:dyDescent="0.3">
      <c r="B4" s="11"/>
      <c r="C4" s="1264"/>
      <c r="D4" s="1264"/>
      <c r="E4" s="1264"/>
      <c r="F4" s="1264"/>
      <c r="G4" s="1265"/>
      <c r="H4" s="1265"/>
      <c r="I4" s="1265"/>
      <c r="J4" s="240"/>
      <c r="K4" s="11"/>
      <c r="L4" s="11"/>
      <c r="M4" s="11"/>
      <c r="N4" s="11"/>
      <c r="O4" s="11"/>
      <c r="P4" s="11"/>
      <c r="Q4" s="11"/>
      <c r="R4" s="11"/>
    </row>
    <row r="5" spans="2:45" x14ac:dyDescent="0.25">
      <c r="B5" s="1095" t="s">
        <v>139</v>
      </c>
      <c r="C5" s="1205">
        <v>2018</v>
      </c>
      <c r="D5" s="1206"/>
      <c r="E5" s="1206"/>
      <c r="F5" s="1266"/>
      <c r="G5" s="1097">
        <v>2019</v>
      </c>
      <c r="H5" s="1098"/>
      <c r="I5" s="1098"/>
      <c r="J5" s="1099"/>
      <c r="K5" s="1097" t="s">
        <v>140</v>
      </c>
      <c r="L5" s="1098"/>
      <c r="M5" s="1098"/>
      <c r="N5" s="1099"/>
      <c r="O5" s="1097" t="s">
        <v>197</v>
      </c>
      <c r="P5" s="1098"/>
      <c r="Q5" s="1098"/>
      <c r="R5" s="1099"/>
    </row>
    <row r="6" spans="2:45" x14ac:dyDescent="0.25">
      <c r="B6" s="1103"/>
      <c r="C6" s="1263" t="s">
        <v>4</v>
      </c>
      <c r="D6" s="1233" t="s">
        <v>61</v>
      </c>
      <c r="E6" s="1233"/>
      <c r="F6" s="1127" t="s">
        <v>198</v>
      </c>
      <c r="G6" s="1092" t="s">
        <v>4</v>
      </c>
      <c r="H6" s="1234" t="s">
        <v>61</v>
      </c>
      <c r="I6" s="1267"/>
      <c r="J6" s="1268" t="s">
        <v>198</v>
      </c>
      <c r="K6" s="1263" t="s">
        <v>196</v>
      </c>
      <c r="L6" s="1233" t="s">
        <v>61</v>
      </c>
      <c r="M6" s="1233"/>
      <c r="N6" s="1127" t="s">
        <v>198</v>
      </c>
      <c r="O6" s="1263" t="s">
        <v>196</v>
      </c>
      <c r="P6" s="1233" t="s">
        <v>61</v>
      </c>
      <c r="Q6" s="1233"/>
      <c r="R6" s="1094" t="s">
        <v>198</v>
      </c>
    </row>
    <row r="7" spans="2:45" ht="75.75" customHeight="1" thickBot="1" x14ac:dyDescent="0.3">
      <c r="B7" s="1096"/>
      <c r="C7" s="1222"/>
      <c r="D7" s="114" t="s">
        <v>59</v>
      </c>
      <c r="E7" s="114" t="s">
        <v>60</v>
      </c>
      <c r="F7" s="1262"/>
      <c r="G7" s="1087"/>
      <c r="H7" s="206" t="s">
        <v>59</v>
      </c>
      <c r="I7" s="206" t="s">
        <v>60</v>
      </c>
      <c r="J7" s="1269"/>
      <c r="K7" s="1222"/>
      <c r="L7" s="114" t="s">
        <v>59</v>
      </c>
      <c r="M7" s="114" t="s">
        <v>60</v>
      </c>
      <c r="N7" s="1262"/>
      <c r="O7" s="1222"/>
      <c r="P7" s="114" t="s">
        <v>59</v>
      </c>
      <c r="Q7" s="114" t="s">
        <v>60</v>
      </c>
      <c r="R7" s="1224"/>
      <c r="T7" s="112" t="s">
        <v>431</v>
      </c>
      <c r="U7" s="112">
        <v>1</v>
      </c>
      <c r="V7" s="112">
        <v>2</v>
      </c>
      <c r="W7" s="112">
        <v>3</v>
      </c>
      <c r="X7" s="112">
        <v>4</v>
      </c>
      <c r="Y7" s="112">
        <v>5</v>
      </c>
      <c r="Z7" s="112">
        <v>6</v>
      </c>
      <c r="AA7" s="112">
        <v>7</v>
      </c>
      <c r="AB7" s="112">
        <v>8</v>
      </c>
      <c r="AC7" s="112">
        <v>9</v>
      </c>
      <c r="AD7" s="112">
        <v>10</v>
      </c>
      <c r="AE7" s="112">
        <v>11</v>
      </c>
      <c r="AF7" s="112">
        <v>12</v>
      </c>
      <c r="AG7" s="112" t="s">
        <v>344</v>
      </c>
      <c r="AH7" s="112">
        <v>1</v>
      </c>
      <c r="AI7" s="112">
        <v>2</v>
      </c>
      <c r="AJ7" s="112">
        <v>3</v>
      </c>
      <c r="AK7" s="112">
        <v>4</v>
      </c>
      <c r="AL7" s="112">
        <v>5</v>
      </c>
      <c r="AM7" s="112">
        <v>6</v>
      </c>
      <c r="AN7" s="112">
        <v>7</v>
      </c>
      <c r="AO7" s="112">
        <v>8</v>
      </c>
      <c r="AP7" s="112">
        <v>9</v>
      </c>
      <c r="AQ7" s="112">
        <v>10</v>
      </c>
      <c r="AR7" s="112">
        <v>11</v>
      </c>
      <c r="AS7" s="112">
        <v>12</v>
      </c>
    </row>
    <row r="8" spans="2:45" ht="27" customHeight="1" thickBot="1" x14ac:dyDescent="0.3">
      <c r="B8" s="194" t="s">
        <v>25</v>
      </c>
      <c r="C8" s="31">
        <f>SUM(C9:C33)</f>
        <v>61438</v>
      </c>
      <c r="D8" s="32">
        <f>SUM(D9:D33)</f>
        <v>20784</v>
      </c>
      <c r="E8" s="32">
        <f>SUM(E9:E33)</f>
        <v>8024</v>
      </c>
      <c r="F8" s="294">
        <f>SUM(AG8/C8)</f>
        <v>16.577867118070248</v>
      </c>
      <c r="G8" s="291">
        <f>SUM(G9:G33)</f>
        <v>53791</v>
      </c>
      <c r="H8" s="292">
        <f t="shared" ref="H8" si="0">SUM(H9:H33)</f>
        <v>20491</v>
      </c>
      <c r="I8" s="292">
        <f>SUM(I9:I33)</f>
        <v>7499</v>
      </c>
      <c r="J8" s="293">
        <f>SUM(T8)/G8</f>
        <v>17.254113141603614</v>
      </c>
      <c r="K8" s="31">
        <f>SUM(K9:K33)</f>
        <v>-7647</v>
      </c>
      <c r="L8" s="32">
        <f>SUM(L9:L33)</f>
        <v>-293</v>
      </c>
      <c r="M8" s="32">
        <f>SUM(M9:M33)</f>
        <v>-525</v>
      </c>
      <c r="N8" s="294">
        <f t="shared" ref="N8:N33" si="1">J8-F8</f>
        <v>0.67624602353336627</v>
      </c>
      <c r="O8" s="295">
        <f>SUM(K8)/C8*100</f>
        <v>-12.446694228327745</v>
      </c>
      <c r="P8" s="296">
        <f>SUM(L8)/D8*100</f>
        <v>-1.409738260200154</v>
      </c>
      <c r="Q8" s="296">
        <f>SUM(M8)/E8*100</f>
        <v>-6.5428713858424716</v>
      </c>
      <c r="R8" s="297">
        <f>N8/F8*100</f>
        <v>4.0792100619279479</v>
      </c>
      <c r="T8" s="14">
        <f>SUM(U8:AF8)</f>
        <v>928116</v>
      </c>
      <c r="U8" s="112">
        <f>SUM(U9:U33)</f>
        <v>86783</v>
      </c>
      <c r="V8" s="112">
        <f t="shared" ref="V8:AF8" si="2">SUM(V9:V33)</f>
        <v>86183</v>
      </c>
      <c r="W8" s="112">
        <f t="shared" si="2"/>
        <v>83251</v>
      </c>
      <c r="X8" s="112">
        <f t="shared" si="2"/>
        <v>79029</v>
      </c>
      <c r="Y8" s="112">
        <f t="shared" si="2"/>
        <v>76458</v>
      </c>
      <c r="Z8" s="112">
        <f t="shared" si="2"/>
        <v>74684</v>
      </c>
      <c r="AA8" s="112">
        <f t="shared" si="2"/>
        <v>74490</v>
      </c>
      <c r="AB8" s="112">
        <f t="shared" si="2"/>
        <v>73915</v>
      </c>
      <c r="AC8" s="112">
        <f t="shared" si="2"/>
        <v>72689</v>
      </c>
      <c r="AD8" s="112">
        <f t="shared" si="2"/>
        <v>72124</v>
      </c>
      <c r="AE8" s="112">
        <f t="shared" si="2"/>
        <v>73055</v>
      </c>
      <c r="AF8" s="14">
        <f t="shared" si="2"/>
        <v>75455</v>
      </c>
      <c r="AG8" s="14">
        <f>SUM(AH8:AS8)</f>
        <v>1018511</v>
      </c>
      <c r="AH8" s="112">
        <f>SUM(AH9:AH33)</f>
        <v>94595</v>
      </c>
      <c r="AI8" s="112">
        <f t="shared" ref="AI8:AR8" si="3">SUM(AI9:AI33)</f>
        <v>93888</v>
      </c>
      <c r="AJ8" s="112">
        <f t="shared" si="3"/>
        <v>91300</v>
      </c>
      <c r="AK8" s="112">
        <f t="shared" si="3"/>
        <v>87683</v>
      </c>
      <c r="AL8" s="112">
        <f t="shared" si="3"/>
        <v>84030</v>
      </c>
      <c r="AM8" s="112">
        <f t="shared" si="3"/>
        <v>81606</v>
      </c>
      <c r="AN8" s="112">
        <f t="shared" si="3"/>
        <v>81670</v>
      </c>
      <c r="AO8" s="112">
        <f t="shared" si="3"/>
        <v>81177</v>
      </c>
      <c r="AP8" s="112">
        <f t="shared" si="3"/>
        <v>79556</v>
      </c>
      <c r="AQ8" s="112">
        <f t="shared" si="3"/>
        <v>79258</v>
      </c>
      <c r="AR8" s="112">
        <f t="shared" si="3"/>
        <v>80815</v>
      </c>
      <c r="AS8" s="14">
        <f>SUM(AS9:AS33)</f>
        <v>82933</v>
      </c>
    </row>
    <row r="9" spans="2:45" x14ac:dyDescent="0.25">
      <c r="B9" s="196" t="s">
        <v>26</v>
      </c>
      <c r="C9" s="52">
        <v>719</v>
      </c>
      <c r="D9" s="136">
        <v>346</v>
      </c>
      <c r="E9" s="136">
        <v>148</v>
      </c>
      <c r="F9" s="167">
        <f>SUM(AG9/C9)</f>
        <v>19.984700973574409</v>
      </c>
      <c r="G9" s="52">
        <f>SUM(T.XXV!C9)</f>
        <v>692</v>
      </c>
      <c r="H9" s="136">
        <f>SUM(T.XXV!D9)</f>
        <v>351</v>
      </c>
      <c r="I9" s="136">
        <f>SUM(T.XXV!E9)</f>
        <v>133</v>
      </c>
      <c r="J9" s="167">
        <f t="shared" ref="J9:J33" si="4">SUM(T9)/G9</f>
        <v>19.75</v>
      </c>
      <c r="K9" s="52">
        <f>SUM(G9)-C9</f>
        <v>-27</v>
      </c>
      <c r="L9" s="136">
        <f t="shared" ref="L9:L33" si="5">SUM(H9)-D9</f>
        <v>5</v>
      </c>
      <c r="M9" s="136">
        <f t="shared" ref="M9:M33" si="6">SUM(I9)-E9</f>
        <v>-15</v>
      </c>
      <c r="N9" s="167">
        <f t="shared" si="1"/>
        <v>-0.23470097357440878</v>
      </c>
      <c r="O9" s="289">
        <f>SUM(K9)/C9*100</f>
        <v>-3.7552155771905427</v>
      </c>
      <c r="P9" s="290">
        <f t="shared" ref="P9:P33" si="7">SUM(L9)/D9*100</f>
        <v>1.4450867052023122</v>
      </c>
      <c r="Q9" s="290">
        <f t="shared" ref="Q9:Q33" si="8">SUM(M9)/E9*100</f>
        <v>-10.135135135135135</v>
      </c>
      <c r="R9" s="53">
        <f t="shared" ref="R9:R33" si="9">N9/F9*100</f>
        <v>-1.1744032291739155</v>
      </c>
      <c r="T9" s="14">
        <f>SUM(U9:AF9)</f>
        <v>13667</v>
      </c>
      <c r="U9" s="528">
        <v>1246</v>
      </c>
      <c r="V9" s="528">
        <v>1271</v>
      </c>
      <c r="W9" s="528">
        <v>1221</v>
      </c>
      <c r="X9" s="528">
        <v>1130</v>
      </c>
      <c r="Y9" s="528">
        <v>1080</v>
      </c>
      <c r="Z9" s="528">
        <v>1072</v>
      </c>
      <c r="AA9" s="528">
        <v>1078</v>
      </c>
      <c r="AB9" s="528">
        <v>1090</v>
      </c>
      <c r="AC9" s="528">
        <v>1106</v>
      </c>
      <c r="AD9" s="528">
        <v>1089</v>
      </c>
      <c r="AE9" s="528">
        <v>1122</v>
      </c>
      <c r="AF9" s="547">
        <v>1162</v>
      </c>
      <c r="AG9" s="14">
        <f>SUM(AH9:AS9)</f>
        <v>14369</v>
      </c>
      <c r="AH9" s="590">
        <v>1357</v>
      </c>
      <c r="AI9" s="590">
        <v>1377</v>
      </c>
      <c r="AJ9" s="590">
        <v>1341</v>
      </c>
      <c r="AK9" s="590">
        <v>1275</v>
      </c>
      <c r="AL9" s="590">
        <v>1196</v>
      </c>
      <c r="AM9" s="590">
        <v>1128</v>
      </c>
      <c r="AN9" s="590">
        <v>1084</v>
      </c>
      <c r="AO9" s="590">
        <v>1087</v>
      </c>
      <c r="AP9" s="590">
        <v>1082</v>
      </c>
      <c r="AQ9" s="590">
        <v>1105</v>
      </c>
      <c r="AR9" s="590">
        <v>1162</v>
      </c>
      <c r="AS9" s="547">
        <v>1175</v>
      </c>
    </row>
    <row r="10" spans="2:45" x14ac:dyDescent="0.25">
      <c r="B10" s="215" t="s">
        <v>27</v>
      </c>
      <c r="C10" s="13">
        <v>1295</v>
      </c>
      <c r="D10" s="14">
        <v>823</v>
      </c>
      <c r="E10" s="14">
        <v>289</v>
      </c>
      <c r="F10" s="164">
        <f t="shared" ref="F10:F33" si="10">SUM(AG10/C10)</f>
        <v>40.139768339768338</v>
      </c>
      <c r="G10" s="13">
        <f>SUM(T.XXV!C10)</f>
        <v>1186</v>
      </c>
      <c r="H10" s="14">
        <f>SUM(T.XXV!D10)</f>
        <v>885</v>
      </c>
      <c r="I10" s="14">
        <f>SUM(T.XXV!E10)</f>
        <v>284</v>
      </c>
      <c r="J10" s="164">
        <f t="shared" si="4"/>
        <v>41.468802698145026</v>
      </c>
      <c r="K10" s="13">
        <f t="shared" ref="K10:K33" si="11">SUM(G10)-C10</f>
        <v>-109</v>
      </c>
      <c r="L10" s="14">
        <f t="shared" si="5"/>
        <v>62</v>
      </c>
      <c r="M10" s="14">
        <f t="shared" si="6"/>
        <v>-5</v>
      </c>
      <c r="N10" s="220">
        <f t="shared" si="1"/>
        <v>1.3290343583766884</v>
      </c>
      <c r="O10" s="221">
        <f t="shared" ref="O10:O33" si="12">SUM(K10)/C10*100</f>
        <v>-8.416988416988417</v>
      </c>
      <c r="P10" s="106">
        <f t="shared" si="7"/>
        <v>7.5334143377885781</v>
      </c>
      <c r="Q10" s="106">
        <f t="shared" si="8"/>
        <v>-1.7301038062283738</v>
      </c>
      <c r="R10" s="46">
        <f t="shared" si="9"/>
        <v>3.3110165139143368</v>
      </c>
      <c r="T10" s="14">
        <f>SUM(U10:AF10)</f>
        <v>49182</v>
      </c>
      <c r="U10" s="528">
        <v>4539</v>
      </c>
      <c r="V10" s="528">
        <v>4425</v>
      </c>
      <c r="W10" s="528">
        <v>4281</v>
      </c>
      <c r="X10" s="528">
        <v>4125</v>
      </c>
      <c r="Y10" s="528">
        <v>4023</v>
      </c>
      <c r="Z10" s="528">
        <v>3910</v>
      </c>
      <c r="AA10" s="528">
        <v>3917</v>
      </c>
      <c r="AB10" s="528">
        <v>3916</v>
      </c>
      <c r="AC10" s="528">
        <v>3872</v>
      </c>
      <c r="AD10" s="528">
        <v>3901</v>
      </c>
      <c r="AE10" s="528">
        <v>4032</v>
      </c>
      <c r="AF10" s="547">
        <v>4241</v>
      </c>
      <c r="AG10" s="14">
        <f t="shared" ref="AG10:AG33" si="13">SUM(AH10:AS10)</f>
        <v>51981</v>
      </c>
      <c r="AH10" s="590">
        <v>4858</v>
      </c>
      <c r="AI10" s="590">
        <v>4745</v>
      </c>
      <c r="AJ10" s="590">
        <v>4596</v>
      </c>
      <c r="AK10" s="590">
        <v>4374</v>
      </c>
      <c r="AL10" s="590">
        <v>4211</v>
      </c>
      <c r="AM10" s="590">
        <v>4145</v>
      </c>
      <c r="AN10" s="590">
        <v>4165</v>
      </c>
      <c r="AO10" s="590">
        <v>4114</v>
      </c>
      <c r="AP10" s="590">
        <v>4017</v>
      </c>
      <c r="AQ10" s="590">
        <v>4078</v>
      </c>
      <c r="AR10" s="590">
        <v>4263</v>
      </c>
      <c r="AS10" s="547">
        <v>4415</v>
      </c>
    </row>
    <row r="11" spans="2:45" x14ac:dyDescent="0.25">
      <c r="B11" s="215" t="s">
        <v>28</v>
      </c>
      <c r="C11" s="13">
        <v>4832</v>
      </c>
      <c r="D11" s="14">
        <v>875</v>
      </c>
      <c r="E11" s="14">
        <v>368</v>
      </c>
      <c r="F11" s="164">
        <f t="shared" si="10"/>
        <v>9.283526490066226</v>
      </c>
      <c r="G11" s="13">
        <f>SUM(T.XXV!C11)</f>
        <v>4097</v>
      </c>
      <c r="H11" s="14">
        <f>SUM(T.XXV!D11)</f>
        <v>931</v>
      </c>
      <c r="I11" s="14">
        <f>SUM(T.XXV!E11)</f>
        <v>305</v>
      </c>
      <c r="J11" s="164">
        <f t="shared" si="4"/>
        <v>8.6868440322186959</v>
      </c>
      <c r="K11" s="13">
        <f t="shared" si="11"/>
        <v>-735</v>
      </c>
      <c r="L11" s="14">
        <f t="shared" si="5"/>
        <v>56</v>
      </c>
      <c r="M11" s="14">
        <f t="shared" si="6"/>
        <v>-63</v>
      </c>
      <c r="N11" s="220">
        <f t="shared" si="1"/>
        <v>-0.59668245784753005</v>
      </c>
      <c r="O11" s="221">
        <f t="shared" si="12"/>
        <v>-15.211092715231789</v>
      </c>
      <c r="P11" s="106">
        <f t="shared" si="7"/>
        <v>6.4</v>
      </c>
      <c r="Q11" s="106">
        <f t="shared" si="8"/>
        <v>-17.119565217391305</v>
      </c>
      <c r="R11" s="46">
        <f t="shared" si="9"/>
        <v>-6.4273254186973672</v>
      </c>
      <c r="T11" s="14">
        <f>SUM(U11:AF11)</f>
        <v>35590</v>
      </c>
      <c r="U11" s="528">
        <v>3618</v>
      </c>
      <c r="V11" s="528">
        <v>3562</v>
      </c>
      <c r="W11" s="528">
        <v>3405</v>
      </c>
      <c r="X11" s="528">
        <v>3119</v>
      </c>
      <c r="Y11" s="528">
        <v>2949</v>
      </c>
      <c r="Z11" s="528">
        <v>2837</v>
      </c>
      <c r="AA11" s="528">
        <v>2770</v>
      </c>
      <c r="AB11" s="528">
        <v>2719</v>
      </c>
      <c r="AC11" s="528">
        <v>2641</v>
      </c>
      <c r="AD11" s="528">
        <v>2612</v>
      </c>
      <c r="AE11" s="528">
        <v>2639</v>
      </c>
      <c r="AF11" s="547">
        <v>2719</v>
      </c>
      <c r="AG11" s="14">
        <f t="shared" si="13"/>
        <v>44858</v>
      </c>
      <c r="AH11" s="590">
        <v>4278</v>
      </c>
      <c r="AI11" s="590">
        <v>4248</v>
      </c>
      <c r="AJ11" s="590">
        <v>4115</v>
      </c>
      <c r="AK11" s="590">
        <v>3949</v>
      </c>
      <c r="AL11" s="590">
        <v>3754</v>
      </c>
      <c r="AM11" s="590">
        <v>3652</v>
      </c>
      <c r="AN11" s="590">
        <v>3636</v>
      </c>
      <c r="AO11" s="590">
        <v>3567</v>
      </c>
      <c r="AP11" s="590">
        <v>3457</v>
      </c>
      <c r="AQ11" s="590">
        <v>3408</v>
      </c>
      <c r="AR11" s="590">
        <v>3342</v>
      </c>
      <c r="AS11" s="547">
        <v>3452</v>
      </c>
    </row>
    <row r="12" spans="2:45" x14ac:dyDescent="0.25">
      <c r="B12" s="215" t="s">
        <v>29</v>
      </c>
      <c r="C12" s="13">
        <v>3962</v>
      </c>
      <c r="D12" s="14">
        <v>1285</v>
      </c>
      <c r="E12" s="14">
        <v>343</v>
      </c>
      <c r="F12" s="164">
        <f t="shared" si="10"/>
        <v>20.198889449772842</v>
      </c>
      <c r="G12" s="13">
        <f>SUM(T.XXV!C12)</f>
        <v>3642</v>
      </c>
      <c r="H12" s="14">
        <f>SUM(T.XXV!D12)</f>
        <v>1816</v>
      </c>
      <c r="I12" s="14">
        <f>SUM(T.XXV!E12)</f>
        <v>396</v>
      </c>
      <c r="J12" s="164">
        <f t="shared" si="4"/>
        <v>19.299560680944538</v>
      </c>
      <c r="K12" s="13">
        <f t="shared" si="11"/>
        <v>-320</v>
      </c>
      <c r="L12" s="14">
        <f t="shared" si="5"/>
        <v>531</v>
      </c>
      <c r="M12" s="14">
        <f t="shared" si="6"/>
        <v>53</v>
      </c>
      <c r="N12" s="220">
        <f t="shared" si="1"/>
        <v>-0.8993287688283047</v>
      </c>
      <c r="O12" s="221">
        <f t="shared" si="12"/>
        <v>-8.0767289247854617</v>
      </c>
      <c r="P12" s="106">
        <f t="shared" si="7"/>
        <v>41.322957198443575</v>
      </c>
      <c r="Q12" s="106">
        <f t="shared" si="8"/>
        <v>15.451895043731778</v>
      </c>
      <c r="R12" s="46">
        <f t="shared" si="9"/>
        <v>-4.4523673990325179</v>
      </c>
      <c r="T12" s="14">
        <f t="shared" ref="T12:T33" si="14">SUM(U12:AF12)</f>
        <v>70289</v>
      </c>
      <c r="U12" s="528">
        <v>6836</v>
      </c>
      <c r="V12" s="528">
        <v>6879</v>
      </c>
      <c r="W12" s="528">
        <v>6619</v>
      </c>
      <c r="X12" s="528">
        <v>6264</v>
      </c>
      <c r="Y12" s="528">
        <v>6027</v>
      </c>
      <c r="Z12" s="528">
        <v>5808</v>
      </c>
      <c r="AA12" s="528">
        <v>5741</v>
      </c>
      <c r="AB12" s="528">
        <v>5488</v>
      </c>
      <c r="AC12" s="528">
        <v>5289</v>
      </c>
      <c r="AD12" s="528">
        <v>5060</v>
      </c>
      <c r="AE12" s="528">
        <v>5063</v>
      </c>
      <c r="AF12" s="547">
        <v>5215</v>
      </c>
      <c r="AG12" s="14">
        <f t="shared" si="13"/>
        <v>80028</v>
      </c>
      <c r="AH12" s="590">
        <v>7258</v>
      </c>
      <c r="AI12" s="590">
        <v>7308</v>
      </c>
      <c r="AJ12" s="590">
        <v>7080</v>
      </c>
      <c r="AK12" s="590">
        <v>6809</v>
      </c>
      <c r="AL12" s="590">
        <v>6668</v>
      </c>
      <c r="AM12" s="590">
        <v>6394</v>
      </c>
      <c r="AN12" s="590">
        <v>6469</v>
      </c>
      <c r="AO12" s="590">
        <v>6425</v>
      </c>
      <c r="AP12" s="590">
        <v>6349</v>
      </c>
      <c r="AQ12" s="590">
        <v>6312</v>
      </c>
      <c r="AR12" s="590">
        <v>6405</v>
      </c>
      <c r="AS12" s="547">
        <v>6551</v>
      </c>
    </row>
    <row r="13" spans="2:45" x14ac:dyDescent="0.25">
      <c r="B13" s="215" t="s">
        <v>30</v>
      </c>
      <c r="C13" s="13">
        <v>1722</v>
      </c>
      <c r="D13" s="14">
        <v>1136</v>
      </c>
      <c r="E13" s="14">
        <v>290</v>
      </c>
      <c r="F13" s="164">
        <f t="shared" si="10"/>
        <v>36.89605110336818</v>
      </c>
      <c r="G13" s="13">
        <f>SUM(T.XXV!C13)</f>
        <v>1392</v>
      </c>
      <c r="H13" s="14">
        <f>SUM(T.XXV!D13)</f>
        <v>869</v>
      </c>
      <c r="I13" s="14">
        <f>SUM(T.XXV!E13)</f>
        <v>248</v>
      </c>
      <c r="J13" s="164">
        <f t="shared" si="4"/>
        <v>42.975574712643677</v>
      </c>
      <c r="K13" s="13">
        <f t="shared" si="11"/>
        <v>-330</v>
      </c>
      <c r="L13" s="14">
        <f t="shared" si="5"/>
        <v>-267</v>
      </c>
      <c r="M13" s="14">
        <f t="shared" si="6"/>
        <v>-42</v>
      </c>
      <c r="N13" s="220">
        <f t="shared" si="1"/>
        <v>6.0795236092754976</v>
      </c>
      <c r="O13" s="221">
        <f t="shared" si="12"/>
        <v>-19.16376306620209</v>
      </c>
      <c r="P13" s="106">
        <f t="shared" si="7"/>
        <v>-23.503521126760564</v>
      </c>
      <c r="Q13" s="106">
        <f t="shared" si="8"/>
        <v>-14.482758620689657</v>
      </c>
      <c r="R13" s="46">
        <f t="shared" si="9"/>
        <v>16.477437090064385</v>
      </c>
      <c r="T13" s="14">
        <f>SUM(U13:AF13)</f>
        <v>59822</v>
      </c>
      <c r="U13" s="528">
        <v>5467</v>
      </c>
      <c r="V13" s="528">
        <v>5538</v>
      </c>
      <c r="W13" s="528">
        <v>5420</v>
      </c>
      <c r="X13" s="528">
        <v>5126</v>
      </c>
      <c r="Y13" s="528">
        <v>4975</v>
      </c>
      <c r="Z13" s="528">
        <v>4807</v>
      </c>
      <c r="AA13" s="528">
        <v>4770</v>
      </c>
      <c r="AB13" s="528">
        <v>4731</v>
      </c>
      <c r="AC13" s="528">
        <v>4650</v>
      </c>
      <c r="AD13" s="528">
        <v>4679</v>
      </c>
      <c r="AE13" s="528">
        <v>4741</v>
      </c>
      <c r="AF13" s="547">
        <v>4918</v>
      </c>
      <c r="AG13" s="14">
        <f t="shared" si="13"/>
        <v>63535</v>
      </c>
      <c r="AH13" s="590">
        <v>6051</v>
      </c>
      <c r="AI13" s="590">
        <v>6026</v>
      </c>
      <c r="AJ13" s="590">
        <v>5824</v>
      </c>
      <c r="AK13" s="590">
        <v>5472</v>
      </c>
      <c r="AL13" s="590">
        <v>5178</v>
      </c>
      <c r="AM13" s="590">
        <v>5063</v>
      </c>
      <c r="AN13" s="590">
        <v>5041</v>
      </c>
      <c r="AO13" s="590">
        <v>4885</v>
      </c>
      <c r="AP13" s="590">
        <v>4888</v>
      </c>
      <c r="AQ13" s="590">
        <v>4906</v>
      </c>
      <c r="AR13" s="590">
        <v>5022</v>
      </c>
      <c r="AS13" s="547">
        <v>5179</v>
      </c>
    </row>
    <row r="14" spans="2:45" x14ac:dyDescent="0.25">
      <c r="B14" s="215" t="s">
        <v>31</v>
      </c>
      <c r="C14" s="13">
        <v>1637</v>
      </c>
      <c r="D14" s="14">
        <v>852</v>
      </c>
      <c r="E14" s="14">
        <v>240</v>
      </c>
      <c r="F14" s="164">
        <f t="shared" si="10"/>
        <v>15.206475259621259</v>
      </c>
      <c r="G14" s="13">
        <f>SUM(T.XXV!C14)</f>
        <v>1699</v>
      </c>
      <c r="H14" s="14">
        <f>SUM(T.XXV!D14)</f>
        <v>893</v>
      </c>
      <c r="I14" s="14">
        <f>SUM(T.XXV!E14)</f>
        <v>199</v>
      </c>
      <c r="J14" s="164">
        <f t="shared" si="4"/>
        <v>13.276044732195409</v>
      </c>
      <c r="K14" s="13">
        <f t="shared" si="11"/>
        <v>62</v>
      </c>
      <c r="L14" s="14">
        <f t="shared" si="5"/>
        <v>41</v>
      </c>
      <c r="M14" s="14">
        <f t="shared" si="6"/>
        <v>-41</v>
      </c>
      <c r="N14" s="220">
        <f t="shared" si="1"/>
        <v>-1.93043052742585</v>
      </c>
      <c r="O14" s="221">
        <f t="shared" si="12"/>
        <v>3.7874160048869885</v>
      </c>
      <c r="P14" s="106">
        <f t="shared" si="7"/>
        <v>4.812206572769953</v>
      </c>
      <c r="Q14" s="106">
        <f t="shared" si="8"/>
        <v>-17.083333333333332</v>
      </c>
      <c r="R14" s="46">
        <f t="shared" si="9"/>
        <v>-12.694792806797558</v>
      </c>
      <c r="T14" s="14">
        <f t="shared" si="14"/>
        <v>22556</v>
      </c>
      <c r="U14" s="528">
        <v>2112</v>
      </c>
      <c r="V14" s="528">
        <v>2126</v>
      </c>
      <c r="W14" s="528">
        <v>2039</v>
      </c>
      <c r="X14" s="528">
        <v>1915</v>
      </c>
      <c r="Y14" s="528">
        <v>1850</v>
      </c>
      <c r="Z14" s="528">
        <v>1800</v>
      </c>
      <c r="AA14" s="528">
        <v>1805</v>
      </c>
      <c r="AB14" s="528">
        <v>1783</v>
      </c>
      <c r="AC14" s="528">
        <v>1763</v>
      </c>
      <c r="AD14" s="528">
        <v>1765</v>
      </c>
      <c r="AE14" s="528">
        <v>1781</v>
      </c>
      <c r="AF14" s="547">
        <v>1817</v>
      </c>
      <c r="AG14" s="14">
        <f t="shared" si="13"/>
        <v>24893</v>
      </c>
      <c r="AH14" s="590">
        <v>2413</v>
      </c>
      <c r="AI14" s="590">
        <v>2390</v>
      </c>
      <c r="AJ14" s="590">
        <v>2316</v>
      </c>
      <c r="AK14" s="590">
        <v>2191</v>
      </c>
      <c r="AL14" s="590">
        <v>2081</v>
      </c>
      <c r="AM14" s="590">
        <v>1937</v>
      </c>
      <c r="AN14" s="590">
        <v>1928</v>
      </c>
      <c r="AO14" s="590">
        <v>1927</v>
      </c>
      <c r="AP14" s="590">
        <v>1919</v>
      </c>
      <c r="AQ14" s="590">
        <v>1934</v>
      </c>
      <c r="AR14" s="590">
        <v>1885</v>
      </c>
      <c r="AS14" s="547">
        <v>1972</v>
      </c>
    </row>
    <row r="15" spans="2:45" x14ac:dyDescent="0.25">
      <c r="B15" s="215" t="s">
        <v>32</v>
      </c>
      <c r="C15" s="13">
        <v>942</v>
      </c>
      <c r="D15" s="14">
        <v>345</v>
      </c>
      <c r="E15" s="14">
        <v>137</v>
      </c>
      <c r="F15" s="164">
        <f t="shared" si="10"/>
        <v>29</v>
      </c>
      <c r="G15" s="13">
        <f>SUM(T.XXV!C15)</f>
        <v>823</v>
      </c>
      <c r="H15" s="14">
        <f>SUM(T.XXV!D15)</f>
        <v>353</v>
      </c>
      <c r="I15" s="14">
        <f>SUM(T.XXV!E15)</f>
        <v>123</v>
      </c>
      <c r="J15" s="164">
        <f t="shared" si="4"/>
        <v>27.91737545565006</v>
      </c>
      <c r="K15" s="13">
        <f t="shared" si="11"/>
        <v>-119</v>
      </c>
      <c r="L15" s="14">
        <f t="shared" si="5"/>
        <v>8</v>
      </c>
      <c r="M15" s="14">
        <f t="shared" si="6"/>
        <v>-14</v>
      </c>
      <c r="N15" s="220">
        <f t="shared" si="1"/>
        <v>-1.0826245443499403</v>
      </c>
      <c r="O15" s="221">
        <f t="shared" si="12"/>
        <v>-12.632696390658174</v>
      </c>
      <c r="P15" s="106">
        <f t="shared" si="7"/>
        <v>2.318840579710145</v>
      </c>
      <c r="Q15" s="106">
        <f t="shared" si="8"/>
        <v>-10.218978102189782</v>
      </c>
      <c r="R15" s="46">
        <f t="shared" si="9"/>
        <v>-3.7331880839653118</v>
      </c>
      <c r="T15" s="14">
        <f t="shared" si="14"/>
        <v>22976</v>
      </c>
      <c r="U15" s="528">
        <v>2363</v>
      </c>
      <c r="V15" s="528">
        <v>2298</v>
      </c>
      <c r="W15" s="528">
        <v>2130</v>
      </c>
      <c r="X15" s="528">
        <v>1989</v>
      </c>
      <c r="Y15" s="528">
        <v>1858</v>
      </c>
      <c r="Z15" s="528">
        <v>1799</v>
      </c>
      <c r="AA15" s="528">
        <v>1759</v>
      </c>
      <c r="AB15" s="528">
        <v>1700</v>
      </c>
      <c r="AC15" s="528">
        <v>1722</v>
      </c>
      <c r="AD15" s="528">
        <v>1734</v>
      </c>
      <c r="AE15" s="528">
        <v>1783</v>
      </c>
      <c r="AF15" s="547">
        <v>1841</v>
      </c>
      <c r="AG15" s="14">
        <f t="shared" si="13"/>
        <v>27318</v>
      </c>
      <c r="AH15" s="590">
        <v>2735</v>
      </c>
      <c r="AI15" s="590">
        <v>2701</v>
      </c>
      <c r="AJ15" s="590">
        <v>2581</v>
      </c>
      <c r="AK15" s="590">
        <v>2454</v>
      </c>
      <c r="AL15" s="590">
        <v>2247</v>
      </c>
      <c r="AM15" s="590">
        <v>2109</v>
      </c>
      <c r="AN15" s="590">
        <v>2079</v>
      </c>
      <c r="AO15" s="590">
        <v>2047</v>
      </c>
      <c r="AP15" s="590">
        <v>2017</v>
      </c>
      <c r="AQ15" s="590">
        <v>2036</v>
      </c>
      <c r="AR15" s="590">
        <v>2125</v>
      </c>
      <c r="AS15" s="547">
        <v>2187</v>
      </c>
    </row>
    <row r="16" spans="2:45" x14ac:dyDescent="0.25">
      <c r="B16" s="215" t="s">
        <v>33</v>
      </c>
      <c r="C16" s="13">
        <v>626</v>
      </c>
      <c r="D16" s="14">
        <v>269</v>
      </c>
      <c r="E16" s="14">
        <v>126</v>
      </c>
      <c r="F16" s="164">
        <f t="shared" si="10"/>
        <v>35.453674121405754</v>
      </c>
      <c r="G16" s="13">
        <f>SUM(T.XXV!C16)</f>
        <v>551</v>
      </c>
      <c r="H16" s="14">
        <f>SUM(T.XXV!D16)</f>
        <v>247</v>
      </c>
      <c r="I16" s="14">
        <f>SUM(T.XXV!E16)</f>
        <v>80</v>
      </c>
      <c r="J16" s="164">
        <f>SUM(T16)/G16</f>
        <v>38.223230490018146</v>
      </c>
      <c r="K16" s="13">
        <f>SUM(G16)-C16</f>
        <v>-75</v>
      </c>
      <c r="L16" s="14">
        <f t="shared" si="5"/>
        <v>-22</v>
      </c>
      <c r="M16" s="14">
        <f t="shared" si="6"/>
        <v>-46</v>
      </c>
      <c r="N16" s="220">
        <f t="shared" si="1"/>
        <v>2.7695563686123919</v>
      </c>
      <c r="O16" s="221">
        <f t="shared" si="12"/>
        <v>-11.980830670926517</v>
      </c>
      <c r="P16" s="106">
        <f t="shared" si="7"/>
        <v>-8.1784386617100377</v>
      </c>
      <c r="Q16" s="106">
        <f t="shared" si="8"/>
        <v>-36.507936507936506</v>
      </c>
      <c r="R16" s="46">
        <f t="shared" si="9"/>
        <v>7.8117612271395744</v>
      </c>
      <c r="T16" s="14">
        <f>SUM(U16:AF16)</f>
        <v>21061</v>
      </c>
      <c r="U16" s="528">
        <v>1976</v>
      </c>
      <c r="V16" s="528">
        <v>1957</v>
      </c>
      <c r="W16" s="528">
        <v>1885</v>
      </c>
      <c r="X16" s="528">
        <v>1783</v>
      </c>
      <c r="Y16" s="528">
        <v>1667</v>
      </c>
      <c r="Z16" s="528">
        <v>1618</v>
      </c>
      <c r="AA16" s="528">
        <v>1610</v>
      </c>
      <c r="AB16" s="528">
        <v>1591</v>
      </c>
      <c r="AC16" s="528">
        <v>1615</v>
      </c>
      <c r="AD16" s="528">
        <v>1702</v>
      </c>
      <c r="AE16" s="528">
        <v>1805</v>
      </c>
      <c r="AF16" s="547">
        <v>1852</v>
      </c>
      <c r="AG16" s="14">
        <f>SUM(AH16:AS16)</f>
        <v>22194</v>
      </c>
      <c r="AH16" s="590">
        <v>2105</v>
      </c>
      <c r="AI16" s="590">
        <v>2104</v>
      </c>
      <c r="AJ16" s="590">
        <v>2056</v>
      </c>
      <c r="AK16" s="590">
        <v>1900</v>
      </c>
      <c r="AL16" s="590">
        <v>1750</v>
      </c>
      <c r="AM16" s="590">
        <v>1666</v>
      </c>
      <c r="AN16" s="590">
        <v>1714</v>
      </c>
      <c r="AO16" s="590">
        <v>1672</v>
      </c>
      <c r="AP16" s="590">
        <v>1698</v>
      </c>
      <c r="AQ16" s="590">
        <v>1756</v>
      </c>
      <c r="AR16" s="590">
        <v>1850</v>
      </c>
      <c r="AS16" s="547">
        <v>1923</v>
      </c>
    </row>
    <row r="17" spans="2:45" x14ac:dyDescent="0.25">
      <c r="B17" s="215" t="s">
        <v>34</v>
      </c>
      <c r="C17" s="13">
        <v>1701</v>
      </c>
      <c r="D17" s="14">
        <v>828</v>
      </c>
      <c r="E17" s="14">
        <v>344</v>
      </c>
      <c r="F17" s="164">
        <f t="shared" si="10"/>
        <v>26.689594356261022</v>
      </c>
      <c r="G17" s="13">
        <f>SUM(T.XXV!C17)</f>
        <v>1747</v>
      </c>
      <c r="H17" s="14">
        <f>SUM(T.XXV!D17)</f>
        <v>903</v>
      </c>
      <c r="I17" s="14">
        <f>SUM(T.XXV!E17)</f>
        <v>278</v>
      </c>
      <c r="J17" s="164">
        <f t="shared" si="4"/>
        <v>23.666857469948482</v>
      </c>
      <c r="K17" s="13">
        <f t="shared" si="11"/>
        <v>46</v>
      </c>
      <c r="L17" s="14">
        <f t="shared" si="5"/>
        <v>75</v>
      </c>
      <c r="M17" s="14">
        <f t="shared" si="6"/>
        <v>-66</v>
      </c>
      <c r="N17" s="220">
        <f t="shared" si="1"/>
        <v>-3.0227368863125399</v>
      </c>
      <c r="O17" s="221">
        <f t="shared" si="12"/>
        <v>2.7042915931804821</v>
      </c>
      <c r="P17" s="106">
        <f t="shared" si="7"/>
        <v>9.0579710144927539</v>
      </c>
      <c r="Q17" s="106">
        <f t="shared" si="8"/>
        <v>-19.186046511627907</v>
      </c>
      <c r="R17" s="46">
        <f t="shared" si="9"/>
        <v>-11.325525768447831</v>
      </c>
      <c r="T17" s="14">
        <f>SUM(U17:AF17)</f>
        <v>41346</v>
      </c>
      <c r="U17" s="528">
        <v>3779</v>
      </c>
      <c r="V17" s="528">
        <v>3799</v>
      </c>
      <c r="W17" s="528">
        <v>3662</v>
      </c>
      <c r="X17" s="528">
        <v>3463</v>
      </c>
      <c r="Y17" s="528">
        <v>3405</v>
      </c>
      <c r="Z17" s="528">
        <v>3377</v>
      </c>
      <c r="AA17" s="528">
        <v>3366</v>
      </c>
      <c r="AB17" s="528">
        <v>3366</v>
      </c>
      <c r="AC17" s="528">
        <v>3261</v>
      </c>
      <c r="AD17" s="528">
        <v>3234</v>
      </c>
      <c r="AE17" s="528">
        <v>3254</v>
      </c>
      <c r="AF17" s="547">
        <v>3380</v>
      </c>
      <c r="AG17" s="14">
        <f t="shared" si="13"/>
        <v>45399</v>
      </c>
      <c r="AH17" s="590">
        <v>4164</v>
      </c>
      <c r="AI17" s="590">
        <v>4176</v>
      </c>
      <c r="AJ17" s="590">
        <v>4033</v>
      </c>
      <c r="AK17" s="590">
        <v>3966</v>
      </c>
      <c r="AL17" s="590">
        <v>3827</v>
      </c>
      <c r="AM17" s="590">
        <v>3657</v>
      </c>
      <c r="AN17" s="590">
        <v>3703</v>
      </c>
      <c r="AO17" s="590">
        <v>3654</v>
      </c>
      <c r="AP17" s="590">
        <v>3544</v>
      </c>
      <c r="AQ17" s="590">
        <v>3441</v>
      </c>
      <c r="AR17" s="590">
        <v>3548</v>
      </c>
      <c r="AS17" s="547">
        <v>3686</v>
      </c>
    </row>
    <row r="18" spans="2:45" x14ac:dyDescent="0.25">
      <c r="B18" s="215" t="s">
        <v>35</v>
      </c>
      <c r="C18" s="13">
        <v>1333</v>
      </c>
      <c r="D18" s="14">
        <v>700</v>
      </c>
      <c r="E18" s="14">
        <v>318</v>
      </c>
      <c r="F18" s="164">
        <f t="shared" si="10"/>
        <v>19.177044261065266</v>
      </c>
      <c r="G18" s="13">
        <f>SUM(T.XXV!C18)</f>
        <v>1032</v>
      </c>
      <c r="H18" s="14">
        <f>SUM(T.XXV!D18)</f>
        <v>689</v>
      </c>
      <c r="I18" s="14">
        <f>SUM(T.XXV!E18)</f>
        <v>275</v>
      </c>
      <c r="J18" s="164">
        <f t="shared" si="4"/>
        <v>22.143410852713178</v>
      </c>
      <c r="K18" s="13">
        <f t="shared" si="11"/>
        <v>-301</v>
      </c>
      <c r="L18" s="14">
        <f t="shared" si="5"/>
        <v>-11</v>
      </c>
      <c r="M18" s="14">
        <f t="shared" si="6"/>
        <v>-43</v>
      </c>
      <c r="N18" s="220">
        <f t="shared" si="1"/>
        <v>2.9663665916479118</v>
      </c>
      <c r="O18" s="221">
        <f t="shared" si="12"/>
        <v>-22.58064516129032</v>
      </c>
      <c r="P18" s="106">
        <f t="shared" si="7"/>
        <v>-1.5714285714285716</v>
      </c>
      <c r="Q18" s="106">
        <f t="shared" si="8"/>
        <v>-13.522012578616351</v>
      </c>
      <c r="R18" s="46">
        <f t="shared" si="9"/>
        <v>15.468320098058392</v>
      </c>
      <c r="T18" s="14">
        <f t="shared" si="14"/>
        <v>22852</v>
      </c>
      <c r="U18" s="528">
        <v>2306</v>
      </c>
      <c r="V18" s="528">
        <v>2267</v>
      </c>
      <c r="W18" s="528">
        <v>2118</v>
      </c>
      <c r="X18" s="528">
        <v>1919</v>
      </c>
      <c r="Y18" s="528">
        <v>1825</v>
      </c>
      <c r="Z18" s="528">
        <v>1750</v>
      </c>
      <c r="AA18" s="528">
        <v>1696</v>
      </c>
      <c r="AB18" s="528">
        <v>1704</v>
      </c>
      <c r="AC18" s="528">
        <v>1712</v>
      </c>
      <c r="AD18" s="528">
        <v>1739</v>
      </c>
      <c r="AE18" s="528">
        <v>1830</v>
      </c>
      <c r="AF18" s="547">
        <v>1986</v>
      </c>
      <c r="AG18" s="14">
        <f t="shared" si="13"/>
        <v>25563</v>
      </c>
      <c r="AH18" s="590">
        <v>2554</v>
      </c>
      <c r="AI18" s="590">
        <v>2502</v>
      </c>
      <c r="AJ18" s="590">
        <v>2383</v>
      </c>
      <c r="AK18" s="590">
        <v>2221</v>
      </c>
      <c r="AL18" s="590">
        <v>2083</v>
      </c>
      <c r="AM18" s="590">
        <v>1996</v>
      </c>
      <c r="AN18" s="590">
        <v>1971</v>
      </c>
      <c r="AO18" s="590">
        <v>1932</v>
      </c>
      <c r="AP18" s="590">
        <v>1871</v>
      </c>
      <c r="AQ18" s="590">
        <v>1909</v>
      </c>
      <c r="AR18" s="590">
        <v>2016</v>
      </c>
      <c r="AS18" s="547">
        <v>2125</v>
      </c>
    </row>
    <row r="19" spans="2:45" x14ac:dyDescent="0.25">
      <c r="B19" s="215" t="s">
        <v>36</v>
      </c>
      <c r="C19" s="13">
        <v>1559</v>
      </c>
      <c r="D19" s="14">
        <v>789</v>
      </c>
      <c r="E19" s="14">
        <v>343</v>
      </c>
      <c r="F19" s="164">
        <f t="shared" si="10"/>
        <v>26.283515073765233</v>
      </c>
      <c r="G19" s="13">
        <f>SUM(T.XXV!C19)</f>
        <v>1595</v>
      </c>
      <c r="H19" s="14">
        <f>SUM(T.XXV!D19)</f>
        <v>855</v>
      </c>
      <c r="I19" s="14">
        <f>SUM(T.XXV!E19)</f>
        <v>308</v>
      </c>
      <c r="J19" s="164">
        <f t="shared" si="4"/>
        <v>23.882758620689657</v>
      </c>
      <c r="K19" s="13">
        <f t="shared" si="11"/>
        <v>36</v>
      </c>
      <c r="L19" s="14">
        <f t="shared" si="5"/>
        <v>66</v>
      </c>
      <c r="M19" s="14">
        <f t="shared" si="6"/>
        <v>-35</v>
      </c>
      <c r="N19" s="220">
        <f t="shared" si="1"/>
        <v>-2.4007564530755765</v>
      </c>
      <c r="O19" s="221">
        <f t="shared" si="12"/>
        <v>2.3091725465041693</v>
      </c>
      <c r="P19" s="106">
        <f t="shared" si="7"/>
        <v>8.3650190114068437</v>
      </c>
      <c r="Q19" s="106">
        <f t="shared" si="8"/>
        <v>-10.204081632653061</v>
      </c>
      <c r="R19" s="46">
        <f t="shared" si="9"/>
        <v>-9.1340768018958016</v>
      </c>
      <c r="T19" s="14">
        <f t="shared" si="14"/>
        <v>38093</v>
      </c>
      <c r="U19" s="528">
        <v>3647</v>
      </c>
      <c r="V19" s="528">
        <v>3581</v>
      </c>
      <c r="W19" s="528">
        <v>3442</v>
      </c>
      <c r="X19" s="528">
        <v>3252</v>
      </c>
      <c r="Y19" s="528">
        <v>3092</v>
      </c>
      <c r="Z19" s="528">
        <v>3026</v>
      </c>
      <c r="AA19" s="528">
        <v>3086</v>
      </c>
      <c r="AB19" s="528">
        <v>3074</v>
      </c>
      <c r="AC19" s="528">
        <v>2948</v>
      </c>
      <c r="AD19" s="528">
        <v>2897</v>
      </c>
      <c r="AE19" s="528">
        <v>2959</v>
      </c>
      <c r="AF19" s="547">
        <v>3089</v>
      </c>
      <c r="AG19" s="14">
        <f t="shared" si="13"/>
        <v>40976</v>
      </c>
      <c r="AH19" s="590">
        <v>3808</v>
      </c>
      <c r="AI19" s="590">
        <v>3762</v>
      </c>
      <c r="AJ19" s="590">
        <v>3633</v>
      </c>
      <c r="AK19" s="590">
        <v>3486</v>
      </c>
      <c r="AL19" s="590">
        <v>3287</v>
      </c>
      <c r="AM19" s="590">
        <v>3212</v>
      </c>
      <c r="AN19" s="590">
        <v>3269</v>
      </c>
      <c r="AO19" s="590">
        <v>3264</v>
      </c>
      <c r="AP19" s="590">
        <v>3209</v>
      </c>
      <c r="AQ19" s="590">
        <v>3223</v>
      </c>
      <c r="AR19" s="590">
        <v>3341</v>
      </c>
      <c r="AS19" s="547">
        <v>3482</v>
      </c>
    </row>
    <row r="20" spans="2:45" x14ac:dyDescent="0.25">
      <c r="B20" s="215" t="s">
        <v>37</v>
      </c>
      <c r="C20" s="13">
        <v>5939</v>
      </c>
      <c r="D20" s="14">
        <v>1252</v>
      </c>
      <c r="E20" s="14">
        <v>323</v>
      </c>
      <c r="F20" s="164">
        <f>SUM(AG20/C20)</f>
        <v>6.5901666947297528</v>
      </c>
      <c r="G20" s="13">
        <f>SUM(T.XXV!C20)</f>
        <v>5675</v>
      </c>
      <c r="H20" s="14">
        <f>SUM(T.XXV!D20)</f>
        <v>1352</v>
      </c>
      <c r="I20" s="14">
        <f>SUM(T.XXV!E20)</f>
        <v>401</v>
      </c>
      <c r="J20" s="164">
        <f>SUM(T20)/G20</f>
        <v>5.8685462555066081</v>
      </c>
      <c r="K20" s="13">
        <f t="shared" si="11"/>
        <v>-264</v>
      </c>
      <c r="L20" s="14">
        <f t="shared" si="5"/>
        <v>100</v>
      </c>
      <c r="M20" s="14">
        <f t="shared" si="6"/>
        <v>78</v>
      </c>
      <c r="N20" s="220">
        <f t="shared" si="1"/>
        <v>-0.72162043922314467</v>
      </c>
      <c r="O20" s="221">
        <f t="shared" si="12"/>
        <v>-4.4451927933995616</v>
      </c>
      <c r="P20" s="106">
        <f t="shared" si="7"/>
        <v>7.9872204472843444</v>
      </c>
      <c r="Q20" s="106">
        <f t="shared" si="8"/>
        <v>24.148606811145513</v>
      </c>
      <c r="R20" s="46">
        <f t="shared" si="9"/>
        <v>-10.949957302297596</v>
      </c>
      <c r="T20" s="14">
        <f t="shared" si="14"/>
        <v>33304</v>
      </c>
      <c r="U20" s="528">
        <v>2990</v>
      </c>
      <c r="V20" s="528">
        <v>2985</v>
      </c>
      <c r="W20" s="528">
        <v>2863</v>
      </c>
      <c r="X20" s="528">
        <v>2730</v>
      </c>
      <c r="Y20" s="528">
        <v>2634</v>
      </c>
      <c r="Z20" s="528">
        <v>2606</v>
      </c>
      <c r="AA20" s="528">
        <v>2649</v>
      </c>
      <c r="AB20" s="528">
        <v>2738</v>
      </c>
      <c r="AC20" s="528">
        <v>2745</v>
      </c>
      <c r="AD20" s="528">
        <v>2759</v>
      </c>
      <c r="AE20" s="528">
        <v>2756</v>
      </c>
      <c r="AF20" s="547">
        <v>2849</v>
      </c>
      <c r="AG20" s="14">
        <f t="shared" si="13"/>
        <v>39139</v>
      </c>
      <c r="AH20" s="590">
        <v>3765</v>
      </c>
      <c r="AI20" s="590">
        <v>3719</v>
      </c>
      <c r="AJ20" s="590">
        <v>3573</v>
      </c>
      <c r="AK20" s="590">
        <v>3370</v>
      </c>
      <c r="AL20" s="590">
        <v>3257</v>
      </c>
      <c r="AM20" s="590">
        <v>3220</v>
      </c>
      <c r="AN20" s="590">
        <v>3231</v>
      </c>
      <c r="AO20" s="590">
        <v>3224</v>
      </c>
      <c r="AP20" s="590">
        <v>3119</v>
      </c>
      <c r="AQ20" s="590">
        <v>2892</v>
      </c>
      <c r="AR20" s="590">
        <v>2874</v>
      </c>
      <c r="AS20" s="547">
        <v>2895</v>
      </c>
    </row>
    <row r="21" spans="2:45" x14ac:dyDescent="0.25">
      <c r="B21" s="215" t="s">
        <v>38</v>
      </c>
      <c r="C21" s="13">
        <v>1985</v>
      </c>
      <c r="D21" s="14">
        <v>1000</v>
      </c>
      <c r="E21" s="14">
        <v>423</v>
      </c>
      <c r="F21" s="164">
        <f t="shared" si="10"/>
        <v>23.390931989924432</v>
      </c>
      <c r="G21" s="13">
        <f>SUM(T.XXV!C21)</f>
        <v>1373</v>
      </c>
      <c r="H21" s="14">
        <f>SUM(T.XXV!D21)</f>
        <v>963</v>
      </c>
      <c r="I21" s="14">
        <f>SUM(T.XXV!E21)</f>
        <v>388</v>
      </c>
      <c r="J21" s="164">
        <f t="shared" si="4"/>
        <v>32.188638018936636</v>
      </c>
      <c r="K21" s="13">
        <f t="shared" si="11"/>
        <v>-612</v>
      </c>
      <c r="L21" s="14">
        <f t="shared" si="5"/>
        <v>-37</v>
      </c>
      <c r="M21" s="14">
        <f t="shared" si="6"/>
        <v>-35</v>
      </c>
      <c r="N21" s="220">
        <f t="shared" si="1"/>
        <v>8.797706029012204</v>
      </c>
      <c r="O21" s="221">
        <f t="shared" si="12"/>
        <v>-30.831234256926955</v>
      </c>
      <c r="P21" s="106">
        <f t="shared" si="7"/>
        <v>-3.6999999999999997</v>
      </c>
      <c r="Q21" s="106">
        <f t="shared" si="8"/>
        <v>-8.2742316784869967</v>
      </c>
      <c r="R21" s="46">
        <f t="shared" si="9"/>
        <v>37.611609630611497</v>
      </c>
      <c r="T21" s="14">
        <f t="shared" si="14"/>
        <v>44195</v>
      </c>
      <c r="U21" s="528">
        <v>4010</v>
      </c>
      <c r="V21" s="528">
        <v>4033</v>
      </c>
      <c r="W21" s="528">
        <v>3916</v>
      </c>
      <c r="X21" s="528">
        <v>3768</v>
      </c>
      <c r="Y21" s="528">
        <v>3585</v>
      </c>
      <c r="Z21" s="528">
        <v>3546</v>
      </c>
      <c r="AA21" s="528">
        <v>3610</v>
      </c>
      <c r="AB21" s="528">
        <v>3627</v>
      </c>
      <c r="AC21" s="528">
        <v>3506</v>
      </c>
      <c r="AD21" s="528">
        <v>3470</v>
      </c>
      <c r="AE21" s="528">
        <v>3508</v>
      </c>
      <c r="AF21" s="547">
        <v>3616</v>
      </c>
      <c r="AG21" s="14">
        <f t="shared" si="13"/>
        <v>46431</v>
      </c>
      <c r="AH21" s="590">
        <v>4242</v>
      </c>
      <c r="AI21" s="590">
        <v>4175</v>
      </c>
      <c r="AJ21" s="590">
        <v>4121</v>
      </c>
      <c r="AK21" s="590">
        <v>3953</v>
      </c>
      <c r="AL21" s="590">
        <v>3796</v>
      </c>
      <c r="AM21" s="590">
        <v>3687</v>
      </c>
      <c r="AN21" s="590">
        <v>3728</v>
      </c>
      <c r="AO21" s="590">
        <v>3765</v>
      </c>
      <c r="AP21" s="590">
        <v>3669</v>
      </c>
      <c r="AQ21" s="590">
        <v>3665</v>
      </c>
      <c r="AR21" s="590">
        <v>3762</v>
      </c>
      <c r="AS21" s="547">
        <v>3868</v>
      </c>
    </row>
    <row r="22" spans="2:45" x14ac:dyDescent="0.25">
      <c r="B22" s="216" t="s">
        <v>39</v>
      </c>
      <c r="C22" s="129">
        <v>685</v>
      </c>
      <c r="D22" s="131">
        <v>458</v>
      </c>
      <c r="E22" s="14">
        <v>235</v>
      </c>
      <c r="F22" s="222">
        <f t="shared" si="10"/>
        <v>65.986861313868616</v>
      </c>
      <c r="G22" s="129">
        <f>SUM(T.XXV!C22)</f>
        <v>578</v>
      </c>
      <c r="H22" s="131">
        <f>SUM(T.XXV!D22)</f>
        <v>433</v>
      </c>
      <c r="I22" s="14">
        <f>SUM(T.XXV!E22)</f>
        <v>230</v>
      </c>
      <c r="J22" s="222">
        <f t="shared" si="4"/>
        <v>72.406574394463661</v>
      </c>
      <c r="K22" s="129">
        <f t="shared" si="11"/>
        <v>-107</v>
      </c>
      <c r="L22" s="131">
        <f t="shared" si="5"/>
        <v>-25</v>
      </c>
      <c r="M22" s="14">
        <f t="shared" si="6"/>
        <v>-5</v>
      </c>
      <c r="N22" s="220">
        <f t="shared" si="1"/>
        <v>6.4197130805950451</v>
      </c>
      <c r="O22" s="223">
        <f t="shared" si="12"/>
        <v>-15.62043795620438</v>
      </c>
      <c r="P22" s="224">
        <f t="shared" si="7"/>
        <v>-5.4585152838427948</v>
      </c>
      <c r="Q22" s="106">
        <f t="shared" si="8"/>
        <v>-2.1276595744680851</v>
      </c>
      <c r="R22" s="46">
        <f t="shared" si="9"/>
        <v>9.7287747178328043</v>
      </c>
      <c r="T22" s="131">
        <f t="shared" si="14"/>
        <v>41851</v>
      </c>
      <c r="U22" s="528">
        <v>3882</v>
      </c>
      <c r="V22" s="528">
        <v>3835</v>
      </c>
      <c r="W22" s="528">
        <v>3682</v>
      </c>
      <c r="X22" s="528">
        <v>3557</v>
      </c>
      <c r="Y22" s="528">
        <v>3487</v>
      </c>
      <c r="Z22" s="528">
        <v>3415</v>
      </c>
      <c r="AA22" s="528">
        <v>3310</v>
      </c>
      <c r="AB22" s="528">
        <v>3305</v>
      </c>
      <c r="AC22" s="528">
        <v>3276</v>
      </c>
      <c r="AD22" s="528">
        <v>3309</v>
      </c>
      <c r="AE22" s="528">
        <v>3328</v>
      </c>
      <c r="AF22" s="548">
        <v>3465</v>
      </c>
      <c r="AG22" s="131">
        <f t="shared" si="13"/>
        <v>45201</v>
      </c>
      <c r="AH22" s="590">
        <v>4236</v>
      </c>
      <c r="AI22" s="590">
        <v>4155</v>
      </c>
      <c r="AJ22" s="590">
        <v>4045</v>
      </c>
      <c r="AK22" s="590">
        <v>3849</v>
      </c>
      <c r="AL22" s="590">
        <v>3670</v>
      </c>
      <c r="AM22" s="590">
        <v>3734</v>
      </c>
      <c r="AN22" s="590">
        <v>3563</v>
      </c>
      <c r="AO22" s="590">
        <v>3581</v>
      </c>
      <c r="AP22" s="590">
        <v>3548</v>
      </c>
      <c r="AQ22" s="590">
        <v>3537</v>
      </c>
      <c r="AR22" s="590">
        <v>3592</v>
      </c>
      <c r="AS22" s="548">
        <v>3691</v>
      </c>
    </row>
    <row r="23" spans="2:45" x14ac:dyDescent="0.25">
      <c r="B23" s="216" t="s">
        <v>40</v>
      </c>
      <c r="C23" s="129">
        <v>2081</v>
      </c>
      <c r="D23" s="131">
        <v>1457</v>
      </c>
      <c r="E23" s="14">
        <v>632</v>
      </c>
      <c r="F23" s="222">
        <f t="shared" si="10"/>
        <v>23.88515136953388</v>
      </c>
      <c r="G23" s="129">
        <f>SUM(T.XXV!C23)</f>
        <v>2256</v>
      </c>
      <c r="H23" s="131">
        <f>SUM(T.XXV!D23)</f>
        <v>1218</v>
      </c>
      <c r="I23" s="14">
        <f>SUM(T.XXV!E23)</f>
        <v>520</v>
      </c>
      <c r="J23" s="222">
        <f t="shared" si="4"/>
        <v>20.475177304964539</v>
      </c>
      <c r="K23" s="129">
        <f t="shared" si="11"/>
        <v>175</v>
      </c>
      <c r="L23" s="131">
        <f t="shared" si="5"/>
        <v>-239</v>
      </c>
      <c r="M23" s="14">
        <f t="shared" si="6"/>
        <v>-112</v>
      </c>
      <c r="N23" s="220">
        <f t="shared" si="1"/>
        <v>-3.4099740645693402</v>
      </c>
      <c r="O23" s="223">
        <f t="shared" si="12"/>
        <v>8.409418548774628</v>
      </c>
      <c r="P23" s="224">
        <f t="shared" si="7"/>
        <v>-16.403568977350723</v>
      </c>
      <c r="Q23" s="106">
        <f t="shared" si="8"/>
        <v>-17.721518987341771</v>
      </c>
      <c r="R23" s="46">
        <f t="shared" si="9"/>
        <v>-14.2765436643573</v>
      </c>
      <c r="T23" s="131">
        <f t="shared" si="14"/>
        <v>46192</v>
      </c>
      <c r="U23" s="528">
        <v>4263</v>
      </c>
      <c r="V23" s="528">
        <v>4177</v>
      </c>
      <c r="W23" s="528">
        <v>4061</v>
      </c>
      <c r="X23" s="528">
        <v>3785</v>
      </c>
      <c r="Y23" s="528">
        <v>3659</v>
      </c>
      <c r="Z23" s="528">
        <v>3644</v>
      </c>
      <c r="AA23" s="528">
        <v>3692</v>
      </c>
      <c r="AB23" s="528">
        <v>3744</v>
      </c>
      <c r="AC23" s="528">
        <v>3747</v>
      </c>
      <c r="AD23" s="528">
        <v>3714</v>
      </c>
      <c r="AE23" s="528">
        <v>3773</v>
      </c>
      <c r="AF23" s="548">
        <v>3933</v>
      </c>
      <c r="AG23" s="131">
        <f t="shared" si="13"/>
        <v>49705</v>
      </c>
      <c r="AH23" s="590">
        <v>4810</v>
      </c>
      <c r="AI23" s="590">
        <v>4602</v>
      </c>
      <c r="AJ23" s="590">
        <v>4469</v>
      </c>
      <c r="AK23" s="590">
        <v>4250</v>
      </c>
      <c r="AL23" s="590">
        <v>3993</v>
      </c>
      <c r="AM23" s="590">
        <v>3897</v>
      </c>
      <c r="AN23" s="590">
        <v>3928</v>
      </c>
      <c r="AO23" s="590">
        <v>3944</v>
      </c>
      <c r="AP23" s="590">
        <v>3882</v>
      </c>
      <c r="AQ23" s="590">
        <v>3871</v>
      </c>
      <c r="AR23" s="590">
        <v>3974</v>
      </c>
      <c r="AS23" s="548">
        <v>4085</v>
      </c>
    </row>
    <row r="24" spans="2:45" x14ac:dyDescent="0.25">
      <c r="B24" s="216" t="s">
        <v>41</v>
      </c>
      <c r="C24" s="129">
        <v>1834</v>
      </c>
      <c r="D24" s="131">
        <v>956</v>
      </c>
      <c r="E24" s="14">
        <v>315</v>
      </c>
      <c r="F24" s="222">
        <f t="shared" si="10"/>
        <v>22.620501635768811</v>
      </c>
      <c r="G24" s="129">
        <f>SUM(T.XXV!C24)</f>
        <v>2024</v>
      </c>
      <c r="H24" s="131">
        <f>SUM(T.XXV!D24)</f>
        <v>949</v>
      </c>
      <c r="I24" s="14">
        <f>SUM(T.XXV!E24)</f>
        <v>383</v>
      </c>
      <c r="J24" s="222">
        <f t="shared" si="4"/>
        <v>18.795948616600789</v>
      </c>
      <c r="K24" s="129">
        <f t="shared" si="11"/>
        <v>190</v>
      </c>
      <c r="L24" s="131">
        <f t="shared" si="5"/>
        <v>-7</v>
      </c>
      <c r="M24" s="14">
        <f t="shared" si="6"/>
        <v>68</v>
      </c>
      <c r="N24" s="220">
        <f t="shared" si="1"/>
        <v>-3.8245530191680217</v>
      </c>
      <c r="O24" s="223">
        <f t="shared" si="12"/>
        <v>10.359869138495092</v>
      </c>
      <c r="P24" s="224">
        <f t="shared" si="7"/>
        <v>-0.73221757322175729</v>
      </c>
      <c r="Q24" s="106">
        <f t="shared" si="8"/>
        <v>21.587301587301589</v>
      </c>
      <c r="R24" s="46">
        <f t="shared" si="9"/>
        <v>-16.90746333016958</v>
      </c>
      <c r="T24" s="131">
        <f t="shared" si="14"/>
        <v>38043</v>
      </c>
      <c r="U24" s="528">
        <v>3555</v>
      </c>
      <c r="V24" s="528">
        <v>3511</v>
      </c>
      <c r="W24" s="528">
        <v>3389</v>
      </c>
      <c r="X24" s="528">
        <v>3289</v>
      </c>
      <c r="Y24" s="528">
        <v>3192</v>
      </c>
      <c r="Z24" s="528">
        <v>3204</v>
      </c>
      <c r="AA24" s="528">
        <v>3221</v>
      </c>
      <c r="AB24" s="528">
        <v>3147</v>
      </c>
      <c r="AC24" s="528">
        <v>2949</v>
      </c>
      <c r="AD24" s="528">
        <v>2837</v>
      </c>
      <c r="AE24" s="528">
        <v>2830</v>
      </c>
      <c r="AF24" s="548">
        <v>2919</v>
      </c>
      <c r="AG24" s="131">
        <f t="shared" si="13"/>
        <v>41486</v>
      </c>
      <c r="AH24" s="590">
        <v>3618</v>
      </c>
      <c r="AI24" s="590">
        <v>3649</v>
      </c>
      <c r="AJ24" s="590">
        <v>3529</v>
      </c>
      <c r="AK24" s="590">
        <v>3475</v>
      </c>
      <c r="AL24" s="590">
        <v>3434</v>
      </c>
      <c r="AM24" s="590">
        <v>3393</v>
      </c>
      <c r="AN24" s="590">
        <v>3449</v>
      </c>
      <c r="AO24" s="590">
        <v>3443</v>
      </c>
      <c r="AP24" s="590">
        <v>3375</v>
      </c>
      <c r="AQ24" s="590">
        <v>3342</v>
      </c>
      <c r="AR24" s="590">
        <v>3353</v>
      </c>
      <c r="AS24" s="548">
        <v>3426</v>
      </c>
    </row>
    <row r="25" spans="2:45" x14ac:dyDescent="0.25">
      <c r="B25" s="216" t="s">
        <v>42</v>
      </c>
      <c r="C25" s="129">
        <v>3782</v>
      </c>
      <c r="D25" s="131">
        <v>764</v>
      </c>
      <c r="E25" s="14">
        <v>565</v>
      </c>
      <c r="F25" s="222">
        <f t="shared" si="10"/>
        <v>20.184822845055525</v>
      </c>
      <c r="G25" s="129">
        <f>SUM(T.XXV!C25)</f>
        <v>3422</v>
      </c>
      <c r="H25" s="131">
        <f>SUM(T.XXV!D25)</f>
        <v>669</v>
      </c>
      <c r="I25" s="14">
        <f>SUM(T.XXV!E25)</f>
        <v>532</v>
      </c>
      <c r="J25" s="222">
        <f t="shared" si="4"/>
        <v>20.831677381648159</v>
      </c>
      <c r="K25" s="129">
        <f t="shared" si="11"/>
        <v>-360</v>
      </c>
      <c r="L25" s="131">
        <f t="shared" si="5"/>
        <v>-95</v>
      </c>
      <c r="M25" s="14">
        <f t="shared" si="6"/>
        <v>-33</v>
      </c>
      <c r="N25" s="220">
        <f t="shared" si="1"/>
        <v>0.64685453659263459</v>
      </c>
      <c r="O25" s="223">
        <f t="shared" si="12"/>
        <v>-9.5187731359069279</v>
      </c>
      <c r="P25" s="224">
        <f t="shared" si="7"/>
        <v>-12.43455497382199</v>
      </c>
      <c r="Q25" s="106">
        <f t="shared" si="8"/>
        <v>-5.8407079646017701</v>
      </c>
      <c r="R25" s="46">
        <f t="shared" si="9"/>
        <v>3.2046579826737891</v>
      </c>
      <c r="T25" s="131">
        <f t="shared" si="14"/>
        <v>71286</v>
      </c>
      <c r="U25" s="528">
        <v>6587</v>
      </c>
      <c r="V25" s="528">
        <v>6543</v>
      </c>
      <c r="W25" s="528">
        <v>6351</v>
      </c>
      <c r="X25" s="528">
        <v>6045</v>
      </c>
      <c r="Y25" s="528">
        <v>5949</v>
      </c>
      <c r="Z25" s="528">
        <v>5783</v>
      </c>
      <c r="AA25" s="528">
        <v>5797</v>
      </c>
      <c r="AB25" s="528">
        <v>5699</v>
      </c>
      <c r="AC25" s="528">
        <v>5617</v>
      </c>
      <c r="AD25" s="528">
        <v>5594</v>
      </c>
      <c r="AE25" s="528">
        <v>5610</v>
      </c>
      <c r="AF25" s="548">
        <v>5711</v>
      </c>
      <c r="AG25" s="131">
        <f t="shared" si="13"/>
        <v>76339</v>
      </c>
      <c r="AH25" s="590">
        <v>6791</v>
      </c>
      <c r="AI25" s="590">
        <v>6784</v>
      </c>
      <c r="AJ25" s="590">
        <v>6635</v>
      </c>
      <c r="AK25" s="590">
        <v>6478</v>
      </c>
      <c r="AL25" s="590">
        <v>6255</v>
      </c>
      <c r="AM25" s="590">
        <v>6125</v>
      </c>
      <c r="AN25" s="590">
        <v>6142</v>
      </c>
      <c r="AO25" s="590">
        <v>6159</v>
      </c>
      <c r="AP25" s="590">
        <v>6090</v>
      </c>
      <c r="AQ25" s="590">
        <v>6173</v>
      </c>
      <c r="AR25" s="590">
        <v>6302</v>
      </c>
      <c r="AS25" s="548">
        <v>6405</v>
      </c>
    </row>
    <row r="26" spans="2:45" x14ac:dyDescent="0.25">
      <c r="B26" s="216" t="s">
        <v>43</v>
      </c>
      <c r="C26" s="129">
        <v>2134</v>
      </c>
      <c r="D26" s="131">
        <v>799</v>
      </c>
      <c r="E26" s="14">
        <v>224</v>
      </c>
      <c r="F26" s="222">
        <f t="shared" si="10"/>
        <v>16.221649484536083</v>
      </c>
      <c r="G26" s="129">
        <f>SUM(T.XXV!C26)</f>
        <v>2043</v>
      </c>
      <c r="H26" s="131">
        <f>SUM(T.XXV!D26)</f>
        <v>650</v>
      </c>
      <c r="I26" s="14">
        <f>SUM(T.XXV!E26)</f>
        <v>162</v>
      </c>
      <c r="J26" s="222">
        <f t="shared" si="4"/>
        <v>16.309348996573664</v>
      </c>
      <c r="K26" s="129">
        <f t="shared" si="11"/>
        <v>-91</v>
      </c>
      <c r="L26" s="131">
        <f t="shared" si="5"/>
        <v>-149</v>
      </c>
      <c r="M26" s="14">
        <f t="shared" si="6"/>
        <v>-62</v>
      </c>
      <c r="N26" s="220">
        <f t="shared" si="1"/>
        <v>8.7699512037580973E-2</v>
      </c>
      <c r="O26" s="223">
        <f>SUM(K26)/C26*100</f>
        <v>-4.2642924086223051</v>
      </c>
      <c r="P26" s="224">
        <f t="shared" si="7"/>
        <v>-18.648310387984981</v>
      </c>
      <c r="Q26" s="106">
        <f t="shared" si="8"/>
        <v>-27.678571428571431</v>
      </c>
      <c r="R26" s="46">
        <f t="shared" si="9"/>
        <v>0.54063251780396271</v>
      </c>
      <c r="T26" s="131">
        <f t="shared" si="14"/>
        <v>33320</v>
      </c>
      <c r="U26" s="528">
        <v>2995</v>
      </c>
      <c r="V26" s="528">
        <v>3022</v>
      </c>
      <c r="W26" s="528">
        <v>2978</v>
      </c>
      <c r="X26" s="528">
        <v>2900</v>
      </c>
      <c r="Y26" s="528">
        <v>2739</v>
      </c>
      <c r="Z26" s="528">
        <v>2643</v>
      </c>
      <c r="AA26" s="528">
        <v>2699</v>
      </c>
      <c r="AB26" s="528">
        <v>2648</v>
      </c>
      <c r="AC26" s="528">
        <v>2660</v>
      </c>
      <c r="AD26" s="528">
        <v>2623</v>
      </c>
      <c r="AE26" s="528">
        <v>2672</v>
      </c>
      <c r="AF26" s="548">
        <v>2741</v>
      </c>
      <c r="AG26" s="131">
        <f t="shared" si="13"/>
        <v>34617</v>
      </c>
      <c r="AH26" s="590">
        <v>3149</v>
      </c>
      <c r="AI26" s="590">
        <v>3180</v>
      </c>
      <c r="AJ26" s="590">
        <v>3122</v>
      </c>
      <c r="AK26" s="590">
        <v>3001</v>
      </c>
      <c r="AL26" s="590">
        <v>2859</v>
      </c>
      <c r="AM26" s="590">
        <v>2748</v>
      </c>
      <c r="AN26" s="590">
        <v>2782</v>
      </c>
      <c r="AO26" s="590">
        <v>2781</v>
      </c>
      <c r="AP26" s="590">
        <v>2727</v>
      </c>
      <c r="AQ26" s="590">
        <v>2731</v>
      </c>
      <c r="AR26" s="590">
        <v>2715</v>
      </c>
      <c r="AS26" s="548">
        <v>2822</v>
      </c>
    </row>
    <row r="27" spans="2:45" x14ac:dyDescent="0.25">
      <c r="B27" s="216" t="s">
        <v>44</v>
      </c>
      <c r="C27" s="129">
        <v>1847</v>
      </c>
      <c r="D27" s="131">
        <v>841</v>
      </c>
      <c r="E27" s="14">
        <v>409</v>
      </c>
      <c r="F27" s="222">
        <f t="shared" si="10"/>
        <v>16.214401732539251</v>
      </c>
      <c r="G27" s="129">
        <f>SUM(T.XXV!C27)</f>
        <v>1775</v>
      </c>
      <c r="H27" s="131">
        <f>SUM(T.XXV!D27)</f>
        <v>909</v>
      </c>
      <c r="I27" s="14">
        <f>SUM(T.XXV!E27)</f>
        <v>354</v>
      </c>
      <c r="J27" s="222">
        <f t="shared" si="4"/>
        <v>14.574647887323943</v>
      </c>
      <c r="K27" s="129">
        <f t="shared" si="11"/>
        <v>-72</v>
      </c>
      <c r="L27" s="131">
        <f t="shared" si="5"/>
        <v>68</v>
      </c>
      <c r="M27" s="14">
        <f t="shared" si="6"/>
        <v>-55</v>
      </c>
      <c r="N27" s="220">
        <f t="shared" si="1"/>
        <v>-1.6397538452153082</v>
      </c>
      <c r="O27" s="223">
        <f t="shared" si="12"/>
        <v>-3.8982133188955062</v>
      </c>
      <c r="P27" s="224">
        <f t="shared" si="7"/>
        <v>8.0856123662306789</v>
      </c>
      <c r="Q27" s="106">
        <f t="shared" si="8"/>
        <v>-13.447432762836186</v>
      </c>
      <c r="R27" s="46">
        <f t="shared" si="9"/>
        <v>-10.112946948419509</v>
      </c>
      <c r="T27" s="131">
        <f t="shared" si="14"/>
        <v>25870</v>
      </c>
      <c r="U27" s="528">
        <v>2554</v>
      </c>
      <c r="V27" s="528">
        <v>2545</v>
      </c>
      <c r="W27" s="528">
        <v>2361</v>
      </c>
      <c r="X27" s="528">
        <v>2168</v>
      </c>
      <c r="Y27" s="528">
        <v>2096</v>
      </c>
      <c r="Z27" s="528">
        <v>2007</v>
      </c>
      <c r="AA27" s="528">
        <v>2020</v>
      </c>
      <c r="AB27" s="528">
        <v>2043</v>
      </c>
      <c r="AC27" s="528">
        <v>2017</v>
      </c>
      <c r="AD27" s="528">
        <v>1975</v>
      </c>
      <c r="AE27" s="528">
        <v>2007</v>
      </c>
      <c r="AF27" s="548">
        <v>2077</v>
      </c>
      <c r="AG27" s="131">
        <f t="shared" si="13"/>
        <v>29948</v>
      </c>
      <c r="AH27" s="590">
        <v>2821</v>
      </c>
      <c r="AI27" s="590">
        <v>2828</v>
      </c>
      <c r="AJ27" s="590">
        <v>2756</v>
      </c>
      <c r="AK27" s="590">
        <v>2653</v>
      </c>
      <c r="AL27" s="590">
        <v>2472</v>
      </c>
      <c r="AM27" s="590">
        <v>2354</v>
      </c>
      <c r="AN27" s="590">
        <v>2354</v>
      </c>
      <c r="AO27" s="590">
        <v>2412</v>
      </c>
      <c r="AP27" s="590">
        <v>2302</v>
      </c>
      <c r="AQ27" s="590">
        <v>2254</v>
      </c>
      <c r="AR27" s="590">
        <v>2325</v>
      </c>
      <c r="AS27" s="548">
        <v>2417</v>
      </c>
    </row>
    <row r="28" spans="2:45" x14ac:dyDescent="0.25">
      <c r="B28" s="216" t="s">
        <v>45</v>
      </c>
      <c r="C28" s="129">
        <v>2068</v>
      </c>
      <c r="D28" s="131">
        <v>948</v>
      </c>
      <c r="E28" s="14">
        <v>361</v>
      </c>
      <c r="F28" s="222">
        <f t="shared" si="10"/>
        <v>21.802224371373306</v>
      </c>
      <c r="G28" s="129">
        <f>SUM(T.XXV!C28)</f>
        <v>2156</v>
      </c>
      <c r="H28" s="131">
        <f>SUM(T.XXV!D28)</f>
        <v>1103</v>
      </c>
      <c r="I28" s="14">
        <f>SUM(T.XXV!E28)</f>
        <v>416</v>
      </c>
      <c r="J28" s="222">
        <f t="shared" si="4"/>
        <v>19.074675324675326</v>
      </c>
      <c r="K28" s="129">
        <f t="shared" si="11"/>
        <v>88</v>
      </c>
      <c r="L28" s="131">
        <f t="shared" si="5"/>
        <v>155</v>
      </c>
      <c r="M28" s="14">
        <f t="shared" si="6"/>
        <v>55</v>
      </c>
      <c r="N28" s="220">
        <f t="shared" si="1"/>
        <v>-2.7275490466979804</v>
      </c>
      <c r="O28" s="223">
        <f t="shared" si="12"/>
        <v>4.2553191489361701</v>
      </c>
      <c r="P28" s="224">
        <f t="shared" si="7"/>
        <v>16.350210970464136</v>
      </c>
      <c r="Q28" s="106">
        <f t="shared" si="8"/>
        <v>15.235457063711911</v>
      </c>
      <c r="R28" s="46">
        <f t="shared" si="9"/>
        <v>-12.510416369621897</v>
      </c>
      <c r="T28" s="131">
        <f t="shared" si="14"/>
        <v>41125</v>
      </c>
      <c r="U28" s="528">
        <v>3876</v>
      </c>
      <c r="V28" s="528">
        <v>3745</v>
      </c>
      <c r="W28" s="528">
        <v>3599</v>
      </c>
      <c r="X28" s="528">
        <v>3404</v>
      </c>
      <c r="Y28" s="528">
        <v>3322</v>
      </c>
      <c r="Z28" s="528">
        <v>3305</v>
      </c>
      <c r="AA28" s="528">
        <v>3288</v>
      </c>
      <c r="AB28" s="528">
        <v>3319</v>
      </c>
      <c r="AC28" s="528">
        <v>3296</v>
      </c>
      <c r="AD28" s="528">
        <v>3276</v>
      </c>
      <c r="AE28" s="528">
        <v>3254</v>
      </c>
      <c r="AF28" s="548">
        <v>3441</v>
      </c>
      <c r="AG28" s="131">
        <f t="shared" si="13"/>
        <v>45087</v>
      </c>
      <c r="AH28" s="590">
        <v>4203</v>
      </c>
      <c r="AI28" s="590">
        <v>4161</v>
      </c>
      <c r="AJ28" s="590">
        <v>3997</v>
      </c>
      <c r="AK28" s="590">
        <v>3841</v>
      </c>
      <c r="AL28" s="590">
        <v>3678</v>
      </c>
      <c r="AM28" s="590">
        <v>3672</v>
      </c>
      <c r="AN28" s="590">
        <v>3669</v>
      </c>
      <c r="AO28" s="590">
        <v>3581</v>
      </c>
      <c r="AP28" s="590">
        <v>3485</v>
      </c>
      <c r="AQ28" s="590">
        <v>3489</v>
      </c>
      <c r="AR28" s="590">
        <v>3581</v>
      </c>
      <c r="AS28" s="548">
        <v>3730</v>
      </c>
    </row>
    <row r="29" spans="2:45" x14ac:dyDescent="0.25">
      <c r="B29" s="216" t="s">
        <v>46</v>
      </c>
      <c r="C29" s="129">
        <v>1564</v>
      </c>
      <c r="D29" s="131">
        <v>704</v>
      </c>
      <c r="E29" s="14">
        <v>367</v>
      </c>
      <c r="F29" s="222">
        <f t="shared" si="10"/>
        <v>12.48849104859335</v>
      </c>
      <c r="G29" s="129">
        <f>SUM(T.XXV!C29)</f>
        <v>1053</v>
      </c>
      <c r="H29" s="131">
        <f>SUM(T.XXV!D29)</f>
        <v>489</v>
      </c>
      <c r="I29" s="14">
        <f>SUM(T.XXV!E29)</f>
        <v>291</v>
      </c>
      <c r="J29" s="222">
        <f t="shared" si="4"/>
        <v>17.148148148148149</v>
      </c>
      <c r="K29" s="129">
        <f t="shared" si="11"/>
        <v>-511</v>
      </c>
      <c r="L29" s="131">
        <f t="shared" si="5"/>
        <v>-215</v>
      </c>
      <c r="M29" s="14">
        <f t="shared" si="6"/>
        <v>-76</v>
      </c>
      <c r="N29" s="220">
        <f t="shared" si="1"/>
        <v>4.6596570995547992</v>
      </c>
      <c r="O29" s="223">
        <f t="shared" si="12"/>
        <v>-32.672634271099746</v>
      </c>
      <c r="P29" s="224">
        <f t="shared" si="7"/>
        <v>-30.53977272727273</v>
      </c>
      <c r="Q29" s="106">
        <f t="shared" si="8"/>
        <v>-20.708446866485016</v>
      </c>
      <c r="R29" s="46">
        <f t="shared" si="9"/>
        <v>37.311610197131408</v>
      </c>
      <c r="T29" s="131">
        <f t="shared" si="14"/>
        <v>18057</v>
      </c>
      <c r="U29" s="528">
        <v>1678</v>
      </c>
      <c r="V29" s="528">
        <v>1696</v>
      </c>
      <c r="W29" s="528">
        <v>1620</v>
      </c>
      <c r="X29" s="528">
        <v>1555</v>
      </c>
      <c r="Y29" s="528">
        <v>1510</v>
      </c>
      <c r="Z29" s="528">
        <v>1462</v>
      </c>
      <c r="AA29" s="528">
        <v>1435</v>
      </c>
      <c r="AB29" s="528">
        <v>1420</v>
      </c>
      <c r="AC29" s="528">
        <v>1408</v>
      </c>
      <c r="AD29" s="528">
        <v>1371</v>
      </c>
      <c r="AE29" s="528">
        <v>1430</v>
      </c>
      <c r="AF29" s="548">
        <v>1472</v>
      </c>
      <c r="AG29" s="131">
        <f t="shared" si="13"/>
        <v>19532</v>
      </c>
      <c r="AH29" s="590">
        <v>1885</v>
      </c>
      <c r="AI29" s="590">
        <v>1874</v>
      </c>
      <c r="AJ29" s="590">
        <v>1852</v>
      </c>
      <c r="AK29" s="590">
        <v>1788</v>
      </c>
      <c r="AL29" s="590">
        <v>1676</v>
      </c>
      <c r="AM29" s="590">
        <v>1528</v>
      </c>
      <c r="AN29" s="590">
        <v>1521</v>
      </c>
      <c r="AO29" s="590">
        <v>1509</v>
      </c>
      <c r="AP29" s="590">
        <v>1448</v>
      </c>
      <c r="AQ29" s="590">
        <v>1436</v>
      </c>
      <c r="AR29" s="590">
        <v>1489</v>
      </c>
      <c r="AS29" s="548">
        <v>1526</v>
      </c>
    </row>
    <row r="30" spans="2:45" x14ac:dyDescent="0.25">
      <c r="B30" s="216" t="s">
        <v>47</v>
      </c>
      <c r="C30" s="129">
        <v>1570</v>
      </c>
      <c r="D30" s="131">
        <v>406</v>
      </c>
      <c r="E30" s="14">
        <v>169</v>
      </c>
      <c r="F30" s="222">
        <f t="shared" si="10"/>
        <v>6.7235668789808916</v>
      </c>
      <c r="G30" s="129">
        <f>SUM(T.XXV!C30)</f>
        <v>1116</v>
      </c>
      <c r="H30" s="131">
        <f>SUM(T.XXV!D30)</f>
        <v>407</v>
      </c>
      <c r="I30" s="14">
        <f>SUM(T.XXV!E30)</f>
        <v>144</v>
      </c>
      <c r="J30" s="222">
        <f t="shared" si="4"/>
        <v>8.0232974910394272</v>
      </c>
      <c r="K30" s="129">
        <f t="shared" si="11"/>
        <v>-454</v>
      </c>
      <c r="L30" s="131">
        <f t="shared" si="5"/>
        <v>1</v>
      </c>
      <c r="M30" s="14">
        <f t="shared" si="6"/>
        <v>-25</v>
      </c>
      <c r="N30" s="220">
        <f t="shared" si="1"/>
        <v>1.2997306120585357</v>
      </c>
      <c r="O30" s="223">
        <f t="shared" si="12"/>
        <v>-28.917197452229299</v>
      </c>
      <c r="P30" s="224">
        <f t="shared" si="7"/>
        <v>0.24630541871921183</v>
      </c>
      <c r="Q30" s="106">
        <f t="shared" si="8"/>
        <v>-14.792899408284024</v>
      </c>
      <c r="R30" s="46">
        <f t="shared" si="9"/>
        <v>19.330968746986557</v>
      </c>
      <c r="T30" s="131">
        <f t="shared" si="14"/>
        <v>8954</v>
      </c>
      <c r="U30" s="528">
        <v>898</v>
      </c>
      <c r="V30" s="528">
        <v>865</v>
      </c>
      <c r="W30" s="528">
        <v>826</v>
      </c>
      <c r="X30" s="528">
        <v>779</v>
      </c>
      <c r="Y30" s="528">
        <v>770</v>
      </c>
      <c r="Z30" s="528">
        <v>734</v>
      </c>
      <c r="AA30" s="528">
        <v>702</v>
      </c>
      <c r="AB30" s="528">
        <v>682</v>
      </c>
      <c r="AC30" s="528">
        <v>661</v>
      </c>
      <c r="AD30" s="528">
        <v>656</v>
      </c>
      <c r="AE30" s="528">
        <v>686</v>
      </c>
      <c r="AF30" s="548">
        <v>695</v>
      </c>
      <c r="AG30" s="131">
        <f t="shared" si="13"/>
        <v>10556</v>
      </c>
      <c r="AH30" s="590">
        <v>1061</v>
      </c>
      <c r="AI30" s="590">
        <v>1044</v>
      </c>
      <c r="AJ30" s="590">
        <v>1012</v>
      </c>
      <c r="AK30" s="590">
        <v>952</v>
      </c>
      <c r="AL30" s="590">
        <v>890</v>
      </c>
      <c r="AM30" s="590">
        <v>820</v>
      </c>
      <c r="AN30" s="590">
        <v>827</v>
      </c>
      <c r="AO30" s="590">
        <v>829</v>
      </c>
      <c r="AP30" s="590">
        <v>770</v>
      </c>
      <c r="AQ30" s="590">
        <v>770</v>
      </c>
      <c r="AR30" s="590">
        <v>792</v>
      </c>
      <c r="AS30" s="548">
        <v>789</v>
      </c>
    </row>
    <row r="31" spans="2:45" x14ac:dyDescent="0.25">
      <c r="B31" s="216" t="s">
        <v>48</v>
      </c>
      <c r="C31" s="129">
        <v>1589</v>
      </c>
      <c r="D31" s="131">
        <v>778</v>
      </c>
      <c r="E31" s="14">
        <v>329</v>
      </c>
      <c r="F31" s="222">
        <f t="shared" si="10"/>
        <v>24.793580868470737</v>
      </c>
      <c r="G31" s="129">
        <f>SUM(T.XXV!C31)</f>
        <v>1254</v>
      </c>
      <c r="H31" s="131">
        <f>SUM(T.XXV!D31)</f>
        <v>710</v>
      </c>
      <c r="I31" s="14">
        <f>SUM(T.XXV!E31)</f>
        <v>231</v>
      </c>
      <c r="J31" s="222">
        <f t="shared" si="4"/>
        <v>28.346889952153109</v>
      </c>
      <c r="K31" s="129">
        <f t="shared" si="11"/>
        <v>-335</v>
      </c>
      <c r="L31" s="131">
        <f t="shared" si="5"/>
        <v>-68</v>
      </c>
      <c r="M31" s="14">
        <f t="shared" si="6"/>
        <v>-98</v>
      </c>
      <c r="N31" s="220">
        <f t="shared" si="1"/>
        <v>3.5533090836823717</v>
      </c>
      <c r="O31" s="223">
        <f t="shared" si="12"/>
        <v>-21.082441787287603</v>
      </c>
      <c r="P31" s="224">
        <f t="shared" si="7"/>
        <v>-8.7403598971722367</v>
      </c>
      <c r="Q31" s="106">
        <f t="shared" si="8"/>
        <v>-29.787234042553191</v>
      </c>
      <c r="R31" s="46">
        <f t="shared" si="9"/>
        <v>14.331568733587046</v>
      </c>
      <c r="T31" s="131">
        <f t="shared" si="14"/>
        <v>35547</v>
      </c>
      <c r="U31" s="528">
        <v>3257</v>
      </c>
      <c r="V31" s="528">
        <v>3211</v>
      </c>
      <c r="W31" s="528">
        <v>3152</v>
      </c>
      <c r="X31" s="528">
        <v>3058</v>
      </c>
      <c r="Y31" s="528">
        <v>2970</v>
      </c>
      <c r="Z31" s="528">
        <v>2899</v>
      </c>
      <c r="AA31" s="528">
        <v>2878</v>
      </c>
      <c r="AB31" s="528">
        <v>2861</v>
      </c>
      <c r="AC31" s="528">
        <v>2799</v>
      </c>
      <c r="AD31" s="528">
        <v>2795</v>
      </c>
      <c r="AE31" s="528">
        <v>2816</v>
      </c>
      <c r="AF31" s="548">
        <v>2851</v>
      </c>
      <c r="AG31" s="131">
        <f t="shared" si="13"/>
        <v>39397</v>
      </c>
      <c r="AH31" s="590">
        <v>3626</v>
      </c>
      <c r="AI31" s="590">
        <v>3533</v>
      </c>
      <c r="AJ31" s="590">
        <v>3465</v>
      </c>
      <c r="AK31" s="590">
        <v>3422</v>
      </c>
      <c r="AL31" s="590">
        <v>3351</v>
      </c>
      <c r="AM31" s="590">
        <v>3237</v>
      </c>
      <c r="AN31" s="590">
        <v>3203</v>
      </c>
      <c r="AO31" s="590">
        <v>3199</v>
      </c>
      <c r="AP31" s="590">
        <v>3123</v>
      </c>
      <c r="AQ31" s="590">
        <v>3069</v>
      </c>
      <c r="AR31" s="590">
        <v>3081</v>
      </c>
      <c r="AS31" s="548">
        <v>3088</v>
      </c>
    </row>
    <row r="32" spans="2:45" x14ac:dyDescent="0.25">
      <c r="B32" s="216" t="s">
        <v>49</v>
      </c>
      <c r="C32" s="129">
        <v>12329</v>
      </c>
      <c r="D32" s="131">
        <v>1487</v>
      </c>
      <c r="E32" s="14">
        <v>464</v>
      </c>
      <c r="F32" s="222">
        <f t="shared" si="10"/>
        <v>6.5710114364506449</v>
      </c>
      <c r="G32" s="129">
        <f>SUM(T.XXV!C32)</f>
        <v>9353</v>
      </c>
      <c r="H32" s="131">
        <f>SUM(T.XXV!D32)</f>
        <v>1275</v>
      </c>
      <c r="I32" s="14">
        <f>SUM(T.XXV!E32)</f>
        <v>564</v>
      </c>
      <c r="J32" s="222">
        <f>SUM(T32)/G32</f>
        <v>8.185608895541538</v>
      </c>
      <c r="K32" s="129">
        <f t="shared" si="11"/>
        <v>-2976</v>
      </c>
      <c r="L32" s="131">
        <f t="shared" si="5"/>
        <v>-212</v>
      </c>
      <c r="M32" s="14">
        <f t="shared" si="6"/>
        <v>100</v>
      </c>
      <c r="N32" s="220">
        <f t="shared" si="1"/>
        <v>1.6145974590908931</v>
      </c>
      <c r="O32" s="223">
        <f t="shared" si="12"/>
        <v>-24.138210722686349</v>
      </c>
      <c r="P32" s="224">
        <f t="shared" si="7"/>
        <v>-14.256893073301949</v>
      </c>
      <c r="Q32" s="106">
        <f t="shared" si="8"/>
        <v>21.551724137931032</v>
      </c>
      <c r="R32" s="46">
        <f t="shared" si="9"/>
        <v>24.571521061954257</v>
      </c>
      <c r="T32" s="131">
        <f t="shared" si="14"/>
        <v>76560</v>
      </c>
      <c r="U32" s="528">
        <v>6815</v>
      </c>
      <c r="V32" s="528">
        <v>6770</v>
      </c>
      <c r="W32" s="528">
        <v>6726</v>
      </c>
      <c r="X32" s="528">
        <v>6491</v>
      </c>
      <c r="Y32" s="528">
        <v>6402</v>
      </c>
      <c r="Z32" s="528">
        <v>6313</v>
      </c>
      <c r="AA32" s="528">
        <v>6286</v>
      </c>
      <c r="AB32" s="528">
        <v>6233</v>
      </c>
      <c r="AC32" s="528">
        <v>6140</v>
      </c>
      <c r="AD32" s="528">
        <v>6082</v>
      </c>
      <c r="AE32" s="528">
        <v>6121</v>
      </c>
      <c r="AF32" s="548">
        <v>6181</v>
      </c>
      <c r="AG32" s="131">
        <f t="shared" si="13"/>
        <v>81014</v>
      </c>
      <c r="AH32" s="590">
        <v>7022</v>
      </c>
      <c r="AI32" s="590">
        <v>7036</v>
      </c>
      <c r="AJ32" s="590">
        <v>7008</v>
      </c>
      <c r="AK32" s="590">
        <v>6857</v>
      </c>
      <c r="AL32" s="590">
        <v>6796</v>
      </c>
      <c r="AM32" s="590">
        <v>6714</v>
      </c>
      <c r="AN32" s="590">
        <v>6680</v>
      </c>
      <c r="AO32" s="590">
        <v>6703</v>
      </c>
      <c r="AP32" s="590">
        <v>6563</v>
      </c>
      <c r="AQ32" s="590">
        <v>6497</v>
      </c>
      <c r="AR32" s="590">
        <v>6567</v>
      </c>
      <c r="AS32" s="548">
        <v>6571</v>
      </c>
    </row>
    <row r="33" spans="2:45" ht="15.75" thickBot="1" x14ac:dyDescent="0.3">
      <c r="B33" s="217" t="s">
        <v>50</v>
      </c>
      <c r="C33" s="132">
        <v>1703</v>
      </c>
      <c r="D33" s="134">
        <v>686</v>
      </c>
      <c r="E33" s="21">
        <v>262</v>
      </c>
      <c r="F33" s="225">
        <f t="shared" si="10"/>
        <v>11.124486200822078</v>
      </c>
      <c r="G33" s="132">
        <f>SUM(T.XXV!C33)</f>
        <v>1257</v>
      </c>
      <c r="H33" s="134">
        <f>SUM(T.XXV!D33)</f>
        <v>572</v>
      </c>
      <c r="I33" s="21">
        <f>SUM(T.XXV!E33)</f>
        <v>254</v>
      </c>
      <c r="J33" s="225">
        <f t="shared" si="4"/>
        <v>13.029435163086715</v>
      </c>
      <c r="K33" s="132">
        <f t="shared" si="11"/>
        <v>-446</v>
      </c>
      <c r="L33" s="134">
        <f t="shared" si="5"/>
        <v>-114</v>
      </c>
      <c r="M33" s="21">
        <f t="shared" si="6"/>
        <v>-8</v>
      </c>
      <c r="N33" s="166">
        <f t="shared" si="1"/>
        <v>1.9049489622646369</v>
      </c>
      <c r="O33" s="226">
        <f t="shared" si="12"/>
        <v>-26.189078097475043</v>
      </c>
      <c r="P33" s="227">
        <f t="shared" si="7"/>
        <v>-16.618075801749271</v>
      </c>
      <c r="Q33" s="107">
        <f t="shared" si="8"/>
        <v>-3.0534351145038165</v>
      </c>
      <c r="R33" s="228">
        <f t="shared" si="9"/>
        <v>17.123927594281746</v>
      </c>
      <c r="T33" s="131">
        <f t="shared" si="14"/>
        <v>16378</v>
      </c>
      <c r="U33" s="528">
        <v>1534</v>
      </c>
      <c r="V33" s="528">
        <v>1542</v>
      </c>
      <c r="W33" s="528">
        <v>1505</v>
      </c>
      <c r="X33" s="528">
        <v>1415</v>
      </c>
      <c r="Y33" s="528">
        <v>1392</v>
      </c>
      <c r="Z33" s="528">
        <v>1319</v>
      </c>
      <c r="AA33" s="528">
        <v>1305</v>
      </c>
      <c r="AB33" s="528">
        <v>1287</v>
      </c>
      <c r="AC33" s="528">
        <v>1289</v>
      </c>
      <c r="AD33" s="528">
        <v>1251</v>
      </c>
      <c r="AE33" s="528">
        <v>1255</v>
      </c>
      <c r="AF33" s="548">
        <v>1284</v>
      </c>
      <c r="AG33" s="131">
        <f t="shared" si="13"/>
        <v>18945</v>
      </c>
      <c r="AH33" s="590">
        <v>1785</v>
      </c>
      <c r="AI33" s="590">
        <v>1809</v>
      </c>
      <c r="AJ33" s="590">
        <v>1758</v>
      </c>
      <c r="AK33" s="590">
        <v>1697</v>
      </c>
      <c r="AL33" s="590">
        <v>1621</v>
      </c>
      <c r="AM33" s="590">
        <v>1518</v>
      </c>
      <c r="AN33" s="590">
        <v>1534</v>
      </c>
      <c r="AO33" s="590">
        <v>1473</v>
      </c>
      <c r="AP33" s="590">
        <v>1404</v>
      </c>
      <c r="AQ33" s="590">
        <v>1424</v>
      </c>
      <c r="AR33" s="590">
        <v>1449</v>
      </c>
      <c r="AS33" s="548">
        <v>1473</v>
      </c>
    </row>
    <row r="34" spans="2:45" ht="19.5" customHeight="1" x14ac:dyDescent="0.25">
      <c r="D34" s="428">
        <f>SUM(D8/C8)*100</f>
        <v>33.829226211790747</v>
      </c>
      <c r="H34" s="428">
        <f>SUM(H8/G8)*100</f>
        <v>38.093733152386086</v>
      </c>
    </row>
    <row r="35" spans="2:45" x14ac:dyDescent="0.25">
      <c r="D35" s="428"/>
      <c r="H35" s="428"/>
      <c r="I35" s="428"/>
      <c r="K35" s="424"/>
    </row>
    <row r="36" spans="2:45" x14ac:dyDescent="0.25">
      <c r="G36" s="426"/>
    </row>
  </sheetData>
  <mergeCells count="18">
    <mergeCell ref="C4:I4"/>
    <mergeCell ref="B5:B7"/>
    <mergeCell ref="C5:F5"/>
    <mergeCell ref="K5:N5"/>
    <mergeCell ref="O5:R5"/>
    <mergeCell ref="G6:G7"/>
    <mergeCell ref="H6:I6"/>
    <mergeCell ref="J6:J7"/>
    <mergeCell ref="C6:C7"/>
    <mergeCell ref="P6:Q6"/>
    <mergeCell ref="R6:R7"/>
    <mergeCell ref="G5:J5"/>
    <mergeCell ref="D6:E6"/>
    <mergeCell ref="F6:F7"/>
    <mergeCell ref="K6:K7"/>
    <mergeCell ref="L6:M6"/>
    <mergeCell ref="N6:N7"/>
    <mergeCell ref="O6:O7"/>
  </mergeCells>
  <pageMargins left="0.31496062992125984" right="0" top="1.7322834645669292" bottom="0.31496062992125984" header="0" footer="0"/>
  <pageSetup paperSize="9" scale="6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E64"/>
  <sheetViews>
    <sheetView workbookViewId="0">
      <selection activeCell="B1" sqref="B1"/>
    </sheetView>
  </sheetViews>
  <sheetFormatPr defaultRowHeight="15" x14ac:dyDescent="0.25"/>
  <cols>
    <col min="1" max="1" width="3" style="95" customWidth="1"/>
    <col min="2" max="2" width="60" style="95" customWidth="1"/>
    <col min="3" max="3" width="10.7109375" style="95" customWidth="1"/>
    <col min="4" max="4" width="11.140625" style="95" customWidth="1"/>
    <col min="5" max="5" width="10.28515625" style="95" customWidth="1"/>
    <col min="6" max="6" width="6.42578125" style="95" customWidth="1"/>
    <col min="7" max="16384" width="9.140625" style="95"/>
  </cols>
  <sheetData>
    <row r="1" spans="2:5" ht="13.5" customHeight="1" x14ac:dyDescent="0.25"/>
    <row r="2" spans="2:5" x14ac:dyDescent="0.25">
      <c r="B2" s="298" t="s">
        <v>291</v>
      </c>
      <c r="C2" s="299"/>
      <c r="D2" s="299"/>
      <c r="E2" s="299"/>
    </row>
    <row r="3" spans="2:5" x14ac:dyDescent="0.25">
      <c r="B3" s="11" t="s">
        <v>297</v>
      </c>
      <c r="C3" s="168"/>
      <c r="D3" s="168"/>
      <c r="E3" s="168"/>
    </row>
    <row r="4" spans="2:5" ht="15.75" thickBot="1" x14ac:dyDescent="0.3">
      <c r="B4" s="11" t="s">
        <v>298</v>
      </c>
      <c r="C4" s="168"/>
      <c r="D4" s="168"/>
      <c r="E4" s="168"/>
    </row>
    <row r="5" spans="2:5" ht="45.75" thickBot="1" x14ac:dyDescent="0.3">
      <c r="B5" s="244" t="s">
        <v>192</v>
      </c>
      <c r="C5" s="245" t="s">
        <v>213</v>
      </c>
      <c r="D5" s="245" t="s">
        <v>432</v>
      </c>
      <c r="E5" s="246" t="s">
        <v>262</v>
      </c>
    </row>
    <row r="6" spans="2:5" ht="28.5" x14ac:dyDescent="0.25">
      <c r="B6" s="273" t="s">
        <v>258</v>
      </c>
      <c r="C6" s="274">
        <v>1</v>
      </c>
      <c r="D6" s="274">
        <f>SUM(D7:D10)</f>
        <v>265</v>
      </c>
      <c r="E6" s="285">
        <f>SUM(D6/D60)*100</f>
        <v>0.49335368805153218</v>
      </c>
    </row>
    <row r="7" spans="2:5" ht="30" x14ac:dyDescent="0.25">
      <c r="B7" s="234" t="s">
        <v>259</v>
      </c>
      <c r="C7" s="235">
        <v>11</v>
      </c>
      <c r="D7" s="235">
        <v>21</v>
      </c>
      <c r="E7" s="265">
        <f>SUM(D7)/D6*100</f>
        <v>7.9245283018867925</v>
      </c>
    </row>
    <row r="8" spans="2:5" x14ac:dyDescent="0.25">
      <c r="B8" s="234" t="s">
        <v>214</v>
      </c>
      <c r="C8" s="235">
        <v>12</v>
      </c>
      <c r="D8" s="235">
        <v>95</v>
      </c>
      <c r="E8" s="265">
        <f>SUM(D8)/D6*100</f>
        <v>35.849056603773583</v>
      </c>
    </row>
    <row r="9" spans="2:5" x14ac:dyDescent="0.25">
      <c r="B9" s="234" t="s">
        <v>215</v>
      </c>
      <c r="C9" s="235">
        <v>13</v>
      </c>
      <c r="D9" s="235">
        <v>100</v>
      </c>
      <c r="E9" s="265">
        <f>SUM(D9)/D6*100</f>
        <v>37.735849056603776</v>
      </c>
    </row>
    <row r="10" spans="2:5" ht="30" x14ac:dyDescent="0.25">
      <c r="B10" s="234" t="s">
        <v>216</v>
      </c>
      <c r="C10" s="235">
        <v>14</v>
      </c>
      <c r="D10" s="235">
        <v>49</v>
      </c>
      <c r="E10" s="266">
        <f>SUM(D10)/D6*100</f>
        <v>18.490566037735849</v>
      </c>
    </row>
    <row r="11" spans="2:5" x14ac:dyDescent="0.25">
      <c r="B11" s="267" t="s">
        <v>203</v>
      </c>
      <c r="C11" s="271">
        <v>2</v>
      </c>
      <c r="D11" s="272">
        <f>SUM(D12:D17)</f>
        <v>3483</v>
      </c>
      <c r="E11" s="286">
        <f>SUM(D11/D60)*100</f>
        <v>6.4843430018244774</v>
      </c>
    </row>
    <row r="12" spans="2:5" x14ac:dyDescent="0.25">
      <c r="B12" s="234" t="s">
        <v>219</v>
      </c>
      <c r="C12" s="235">
        <v>21</v>
      </c>
      <c r="D12" s="155">
        <v>685</v>
      </c>
      <c r="E12" s="265">
        <f>SUM(D12)/D11*100</f>
        <v>19.666953775480909</v>
      </c>
    </row>
    <row r="13" spans="2:5" x14ac:dyDescent="0.25">
      <c r="B13" s="234" t="s">
        <v>220</v>
      </c>
      <c r="C13" s="235">
        <v>22</v>
      </c>
      <c r="D13" s="235">
        <v>728</v>
      </c>
      <c r="E13" s="265">
        <f>SUM(D13)/D11*100</f>
        <v>20.901521676715475</v>
      </c>
    </row>
    <row r="14" spans="2:5" x14ac:dyDescent="0.25">
      <c r="B14" s="234" t="s">
        <v>221</v>
      </c>
      <c r="C14" s="235">
        <v>23</v>
      </c>
      <c r="D14" s="155">
        <v>891</v>
      </c>
      <c r="E14" s="265">
        <f>SUM(D14)/D11*100</f>
        <v>25.581395348837212</v>
      </c>
    </row>
    <row r="15" spans="2:5" x14ac:dyDescent="0.25">
      <c r="B15" s="234" t="s">
        <v>222</v>
      </c>
      <c r="C15" s="235">
        <v>24</v>
      </c>
      <c r="D15" s="155">
        <v>806</v>
      </c>
      <c r="E15" s="265">
        <f>SUM(D15)/D11*100</f>
        <v>23.140970427792134</v>
      </c>
    </row>
    <row r="16" spans="2:5" x14ac:dyDescent="0.25">
      <c r="B16" s="234" t="s">
        <v>223</v>
      </c>
      <c r="C16" s="235">
        <v>25</v>
      </c>
      <c r="D16" s="235">
        <v>93</v>
      </c>
      <c r="E16" s="265">
        <f>SUM(D16)/D11*100</f>
        <v>2.6701119724375539</v>
      </c>
    </row>
    <row r="17" spans="2:5" x14ac:dyDescent="0.25">
      <c r="B17" s="234" t="s">
        <v>224</v>
      </c>
      <c r="C17" s="235">
        <v>26</v>
      </c>
      <c r="D17" s="155">
        <v>280</v>
      </c>
      <c r="E17" s="265">
        <f>SUM(D17)/D11*100</f>
        <v>8.0390467987367202</v>
      </c>
    </row>
    <row r="18" spans="2:5" x14ac:dyDescent="0.25">
      <c r="B18" s="267" t="s">
        <v>204</v>
      </c>
      <c r="C18" s="271">
        <v>3</v>
      </c>
      <c r="D18" s="272">
        <f>SUM(D19:D23)</f>
        <v>4573</v>
      </c>
      <c r="E18" s="286">
        <f>SUM(D18)/D60*100</f>
        <v>8.5136091149421009</v>
      </c>
    </row>
    <row r="19" spans="2:5" x14ac:dyDescent="0.25">
      <c r="B19" s="234" t="s">
        <v>225</v>
      </c>
      <c r="C19" s="235">
        <v>31</v>
      </c>
      <c r="D19" s="155">
        <v>1076</v>
      </c>
      <c r="E19" s="265">
        <f>SUM(D19)/D18*100</f>
        <v>23.52941176470588</v>
      </c>
    </row>
    <row r="20" spans="2:5" x14ac:dyDescent="0.25">
      <c r="B20" s="234" t="s">
        <v>226</v>
      </c>
      <c r="C20" s="235">
        <v>32</v>
      </c>
      <c r="D20" s="155">
        <v>761</v>
      </c>
      <c r="E20" s="265">
        <f>SUM(D20)/D18*100</f>
        <v>16.641154603105182</v>
      </c>
    </row>
    <row r="21" spans="2:5" x14ac:dyDescent="0.25">
      <c r="B21" s="234" t="s">
        <v>227</v>
      </c>
      <c r="C21" s="235">
        <v>33</v>
      </c>
      <c r="D21" s="155">
        <v>1713</v>
      </c>
      <c r="E21" s="265">
        <f>SUM(D21)/D18*100</f>
        <v>37.458998469276189</v>
      </c>
    </row>
    <row r="22" spans="2:5" ht="30" x14ac:dyDescent="0.25">
      <c r="B22" s="234" t="s">
        <v>228</v>
      </c>
      <c r="C22" s="235">
        <v>34</v>
      </c>
      <c r="D22" s="155">
        <v>849</v>
      </c>
      <c r="E22" s="265">
        <f>SUM(D22)/D18*100</f>
        <v>18.565493111742839</v>
      </c>
    </row>
    <row r="23" spans="2:5" x14ac:dyDescent="0.25">
      <c r="B23" s="234" t="s">
        <v>229</v>
      </c>
      <c r="C23" s="235">
        <v>35</v>
      </c>
      <c r="D23" s="235">
        <v>174</v>
      </c>
      <c r="E23" s="265">
        <f>SUM(D23)/D18*100</f>
        <v>3.8049420511699101</v>
      </c>
    </row>
    <row r="24" spans="2:5" x14ac:dyDescent="0.25">
      <c r="B24" s="267" t="s">
        <v>205</v>
      </c>
      <c r="C24" s="271">
        <v>4</v>
      </c>
      <c r="D24" s="272">
        <f>SUM(D25:D28)</f>
        <v>6356</v>
      </c>
      <c r="E24" s="286">
        <f>SUM(D24)/D60*100</f>
        <v>11.833041665115241</v>
      </c>
    </row>
    <row r="25" spans="2:5" x14ac:dyDescent="0.25">
      <c r="B25" s="234" t="s">
        <v>230</v>
      </c>
      <c r="C25" s="235">
        <v>41</v>
      </c>
      <c r="D25" s="155">
        <v>2969</v>
      </c>
      <c r="E25" s="265">
        <f>SUM(D25)/D24*100</f>
        <v>46.711768407803653</v>
      </c>
    </row>
    <row r="26" spans="2:5" x14ac:dyDescent="0.25">
      <c r="B26" s="234" t="s">
        <v>231</v>
      </c>
      <c r="C26" s="235">
        <v>42</v>
      </c>
      <c r="D26" s="235">
        <v>537</v>
      </c>
      <c r="E26" s="265">
        <f>SUM(D26)/D24*100</f>
        <v>8.4487098804279412</v>
      </c>
    </row>
    <row r="27" spans="2:5" ht="30" x14ac:dyDescent="0.25">
      <c r="B27" s="234" t="s">
        <v>232</v>
      </c>
      <c r="C27" s="235">
        <v>43</v>
      </c>
      <c r="D27" s="155">
        <v>2542</v>
      </c>
      <c r="E27" s="265">
        <f>SUM(D27)/D24*100</f>
        <v>39.993706733794838</v>
      </c>
    </row>
    <row r="28" spans="2:5" x14ac:dyDescent="0.25">
      <c r="B28" s="234" t="s">
        <v>233</v>
      </c>
      <c r="C28" s="235">
        <v>44</v>
      </c>
      <c r="D28" s="235">
        <v>308</v>
      </c>
      <c r="E28" s="265">
        <f>SUM(D28)/D24*100</f>
        <v>4.8458149779735686</v>
      </c>
    </row>
    <row r="29" spans="2:5" x14ac:dyDescent="0.25">
      <c r="B29" s="267" t="s">
        <v>206</v>
      </c>
      <c r="C29" s="271">
        <v>5</v>
      </c>
      <c r="D29" s="272">
        <f>SUM(D30:D33)</f>
        <v>11158</v>
      </c>
      <c r="E29" s="286">
        <f>SUM(D29)/D60*100</f>
        <v>20.772982835015082</v>
      </c>
    </row>
    <row r="30" spans="2:5" x14ac:dyDescent="0.25">
      <c r="B30" s="234" t="s">
        <v>234</v>
      </c>
      <c r="C30" s="235">
        <v>51</v>
      </c>
      <c r="D30" s="155">
        <v>4876</v>
      </c>
      <c r="E30" s="265">
        <f>SUM(D30)/D29*100</f>
        <v>43.699587739738305</v>
      </c>
    </row>
    <row r="31" spans="2:5" x14ac:dyDescent="0.25">
      <c r="B31" s="234" t="s">
        <v>235</v>
      </c>
      <c r="C31" s="235">
        <v>52</v>
      </c>
      <c r="D31" s="155">
        <v>5141</v>
      </c>
      <c r="E31" s="265">
        <f>SUM(D31)/D29*100</f>
        <v>46.074565334289296</v>
      </c>
    </row>
    <row r="32" spans="2:5" x14ac:dyDescent="0.25">
      <c r="B32" s="234" t="s">
        <v>236</v>
      </c>
      <c r="C32" s="235">
        <v>53</v>
      </c>
      <c r="D32" s="235">
        <v>788</v>
      </c>
      <c r="E32" s="265">
        <f>SUM(D32)/D29*100</f>
        <v>7.06219752643843</v>
      </c>
    </row>
    <row r="33" spans="2:5" x14ac:dyDescent="0.25">
      <c r="B33" s="234" t="s">
        <v>237</v>
      </c>
      <c r="C33" s="235">
        <v>54</v>
      </c>
      <c r="D33" s="235">
        <v>353</v>
      </c>
      <c r="E33" s="265">
        <f>SUM(D33)/D29*100</f>
        <v>3.1636493995339667</v>
      </c>
    </row>
    <row r="34" spans="2:5" x14ac:dyDescent="0.25">
      <c r="B34" s="267" t="s">
        <v>207</v>
      </c>
      <c r="C34" s="271">
        <v>6</v>
      </c>
      <c r="D34" s="272">
        <f>SUM(D35:D37)</f>
        <v>303</v>
      </c>
      <c r="E34" s="286">
        <f>SUM(D34)/D60*100</f>
        <v>0.56409874520609149</v>
      </c>
    </row>
    <row r="35" spans="2:5" x14ac:dyDescent="0.25">
      <c r="B35" s="234" t="s">
        <v>238</v>
      </c>
      <c r="C35" s="235">
        <v>61</v>
      </c>
      <c r="D35" s="155">
        <v>218</v>
      </c>
      <c r="E35" s="265">
        <f>SUM(D35)/D34*100</f>
        <v>71.947194719471952</v>
      </c>
    </row>
    <row r="36" spans="2:5" x14ac:dyDescent="0.25">
      <c r="B36" s="234" t="s">
        <v>239</v>
      </c>
      <c r="C36" s="235">
        <v>62</v>
      </c>
      <c r="D36" s="235">
        <v>85</v>
      </c>
      <c r="E36" s="265">
        <f>SUM(D36)/D34*100</f>
        <v>28.052805280528055</v>
      </c>
    </row>
    <row r="37" spans="2:5" x14ac:dyDescent="0.25">
      <c r="B37" s="234" t="s">
        <v>240</v>
      </c>
      <c r="C37" s="235">
        <v>63</v>
      </c>
      <c r="D37" s="235">
        <v>0</v>
      </c>
      <c r="E37" s="265">
        <f>SUM(D37)/D34*100</f>
        <v>0</v>
      </c>
    </row>
    <row r="38" spans="2:5" x14ac:dyDescent="0.25">
      <c r="B38" s="267" t="s">
        <v>208</v>
      </c>
      <c r="C38" s="271">
        <v>7</v>
      </c>
      <c r="D38" s="272">
        <f>SUM(D39:D43)</f>
        <v>12330</v>
      </c>
      <c r="E38" s="286">
        <f>SUM(D38)/D60*100</f>
        <v>22.954909334624123</v>
      </c>
    </row>
    <row r="39" spans="2:5" x14ac:dyDescent="0.25">
      <c r="B39" s="234" t="s">
        <v>241</v>
      </c>
      <c r="C39" s="235">
        <v>71</v>
      </c>
      <c r="D39" s="155">
        <v>4752</v>
      </c>
      <c r="E39" s="265">
        <f>SUM(D39)/D38*100</f>
        <v>38.540145985401459</v>
      </c>
    </row>
    <row r="40" spans="2:5" x14ac:dyDescent="0.25">
      <c r="B40" s="234" t="s">
        <v>242</v>
      </c>
      <c r="C40" s="235">
        <v>72</v>
      </c>
      <c r="D40" s="155">
        <v>3620</v>
      </c>
      <c r="E40" s="265">
        <f>SUM(D40)/D38*100</f>
        <v>29.359286293592863</v>
      </c>
    </row>
    <row r="41" spans="2:5" x14ac:dyDescent="0.25">
      <c r="B41" s="234" t="s">
        <v>243</v>
      </c>
      <c r="C41" s="235">
        <v>73</v>
      </c>
      <c r="D41" s="155">
        <v>241</v>
      </c>
      <c r="E41" s="265">
        <f>SUM(D41)/D38*100</f>
        <v>1.9545823195458234</v>
      </c>
    </row>
    <row r="42" spans="2:5" x14ac:dyDescent="0.25">
      <c r="B42" s="234" t="s">
        <v>244</v>
      </c>
      <c r="C42" s="235">
        <v>74</v>
      </c>
      <c r="D42" s="155">
        <v>1214</v>
      </c>
      <c r="E42" s="265">
        <f>SUM(D42)/D38*100</f>
        <v>9.8459042984590432</v>
      </c>
    </row>
    <row r="43" spans="2:5" ht="30" x14ac:dyDescent="0.25">
      <c r="B43" s="234" t="s">
        <v>245</v>
      </c>
      <c r="C43" s="235">
        <v>75</v>
      </c>
      <c r="D43" s="155">
        <v>2503</v>
      </c>
      <c r="E43" s="265">
        <f>SUM(D43)/D38*100</f>
        <v>20.30008110300081</v>
      </c>
    </row>
    <row r="44" spans="2:5" x14ac:dyDescent="0.25">
      <c r="B44" s="267" t="s">
        <v>209</v>
      </c>
      <c r="C44" s="271">
        <v>8</v>
      </c>
      <c r="D44" s="272">
        <f>SUM(D45:D47)</f>
        <v>6146</v>
      </c>
      <c r="E44" s="286">
        <f>SUM(D44)/D60*100</f>
        <v>11.442082138734779</v>
      </c>
    </row>
    <row r="45" spans="2:5" x14ac:dyDescent="0.25">
      <c r="B45" s="234" t="s">
        <v>246</v>
      </c>
      <c r="C45" s="235">
        <v>81</v>
      </c>
      <c r="D45" s="155">
        <v>3030</v>
      </c>
      <c r="E45" s="265">
        <f>SUM(D45)/D44*100</f>
        <v>49.3003579563944</v>
      </c>
    </row>
    <row r="46" spans="2:5" x14ac:dyDescent="0.25">
      <c r="B46" s="234" t="s">
        <v>247</v>
      </c>
      <c r="C46" s="235">
        <v>82</v>
      </c>
      <c r="D46" s="235">
        <v>524</v>
      </c>
      <c r="E46" s="265">
        <f>SUM(D46)/D44*100</f>
        <v>8.5258704848682072</v>
      </c>
    </row>
    <row r="47" spans="2:5" x14ac:dyDescent="0.25">
      <c r="B47" s="234" t="s">
        <v>248</v>
      </c>
      <c r="C47" s="235">
        <v>83</v>
      </c>
      <c r="D47" s="155">
        <v>2592</v>
      </c>
      <c r="E47" s="265">
        <f>SUM(D47)/D44*100</f>
        <v>42.173771558737386</v>
      </c>
    </row>
    <row r="48" spans="2:5" x14ac:dyDescent="0.25">
      <c r="B48" s="267" t="s">
        <v>210</v>
      </c>
      <c r="C48" s="271">
        <v>9</v>
      </c>
      <c r="D48" s="272">
        <f>SUM(D49:D54)</f>
        <v>9100</v>
      </c>
      <c r="E48" s="286">
        <f>SUM(D48)/D60*100</f>
        <v>16.941579476486577</v>
      </c>
    </row>
    <row r="49" spans="2:5" x14ac:dyDescent="0.25">
      <c r="B49" s="234" t="s">
        <v>249</v>
      </c>
      <c r="C49" s="235">
        <v>91</v>
      </c>
      <c r="D49" s="155">
        <v>1681</v>
      </c>
      <c r="E49" s="265">
        <f>SUM(D49)/D48*100</f>
        <v>18.472527472527471</v>
      </c>
    </row>
    <row r="50" spans="2:5" ht="30" x14ac:dyDescent="0.25">
      <c r="B50" s="234" t="s">
        <v>250</v>
      </c>
      <c r="C50" s="235">
        <v>92</v>
      </c>
      <c r="D50" s="235">
        <v>140</v>
      </c>
      <c r="E50" s="265">
        <f>SUM(D50)/D48*100</f>
        <v>1.5384615384615385</v>
      </c>
    </row>
    <row r="51" spans="2:5" ht="30" x14ac:dyDescent="0.25">
      <c r="B51" s="234" t="s">
        <v>251</v>
      </c>
      <c r="C51" s="235">
        <v>93</v>
      </c>
      <c r="D51" s="155">
        <v>4336</v>
      </c>
      <c r="E51" s="265">
        <f>SUM(D51)/D48*100</f>
        <v>47.64835164835165</v>
      </c>
    </row>
    <row r="52" spans="2:5" ht="30" x14ac:dyDescent="0.25">
      <c r="B52" s="234" t="s">
        <v>252</v>
      </c>
      <c r="C52" s="235">
        <v>94</v>
      </c>
      <c r="D52" s="235">
        <v>1264</v>
      </c>
      <c r="E52" s="265">
        <f>SUM(D52)/D48*100</f>
        <v>13.890109890109889</v>
      </c>
    </row>
    <row r="53" spans="2:5" x14ac:dyDescent="0.25">
      <c r="B53" s="234" t="s">
        <v>253</v>
      </c>
      <c r="C53" s="235">
        <v>95</v>
      </c>
      <c r="D53" s="235">
        <v>0</v>
      </c>
      <c r="E53" s="265">
        <f>SUM(D53)/D48*100</f>
        <v>0</v>
      </c>
    </row>
    <row r="54" spans="2:5" x14ac:dyDescent="0.25">
      <c r="B54" s="234" t="s">
        <v>254</v>
      </c>
      <c r="C54" s="235">
        <v>96</v>
      </c>
      <c r="D54" s="155">
        <v>1679</v>
      </c>
      <c r="E54" s="265">
        <f>SUM(D54)/D48*100</f>
        <v>18.450549450549449</v>
      </c>
    </row>
    <row r="55" spans="2:5" x14ac:dyDescent="0.25">
      <c r="B55" s="267" t="s">
        <v>217</v>
      </c>
      <c r="C55" s="271">
        <v>0</v>
      </c>
      <c r="D55" s="271">
        <f>SUM(D56:D58)</f>
        <v>0</v>
      </c>
      <c r="E55" s="286">
        <f>SUM(D55)/D60*100</f>
        <v>0</v>
      </c>
    </row>
    <row r="56" spans="2:5" x14ac:dyDescent="0.25">
      <c r="B56" s="234" t="s">
        <v>255</v>
      </c>
      <c r="C56" s="235">
        <v>1</v>
      </c>
      <c r="D56" s="235">
        <v>0</v>
      </c>
      <c r="E56" s="383" t="s">
        <v>118</v>
      </c>
    </row>
    <row r="57" spans="2:5" x14ac:dyDescent="0.25">
      <c r="B57" s="234" t="s">
        <v>256</v>
      </c>
      <c r="C57" s="235">
        <v>2</v>
      </c>
      <c r="D57" s="235">
        <v>0</v>
      </c>
      <c r="E57" s="383" t="s">
        <v>118</v>
      </c>
    </row>
    <row r="58" spans="2:5" ht="15.75" thickBot="1" x14ac:dyDescent="0.3">
      <c r="B58" s="237" t="s">
        <v>257</v>
      </c>
      <c r="C58" s="232">
        <v>3</v>
      </c>
      <c r="D58" s="232">
        <v>0</v>
      </c>
      <c r="E58" s="384" t="s">
        <v>118</v>
      </c>
    </row>
    <row r="59" spans="2:5" x14ac:dyDescent="0.25">
      <c r="B59" s="273" t="s">
        <v>263</v>
      </c>
      <c r="C59" s="274" t="s">
        <v>193</v>
      </c>
      <c r="D59" s="275">
        <v>0</v>
      </c>
      <c r="E59" s="285">
        <f>SUM(D59)/D61*100</f>
        <v>0</v>
      </c>
    </row>
    <row r="60" spans="2:5" ht="15.75" thickBot="1" x14ac:dyDescent="0.3">
      <c r="B60" s="276" t="s">
        <v>264</v>
      </c>
      <c r="C60" s="277" t="s">
        <v>194</v>
      </c>
      <c r="D60" s="278">
        <f>SUM(D6,D11,D18,D24,D29,D34,D38,D44,D48,D55)</f>
        <v>53714</v>
      </c>
      <c r="E60" s="288">
        <f>SUM(E6,E11,E18,E24,E29,E34,E38,E44,E48,E55)</f>
        <v>100</v>
      </c>
    </row>
    <row r="61" spans="2:5" ht="19.5" thickBot="1" x14ac:dyDescent="0.3">
      <c r="B61" s="279" t="s">
        <v>62</v>
      </c>
      <c r="C61" s="280" t="s">
        <v>195</v>
      </c>
      <c r="D61" s="281">
        <f>SUM(D59:D60)</f>
        <v>53714</v>
      </c>
      <c r="E61" s="282" t="s">
        <v>118</v>
      </c>
    </row>
    <row r="62" spans="2:5" x14ac:dyDescent="0.25">
      <c r="B62" s="240" t="s">
        <v>271</v>
      </c>
      <c r="C62" s="240"/>
      <c r="D62" s="240"/>
      <c r="E62" s="240"/>
    </row>
    <row r="63" spans="2:5" x14ac:dyDescent="0.25">
      <c r="B63" s="11" t="s">
        <v>261</v>
      </c>
      <c r="C63" s="11"/>
      <c r="D63" s="11"/>
      <c r="E63" s="11"/>
    </row>
    <row r="64" spans="2:5" x14ac:dyDescent="0.25">
      <c r="B64" s="11" t="s">
        <v>368</v>
      </c>
      <c r="C64" s="11"/>
      <c r="D64" s="11"/>
      <c r="E64" s="11"/>
    </row>
  </sheetData>
  <printOptions horizontalCentered="1"/>
  <pageMargins left="1.0236220472440944" right="0" top="0.6692913385826772" bottom="0" header="0" footer="0"/>
  <pageSetup paperSize="9" scale="7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C1:N25"/>
  <sheetViews>
    <sheetView zoomScale="90" zoomScaleNormal="90" workbookViewId="0">
      <selection activeCell="C1" sqref="C1"/>
    </sheetView>
  </sheetViews>
  <sheetFormatPr defaultRowHeight="15" x14ac:dyDescent="0.25"/>
  <cols>
    <col min="1" max="1" width="2.5703125" style="95" customWidth="1"/>
    <col min="2" max="2" width="2.28515625" style="95" customWidth="1"/>
    <col min="3" max="3" width="38.140625" style="95" customWidth="1"/>
    <col min="4" max="4" width="11.5703125" style="95" customWidth="1"/>
    <col min="5" max="6" width="10.85546875" style="95" customWidth="1"/>
    <col min="7" max="7" width="10.5703125" style="95" customWidth="1"/>
    <col min="8" max="8" width="10.85546875" style="95" customWidth="1"/>
    <col min="9" max="9" width="10.7109375" style="95" customWidth="1"/>
    <col min="10" max="10" width="6.5703125" style="424" customWidth="1"/>
    <col min="11" max="11" width="6.85546875" style="95" customWidth="1"/>
    <col min="12" max="12" width="8.28515625" style="95" customWidth="1"/>
    <col min="13" max="16384" width="9.140625" style="95"/>
  </cols>
  <sheetData>
    <row r="1" spans="3:14" ht="13.5" customHeight="1" x14ac:dyDescent="0.25"/>
    <row r="2" spans="3:14" x14ac:dyDescent="0.25">
      <c r="C2" s="11" t="s">
        <v>292</v>
      </c>
      <c r="D2" s="11"/>
      <c r="E2" s="11"/>
      <c r="F2" s="11"/>
      <c r="G2" s="11"/>
      <c r="H2" s="11"/>
      <c r="I2" s="1"/>
      <c r="J2" s="1034"/>
      <c r="K2" s="1"/>
    </row>
    <row r="3" spans="3:14" x14ac:dyDescent="0.25">
      <c r="C3" s="11" t="s">
        <v>296</v>
      </c>
      <c r="D3" s="11"/>
      <c r="E3" s="11"/>
      <c r="F3" s="11"/>
      <c r="G3" s="11"/>
      <c r="H3" s="11"/>
      <c r="I3" s="1"/>
      <c r="J3" s="1034"/>
      <c r="K3" s="1"/>
    </row>
    <row r="4" spans="3:14" ht="12.75" customHeight="1" thickBot="1" x14ac:dyDescent="0.3">
      <c r="C4" s="11"/>
      <c r="D4" s="11"/>
      <c r="E4" s="11"/>
      <c r="F4" s="11"/>
      <c r="G4" s="11"/>
      <c r="H4" s="11"/>
      <c r="I4" s="1"/>
      <c r="J4" s="1034"/>
      <c r="K4" s="1"/>
    </row>
    <row r="5" spans="3:14" ht="27.75" customHeight="1" x14ac:dyDescent="0.25">
      <c r="C5" s="1115" t="s">
        <v>173</v>
      </c>
      <c r="D5" s="1097">
        <v>2018</v>
      </c>
      <c r="E5" s="1098"/>
      <c r="F5" s="1098"/>
      <c r="G5" s="1179">
        <v>2019</v>
      </c>
      <c r="H5" s="1270"/>
      <c r="I5" s="1180"/>
    </row>
    <row r="6" spans="3:14" ht="49.5" customHeight="1" thickBot="1" x14ac:dyDescent="0.3">
      <c r="C6" s="1227"/>
      <c r="D6" s="655" t="s">
        <v>199</v>
      </c>
      <c r="E6" s="657" t="s">
        <v>321</v>
      </c>
      <c r="F6" s="657" t="s">
        <v>322</v>
      </c>
      <c r="G6" s="655" t="s">
        <v>199</v>
      </c>
      <c r="H6" s="657" t="s">
        <v>138</v>
      </c>
      <c r="I6" s="656" t="s">
        <v>322</v>
      </c>
    </row>
    <row r="7" spans="3:14" ht="25.5" customHeight="1" thickBot="1" x14ac:dyDescent="0.3">
      <c r="C7" s="360" t="s">
        <v>62</v>
      </c>
      <c r="D7" s="669">
        <f>D9+D8+D19</f>
        <v>442.2</v>
      </c>
      <c r="E7" s="432">
        <v>100</v>
      </c>
      <c r="F7" s="441" t="s">
        <v>118</v>
      </c>
      <c r="G7" s="669">
        <f>G9+G8+G19</f>
        <v>352.56999999999994</v>
      </c>
      <c r="H7" s="432">
        <v>100</v>
      </c>
      <c r="I7" s="439" t="s">
        <v>118</v>
      </c>
    </row>
    <row r="8" spans="3:14" ht="27.75" customHeight="1" x14ac:dyDescent="0.25">
      <c r="C8" s="420" t="s">
        <v>18</v>
      </c>
      <c r="D8" s="654">
        <v>132.43</v>
      </c>
      <c r="E8" s="433">
        <f>D8*100/D7</f>
        <v>29.947987336047039</v>
      </c>
      <c r="F8" s="442" t="s">
        <v>118</v>
      </c>
      <c r="G8" s="654">
        <v>133.66999999999999</v>
      </c>
      <c r="H8" s="433">
        <f>G8*100/G7</f>
        <v>37.913038545537056</v>
      </c>
      <c r="I8" s="440" t="s">
        <v>118</v>
      </c>
    </row>
    <row r="9" spans="3:14" ht="31.5" customHeight="1" thickBot="1" x14ac:dyDescent="0.3">
      <c r="C9" s="421" t="s">
        <v>279</v>
      </c>
      <c r="D9" s="670">
        <f>D11+D12+D13+D14+D15+D16+D17+D18</f>
        <v>284.31</v>
      </c>
      <c r="E9" s="434">
        <f>D9*100/D7</f>
        <v>64.2944369063772</v>
      </c>
      <c r="F9" s="434">
        <v>100</v>
      </c>
      <c r="G9" s="670">
        <f>G11+G12+G13+G14+G15+G16+G17+G18</f>
        <v>191.89</v>
      </c>
      <c r="H9" s="434">
        <f>G9*100/G7</f>
        <v>54.426071418441737</v>
      </c>
      <c r="I9" s="422">
        <v>100</v>
      </c>
      <c r="K9" s="526"/>
      <c r="L9" s="428"/>
    </row>
    <row r="10" spans="3:14" ht="28.5" customHeight="1" thickBot="1" x14ac:dyDescent="0.3">
      <c r="C10" s="415" t="s">
        <v>281</v>
      </c>
      <c r="D10" s="416"/>
      <c r="E10" s="417"/>
      <c r="F10" s="445"/>
      <c r="G10" s="418"/>
      <c r="H10" s="417"/>
      <c r="I10" s="443"/>
      <c r="K10" s="671"/>
    </row>
    <row r="11" spans="3:14" ht="29.25" customHeight="1" x14ac:dyDescent="0.25">
      <c r="C11" s="340" t="s">
        <v>278</v>
      </c>
      <c r="D11" s="429">
        <v>67.260000000000005</v>
      </c>
      <c r="E11" s="435">
        <f>D11*100/D7</f>
        <v>15.210312075983721</v>
      </c>
      <c r="F11" s="435">
        <f>SUM(D11)/D9*100</f>
        <v>23.657275509127363</v>
      </c>
      <c r="G11" s="429">
        <v>51.75</v>
      </c>
      <c r="H11" s="435">
        <f>G11*100/G7</f>
        <v>14.677936296338318</v>
      </c>
      <c r="I11" s="414">
        <f>SUM(G11)/G9*100</f>
        <v>26.968575746521445</v>
      </c>
      <c r="N11" s="526">
        <f t="shared" ref="N11:N19" si="0">SUM(G11-D11)</f>
        <v>-15.510000000000005</v>
      </c>
    </row>
    <row r="12" spans="3:14" ht="26.25" customHeight="1" x14ac:dyDescent="0.25">
      <c r="C12" s="413" t="s">
        <v>280</v>
      </c>
      <c r="D12" s="427">
        <v>3.34</v>
      </c>
      <c r="E12" s="436">
        <f>D12*100/D7</f>
        <v>0.75531433740388965</v>
      </c>
      <c r="F12" s="436">
        <f>SUM(D12)/D9*100</f>
        <v>1.174774014280187</v>
      </c>
      <c r="G12" s="427">
        <v>2.89</v>
      </c>
      <c r="H12" s="436">
        <f>G12*100/G7</f>
        <v>0.81969537964092254</v>
      </c>
      <c r="I12" s="229">
        <f>SUM(G12)/G9*100</f>
        <v>1.5060711866173331</v>
      </c>
      <c r="N12" s="526">
        <f t="shared" si="0"/>
        <v>-0.44999999999999973</v>
      </c>
    </row>
    <row r="13" spans="3:14" ht="28.5" customHeight="1" x14ac:dyDescent="0.25">
      <c r="C13" s="230" t="s">
        <v>20</v>
      </c>
      <c r="D13" s="430">
        <v>22.96</v>
      </c>
      <c r="E13" s="436">
        <f>D13*100/D7</f>
        <v>5.1922207146087747</v>
      </c>
      <c r="F13" s="436">
        <f>SUM(D13)/D9*100</f>
        <v>8.0756920263093104</v>
      </c>
      <c r="G13" s="1021">
        <v>18.7</v>
      </c>
      <c r="H13" s="436">
        <f>G13*100/G7</f>
        <v>5.3039112800294985</v>
      </c>
      <c r="I13" s="229">
        <f>SUM(G13)/G9*100</f>
        <v>9.7451665016415649</v>
      </c>
      <c r="N13" s="526">
        <f t="shared" si="0"/>
        <v>-4.2600000000000016</v>
      </c>
    </row>
    <row r="14" spans="3:14" ht="27.75" customHeight="1" x14ac:dyDescent="0.25">
      <c r="C14" s="230" t="s">
        <v>21</v>
      </c>
      <c r="D14" s="427">
        <v>20.18</v>
      </c>
      <c r="E14" s="436">
        <f>D14*100/D7</f>
        <v>4.5635459068294892</v>
      </c>
      <c r="F14" s="436">
        <f>SUM(D14)/D9*100</f>
        <v>7.0978861102317898</v>
      </c>
      <c r="G14" s="1022">
        <v>15</v>
      </c>
      <c r="H14" s="436">
        <f>G14*100/G7</f>
        <v>4.2544742887937153</v>
      </c>
      <c r="I14" s="229">
        <f>SUM(G14)/G9*100</f>
        <v>7.8169784772525936</v>
      </c>
      <c r="N14" s="526">
        <f t="shared" si="0"/>
        <v>-5.18</v>
      </c>
    </row>
    <row r="15" spans="3:14" ht="30" x14ac:dyDescent="0.25">
      <c r="C15" s="230" t="s">
        <v>200</v>
      </c>
      <c r="D15" s="427">
        <v>50.87</v>
      </c>
      <c r="E15" s="436">
        <f>D15*100/D7</f>
        <v>11.503844414292177</v>
      </c>
      <c r="F15" s="436">
        <f>SUM(D15)/D9*100</f>
        <v>17.892441349231472</v>
      </c>
      <c r="G15" s="427">
        <v>43.97</v>
      </c>
      <c r="H15" s="436">
        <f>G15*100/G7</f>
        <v>12.471282298550644</v>
      </c>
      <c r="I15" s="229">
        <f>SUM(G15)/G9*100</f>
        <v>22.914169576319768</v>
      </c>
      <c r="N15" s="526">
        <f t="shared" si="0"/>
        <v>-6.8999999999999986</v>
      </c>
    </row>
    <row r="16" spans="3:14" ht="45" x14ac:dyDescent="0.25">
      <c r="C16" s="230" t="s">
        <v>22</v>
      </c>
      <c r="D16" s="427">
        <v>40.19</v>
      </c>
      <c r="E16" s="436">
        <f>D16*100/D7</f>
        <v>9.0886476707372239</v>
      </c>
      <c r="F16" s="436">
        <f>SUM(D16)/D9*100</f>
        <v>14.135978333509197</v>
      </c>
      <c r="G16" s="1022">
        <v>32.6</v>
      </c>
      <c r="H16" s="436">
        <f>G16*100/G7</f>
        <v>9.2463907876450087</v>
      </c>
      <c r="I16" s="229">
        <f>SUM(G16)/G9*100</f>
        <v>16.988899890562305</v>
      </c>
      <c r="N16" s="526">
        <f t="shared" si="0"/>
        <v>-7.5899999999999963</v>
      </c>
    </row>
    <row r="17" spans="3:14" ht="30" x14ac:dyDescent="0.25">
      <c r="C17" s="230" t="s">
        <v>23</v>
      </c>
      <c r="D17" s="427">
        <v>2.23</v>
      </c>
      <c r="E17" s="436">
        <f>D17*100/D7</f>
        <v>0.50429669832654911</v>
      </c>
      <c r="F17" s="436">
        <f>SUM(D17)/D9*100</f>
        <v>0.78435510534275965</v>
      </c>
      <c r="G17" s="427">
        <v>1.48</v>
      </c>
      <c r="H17" s="436">
        <f>G17*100/G7</f>
        <v>0.41977479649431326</v>
      </c>
      <c r="I17" s="229">
        <f>SUM(G17)/G9*100</f>
        <v>0.77127520975558916</v>
      </c>
      <c r="N17" s="526">
        <f t="shared" si="0"/>
        <v>-0.75</v>
      </c>
    </row>
    <row r="18" spans="3:14" ht="30.75" customHeight="1" thickBot="1" x14ac:dyDescent="0.3">
      <c r="C18" s="419" t="s">
        <v>539</v>
      </c>
      <c r="D18" s="431">
        <v>77.28</v>
      </c>
      <c r="E18" s="437">
        <f>D18*100/D7</f>
        <v>17.476255088195387</v>
      </c>
      <c r="F18" s="437">
        <f>SUM(D18)/D9*100</f>
        <v>27.181597551967922</v>
      </c>
      <c r="G18" s="431">
        <v>25.5</v>
      </c>
      <c r="H18" s="437">
        <f>G18*100/G7</f>
        <v>7.2326062909493167</v>
      </c>
      <c r="I18" s="231">
        <f>SUM(G18)/G9*100</f>
        <v>13.288863411329407</v>
      </c>
      <c r="N18" s="526">
        <f t="shared" si="0"/>
        <v>-51.78</v>
      </c>
    </row>
    <row r="19" spans="3:14" ht="24" customHeight="1" thickBot="1" x14ac:dyDescent="0.3">
      <c r="C19" s="444" t="s">
        <v>19</v>
      </c>
      <c r="D19" s="653">
        <v>25.46</v>
      </c>
      <c r="E19" s="438">
        <f>D19*100/D7</f>
        <v>5.7575757575757578</v>
      </c>
      <c r="F19" s="447" t="s">
        <v>118</v>
      </c>
      <c r="G19" s="653">
        <v>27.01</v>
      </c>
      <c r="H19" s="438">
        <f>G19*100/G7</f>
        <v>7.6608900360212173</v>
      </c>
      <c r="I19" s="446" t="s">
        <v>118</v>
      </c>
      <c r="N19" s="424">
        <f t="shared" si="0"/>
        <v>1.5500000000000007</v>
      </c>
    </row>
    <row r="20" spans="3:14" x14ac:dyDescent="0.25">
      <c r="C20" s="157" t="s">
        <v>201</v>
      </c>
      <c r="H20" s="448"/>
      <c r="I20" s="448"/>
    </row>
    <row r="21" spans="3:14" x14ac:dyDescent="0.25">
      <c r="C21" s="157" t="s">
        <v>333</v>
      </c>
    </row>
    <row r="22" spans="3:14" x14ac:dyDescent="0.25">
      <c r="C22" s="11" t="s">
        <v>334</v>
      </c>
    </row>
    <row r="23" spans="3:14" x14ac:dyDescent="0.25">
      <c r="C23" s="157" t="s">
        <v>540</v>
      </c>
    </row>
    <row r="24" spans="3:14" x14ac:dyDescent="0.25">
      <c r="C24" s="591" t="s">
        <v>345</v>
      </c>
    </row>
    <row r="25" spans="3:14" x14ac:dyDescent="0.25">
      <c r="C25" s="591" t="s">
        <v>346</v>
      </c>
    </row>
  </sheetData>
  <mergeCells count="3">
    <mergeCell ref="C5:C6"/>
    <mergeCell ref="D5:F5"/>
    <mergeCell ref="G5:I5"/>
  </mergeCells>
  <printOptions horizontalCentered="1"/>
  <pageMargins left="1.5748031496062993" right="0.15748031496062992" top="0.6692913385826772" bottom="0" header="0" footer="0"/>
  <pageSetup paperSize="9" scale="8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I36"/>
  <sheetViews>
    <sheetView zoomScale="80" zoomScaleNormal="80" workbookViewId="0">
      <selection activeCell="B1" sqref="B1"/>
    </sheetView>
  </sheetViews>
  <sheetFormatPr defaultRowHeight="15" x14ac:dyDescent="0.25"/>
  <cols>
    <col min="1" max="1" width="2.5703125" style="11" customWidth="1"/>
    <col min="2" max="2" width="26.5703125" style="11" customWidth="1"/>
    <col min="3" max="4" width="17.85546875" style="11" customWidth="1"/>
    <col min="5" max="6" width="18.85546875" style="11" customWidth="1"/>
    <col min="7" max="7" width="18.5703125" style="11" customWidth="1"/>
    <col min="8" max="8" width="18.42578125" style="11" customWidth="1"/>
    <col min="9" max="9" width="18" style="11" customWidth="1"/>
    <col min="10" max="10" width="21.7109375" style="11" customWidth="1"/>
    <col min="11" max="16384" width="9.140625" style="11"/>
  </cols>
  <sheetData>
    <row r="1" spans="2:9" ht="12" customHeight="1" x14ac:dyDescent="0.25"/>
    <row r="2" spans="2:9" x14ac:dyDescent="0.25">
      <c r="B2" s="11" t="s">
        <v>293</v>
      </c>
    </row>
    <row r="3" spans="2:9" x14ac:dyDescent="0.25">
      <c r="B3" s="11" t="s">
        <v>295</v>
      </c>
    </row>
    <row r="4" spans="2:9" ht="12.75" customHeight="1" thickBot="1" x14ac:dyDescent="0.3"/>
    <row r="5" spans="2:9" ht="25.5" customHeight="1" thickBot="1" x14ac:dyDescent="0.3">
      <c r="B5" s="1086" t="s">
        <v>24</v>
      </c>
      <c r="C5" s="1271" t="s">
        <v>430</v>
      </c>
      <c r="D5" s="1272"/>
      <c r="E5" s="1272"/>
      <c r="F5" s="1272"/>
      <c r="G5" s="1272"/>
      <c r="H5" s="1272"/>
      <c r="I5" s="1273"/>
    </row>
    <row r="6" spans="2:9" ht="56.25" customHeight="1" x14ac:dyDescent="0.25">
      <c r="B6" s="1114"/>
      <c r="C6" s="1179" t="s">
        <v>54</v>
      </c>
      <c r="D6" s="1270"/>
      <c r="E6" s="202"/>
      <c r="F6" s="920"/>
      <c r="G6" s="202"/>
      <c r="H6" s="202"/>
      <c r="I6" s="202"/>
    </row>
    <row r="7" spans="2:9" ht="80.25" customHeight="1" x14ac:dyDescent="0.25">
      <c r="B7" s="1114"/>
      <c r="C7" s="1263" t="s">
        <v>51</v>
      </c>
      <c r="D7" s="1127" t="s">
        <v>52</v>
      </c>
      <c r="E7" s="549" t="s">
        <v>53</v>
      </c>
      <c r="F7" s="921" t="s">
        <v>492</v>
      </c>
      <c r="G7" s="549" t="s">
        <v>55</v>
      </c>
      <c r="H7" s="549" t="s">
        <v>56</v>
      </c>
      <c r="I7" s="549" t="s">
        <v>57</v>
      </c>
    </row>
    <row r="8" spans="2:9" ht="35.25" customHeight="1" thickBot="1" x14ac:dyDescent="0.3">
      <c r="B8" s="1114"/>
      <c r="C8" s="1092"/>
      <c r="D8" s="1268"/>
      <c r="E8" s="549"/>
      <c r="F8" s="921"/>
      <c r="G8" s="549"/>
      <c r="H8" s="549"/>
      <c r="I8" s="549"/>
    </row>
    <row r="9" spans="2:9" ht="27" customHeight="1" thickBot="1" x14ac:dyDescent="0.3">
      <c r="B9" s="257" t="s">
        <v>25</v>
      </c>
      <c r="C9" s="61">
        <f t="shared" ref="C9:I9" si="0">SUM(C10:C34)</f>
        <v>4047</v>
      </c>
      <c r="D9" s="258">
        <f t="shared" si="0"/>
        <v>1641</v>
      </c>
      <c r="E9" s="259">
        <f t="shared" si="0"/>
        <v>9190</v>
      </c>
      <c r="F9" s="259">
        <f>SUM(F10:F34)</f>
        <v>1383</v>
      </c>
      <c r="G9" s="259">
        <f t="shared" si="0"/>
        <v>738</v>
      </c>
      <c r="H9" s="259">
        <f t="shared" si="0"/>
        <v>2179</v>
      </c>
      <c r="I9" s="259">
        <f t="shared" si="0"/>
        <v>2753</v>
      </c>
    </row>
    <row r="10" spans="2:9" x14ac:dyDescent="0.25">
      <c r="B10" s="71" t="s">
        <v>26</v>
      </c>
      <c r="C10" s="45">
        <v>87</v>
      </c>
      <c r="D10" s="220">
        <v>9</v>
      </c>
      <c r="E10" s="49">
        <v>197</v>
      </c>
      <c r="F10" s="49">
        <v>6</v>
      </c>
      <c r="G10" s="49">
        <v>13</v>
      </c>
      <c r="H10" s="49">
        <v>37</v>
      </c>
      <c r="I10" s="49">
        <v>15</v>
      </c>
    </row>
    <row r="11" spans="2:9" x14ac:dyDescent="0.25">
      <c r="B11" s="12" t="s">
        <v>27</v>
      </c>
      <c r="C11" s="13">
        <v>174</v>
      </c>
      <c r="D11" s="164">
        <v>124</v>
      </c>
      <c r="E11" s="47">
        <v>380</v>
      </c>
      <c r="F11" s="47">
        <v>129</v>
      </c>
      <c r="G11" s="47">
        <v>10</v>
      </c>
      <c r="H11" s="47">
        <v>110</v>
      </c>
      <c r="I11" s="47">
        <v>116</v>
      </c>
    </row>
    <row r="12" spans="2:9" x14ac:dyDescent="0.25">
      <c r="B12" s="12" t="s">
        <v>28</v>
      </c>
      <c r="C12" s="13">
        <v>335</v>
      </c>
      <c r="D12" s="164">
        <v>32</v>
      </c>
      <c r="E12" s="47">
        <v>344</v>
      </c>
      <c r="F12" s="47">
        <v>42</v>
      </c>
      <c r="G12" s="47">
        <v>14</v>
      </c>
      <c r="H12" s="47">
        <v>115</v>
      </c>
      <c r="I12" s="47">
        <v>145</v>
      </c>
    </row>
    <row r="13" spans="2:9" x14ac:dyDescent="0.25">
      <c r="B13" s="12" t="s">
        <v>29</v>
      </c>
      <c r="C13" s="13">
        <v>383</v>
      </c>
      <c r="D13" s="164">
        <v>185</v>
      </c>
      <c r="E13" s="47">
        <v>797</v>
      </c>
      <c r="F13" s="47">
        <v>92</v>
      </c>
      <c r="G13" s="47">
        <v>7</v>
      </c>
      <c r="H13" s="47">
        <v>136</v>
      </c>
      <c r="I13" s="47">
        <v>200</v>
      </c>
    </row>
    <row r="14" spans="2:9" x14ac:dyDescent="0.25">
      <c r="B14" s="12" t="s">
        <v>30</v>
      </c>
      <c r="C14" s="13">
        <v>171</v>
      </c>
      <c r="D14" s="164">
        <v>0</v>
      </c>
      <c r="E14" s="47">
        <v>270</v>
      </c>
      <c r="F14" s="47">
        <v>55</v>
      </c>
      <c r="G14" s="47">
        <v>73</v>
      </c>
      <c r="H14" s="47">
        <v>147</v>
      </c>
      <c r="I14" s="47">
        <v>246</v>
      </c>
    </row>
    <row r="15" spans="2:9" x14ac:dyDescent="0.25">
      <c r="B15" s="12" t="s">
        <v>31</v>
      </c>
      <c r="C15" s="13">
        <v>149</v>
      </c>
      <c r="D15" s="164">
        <v>15</v>
      </c>
      <c r="E15" s="47">
        <v>425</v>
      </c>
      <c r="F15" s="47">
        <v>24</v>
      </c>
      <c r="G15" s="47">
        <v>11</v>
      </c>
      <c r="H15" s="47">
        <v>57</v>
      </c>
      <c r="I15" s="47">
        <v>131</v>
      </c>
    </row>
    <row r="16" spans="2:9" x14ac:dyDescent="0.25">
      <c r="B16" s="12" t="s">
        <v>32</v>
      </c>
      <c r="C16" s="13">
        <v>23</v>
      </c>
      <c r="D16" s="164">
        <v>31</v>
      </c>
      <c r="E16" s="47">
        <v>196</v>
      </c>
      <c r="F16" s="47">
        <v>27</v>
      </c>
      <c r="G16" s="47">
        <v>25</v>
      </c>
      <c r="H16" s="47">
        <v>62</v>
      </c>
      <c r="I16" s="47">
        <v>107</v>
      </c>
    </row>
    <row r="17" spans="2:9" x14ac:dyDescent="0.25">
      <c r="B17" s="12" t="s">
        <v>33</v>
      </c>
      <c r="C17" s="13">
        <v>39</v>
      </c>
      <c r="D17" s="164">
        <v>26</v>
      </c>
      <c r="E17" s="47">
        <v>138</v>
      </c>
      <c r="F17" s="47">
        <v>9</v>
      </c>
      <c r="G17" s="47">
        <v>0</v>
      </c>
      <c r="H17" s="47">
        <v>65</v>
      </c>
      <c r="I17" s="47">
        <v>18</v>
      </c>
    </row>
    <row r="18" spans="2:9" x14ac:dyDescent="0.25">
      <c r="B18" s="12" t="s">
        <v>34</v>
      </c>
      <c r="C18" s="13">
        <v>95</v>
      </c>
      <c r="D18" s="164">
        <v>132</v>
      </c>
      <c r="E18" s="47">
        <v>703</v>
      </c>
      <c r="F18" s="47">
        <v>65</v>
      </c>
      <c r="G18" s="47">
        <v>30</v>
      </c>
      <c r="H18" s="47">
        <v>130</v>
      </c>
      <c r="I18" s="47">
        <v>110</v>
      </c>
    </row>
    <row r="19" spans="2:9" x14ac:dyDescent="0.25">
      <c r="B19" s="12" t="s">
        <v>35</v>
      </c>
      <c r="C19" s="13">
        <v>211</v>
      </c>
      <c r="D19" s="164">
        <v>0</v>
      </c>
      <c r="E19" s="47">
        <v>336</v>
      </c>
      <c r="F19" s="47">
        <v>12</v>
      </c>
      <c r="G19" s="47">
        <v>53</v>
      </c>
      <c r="H19" s="47">
        <v>48</v>
      </c>
      <c r="I19" s="47">
        <v>5</v>
      </c>
    </row>
    <row r="20" spans="2:9" x14ac:dyDescent="0.25">
      <c r="B20" s="12" t="s">
        <v>36</v>
      </c>
      <c r="C20" s="13">
        <v>198</v>
      </c>
      <c r="D20" s="164">
        <v>66</v>
      </c>
      <c r="E20" s="47">
        <v>363</v>
      </c>
      <c r="F20" s="47">
        <v>27</v>
      </c>
      <c r="G20" s="47">
        <v>45</v>
      </c>
      <c r="H20" s="47">
        <v>122</v>
      </c>
      <c r="I20" s="47">
        <v>90</v>
      </c>
    </row>
    <row r="21" spans="2:9" x14ac:dyDescent="0.25">
      <c r="B21" s="12" t="s">
        <v>37</v>
      </c>
      <c r="C21" s="13">
        <v>207</v>
      </c>
      <c r="D21" s="164">
        <v>88</v>
      </c>
      <c r="E21" s="47">
        <v>580</v>
      </c>
      <c r="F21" s="47">
        <v>107</v>
      </c>
      <c r="G21" s="47">
        <v>0</v>
      </c>
      <c r="H21" s="47">
        <v>116</v>
      </c>
      <c r="I21" s="47">
        <v>258</v>
      </c>
    </row>
    <row r="22" spans="2:9" x14ac:dyDescent="0.25">
      <c r="B22" s="12" t="s">
        <v>38</v>
      </c>
      <c r="C22" s="13">
        <v>368</v>
      </c>
      <c r="D22" s="164">
        <v>45</v>
      </c>
      <c r="E22" s="47">
        <v>387</v>
      </c>
      <c r="F22" s="47">
        <v>58</v>
      </c>
      <c r="G22" s="47">
        <v>46</v>
      </c>
      <c r="H22" s="47">
        <v>122</v>
      </c>
      <c r="I22" s="47">
        <v>58</v>
      </c>
    </row>
    <row r="23" spans="2:9" x14ac:dyDescent="0.25">
      <c r="B23" s="18" t="s">
        <v>39</v>
      </c>
      <c r="C23" s="13">
        <v>211</v>
      </c>
      <c r="D23" s="164">
        <v>106</v>
      </c>
      <c r="E23" s="260">
        <v>156</v>
      </c>
      <c r="F23" s="260">
        <v>41</v>
      </c>
      <c r="G23" s="47">
        <v>65</v>
      </c>
      <c r="H23" s="260">
        <v>94</v>
      </c>
      <c r="I23" s="47">
        <v>123</v>
      </c>
    </row>
    <row r="24" spans="2:9" x14ac:dyDescent="0.25">
      <c r="B24" s="18" t="s">
        <v>40</v>
      </c>
      <c r="C24" s="13">
        <v>289</v>
      </c>
      <c r="D24" s="164">
        <v>135</v>
      </c>
      <c r="E24" s="260">
        <v>543</v>
      </c>
      <c r="F24" s="260">
        <v>72</v>
      </c>
      <c r="G24" s="47">
        <v>68</v>
      </c>
      <c r="H24" s="260">
        <v>66</v>
      </c>
      <c r="I24" s="47">
        <v>68</v>
      </c>
    </row>
    <row r="25" spans="2:9" x14ac:dyDescent="0.25">
      <c r="B25" s="18" t="s">
        <v>41</v>
      </c>
      <c r="C25" s="13">
        <v>135</v>
      </c>
      <c r="D25" s="164">
        <v>84</v>
      </c>
      <c r="E25" s="260">
        <v>455</v>
      </c>
      <c r="F25" s="260">
        <v>38</v>
      </c>
      <c r="G25" s="47">
        <v>0</v>
      </c>
      <c r="H25" s="260">
        <v>126</v>
      </c>
      <c r="I25" s="47">
        <v>136</v>
      </c>
    </row>
    <row r="26" spans="2:9" x14ac:dyDescent="0.25">
      <c r="B26" s="18" t="s">
        <v>42</v>
      </c>
      <c r="C26" s="13">
        <v>168</v>
      </c>
      <c r="D26" s="164">
        <v>78</v>
      </c>
      <c r="E26" s="260">
        <v>455</v>
      </c>
      <c r="F26" s="260">
        <v>107</v>
      </c>
      <c r="G26" s="47">
        <v>24</v>
      </c>
      <c r="H26" s="260">
        <v>112</v>
      </c>
      <c r="I26" s="47">
        <v>122</v>
      </c>
    </row>
    <row r="27" spans="2:9" x14ac:dyDescent="0.25">
      <c r="B27" s="18" t="s">
        <v>43</v>
      </c>
      <c r="C27" s="13">
        <v>197</v>
      </c>
      <c r="D27" s="164">
        <v>38</v>
      </c>
      <c r="E27" s="260">
        <v>223</v>
      </c>
      <c r="F27" s="260">
        <v>48</v>
      </c>
      <c r="G27" s="47">
        <v>21</v>
      </c>
      <c r="H27" s="260">
        <v>113</v>
      </c>
      <c r="I27" s="47">
        <v>121</v>
      </c>
    </row>
    <row r="28" spans="2:9" x14ac:dyDescent="0.25">
      <c r="B28" s="18" t="s">
        <v>44</v>
      </c>
      <c r="C28" s="13">
        <v>207</v>
      </c>
      <c r="D28" s="164">
        <v>37</v>
      </c>
      <c r="E28" s="260">
        <v>419</v>
      </c>
      <c r="F28" s="260">
        <v>111</v>
      </c>
      <c r="G28" s="47">
        <v>61</v>
      </c>
      <c r="H28" s="260">
        <v>86</v>
      </c>
      <c r="I28" s="47">
        <v>78</v>
      </c>
    </row>
    <row r="29" spans="2:9" x14ac:dyDescent="0.25">
      <c r="B29" s="18" t="s">
        <v>45</v>
      </c>
      <c r="C29" s="13">
        <v>54</v>
      </c>
      <c r="D29" s="164">
        <v>126</v>
      </c>
      <c r="E29" s="260">
        <v>707</v>
      </c>
      <c r="F29" s="260">
        <v>129</v>
      </c>
      <c r="G29" s="47">
        <v>34</v>
      </c>
      <c r="H29" s="260">
        <v>76</v>
      </c>
      <c r="I29" s="47">
        <v>210</v>
      </c>
    </row>
    <row r="30" spans="2:9" x14ac:dyDescent="0.25">
      <c r="B30" s="18" t="s">
        <v>46</v>
      </c>
      <c r="C30" s="13">
        <v>45</v>
      </c>
      <c r="D30" s="164">
        <v>177</v>
      </c>
      <c r="E30" s="260">
        <v>215</v>
      </c>
      <c r="F30" s="260">
        <v>35</v>
      </c>
      <c r="G30" s="47">
        <v>0</v>
      </c>
      <c r="H30" s="260">
        <v>34</v>
      </c>
      <c r="I30" s="47">
        <v>50</v>
      </c>
    </row>
    <row r="31" spans="2:9" x14ac:dyDescent="0.25">
      <c r="B31" s="18" t="s">
        <v>47</v>
      </c>
      <c r="C31" s="13">
        <v>14</v>
      </c>
      <c r="D31" s="164">
        <v>4</v>
      </c>
      <c r="E31" s="260">
        <v>41</v>
      </c>
      <c r="F31" s="260">
        <v>8</v>
      </c>
      <c r="G31" s="47">
        <v>34</v>
      </c>
      <c r="H31" s="260">
        <v>23</v>
      </c>
      <c r="I31" s="47">
        <v>32</v>
      </c>
    </row>
    <row r="32" spans="2:9" x14ac:dyDescent="0.25">
      <c r="B32" s="18" t="s">
        <v>48</v>
      </c>
      <c r="C32" s="13">
        <v>106</v>
      </c>
      <c r="D32" s="164">
        <v>24</v>
      </c>
      <c r="E32" s="260">
        <v>97</v>
      </c>
      <c r="F32" s="260">
        <v>21</v>
      </c>
      <c r="G32" s="47">
        <v>62</v>
      </c>
      <c r="H32" s="260">
        <v>68</v>
      </c>
      <c r="I32" s="47">
        <v>98</v>
      </c>
    </row>
    <row r="33" spans="2:9" x14ac:dyDescent="0.25">
      <c r="B33" s="18" t="s">
        <v>49</v>
      </c>
      <c r="C33" s="13">
        <v>134</v>
      </c>
      <c r="D33" s="164">
        <v>18</v>
      </c>
      <c r="E33" s="260">
        <v>547</v>
      </c>
      <c r="F33" s="260">
        <v>102</v>
      </c>
      <c r="G33" s="47">
        <v>3</v>
      </c>
      <c r="H33" s="260">
        <v>81</v>
      </c>
      <c r="I33" s="47">
        <v>171</v>
      </c>
    </row>
    <row r="34" spans="2:9" ht="15.75" thickBot="1" x14ac:dyDescent="0.3">
      <c r="B34" s="19" t="s">
        <v>50</v>
      </c>
      <c r="C34" s="20">
        <v>47</v>
      </c>
      <c r="D34" s="165">
        <v>61</v>
      </c>
      <c r="E34" s="261">
        <v>216</v>
      </c>
      <c r="F34" s="261">
        <v>18</v>
      </c>
      <c r="G34" s="50">
        <v>39</v>
      </c>
      <c r="H34" s="261">
        <v>33</v>
      </c>
      <c r="I34" s="50">
        <v>45</v>
      </c>
    </row>
    <row r="35" spans="2:9" x14ac:dyDescent="0.25">
      <c r="E35" s="67"/>
      <c r="F35" s="67"/>
    </row>
    <row r="36" spans="2:9" x14ac:dyDescent="0.25">
      <c r="B36" s="68"/>
    </row>
  </sheetData>
  <mergeCells count="5">
    <mergeCell ref="C5:I5"/>
    <mergeCell ref="B5:B8"/>
    <mergeCell ref="C6:D6"/>
    <mergeCell ref="C7:C8"/>
    <mergeCell ref="D7:D8"/>
  </mergeCells>
  <printOptions horizontalCentered="1"/>
  <pageMargins left="0.31496062992125984" right="0.31496062992125984" top="1.0236220472440944" bottom="0.6692913385826772" header="0.31496062992125984" footer="0.31496062992125984"/>
  <pageSetup paperSize="9" scale="7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M33"/>
  <sheetViews>
    <sheetView zoomScale="90" zoomScaleNormal="90" workbookViewId="0">
      <selection activeCell="B1" sqref="B1"/>
    </sheetView>
  </sheetViews>
  <sheetFormatPr defaultRowHeight="15" x14ac:dyDescent="0.25"/>
  <cols>
    <col min="1" max="1" width="3.5703125" style="11" customWidth="1"/>
    <col min="2" max="2" width="31.140625" style="11" customWidth="1"/>
    <col min="3" max="3" width="13.42578125" style="11" customWidth="1"/>
    <col min="4" max="4" width="15.140625" style="11" customWidth="1"/>
    <col min="5" max="5" width="15.85546875" style="11" customWidth="1"/>
    <col min="6" max="6" width="2.5703125" style="11" customWidth="1"/>
    <col min="7" max="7" width="9.140625" style="11"/>
    <col min="8" max="8" width="10.140625" style="11" customWidth="1"/>
    <col min="9" max="9" width="10.28515625" style="11" customWidth="1"/>
    <col min="10" max="10" width="2.28515625" style="11" customWidth="1"/>
    <col min="11" max="13" width="9.140625" style="11"/>
    <col min="14" max="14" width="7.5703125" style="11" customWidth="1"/>
    <col min="15" max="16384" width="9.140625" style="11"/>
  </cols>
  <sheetData>
    <row r="2" spans="2:13" x14ac:dyDescent="0.25">
      <c r="B2" s="252" t="s">
        <v>406</v>
      </c>
      <c r="C2" s="252"/>
      <c r="D2" s="252"/>
      <c r="E2" s="252"/>
    </row>
    <row r="3" spans="2:13" x14ac:dyDescent="0.25">
      <c r="B3" s="157" t="s">
        <v>407</v>
      </c>
      <c r="C3" s="252"/>
      <c r="D3" s="252"/>
      <c r="E3" s="252"/>
    </row>
    <row r="4" spans="2:13" ht="15.75" thickBot="1" x14ac:dyDescent="0.3">
      <c r="B4" s="241"/>
      <c r="C4" s="241"/>
      <c r="D4" s="241"/>
      <c r="E4" s="241"/>
    </row>
    <row r="5" spans="2:13" x14ac:dyDescent="0.25">
      <c r="B5" s="356"/>
      <c r="C5" s="357"/>
      <c r="D5" s="382" t="s">
        <v>61</v>
      </c>
      <c r="E5" s="381"/>
    </row>
    <row r="6" spans="2:13" ht="45.75" thickBot="1" x14ac:dyDescent="0.3">
      <c r="B6" s="378" t="s">
        <v>24</v>
      </c>
      <c r="C6" s="379" t="s">
        <v>272</v>
      </c>
      <c r="D6" s="379" t="s">
        <v>274</v>
      </c>
      <c r="E6" s="380" t="s">
        <v>273</v>
      </c>
    </row>
    <row r="7" spans="2:13" ht="21.75" customHeight="1" thickBot="1" x14ac:dyDescent="0.3">
      <c r="B7" s="253" t="s">
        <v>25</v>
      </c>
      <c r="C7" s="254">
        <f>SUM(C8:C32)</f>
        <v>1053</v>
      </c>
      <c r="D7" s="255">
        <f t="shared" ref="D7:E7" si="0">SUM(D8:D32)</f>
        <v>9</v>
      </c>
      <c r="E7" s="256">
        <f t="shared" si="0"/>
        <v>1044</v>
      </c>
      <c r="G7" s="998" t="s">
        <v>404</v>
      </c>
      <c r="H7" s="997" t="s">
        <v>340</v>
      </c>
      <c r="I7" s="997" t="s">
        <v>341</v>
      </c>
      <c r="K7" s="1020" t="s">
        <v>365</v>
      </c>
      <c r="L7" s="652" t="s">
        <v>340</v>
      </c>
      <c r="M7" s="652" t="s">
        <v>341</v>
      </c>
    </row>
    <row r="8" spans="2:13" x14ac:dyDescent="0.25">
      <c r="B8" s="247" t="s">
        <v>26</v>
      </c>
      <c r="C8" s="248">
        <f>SUM(D8:E8)</f>
        <v>0</v>
      </c>
      <c r="D8" s="249">
        <v>0</v>
      </c>
      <c r="E8" s="250">
        <v>0</v>
      </c>
      <c r="G8" s="112">
        <v>2007</v>
      </c>
      <c r="H8" s="14">
        <v>479</v>
      </c>
      <c r="I8" s="14">
        <v>437</v>
      </c>
      <c r="K8" s="112" t="s">
        <v>518</v>
      </c>
      <c r="L8" s="14">
        <v>236</v>
      </c>
      <c r="M8" s="14">
        <v>199</v>
      </c>
    </row>
    <row r="9" spans="2:13" x14ac:dyDescent="0.25">
      <c r="B9" s="242" t="s">
        <v>27</v>
      </c>
      <c r="C9" s="199">
        <f t="shared" ref="C9:C32" si="1">SUM(D9:E9)</f>
        <v>0</v>
      </c>
      <c r="D9" s="235">
        <v>0</v>
      </c>
      <c r="E9" s="236">
        <v>0</v>
      </c>
      <c r="G9" s="112">
        <v>2008</v>
      </c>
      <c r="H9" s="14">
        <v>4570</v>
      </c>
      <c r="I9" s="14">
        <v>2154</v>
      </c>
      <c r="K9" s="112" t="s">
        <v>519</v>
      </c>
      <c r="L9" s="14">
        <v>1321</v>
      </c>
      <c r="M9" s="14">
        <v>909</v>
      </c>
    </row>
    <row r="10" spans="2:13" x14ac:dyDescent="0.25">
      <c r="B10" s="242" t="s">
        <v>28</v>
      </c>
      <c r="C10" s="199">
        <f t="shared" si="1"/>
        <v>0</v>
      </c>
      <c r="D10" s="235">
        <v>0</v>
      </c>
      <c r="E10" s="236">
        <v>0</v>
      </c>
      <c r="G10" s="112">
        <v>2009</v>
      </c>
      <c r="H10" s="14">
        <v>9176</v>
      </c>
      <c r="I10" s="14">
        <v>6255</v>
      </c>
      <c r="K10" s="112" t="s">
        <v>520</v>
      </c>
      <c r="L10" s="14">
        <v>8218</v>
      </c>
      <c r="M10" s="14">
        <v>4590</v>
      </c>
    </row>
    <row r="11" spans="2:13" x14ac:dyDescent="0.25">
      <c r="B11" s="242" t="s">
        <v>29</v>
      </c>
      <c r="C11" s="199">
        <f t="shared" si="1"/>
        <v>0</v>
      </c>
      <c r="D11" s="235">
        <v>0</v>
      </c>
      <c r="E11" s="236">
        <v>0</v>
      </c>
      <c r="G11" s="112">
        <v>2010</v>
      </c>
      <c r="H11" s="14">
        <v>1412</v>
      </c>
      <c r="I11" s="14">
        <v>1120</v>
      </c>
      <c r="K11" s="112" t="s">
        <v>521</v>
      </c>
      <c r="L11" s="14">
        <v>803</v>
      </c>
      <c r="M11" s="14">
        <v>129</v>
      </c>
    </row>
    <row r="12" spans="2:13" x14ac:dyDescent="0.25">
      <c r="B12" s="242" t="s">
        <v>30</v>
      </c>
      <c r="C12" s="199">
        <f t="shared" si="1"/>
        <v>0</v>
      </c>
      <c r="D12" s="235">
        <v>0</v>
      </c>
      <c r="E12" s="236">
        <v>0</v>
      </c>
      <c r="G12" s="112">
        <v>2011</v>
      </c>
      <c r="H12" s="14">
        <v>2730</v>
      </c>
      <c r="I12" s="14">
        <v>2048</v>
      </c>
      <c r="K12" s="112" t="s">
        <v>522</v>
      </c>
      <c r="L12" s="14">
        <v>2044</v>
      </c>
      <c r="M12" s="14">
        <v>1509</v>
      </c>
    </row>
    <row r="13" spans="2:13" x14ac:dyDescent="0.25">
      <c r="B13" s="242" t="s">
        <v>31</v>
      </c>
      <c r="C13" s="199">
        <f t="shared" si="1"/>
        <v>0</v>
      </c>
      <c r="D13" s="235">
        <v>0</v>
      </c>
      <c r="E13" s="236">
        <v>0</v>
      </c>
      <c r="G13" s="112">
        <v>2012</v>
      </c>
      <c r="H13" s="14">
        <v>1273</v>
      </c>
      <c r="I13" s="14">
        <v>1050</v>
      </c>
      <c r="K13" s="112" t="s">
        <v>523</v>
      </c>
      <c r="L13" s="14">
        <v>438</v>
      </c>
      <c r="M13" s="14">
        <v>549</v>
      </c>
    </row>
    <row r="14" spans="2:13" x14ac:dyDescent="0.25">
      <c r="B14" s="242" t="s">
        <v>32</v>
      </c>
      <c r="C14" s="199">
        <f>SUM(D14:E14)</f>
        <v>13</v>
      </c>
      <c r="D14" s="235">
        <v>0</v>
      </c>
      <c r="E14" s="236">
        <v>13</v>
      </c>
      <c r="G14" s="112">
        <v>2013</v>
      </c>
      <c r="H14" s="14">
        <v>2106</v>
      </c>
      <c r="I14" s="14">
        <v>1235</v>
      </c>
      <c r="K14" s="112" t="s">
        <v>524</v>
      </c>
      <c r="L14" s="14">
        <v>1134</v>
      </c>
      <c r="M14" s="14">
        <v>590</v>
      </c>
    </row>
    <row r="15" spans="2:13" x14ac:dyDescent="0.25">
      <c r="B15" s="242" t="s">
        <v>33</v>
      </c>
      <c r="C15" s="199">
        <f t="shared" si="1"/>
        <v>0</v>
      </c>
      <c r="D15" s="235">
        <v>0</v>
      </c>
      <c r="E15" s="236">
        <v>0</v>
      </c>
      <c r="G15" s="112">
        <v>2014</v>
      </c>
      <c r="H15" s="14">
        <v>1311</v>
      </c>
      <c r="I15" s="14">
        <v>651</v>
      </c>
      <c r="K15" s="112" t="s">
        <v>525</v>
      </c>
      <c r="L15" s="14">
        <v>809</v>
      </c>
      <c r="M15" s="14">
        <v>378</v>
      </c>
    </row>
    <row r="16" spans="2:13" x14ac:dyDescent="0.25">
      <c r="B16" s="242" t="s">
        <v>34</v>
      </c>
      <c r="C16" s="199">
        <f t="shared" si="1"/>
        <v>0</v>
      </c>
      <c r="D16" s="235">
        <v>0</v>
      </c>
      <c r="E16" s="236">
        <v>0</v>
      </c>
      <c r="G16" s="112">
        <v>2015</v>
      </c>
      <c r="H16" s="14">
        <v>1204</v>
      </c>
      <c r="I16" s="14">
        <v>1108</v>
      </c>
      <c r="K16" s="112" t="s">
        <v>526</v>
      </c>
      <c r="L16" s="14">
        <v>991</v>
      </c>
      <c r="M16" s="14">
        <v>419</v>
      </c>
    </row>
    <row r="17" spans="2:13" x14ac:dyDescent="0.25">
      <c r="B17" s="242" t="s">
        <v>35</v>
      </c>
      <c r="C17" s="199">
        <f t="shared" si="1"/>
        <v>0</v>
      </c>
      <c r="D17" s="235">
        <v>0</v>
      </c>
      <c r="E17" s="236">
        <v>0</v>
      </c>
      <c r="G17" s="112">
        <v>2016</v>
      </c>
      <c r="H17" s="14">
        <v>720</v>
      </c>
      <c r="I17" s="14">
        <v>609</v>
      </c>
      <c r="K17" s="112" t="s">
        <v>527</v>
      </c>
      <c r="L17" s="14">
        <v>264</v>
      </c>
      <c r="M17" s="14">
        <v>92</v>
      </c>
    </row>
    <row r="18" spans="2:13" x14ac:dyDescent="0.25">
      <c r="B18" s="242" t="s">
        <v>36</v>
      </c>
      <c r="C18" s="199">
        <f t="shared" si="1"/>
        <v>0</v>
      </c>
      <c r="D18" s="235">
        <v>0</v>
      </c>
      <c r="E18" s="236">
        <v>0</v>
      </c>
      <c r="G18" s="112">
        <v>2017</v>
      </c>
      <c r="H18" s="14">
        <v>819</v>
      </c>
      <c r="I18" s="14">
        <v>557</v>
      </c>
      <c r="J18" s="658"/>
      <c r="K18" s="112" t="s">
        <v>528</v>
      </c>
      <c r="L18" s="14">
        <v>485</v>
      </c>
      <c r="M18" s="14">
        <v>348</v>
      </c>
    </row>
    <row r="19" spans="2:13" x14ac:dyDescent="0.25">
      <c r="B19" s="242" t="s">
        <v>37</v>
      </c>
      <c r="C19" s="199">
        <f>SUM(D19:E19)</f>
        <v>430</v>
      </c>
      <c r="D19" s="235">
        <v>0</v>
      </c>
      <c r="E19" s="236">
        <v>430</v>
      </c>
      <c r="G19" s="112">
        <v>2018</v>
      </c>
      <c r="H19" s="14">
        <v>587</v>
      </c>
      <c r="I19" s="14">
        <v>530</v>
      </c>
      <c r="J19" s="658"/>
      <c r="K19" s="112" t="s">
        <v>529</v>
      </c>
      <c r="L19" s="14">
        <v>323</v>
      </c>
      <c r="M19" s="14">
        <v>358</v>
      </c>
    </row>
    <row r="20" spans="2:13" x14ac:dyDescent="0.25">
      <c r="B20" s="242" t="s">
        <v>38</v>
      </c>
      <c r="C20" s="199">
        <f t="shared" si="1"/>
        <v>0</v>
      </c>
      <c r="D20" s="235">
        <v>0</v>
      </c>
      <c r="E20" s="236">
        <v>0</v>
      </c>
      <c r="G20" s="112">
        <v>2019</v>
      </c>
      <c r="H20" s="1013">
        <v>1053</v>
      </c>
      <c r="I20" s="1013">
        <v>735</v>
      </c>
      <c r="K20" s="112" t="s">
        <v>530</v>
      </c>
      <c r="L20" s="112">
        <v>835</v>
      </c>
      <c r="M20" s="112">
        <v>333</v>
      </c>
    </row>
    <row r="21" spans="2:13" x14ac:dyDescent="0.25">
      <c r="B21" s="242" t="s">
        <v>39</v>
      </c>
      <c r="C21" s="199">
        <f t="shared" si="1"/>
        <v>0</v>
      </c>
      <c r="D21" s="235">
        <v>0</v>
      </c>
      <c r="E21" s="236">
        <v>0</v>
      </c>
      <c r="G21" s="67" t="s">
        <v>531</v>
      </c>
    </row>
    <row r="22" spans="2:13" x14ac:dyDescent="0.25">
      <c r="B22" s="242" t="s">
        <v>40</v>
      </c>
      <c r="C22" s="199">
        <f t="shared" si="1"/>
        <v>5</v>
      </c>
      <c r="D22" s="235">
        <v>0</v>
      </c>
      <c r="E22" s="236">
        <v>5</v>
      </c>
      <c r="G22" s="11" t="s">
        <v>532</v>
      </c>
    </row>
    <row r="23" spans="2:13" x14ac:dyDescent="0.25">
      <c r="B23" s="242" t="s">
        <v>41</v>
      </c>
      <c r="C23" s="199">
        <f t="shared" si="1"/>
        <v>0</v>
      </c>
      <c r="D23" s="235">
        <v>0</v>
      </c>
      <c r="E23" s="236">
        <v>0</v>
      </c>
    </row>
    <row r="24" spans="2:13" x14ac:dyDescent="0.25">
      <c r="B24" s="242" t="s">
        <v>42</v>
      </c>
      <c r="C24" s="199">
        <f t="shared" si="1"/>
        <v>0</v>
      </c>
      <c r="D24" s="235">
        <v>0</v>
      </c>
      <c r="E24" s="236">
        <v>0</v>
      </c>
    </row>
    <row r="25" spans="2:13" x14ac:dyDescent="0.25">
      <c r="B25" s="242" t="s">
        <v>43</v>
      </c>
      <c r="C25" s="199">
        <f>SUM(D25:E25)</f>
        <v>9</v>
      </c>
      <c r="D25" s="235">
        <v>9</v>
      </c>
      <c r="E25" s="236">
        <v>0</v>
      </c>
    </row>
    <row r="26" spans="2:13" x14ac:dyDescent="0.25">
      <c r="B26" s="242" t="s">
        <v>44</v>
      </c>
      <c r="C26" s="199">
        <f t="shared" si="1"/>
        <v>0</v>
      </c>
      <c r="D26" s="235">
        <v>0</v>
      </c>
      <c r="E26" s="236">
        <v>0</v>
      </c>
    </row>
    <row r="27" spans="2:13" x14ac:dyDescent="0.25">
      <c r="B27" s="242" t="s">
        <v>45</v>
      </c>
      <c r="C27" s="199">
        <f t="shared" si="1"/>
        <v>0</v>
      </c>
      <c r="D27" s="235">
        <v>0</v>
      </c>
      <c r="E27" s="236">
        <v>0</v>
      </c>
    </row>
    <row r="28" spans="2:13" x14ac:dyDescent="0.25">
      <c r="B28" s="242" t="s">
        <v>46</v>
      </c>
      <c r="C28" s="199">
        <f t="shared" si="1"/>
        <v>0</v>
      </c>
      <c r="D28" s="235">
        <v>0</v>
      </c>
      <c r="E28" s="236">
        <v>0</v>
      </c>
    </row>
    <row r="29" spans="2:13" x14ac:dyDescent="0.25">
      <c r="B29" s="242" t="s">
        <v>47</v>
      </c>
      <c r="C29" s="199">
        <f>SUM(D29:E29)</f>
        <v>350</v>
      </c>
      <c r="D29" s="235">
        <v>0</v>
      </c>
      <c r="E29" s="236">
        <v>350</v>
      </c>
    </row>
    <row r="30" spans="2:13" x14ac:dyDescent="0.25">
      <c r="B30" s="242" t="s">
        <v>48</v>
      </c>
      <c r="C30" s="199">
        <f>SUM(D30:E30)</f>
        <v>20</v>
      </c>
      <c r="D30" s="235">
        <v>0</v>
      </c>
      <c r="E30" s="236">
        <v>20</v>
      </c>
    </row>
    <row r="31" spans="2:13" x14ac:dyDescent="0.25">
      <c r="B31" s="242" t="s">
        <v>49</v>
      </c>
      <c r="C31" s="199">
        <f>SUM(D31:E31)</f>
        <v>226</v>
      </c>
      <c r="D31" s="235">
        <v>0</v>
      </c>
      <c r="E31" s="236">
        <v>226</v>
      </c>
    </row>
    <row r="32" spans="2:13" ht="15.75" thickBot="1" x14ac:dyDescent="0.3">
      <c r="B32" s="243" t="s">
        <v>50</v>
      </c>
      <c r="C32" s="200">
        <f t="shared" si="1"/>
        <v>0</v>
      </c>
      <c r="D32" s="232">
        <v>0</v>
      </c>
      <c r="E32" s="251">
        <v>0</v>
      </c>
    </row>
    <row r="33" spans="7:10" x14ac:dyDescent="0.25">
      <c r="G33" s="819"/>
      <c r="H33" s="821"/>
      <c r="I33" s="821"/>
      <c r="J33" s="402"/>
    </row>
  </sheetData>
  <printOptions horizontalCentered="1"/>
  <pageMargins left="1.0236220472440944" right="0.70866141732283472" top="1.8110236220472442" bottom="0.74803149606299213" header="0.31496062992125984" footer="0.31496062992125984"/>
  <pageSetup paperSize="9" scale="36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T31"/>
  <sheetViews>
    <sheetView zoomScale="80" zoomScaleNormal="80" workbookViewId="0">
      <selection activeCell="B1" sqref="B1"/>
    </sheetView>
  </sheetViews>
  <sheetFormatPr defaultRowHeight="15" x14ac:dyDescent="0.25"/>
  <cols>
    <col min="1" max="1" width="3.85546875" style="11" customWidth="1"/>
    <col min="2" max="2" width="35.7109375" style="11" customWidth="1"/>
    <col min="3" max="3" width="7.42578125" style="11" customWidth="1"/>
    <col min="4" max="4" width="7.7109375" style="11" customWidth="1"/>
    <col min="5" max="5" width="7.5703125" style="11" customWidth="1"/>
    <col min="6" max="6" width="7.85546875" style="11" customWidth="1"/>
    <col min="7" max="9" width="7.5703125" style="11" customWidth="1"/>
    <col min="10" max="11" width="7.42578125" style="11" customWidth="1"/>
    <col min="12" max="12" width="7.7109375" style="11" customWidth="1"/>
    <col min="13" max="14" width="8" style="11" customWidth="1"/>
    <col min="15" max="15" width="7.85546875" style="11" customWidth="1"/>
    <col min="16" max="16" width="8.28515625" style="11" customWidth="1"/>
    <col min="17" max="17" width="8.85546875" style="11" customWidth="1"/>
    <col min="18" max="16384" width="9.140625" style="11"/>
  </cols>
  <sheetData>
    <row r="1" spans="1:20" ht="12" customHeight="1" x14ac:dyDescent="0.25"/>
    <row r="2" spans="1:20" ht="15.75" customHeight="1" x14ac:dyDescent="0.25">
      <c r="B2" s="11" t="s">
        <v>294</v>
      </c>
    </row>
    <row r="3" spans="1:20" ht="15" customHeight="1" x14ac:dyDescent="0.25">
      <c r="B3" s="11" t="s">
        <v>348</v>
      </c>
    </row>
    <row r="4" spans="1:20" ht="12" customHeight="1" thickBot="1" x14ac:dyDescent="0.3"/>
    <row r="5" spans="1:20" ht="36.75" customHeight="1" thickBot="1" x14ac:dyDescent="0.3">
      <c r="B5" s="385" t="s">
        <v>3</v>
      </c>
      <c r="C5" s="386" t="s">
        <v>121</v>
      </c>
      <c r="D5" s="387" t="s">
        <v>122</v>
      </c>
      <c r="E5" s="387" t="s">
        <v>123</v>
      </c>
      <c r="F5" s="387" t="s">
        <v>124</v>
      </c>
      <c r="G5" s="388" t="s">
        <v>125</v>
      </c>
      <c r="H5" s="388" t="s">
        <v>126</v>
      </c>
      <c r="I5" s="388" t="s">
        <v>127</v>
      </c>
      <c r="J5" s="388" t="s">
        <v>128</v>
      </c>
      <c r="K5" s="388" t="s">
        <v>129</v>
      </c>
      <c r="L5" s="389" t="s">
        <v>130</v>
      </c>
      <c r="M5" s="388" t="s">
        <v>131</v>
      </c>
      <c r="N5" s="388" t="s">
        <v>336</v>
      </c>
      <c r="O5" s="390" t="s">
        <v>347</v>
      </c>
      <c r="P5" s="390" t="s">
        <v>433</v>
      </c>
      <c r="Q5" s="391" t="s">
        <v>132</v>
      </c>
    </row>
    <row r="6" spans="1:20" ht="34.5" customHeight="1" x14ac:dyDescent="0.25">
      <c r="B6" s="141" t="s">
        <v>275</v>
      </c>
      <c r="C6" s="392">
        <v>45.9</v>
      </c>
      <c r="D6" s="393">
        <v>47.5</v>
      </c>
      <c r="E6" s="393">
        <v>49.5</v>
      </c>
      <c r="F6" s="394">
        <v>51</v>
      </c>
      <c r="G6" s="393">
        <v>50.4</v>
      </c>
      <c r="H6" s="393">
        <v>50.2</v>
      </c>
      <c r="I6" s="393">
        <v>50.3</v>
      </c>
      <c r="J6" s="393">
        <v>50.4</v>
      </c>
      <c r="K6" s="393">
        <v>50.6</v>
      </c>
      <c r="L6" s="395">
        <v>51.7</v>
      </c>
      <c r="M6" s="394">
        <v>52.6</v>
      </c>
      <c r="N6" s="394">
        <v>53.2</v>
      </c>
      <c r="O6" s="396">
        <v>53.7</v>
      </c>
      <c r="P6" s="396">
        <v>54</v>
      </c>
      <c r="Q6" s="396">
        <f>SUM(P6)-O6</f>
        <v>0.29999999999999716</v>
      </c>
    </row>
    <row r="7" spans="1:20" ht="42" customHeight="1" thickBot="1" x14ac:dyDescent="0.3">
      <c r="B7" s="143" t="s">
        <v>276</v>
      </c>
      <c r="C7" s="397">
        <v>44.9</v>
      </c>
      <c r="D7" s="192">
        <v>47</v>
      </c>
      <c r="E7" s="192">
        <v>51</v>
      </c>
      <c r="F7" s="398">
        <v>51.8</v>
      </c>
      <c r="G7" s="398">
        <v>50.2</v>
      </c>
      <c r="H7" s="398">
        <v>49.8</v>
      </c>
      <c r="I7" s="398">
        <v>49.3</v>
      </c>
      <c r="J7" s="398">
        <v>48.6</v>
      </c>
      <c r="K7" s="398">
        <v>48.1</v>
      </c>
      <c r="L7" s="399">
        <v>46.7</v>
      </c>
      <c r="M7" s="192">
        <v>48</v>
      </c>
      <c r="N7" s="192">
        <v>50.9</v>
      </c>
      <c r="O7" s="193">
        <v>52.6</v>
      </c>
      <c r="P7" s="193">
        <v>52.2</v>
      </c>
      <c r="Q7" s="193">
        <f>SUM(P7)-O7</f>
        <v>-0.39999999999999858</v>
      </c>
    </row>
    <row r="8" spans="1:20" ht="20.25" customHeight="1" thickBot="1" x14ac:dyDescent="0.3">
      <c r="B8" s="400" t="s">
        <v>435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401"/>
      <c r="R8" s="402"/>
      <c r="S8" s="402"/>
    </row>
    <row r="9" spans="1:20" ht="25.5" customHeight="1" thickTop="1" x14ac:dyDescent="0.25">
      <c r="B9" s="71" t="s">
        <v>277</v>
      </c>
      <c r="C9" s="403">
        <v>17.5</v>
      </c>
      <c r="D9" s="404">
        <v>20.9</v>
      </c>
      <c r="E9" s="404">
        <v>23.3</v>
      </c>
      <c r="F9" s="404">
        <v>23.6</v>
      </c>
      <c r="G9" s="404">
        <v>18.100000000000001</v>
      </c>
      <c r="H9" s="404">
        <v>19.399999999999999</v>
      </c>
      <c r="I9" s="404">
        <v>18.3</v>
      </c>
      <c r="J9" s="404">
        <v>18.5</v>
      </c>
      <c r="K9" s="404">
        <v>17.8</v>
      </c>
      <c r="L9" s="405">
        <v>18.2</v>
      </c>
      <c r="M9" s="404">
        <v>15.2</v>
      </c>
      <c r="N9" s="404">
        <v>22.1</v>
      </c>
      <c r="O9" s="405">
        <v>25.7</v>
      </c>
      <c r="P9" s="741">
        <v>24.5</v>
      </c>
      <c r="Q9" s="738">
        <f t="shared" ref="Q9:Q11" si="0">SUM(P9)-O9</f>
        <v>-1.1999999999999993</v>
      </c>
    </row>
    <row r="10" spans="1:20" ht="24" customHeight="1" x14ac:dyDescent="0.25">
      <c r="B10" s="12" t="s">
        <v>7</v>
      </c>
      <c r="C10" s="406">
        <v>69</v>
      </c>
      <c r="D10" s="112">
        <v>72.3</v>
      </c>
      <c r="E10" s="112">
        <v>75.599999999999994</v>
      </c>
      <c r="F10" s="16">
        <v>78</v>
      </c>
      <c r="G10" s="112">
        <v>74.599999999999994</v>
      </c>
      <c r="H10" s="16">
        <v>72</v>
      </c>
      <c r="I10" s="112">
        <v>70.599999999999994</v>
      </c>
      <c r="J10" s="112">
        <v>70.900000000000006</v>
      </c>
      <c r="K10" s="112">
        <v>70.7</v>
      </c>
      <c r="L10" s="407">
        <v>70.900000000000006</v>
      </c>
      <c r="M10" s="112">
        <v>73.2</v>
      </c>
      <c r="N10" s="112">
        <v>76.3</v>
      </c>
      <c r="O10" s="407">
        <v>77.400000000000006</v>
      </c>
      <c r="P10" s="112">
        <v>77.2</v>
      </c>
      <c r="Q10" s="739">
        <f t="shared" si="0"/>
        <v>-0.20000000000000284</v>
      </c>
    </row>
    <row r="11" spans="1:20" ht="24" customHeight="1" x14ac:dyDescent="0.25">
      <c r="B11" s="12" t="s">
        <v>8</v>
      </c>
      <c r="C11" s="406">
        <v>76</v>
      </c>
      <c r="D11" s="112">
        <v>75.5</v>
      </c>
      <c r="E11" s="112">
        <v>82.2</v>
      </c>
      <c r="F11" s="16">
        <v>84</v>
      </c>
      <c r="G11" s="112">
        <v>80.3</v>
      </c>
      <c r="H11" s="112">
        <v>82.3</v>
      </c>
      <c r="I11" s="112">
        <v>79.8</v>
      </c>
      <c r="J11" s="112">
        <v>77.599999999999994</v>
      </c>
      <c r="K11" s="112">
        <v>76.3</v>
      </c>
      <c r="L11" s="407">
        <v>76.3</v>
      </c>
      <c r="M11" s="112">
        <v>78.2</v>
      </c>
      <c r="N11" s="112">
        <v>81.3</v>
      </c>
      <c r="O11" s="407">
        <v>81.900000000000006</v>
      </c>
      <c r="P11" s="112">
        <v>81.3</v>
      </c>
      <c r="Q11" s="739">
        <f t="shared" si="0"/>
        <v>-0.60000000000000853</v>
      </c>
    </row>
    <row r="12" spans="1:20" ht="24.75" customHeight="1" x14ac:dyDescent="0.25">
      <c r="B12" s="12" t="s">
        <v>9</v>
      </c>
      <c r="C12" s="408">
        <v>65.7</v>
      </c>
      <c r="D12" s="112">
        <v>68.400000000000006</v>
      </c>
      <c r="E12" s="112">
        <v>68.8</v>
      </c>
      <c r="F12" s="112">
        <v>73.599999999999994</v>
      </c>
      <c r="G12" s="16">
        <v>73</v>
      </c>
      <c r="H12" s="16">
        <v>73</v>
      </c>
      <c r="I12" s="112">
        <v>73.400000000000006</v>
      </c>
      <c r="J12" s="112">
        <v>71.400000000000006</v>
      </c>
      <c r="K12" s="112">
        <v>73.400000000000006</v>
      </c>
      <c r="L12" s="407">
        <v>73.5</v>
      </c>
      <c r="M12" s="112">
        <v>76.400000000000006</v>
      </c>
      <c r="N12" s="112">
        <v>77.8</v>
      </c>
      <c r="O12" s="407">
        <v>80.599999999999994</v>
      </c>
      <c r="P12" s="112">
        <v>80.599999999999994</v>
      </c>
      <c r="Q12" s="743">
        <f>SUM(P12)-O12</f>
        <v>0</v>
      </c>
    </row>
    <row r="13" spans="1:20" ht="28.5" customHeight="1" thickBot="1" x14ac:dyDescent="0.3">
      <c r="B13" s="103" t="s">
        <v>10</v>
      </c>
      <c r="C13" s="409">
        <v>19</v>
      </c>
      <c r="D13" s="410">
        <v>21.1</v>
      </c>
      <c r="E13" s="410">
        <v>25.1</v>
      </c>
      <c r="F13" s="410">
        <v>25.6</v>
      </c>
      <c r="G13" s="410">
        <v>26.2</v>
      </c>
      <c r="H13" s="410">
        <v>25.9</v>
      </c>
      <c r="I13" s="410">
        <v>26.8</v>
      </c>
      <c r="J13" s="410">
        <v>24.8</v>
      </c>
      <c r="K13" s="410">
        <v>22.7</v>
      </c>
      <c r="L13" s="411">
        <v>21.4</v>
      </c>
      <c r="M13" s="410">
        <v>23.2</v>
      </c>
      <c r="N13" s="410">
        <v>24.4</v>
      </c>
      <c r="O13" s="411">
        <v>25.5</v>
      </c>
      <c r="P13" s="410">
        <v>25.2</v>
      </c>
      <c r="Q13" s="740">
        <f>SUM(P13)-O13</f>
        <v>-0.30000000000000071</v>
      </c>
    </row>
    <row r="14" spans="1:20" ht="21" customHeight="1" thickBot="1" x14ac:dyDescent="0.3">
      <c r="A14" s="402"/>
      <c r="B14" s="400" t="s">
        <v>434</v>
      </c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401"/>
      <c r="R14" s="402"/>
      <c r="S14" s="402"/>
      <c r="T14" s="402"/>
    </row>
    <row r="15" spans="1:20" ht="25.5" customHeight="1" thickTop="1" x14ac:dyDescent="0.25">
      <c r="B15" s="71" t="s">
        <v>11</v>
      </c>
      <c r="C15" s="403">
        <v>69.8</v>
      </c>
      <c r="D15" s="404">
        <v>69.599999999999994</v>
      </c>
      <c r="E15" s="404">
        <v>74.900000000000006</v>
      </c>
      <c r="F15" s="404">
        <v>75.7</v>
      </c>
      <c r="G15" s="404">
        <v>73.3</v>
      </c>
      <c r="H15" s="404">
        <v>77.3</v>
      </c>
      <c r="I15" s="404">
        <v>73.900000000000006</v>
      </c>
      <c r="J15" s="404">
        <v>73.7</v>
      </c>
      <c r="K15" s="404">
        <v>82.3</v>
      </c>
      <c r="L15" s="405">
        <v>72.400000000000006</v>
      </c>
      <c r="M15" s="404">
        <v>75.5</v>
      </c>
      <c r="N15" s="404">
        <v>77.7</v>
      </c>
      <c r="O15" s="405">
        <v>76.400000000000006</v>
      </c>
      <c r="P15" s="741">
        <v>77.099999999999994</v>
      </c>
      <c r="Q15" s="742">
        <f>SUM(P15)-O15</f>
        <v>0.69999999999998863</v>
      </c>
    </row>
    <row r="16" spans="1:20" ht="28.5" customHeight="1" x14ac:dyDescent="0.25">
      <c r="B16" s="12" t="s">
        <v>12</v>
      </c>
      <c r="C16" s="408">
        <v>56.1</v>
      </c>
      <c r="D16" s="112">
        <v>58.4</v>
      </c>
      <c r="E16" s="112">
        <v>62.3</v>
      </c>
      <c r="F16" s="16">
        <v>62</v>
      </c>
      <c r="G16" s="112">
        <v>63.3</v>
      </c>
      <c r="H16" s="112">
        <v>61.4</v>
      </c>
      <c r="I16" s="112">
        <v>60.8</v>
      </c>
      <c r="J16" s="112">
        <v>58.9</v>
      </c>
      <c r="K16" s="112">
        <v>67.3</v>
      </c>
      <c r="L16" s="407">
        <v>54.9</v>
      </c>
      <c r="M16" s="112">
        <v>57.6</v>
      </c>
      <c r="N16" s="112">
        <v>60.5</v>
      </c>
      <c r="O16" s="159">
        <v>62</v>
      </c>
      <c r="P16" s="16">
        <v>60.6</v>
      </c>
      <c r="Q16" s="743">
        <f>SUM(P16)-O16</f>
        <v>-1.3999999999999986</v>
      </c>
    </row>
    <row r="17" spans="2:17" ht="27" customHeight="1" x14ac:dyDescent="0.25">
      <c r="B17" s="12" t="s">
        <v>13</v>
      </c>
      <c r="C17" s="408">
        <v>38.1</v>
      </c>
      <c r="D17" s="112">
        <v>34.5</v>
      </c>
      <c r="E17" s="112">
        <v>34.9</v>
      </c>
      <c r="F17" s="112">
        <v>36.5</v>
      </c>
      <c r="G17" s="112">
        <v>34.1</v>
      </c>
      <c r="H17" s="112">
        <v>34.4</v>
      </c>
      <c r="I17" s="112">
        <v>35.4</v>
      </c>
      <c r="J17" s="112">
        <v>37.5</v>
      </c>
      <c r="K17" s="112">
        <v>48.6</v>
      </c>
      <c r="L17" s="407">
        <v>39.6</v>
      </c>
      <c r="M17" s="112">
        <v>38.799999999999997</v>
      </c>
      <c r="N17" s="112">
        <v>40.6</v>
      </c>
      <c r="O17" s="407">
        <v>47.4</v>
      </c>
      <c r="P17" s="112">
        <v>47.2</v>
      </c>
      <c r="Q17" s="739">
        <f>SUM(P17)-O17</f>
        <v>-0.19999999999999574</v>
      </c>
    </row>
    <row r="18" spans="2:17" ht="27.75" customHeight="1" x14ac:dyDescent="0.25">
      <c r="B18" s="12" t="s">
        <v>14</v>
      </c>
      <c r="C18" s="408">
        <v>57.4</v>
      </c>
      <c r="D18" s="112">
        <v>59.6</v>
      </c>
      <c r="E18" s="112">
        <v>61.4</v>
      </c>
      <c r="F18" s="112">
        <v>63.5</v>
      </c>
      <c r="G18" s="112">
        <v>61.4</v>
      </c>
      <c r="H18" s="112">
        <v>62.1</v>
      </c>
      <c r="I18" s="112">
        <v>59.5</v>
      </c>
      <c r="J18" s="16">
        <v>55</v>
      </c>
      <c r="K18" s="112">
        <v>63.9</v>
      </c>
      <c r="L18" s="159">
        <v>54</v>
      </c>
      <c r="M18" s="16">
        <v>53.5</v>
      </c>
      <c r="N18" s="16">
        <v>53.9</v>
      </c>
      <c r="O18" s="159">
        <v>54.4</v>
      </c>
      <c r="P18" s="16">
        <v>56.3</v>
      </c>
      <c r="Q18" s="743">
        <f>SUM(P18)-O18</f>
        <v>1.8999999999999986</v>
      </c>
    </row>
    <row r="19" spans="2:17" ht="30.75" thickBot="1" x14ac:dyDescent="0.3">
      <c r="B19" s="103" t="s">
        <v>15</v>
      </c>
      <c r="C19" s="412">
        <v>19.7</v>
      </c>
      <c r="D19" s="410">
        <v>21.8</v>
      </c>
      <c r="E19" s="410">
        <v>25.6</v>
      </c>
      <c r="F19" s="23">
        <v>25</v>
      </c>
      <c r="G19" s="410">
        <v>20.3</v>
      </c>
      <c r="H19" s="410">
        <v>17.100000000000001</v>
      </c>
      <c r="I19" s="410">
        <v>18.100000000000001</v>
      </c>
      <c r="J19" s="410">
        <v>17.600000000000001</v>
      </c>
      <c r="K19" s="410">
        <v>18.899999999999999</v>
      </c>
      <c r="L19" s="411">
        <v>11.1</v>
      </c>
      <c r="M19" s="410">
        <v>11.8</v>
      </c>
      <c r="N19" s="410">
        <v>12.5</v>
      </c>
      <c r="O19" s="411">
        <v>12.5</v>
      </c>
      <c r="P19" s="410">
        <v>12.4</v>
      </c>
      <c r="Q19" s="744">
        <f>SUM(P19)-O19</f>
        <v>-9.9999999999999645E-2</v>
      </c>
    </row>
    <row r="20" spans="2:17" x14ac:dyDescent="0.25">
      <c r="B20" s="68" t="s">
        <v>16</v>
      </c>
    </row>
    <row r="21" spans="2:17" x14ac:dyDescent="0.25">
      <c r="B21" s="68" t="s">
        <v>17</v>
      </c>
    </row>
    <row r="22" spans="2:17" x14ac:dyDescent="0.25">
      <c r="B22" s="68" t="s">
        <v>439</v>
      </c>
    </row>
    <row r="23" spans="2:17" x14ac:dyDescent="0.25">
      <c r="B23" s="68" t="s">
        <v>337</v>
      </c>
    </row>
    <row r="24" spans="2:17" x14ac:dyDescent="0.25">
      <c r="B24" s="68" t="s">
        <v>438</v>
      </c>
    </row>
    <row r="25" spans="2:17" x14ac:dyDescent="0.25">
      <c r="B25" s="68" t="s">
        <v>437</v>
      </c>
    </row>
    <row r="26" spans="2:17" x14ac:dyDescent="0.25">
      <c r="B26" s="68" t="s">
        <v>282</v>
      </c>
    </row>
    <row r="27" spans="2:17" x14ac:dyDescent="0.25">
      <c r="B27" s="68" t="s">
        <v>436</v>
      </c>
    </row>
    <row r="28" spans="2:17" x14ac:dyDescent="0.25">
      <c r="B28" s="68" t="s">
        <v>283</v>
      </c>
    </row>
    <row r="31" spans="2:17" x14ac:dyDescent="0.25">
      <c r="C31" s="158"/>
    </row>
  </sheetData>
  <pageMargins left="0.9055118110236221" right="0.70866141732283472" top="1.3385826771653544" bottom="0.31496062992125984" header="0.31496062992125984" footer="0.31496062992125984"/>
  <pageSetup paperSize="9"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F35"/>
  <sheetViews>
    <sheetView workbookViewId="0">
      <selection activeCell="B1" sqref="B1"/>
    </sheetView>
  </sheetViews>
  <sheetFormatPr defaultRowHeight="15" x14ac:dyDescent="0.25"/>
  <cols>
    <col min="1" max="1" width="2.28515625" style="2" customWidth="1"/>
    <col min="2" max="2" width="21.7109375" style="2" customWidth="1"/>
    <col min="3" max="3" width="13" style="2" customWidth="1"/>
    <col min="4" max="4" width="12.85546875" style="2" customWidth="1"/>
    <col min="5" max="5" width="13.42578125" style="2" customWidth="1"/>
    <col min="6" max="6" width="12.85546875" style="2" customWidth="1"/>
    <col min="7" max="7" width="13.140625" style="2" customWidth="1"/>
    <col min="8" max="8" width="9.140625" style="2"/>
    <col min="9" max="9" width="10.28515625" style="2" customWidth="1"/>
    <col min="10" max="16384" width="9.140625" style="2"/>
  </cols>
  <sheetData>
    <row r="2" spans="2:6" x14ac:dyDescent="0.25">
      <c r="B2" s="11" t="s">
        <v>315</v>
      </c>
      <c r="C2" s="11"/>
      <c r="D2" s="11"/>
      <c r="E2" s="11"/>
      <c r="F2" s="11"/>
    </row>
    <row r="3" spans="2:6" x14ac:dyDescent="0.25">
      <c r="B3" s="11" t="s">
        <v>316</v>
      </c>
      <c r="C3" s="11"/>
      <c r="D3" s="11"/>
      <c r="E3" s="11"/>
      <c r="F3" s="11"/>
    </row>
    <row r="4" spans="2:6" ht="15.75" thickBot="1" x14ac:dyDescent="0.3">
      <c r="B4" s="11"/>
      <c r="C4" s="11"/>
      <c r="D4" s="11"/>
      <c r="E4" s="11"/>
      <c r="F4" s="11"/>
    </row>
    <row r="5" spans="2:6" ht="19.5" customHeight="1" x14ac:dyDescent="0.25">
      <c r="B5" s="1095" t="s">
        <v>139</v>
      </c>
      <c r="C5" s="1097" t="s">
        <v>149</v>
      </c>
      <c r="D5" s="1098"/>
      <c r="E5" s="1098"/>
      <c r="F5" s="1099"/>
    </row>
    <row r="6" spans="2:6" ht="27.75" customHeight="1" x14ac:dyDescent="0.25">
      <c r="B6" s="1103"/>
      <c r="C6" s="1106">
        <v>2018</v>
      </c>
      <c r="D6" s="1104">
        <v>2019</v>
      </c>
      <c r="E6" s="1108" t="s">
        <v>140</v>
      </c>
      <c r="F6" s="1109"/>
    </row>
    <row r="7" spans="2:6" ht="43.5" customHeight="1" x14ac:dyDescent="0.25">
      <c r="B7" s="1103"/>
      <c r="C7" s="1106"/>
      <c r="D7" s="1104"/>
      <c r="E7" s="1110" t="s">
        <v>135</v>
      </c>
      <c r="F7" s="1112" t="s">
        <v>551</v>
      </c>
    </row>
    <row r="8" spans="2:6" ht="15.75" thickBot="1" x14ac:dyDescent="0.3">
      <c r="B8" s="1096"/>
      <c r="C8" s="1107"/>
      <c r="D8" s="1105"/>
      <c r="E8" s="1111"/>
      <c r="F8" s="1113"/>
    </row>
    <row r="9" spans="2:6" ht="21" customHeight="1" x14ac:dyDescent="0.25">
      <c r="B9" s="73" t="s">
        <v>25</v>
      </c>
      <c r="C9" s="732">
        <f>SUM(C10:C34)</f>
        <v>117364</v>
      </c>
      <c r="D9" s="75">
        <f>SUM(D10:D34)</f>
        <v>109137</v>
      </c>
      <c r="E9" s="75">
        <f>SUM(D9)-C9</f>
        <v>-8227</v>
      </c>
      <c r="F9" s="76">
        <f>SUM(E9)/C9*100</f>
        <v>-7.0098156163729941</v>
      </c>
    </row>
    <row r="10" spans="2:6" ht="18" customHeight="1" x14ac:dyDescent="0.25">
      <c r="B10" s="12" t="s">
        <v>26</v>
      </c>
      <c r="C10" s="694">
        <v>1539</v>
      </c>
      <c r="D10" s="9">
        <v>1451</v>
      </c>
      <c r="E10" s="9">
        <f t="shared" ref="E10:E34" si="0">SUM(D10)-C10</f>
        <v>-88</v>
      </c>
      <c r="F10" s="7">
        <f>SUM(E10)/C10*100</f>
        <v>-5.7179987004548405</v>
      </c>
    </row>
    <row r="11" spans="2:6" ht="15.75" customHeight="1" x14ac:dyDescent="0.25">
      <c r="B11" s="12" t="s">
        <v>27</v>
      </c>
      <c r="C11" s="694">
        <v>4745</v>
      </c>
      <c r="D11" s="9">
        <v>4578</v>
      </c>
      <c r="E11" s="9">
        <f t="shared" si="0"/>
        <v>-167</v>
      </c>
      <c r="F11" s="7">
        <f t="shared" ref="F11:F34" si="1">SUM(E11)/C11*100</f>
        <v>-3.5194942044257114</v>
      </c>
    </row>
    <row r="12" spans="2:6" x14ac:dyDescent="0.25">
      <c r="B12" s="12" t="s">
        <v>28</v>
      </c>
      <c r="C12" s="694">
        <v>6043</v>
      </c>
      <c r="D12" s="9">
        <v>5337</v>
      </c>
      <c r="E12" s="9">
        <f t="shared" si="0"/>
        <v>-706</v>
      </c>
      <c r="F12" s="7">
        <f t="shared" si="1"/>
        <v>-11.682938937613768</v>
      </c>
    </row>
    <row r="13" spans="2:6" x14ac:dyDescent="0.25">
      <c r="B13" s="12" t="s">
        <v>29</v>
      </c>
      <c r="C13" s="694">
        <v>7923</v>
      </c>
      <c r="D13" s="9">
        <v>7237</v>
      </c>
      <c r="E13" s="9">
        <f t="shared" si="0"/>
        <v>-686</v>
      </c>
      <c r="F13" s="7">
        <f t="shared" si="1"/>
        <v>-8.6583364887037746</v>
      </c>
    </row>
    <row r="14" spans="2:6" x14ac:dyDescent="0.25">
      <c r="B14" s="12" t="s">
        <v>30</v>
      </c>
      <c r="C14" s="694">
        <v>7156</v>
      </c>
      <c r="D14" s="9">
        <v>6454</v>
      </c>
      <c r="E14" s="9">
        <f t="shared" si="0"/>
        <v>-702</v>
      </c>
      <c r="F14" s="7">
        <f t="shared" si="1"/>
        <v>-9.8099496925656791</v>
      </c>
    </row>
    <row r="15" spans="2:6" x14ac:dyDescent="0.25">
      <c r="B15" s="12" t="s">
        <v>31</v>
      </c>
      <c r="C15" s="694">
        <v>3532</v>
      </c>
      <c r="D15" s="9">
        <v>3309</v>
      </c>
      <c r="E15" s="9">
        <f t="shared" si="0"/>
        <v>-223</v>
      </c>
      <c r="F15" s="7">
        <f t="shared" si="1"/>
        <v>-6.313703284258211</v>
      </c>
    </row>
    <row r="16" spans="2:6" x14ac:dyDescent="0.25">
      <c r="B16" s="12" t="s">
        <v>32</v>
      </c>
      <c r="C16" s="694">
        <v>4518</v>
      </c>
      <c r="D16" s="9">
        <v>3998</v>
      </c>
      <c r="E16" s="9">
        <f t="shared" si="0"/>
        <v>-520</v>
      </c>
      <c r="F16" s="7">
        <f t="shared" si="1"/>
        <v>-11.509517485613104</v>
      </c>
    </row>
    <row r="17" spans="2:6" x14ac:dyDescent="0.25">
      <c r="B17" s="12" t="s">
        <v>33</v>
      </c>
      <c r="C17" s="694">
        <v>2280</v>
      </c>
      <c r="D17" s="9">
        <v>2199</v>
      </c>
      <c r="E17" s="9">
        <f t="shared" si="0"/>
        <v>-81</v>
      </c>
      <c r="F17" s="7">
        <f t="shared" si="1"/>
        <v>-3.5526315789473681</v>
      </c>
    </row>
    <row r="18" spans="2:6" x14ac:dyDescent="0.25">
      <c r="B18" s="12" t="s">
        <v>34</v>
      </c>
      <c r="C18" s="694">
        <v>5334</v>
      </c>
      <c r="D18" s="9">
        <v>5103</v>
      </c>
      <c r="E18" s="9">
        <f t="shared" si="0"/>
        <v>-231</v>
      </c>
      <c r="F18" s="7">
        <f t="shared" si="1"/>
        <v>-4.3307086614173231</v>
      </c>
    </row>
    <row r="19" spans="2:6" x14ac:dyDescent="0.25">
      <c r="B19" s="12" t="s">
        <v>35</v>
      </c>
      <c r="C19" s="694">
        <v>4006</v>
      </c>
      <c r="D19" s="9">
        <v>3707</v>
      </c>
      <c r="E19" s="9">
        <f t="shared" si="0"/>
        <v>-299</v>
      </c>
      <c r="F19" s="7">
        <f t="shared" si="1"/>
        <v>-7.4638042935596598</v>
      </c>
    </row>
    <row r="20" spans="2:6" x14ac:dyDescent="0.25">
      <c r="B20" s="12" t="s">
        <v>36</v>
      </c>
      <c r="C20" s="694">
        <v>4759</v>
      </c>
      <c r="D20" s="9">
        <v>4331</v>
      </c>
      <c r="E20" s="9">
        <f t="shared" si="0"/>
        <v>-428</v>
      </c>
      <c r="F20" s="7">
        <f t="shared" si="1"/>
        <v>-8.9934860264761518</v>
      </c>
    </row>
    <row r="21" spans="2:6" x14ac:dyDescent="0.25">
      <c r="B21" s="12" t="s">
        <v>37</v>
      </c>
      <c r="C21" s="694">
        <v>6313</v>
      </c>
      <c r="D21" s="9">
        <v>6124</v>
      </c>
      <c r="E21" s="9">
        <f t="shared" si="0"/>
        <v>-189</v>
      </c>
      <c r="F21" s="7">
        <f t="shared" si="1"/>
        <v>-2.9938222715032472</v>
      </c>
    </row>
    <row r="22" spans="2:6" x14ac:dyDescent="0.25">
      <c r="B22" s="12" t="s">
        <v>38</v>
      </c>
      <c r="C22" s="694">
        <v>4740</v>
      </c>
      <c r="D22" s="9">
        <v>4528</v>
      </c>
      <c r="E22" s="9">
        <f t="shared" si="0"/>
        <v>-212</v>
      </c>
      <c r="F22" s="7">
        <f t="shared" si="1"/>
        <v>-4.4725738396624468</v>
      </c>
    </row>
    <row r="23" spans="2:6" x14ac:dyDescent="0.25">
      <c r="B23" s="18" t="s">
        <v>39</v>
      </c>
      <c r="C23" s="733">
        <v>4259</v>
      </c>
      <c r="D23" s="735">
        <v>4275</v>
      </c>
      <c r="E23" s="9">
        <f t="shared" si="0"/>
        <v>16</v>
      </c>
      <c r="F23" s="7">
        <f t="shared" si="1"/>
        <v>0.37567504108945765</v>
      </c>
    </row>
    <row r="24" spans="2:6" x14ac:dyDescent="0.25">
      <c r="B24" s="18" t="s">
        <v>40</v>
      </c>
      <c r="C24" s="733">
        <v>5997</v>
      </c>
      <c r="D24" s="735">
        <v>5565</v>
      </c>
      <c r="E24" s="9">
        <f t="shared" si="0"/>
        <v>-432</v>
      </c>
      <c r="F24" s="7">
        <f t="shared" si="1"/>
        <v>-7.2036018009004499</v>
      </c>
    </row>
    <row r="25" spans="2:6" x14ac:dyDescent="0.25">
      <c r="B25" s="18" t="s">
        <v>41</v>
      </c>
      <c r="C25" s="733">
        <v>4874</v>
      </c>
      <c r="D25" s="735">
        <v>4715</v>
      </c>
      <c r="E25" s="9">
        <f t="shared" si="0"/>
        <v>-159</v>
      </c>
      <c r="F25" s="7">
        <f t="shared" si="1"/>
        <v>-3.2622076323348375</v>
      </c>
    </row>
    <row r="26" spans="2:6" x14ac:dyDescent="0.25">
      <c r="B26" s="18" t="s">
        <v>42</v>
      </c>
      <c r="C26" s="733">
        <v>7024</v>
      </c>
      <c r="D26" s="735">
        <v>6336</v>
      </c>
      <c r="E26" s="9">
        <f>SUM(D26)-C26</f>
        <v>-688</v>
      </c>
      <c r="F26" s="7">
        <f>SUM(E26)/C26*100</f>
        <v>-9.7949886104783594</v>
      </c>
    </row>
    <row r="27" spans="2:6" x14ac:dyDescent="0.25">
      <c r="B27" s="18" t="s">
        <v>43</v>
      </c>
      <c r="C27" s="733">
        <v>4518</v>
      </c>
      <c r="D27" s="735">
        <v>4140</v>
      </c>
      <c r="E27" s="9">
        <f t="shared" si="0"/>
        <v>-378</v>
      </c>
      <c r="F27" s="7">
        <f t="shared" si="1"/>
        <v>-8.3665338645418323</v>
      </c>
    </row>
    <row r="28" spans="2:6" x14ac:dyDescent="0.25">
      <c r="B28" s="18" t="s">
        <v>44</v>
      </c>
      <c r="C28" s="733">
        <v>5095</v>
      </c>
      <c r="D28" s="735">
        <v>4515</v>
      </c>
      <c r="E28" s="9">
        <f t="shared" si="0"/>
        <v>-580</v>
      </c>
      <c r="F28" s="7">
        <f t="shared" si="1"/>
        <v>-11.383709519136408</v>
      </c>
    </row>
    <row r="29" spans="2:6" x14ac:dyDescent="0.25">
      <c r="B29" s="18" t="s">
        <v>45</v>
      </c>
      <c r="C29" s="733">
        <v>4987</v>
      </c>
      <c r="D29" s="735">
        <v>4719</v>
      </c>
      <c r="E29" s="9">
        <f t="shared" si="0"/>
        <v>-268</v>
      </c>
      <c r="F29" s="7">
        <f t="shared" si="1"/>
        <v>-5.373972328052937</v>
      </c>
    </row>
    <row r="30" spans="2:6" x14ac:dyDescent="0.25">
      <c r="B30" s="18" t="s">
        <v>46</v>
      </c>
      <c r="C30" s="733">
        <v>2718</v>
      </c>
      <c r="D30" s="735">
        <v>2670</v>
      </c>
      <c r="E30" s="9">
        <f t="shared" si="0"/>
        <v>-48</v>
      </c>
      <c r="F30" s="7">
        <f t="shared" si="1"/>
        <v>-1.7660044150110374</v>
      </c>
    </row>
    <row r="31" spans="2:6" x14ac:dyDescent="0.25">
      <c r="B31" s="18" t="s">
        <v>47</v>
      </c>
      <c r="C31" s="733">
        <v>1806</v>
      </c>
      <c r="D31" s="735">
        <v>1604</v>
      </c>
      <c r="E31" s="9">
        <f t="shared" si="0"/>
        <v>-202</v>
      </c>
      <c r="F31" s="7">
        <f t="shared" si="1"/>
        <v>-11.184939091915837</v>
      </c>
    </row>
    <row r="32" spans="2:6" x14ac:dyDescent="0.25">
      <c r="B32" s="18" t="s">
        <v>48</v>
      </c>
      <c r="C32" s="733">
        <v>3276</v>
      </c>
      <c r="D32" s="735">
        <v>3126</v>
      </c>
      <c r="E32" s="9">
        <f t="shared" si="0"/>
        <v>-150</v>
      </c>
      <c r="F32" s="7">
        <f t="shared" si="1"/>
        <v>-4.5787545787545785</v>
      </c>
    </row>
    <row r="33" spans="2:6" x14ac:dyDescent="0.25">
      <c r="B33" s="18" t="s">
        <v>49</v>
      </c>
      <c r="C33" s="733">
        <v>7256</v>
      </c>
      <c r="D33" s="735">
        <v>6841</v>
      </c>
      <c r="E33" s="9">
        <f t="shared" si="0"/>
        <v>-415</v>
      </c>
      <c r="F33" s="7">
        <f t="shared" si="1"/>
        <v>-5.7194046306504962</v>
      </c>
    </row>
    <row r="34" spans="2:6" ht="15.75" thickBot="1" x14ac:dyDescent="0.3">
      <c r="B34" s="19" t="s">
        <v>50</v>
      </c>
      <c r="C34" s="734">
        <v>2666</v>
      </c>
      <c r="D34" s="736">
        <v>2275</v>
      </c>
      <c r="E34" s="5">
        <f t="shared" si="0"/>
        <v>-391</v>
      </c>
      <c r="F34" s="8">
        <f t="shared" si="1"/>
        <v>-14.666166541635409</v>
      </c>
    </row>
    <row r="35" spans="2:6" x14ac:dyDescent="0.25">
      <c r="D35" s="77"/>
    </row>
  </sheetData>
  <mergeCells count="7">
    <mergeCell ref="B5:B8"/>
    <mergeCell ref="C5:F5"/>
    <mergeCell ref="D6:D8"/>
    <mergeCell ref="C6:C8"/>
    <mergeCell ref="E6:F6"/>
    <mergeCell ref="E7:E8"/>
    <mergeCell ref="F7:F8"/>
  </mergeCells>
  <pageMargins left="1.3779527559055118" right="0.70866141732283472" top="1.7322834645669292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I45"/>
  <sheetViews>
    <sheetView zoomScaleNormal="10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60.28515625" style="11" customWidth="1"/>
    <col min="3" max="3" width="10.28515625" style="11" customWidth="1"/>
    <col min="4" max="4" width="9.140625" style="11" customWidth="1"/>
    <col min="5" max="5" width="11" style="11" customWidth="1"/>
    <col min="6" max="6" width="8.7109375" style="11" customWidth="1"/>
    <col min="7" max="7" width="13.28515625" style="11" customWidth="1"/>
    <col min="8" max="8" width="9.42578125" style="11" bestFit="1" customWidth="1"/>
    <col min="9" max="9" width="10.28515625" style="11" customWidth="1"/>
    <col min="10" max="16384" width="9.140625" style="11"/>
  </cols>
  <sheetData>
    <row r="1" spans="2:9" ht="8.25" customHeight="1" x14ac:dyDescent="0.25"/>
    <row r="2" spans="2:9" x14ac:dyDescent="0.25">
      <c r="B2" s="11" t="s">
        <v>314</v>
      </c>
    </row>
    <row r="3" spans="2:9" ht="15.75" thickBot="1" x14ac:dyDescent="0.3">
      <c r="B3" s="11" t="s">
        <v>177</v>
      </c>
    </row>
    <row r="4" spans="2:9" x14ac:dyDescent="0.25">
      <c r="B4" s="1086" t="s">
        <v>133</v>
      </c>
      <c r="C4" s="1115">
        <v>2018</v>
      </c>
      <c r="D4" s="1089"/>
      <c r="E4" s="1115">
        <v>2019</v>
      </c>
      <c r="F4" s="1089"/>
      <c r="G4" s="1086" t="s">
        <v>140</v>
      </c>
    </row>
    <row r="5" spans="2:9" x14ac:dyDescent="0.25">
      <c r="B5" s="1114"/>
      <c r="C5" s="1116"/>
      <c r="D5" s="1117"/>
      <c r="E5" s="1116"/>
      <c r="F5" s="1117"/>
      <c r="G5" s="1114"/>
    </row>
    <row r="6" spans="2:9" ht="43.5" customHeight="1" thickBot="1" x14ac:dyDescent="0.3">
      <c r="B6" s="1100"/>
      <c r="C6" s="481" t="s">
        <v>4</v>
      </c>
      <c r="D6" s="478" t="s">
        <v>138</v>
      </c>
      <c r="E6" s="481" t="s">
        <v>4</v>
      </c>
      <c r="F6" s="478" t="s">
        <v>138</v>
      </c>
      <c r="G6" s="1070" t="s">
        <v>4</v>
      </c>
    </row>
    <row r="7" spans="2:9" ht="30" customHeight="1" thickBot="1" x14ac:dyDescent="0.3">
      <c r="B7" s="30" t="s">
        <v>151</v>
      </c>
      <c r="C7" s="100">
        <v>125403</v>
      </c>
      <c r="D7" s="101">
        <v>100</v>
      </c>
      <c r="E7" s="100">
        <v>116615</v>
      </c>
      <c r="F7" s="101">
        <v>100</v>
      </c>
      <c r="G7" s="102">
        <f>SUM(E7)-C7</f>
        <v>-8788</v>
      </c>
    </row>
    <row r="8" spans="2:9" ht="30.75" customHeight="1" thickBot="1" x14ac:dyDescent="0.3">
      <c r="B8" s="757" t="s">
        <v>152</v>
      </c>
      <c r="C8" s="758">
        <f>SUM(C9)+C26</f>
        <v>114492</v>
      </c>
      <c r="D8" s="759">
        <f>SUM(C8)/C7*100</f>
        <v>91.299251214085785</v>
      </c>
      <c r="E8" s="758">
        <f>SUM(E9)+E26</f>
        <v>105304</v>
      </c>
      <c r="F8" s="759">
        <f>SUM(E8)/E7*100</f>
        <v>90.300561677314235</v>
      </c>
      <c r="G8" s="760">
        <f>SUM(E8)-C8</f>
        <v>-9188</v>
      </c>
    </row>
    <row r="9" spans="2:9" ht="22.5" customHeight="1" x14ac:dyDescent="0.25">
      <c r="B9" s="761" t="s">
        <v>153</v>
      </c>
      <c r="C9" s="762">
        <f>SUM(C11:C12)</f>
        <v>69942</v>
      </c>
      <c r="D9" s="763">
        <f>SUM(C9)/C7*100</f>
        <v>55.773785316140767</v>
      </c>
      <c r="E9" s="762">
        <f>SUM(E11:E12)</f>
        <v>62056</v>
      </c>
      <c r="F9" s="763">
        <f>SUM(E9)/E7*100</f>
        <v>53.214423530420618</v>
      </c>
      <c r="G9" s="764">
        <f>SUM(E9)-C9</f>
        <v>-7886</v>
      </c>
    </row>
    <row r="10" spans="2:9" ht="22.5" customHeight="1" x14ac:dyDescent="0.25">
      <c r="B10" s="78" t="s">
        <v>1</v>
      </c>
      <c r="C10" s="79"/>
      <c r="D10" s="80"/>
      <c r="E10" s="79"/>
      <c r="F10" s="80"/>
      <c r="G10" s="97"/>
    </row>
    <row r="11" spans="2:9" ht="24" customHeight="1" x14ac:dyDescent="0.25">
      <c r="B11" s="537" t="s">
        <v>154</v>
      </c>
      <c r="C11" s="531">
        <v>55757</v>
      </c>
      <c r="D11" s="532">
        <f>SUM(C11)/C7*100</f>
        <v>44.462253694090251</v>
      </c>
      <c r="E11" s="531">
        <v>49043</v>
      </c>
      <c r="F11" s="532">
        <f>SUM(E11)/E7*100</f>
        <v>42.055481713330188</v>
      </c>
      <c r="G11" s="533">
        <f>SUM(E11)-C11</f>
        <v>-6714</v>
      </c>
    </row>
    <row r="12" spans="2:9" ht="26.25" customHeight="1" thickBot="1" x14ac:dyDescent="0.3">
      <c r="B12" s="538" t="s">
        <v>155</v>
      </c>
      <c r="C12" s="539">
        <v>14185</v>
      </c>
      <c r="D12" s="540">
        <f>SUM(C12)/C7*100</f>
        <v>11.311531622050509</v>
      </c>
      <c r="E12" s="539">
        <v>13013</v>
      </c>
      <c r="F12" s="540">
        <f>SUM(E12)/E7*100</f>
        <v>11.158941817090426</v>
      </c>
      <c r="G12" s="541">
        <f>SUM(E12)-C12</f>
        <v>-1172</v>
      </c>
      <c r="H12" s="425">
        <f>SUM(C12/C9)*100</f>
        <v>20.281090046038148</v>
      </c>
    </row>
    <row r="13" spans="2:9" ht="26.25" customHeight="1" thickTop="1" x14ac:dyDescent="0.25">
      <c r="B13" s="542" t="s">
        <v>441</v>
      </c>
      <c r="C13" s="543"/>
      <c r="D13" s="544"/>
      <c r="E13" s="543"/>
      <c r="F13" s="544"/>
      <c r="G13" s="545"/>
      <c r="H13" s="425">
        <f>SUM(E12/E9)*100</f>
        <v>20.969769240685832</v>
      </c>
      <c r="I13" s="425"/>
    </row>
    <row r="14" spans="2:9" ht="26.25" customHeight="1" x14ac:dyDescent="0.25">
      <c r="B14" s="90" t="s">
        <v>156</v>
      </c>
      <c r="C14" s="45">
        <v>3611</v>
      </c>
      <c r="D14" s="89">
        <f>SUM(C14)/C7*100</f>
        <v>2.8795164390006618</v>
      </c>
      <c r="E14" s="45">
        <v>4047</v>
      </c>
      <c r="F14" s="89">
        <f>SUM(E14)/E7*100</f>
        <v>3.4703940316425848</v>
      </c>
      <c r="G14" s="49">
        <f t="shared" ref="G14:G44" si="0">SUM(E14)-C14</f>
        <v>436</v>
      </c>
      <c r="H14" s="425">
        <f>SUM(E11/E9)*100</f>
        <v>79.030230759314165</v>
      </c>
    </row>
    <row r="15" spans="2:9" ht="26.25" customHeight="1" x14ac:dyDescent="0.25">
      <c r="B15" s="81" t="s">
        <v>157</v>
      </c>
      <c r="C15" s="13">
        <v>1950</v>
      </c>
      <c r="D15" s="82">
        <f>SUM(C15)/C7*100</f>
        <v>1.5549867228056746</v>
      </c>
      <c r="E15" s="13">
        <v>1641</v>
      </c>
      <c r="F15" s="82">
        <f>SUM(E15)/E7*100</f>
        <v>1.4071946147579644</v>
      </c>
      <c r="G15" s="47">
        <f t="shared" si="0"/>
        <v>-309</v>
      </c>
      <c r="H15" s="425">
        <f>SUM(E12/E9)*100</f>
        <v>20.969769240685832</v>
      </c>
    </row>
    <row r="16" spans="2:9" ht="28.5" customHeight="1" x14ac:dyDescent="0.25">
      <c r="B16" s="81" t="s">
        <v>158</v>
      </c>
      <c r="C16" s="13">
        <v>2504</v>
      </c>
      <c r="D16" s="82">
        <f>SUM(C16)/C7*100</f>
        <v>1.9967624379002098</v>
      </c>
      <c r="E16" s="13">
        <v>2179</v>
      </c>
      <c r="F16" s="82">
        <f>SUM(E16)/E7*100</f>
        <v>1.868541782789521</v>
      </c>
      <c r="G16" s="47">
        <f t="shared" si="0"/>
        <v>-325</v>
      </c>
    </row>
    <row r="17" spans="2:7" ht="27" customHeight="1" x14ac:dyDescent="0.25">
      <c r="B17" s="546" t="s">
        <v>159</v>
      </c>
      <c r="C17" s="83">
        <v>33</v>
      </c>
      <c r="D17" s="82">
        <f>SUM(C17)/C7*100</f>
        <v>2.6315159924403725E-2</v>
      </c>
      <c r="E17" s="83">
        <v>27</v>
      </c>
      <c r="F17" s="84">
        <f>SUM(E17)/E7*100</f>
        <v>2.3153110663293744E-2</v>
      </c>
      <c r="G17" s="98">
        <f t="shared" si="0"/>
        <v>-6</v>
      </c>
    </row>
    <row r="18" spans="2:7" ht="30" x14ac:dyDescent="0.25">
      <c r="B18" s="81" t="s">
        <v>103</v>
      </c>
      <c r="C18" s="13">
        <v>3026</v>
      </c>
      <c r="D18" s="82">
        <f>SUM(C18)/C7*100</f>
        <v>2.4130204221589597</v>
      </c>
      <c r="E18" s="13">
        <v>2753</v>
      </c>
      <c r="F18" s="82">
        <f>SUM(E18)/E7*100</f>
        <v>2.3607597650388028</v>
      </c>
      <c r="G18" s="47">
        <f t="shared" si="0"/>
        <v>-273</v>
      </c>
    </row>
    <row r="19" spans="2:7" ht="34.5" customHeight="1" x14ac:dyDescent="0.25">
      <c r="B19" s="81" t="s">
        <v>111</v>
      </c>
      <c r="C19" s="83">
        <v>1220</v>
      </c>
      <c r="D19" s="82">
        <f>SUM(C19)/C7*100</f>
        <v>0.97286348811431944</v>
      </c>
      <c r="E19" s="83">
        <v>1426</v>
      </c>
      <c r="F19" s="84">
        <f>SUM(E19)/E7*100</f>
        <v>1.2228272520687733</v>
      </c>
      <c r="G19" s="98">
        <f t="shared" si="0"/>
        <v>206</v>
      </c>
    </row>
    <row r="20" spans="2:7" ht="30" customHeight="1" x14ac:dyDescent="0.25">
      <c r="B20" s="81" t="s">
        <v>160</v>
      </c>
      <c r="C20" s="83">
        <v>68</v>
      </c>
      <c r="D20" s="82">
        <f>SUM(C20)/C7*100</f>
        <v>5.4225178026044034E-2</v>
      </c>
      <c r="E20" s="83">
        <v>61</v>
      </c>
      <c r="F20" s="84">
        <f>SUM(E20)/E7*100</f>
        <v>5.2308879646700682E-2</v>
      </c>
      <c r="G20" s="98">
        <f t="shared" si="0"/>
        <v>-7</v>
      </c>
    </row>
    <row r="21" spans="2:7" ht="32.25" customHeight="1" x14ac:dyDescent="0.25">
      <c r="B21" s="81" t="s">
        <v>161</v>
      </c>
      <c r="C21" s="83">
        <v>0</v>
      </c>
      <c r="D21" s="82">
        <f>SUM(C21)/C7*100</f>
        <v>0</v>
      </c>
      <c r="E21" s="83">
        <v>0</v>
      </c>
      <c r="F21" s="84">
        <f>SUM(E21)/E7*100</f>
        <v>0</v>
      </c>
      <c r="G21" s="98">
        <f t="shared" si="0"/>
        <v>0</v>
      </c>
    </row>
    <row r="22" spans="2:7" ht="33.75" customHeight="1" x14ac:dyDescent="0.25">
      <c r="B22" s="81" t="s">
        <v>162</v>
      </c>
      <c r="C22" s="83">
        <v>0</v>
      </c>
      <c r="D22" s="82">
        <f>SUM(C22)/C7*100</f>
        <v>0</v>
      </c>
      <c r="E22" s="83">
        <v>0</v>
      </c>
      <c r="F22" s="84">
        <f>SUM(E22)/E7*100</f>
        <v>0</v>
      </c>
      <c r="G22" s="98">
        <f t="shared" si="0"/>
        <v>0</v>
      </c>
    </row>
    <row r="23" spans="2:7" ht="36.75" customHeight="1" x14ac:dyDescent="0.25">
      <c r="B23" s="81" t="s">
        <v>163</v>
      </c>
      <c r="C23" s="83">
        <v>3</v>
      </c>
      <c r="D23" s="82">
        <f>SUM(C23)/C7*100</f>
        <v>2.392287265854884E-3</v>
      </c>
      <c r="E23" s="83">
        <v>0</v>
      </c>
      <c r="F23" s="84">
        <f>SUM(E23)/E7*100</f>
        <v>0</v>
      </c>
      <c r="G23" s="98">
        <f t="shared" si="0"/>
        <v>-3</v>
      </c>
    </row>
    <row r="24" spans="2:7" ht="30" customHeight="1" x14ac:dyDescent="0.25">
      <c r="B24" s="91" t="s">
        <v>164</v>
      </c>
      <c r="C24" s="92">
        <v>142</v>
      </c>
      <c r="D24" s="87">
        <f>SUM(C24)/C7*100</f>
        <v>0.11323493058379784</v>
      </c>
      <c r="E24" s="92">
        <v>127</v>
      </c>
      <c r="F24" s="93">
        <f>SUM(E24)/E7*100</f>
        <v>0.10890537237919649</v>
      </c>
      <c r="G24" s="99">
        <f t="shared" si="0"/>
        <v>-15</v>
      </c>
    </row>
    <row r="25" spans="2:7" ht="27.75" customHeight="1" thickBot="1" x14ac:dyDescent="0.3">
      <c r="B25" s="535" t="s">
        <v>172</v>
      </c>
      <c r="C25" s="42">
        <v>1661</v>
      </c>
      <c r="D25" s="87">
        <f>SUM(C25)/C7*100</f>
        <v>1.3245297161949874</v>
      </c>
      <c r="E25" s="42">
        <v>779</v>
      </c>
      <c r="F25" s="87">
        <f>SUM(E25)/E7*100</f>
        <v>0.66801011876688243</v>
      </c>
      <c r="G25" s="48">
        <f t="shared" si="0"/>
        <v>-882</v>
      </c>
    </row>
    <row r="26" spans="2:7" ht="26.25" customHeight="1" thickBot="1" x14ac:dyDescent="0.3">
      <c r="B26" s="765" t="s">
        <v>165</v>
      </c>
      <c r="C26" s="766">
        <f>SUM(C27:C35)</f>
        <v>44550</v>
      </c>
      <c r="D26" s="767">
        <f>SUM(C26)/C7*100</f>
        <v>35.525465897945026</v>
      </c>
      <c r="E26" s="766">
        <f>SUM(E27:E35)</f>
        <v>43248</v>
      </c>
      <c r="F26" s="767">
        <f>SUM(E26)/E7*100</f>
        <v>37.086138146893624</v>
      </c>
      <c r="G26" s="768">
        <f t="shared" si="0"/>
        <v>-1302</v>
      </c>
    </row>
    <row r="27" spans="2:7" ht="60" customHeight="1" x14ac:dyDescent="0.25">
      <c r="B27" s="88" t="s">
        <v>166</v>
      </c>
      <c r="C27" s="536">
        <v>3710</v>
      </c>
      <c r="D27" s="89">
        <f>SUM(C27)/C7*100</f>
        <v>2.9584619187738732</v>
      </c>
      <c r="E27" s="536">
        <v>2557</v>
      </c>
      <c r="F27" s="89">
        <f>SUM(E27)/E7*100</f>
        <v>2.1926853320756337</v>
      </c>
      <c r="G27" s="49">
        <f t="shared" si="0"/>
        <v>-1153</v>
      </c>
    </row>
    <row r="28" spans="2:7" ht="25.5" customHeight="1" x14ac:dyDescent="0.25">
      <c r="B28" s="85" t="s">
        <v>112</v>
      </c>
      <c r="C28" s="83">
        <v>0</v>
      </c>
      <c r="D28" s="82">
        <f>SUM(C28)/C7*100</f>
        <v>0</v>
      </c>
      <c r="E28" s="83">
        <v>0</v>
      </c>
      <c r="F28" s="84">
        <f>SUM(E28)/E7*100</f>
        <v>0</v>
      </c>
      <c r="G28" s="98">
        <f t="shared" si="0"/>
        <v>0</v>
      </c>
    </row>
    <row r="29" spans="2:7" ht="24" customHeight="1" x14ac:dyDescent="0.25">
      <c r="B29" s="85" t="s">
        <v>167</v>
      </c>
      <c r="C29" s="83">
        <v>22710</v>
      </c>
      <c r="D29" s="82">
        <f>SUM(C29)/C7*100</f>
        <v>18.109614602521471</v>
      </c>
      <c r="E29" s="83">
        <v>19074</v>
      </c>
      <c r="F29" s="82">
        <f>SUM(E29)/E7*100</f>
        <v>16.356386399691292</v>
      </c>
      <c r="G29" s="47">
        <f t="shared" si="0"/>
        <v>-3636</v>
      </c>
    </row>
    <row r="30" spans="2:7" ht="27" customHeight="1" x14ac:dyDescent="0.25">
      <c r="B30" s="85" t="s">
        <v>114</v>
      </c>
      <c r="C30" s="13">
        <v>8034</v>
      </c>
      <c r="D30" s="82">
        <f>SUM(C30)/C7*100</f>
        <v>6.4065452979593793</v>
      </c>
      <c r="E30" s="13">
        <v>9296</v>
      </c>
      <c r="F30" s="82">
        <f>SUM(E30)/E7*100</f>
        <v>7.9715302491103204</v>
      </c>
      <c r="G30" s="47">
        <f t="shared" si="0"/>
        <v>1262</v>
      </c>
    </row>
    <row r="31" spans="2:7" ht="24" customHeight="1" x14ac:dyDescent="0.25">
      <c r="B31" s="85" t="s">
        <v>115</v>
      </c>
      <c r="C31" s="13">
        <v>543</v>
      </c>
      <c r="D31" s="82">
        <f>SUM(C31)/C7*100</f>
        <v>0.43300399511973398</v>
      </c>
      <c r="E31" s="13">
        <v>488</v>
      </c>
      <c r="F31" s="82">
        <f>SUM(E31)/E7*100</f>
        <v>0.41847103717360545</v>
      </c>
      <c r="G31" s="47">
        <f t="shared" si="0"/>
        <v>-55</v>
      </c>
    </row>
    <row r="32" spans="2:7" ht="30" customHeight="1" x14ac:dyDescent="0.25">
      <c r="B32" s="85" t="s">
        <v>116</v>
      </c>
      <c r="C32" s="13">
        <v>1285</v>
      </c>
      <c r="D32" s="82">
        <f>SUM(C32)/C7*100</f>
        <v>1.0246963788745087</v>
      </c>
      <c r="E32" s="13">
        <v>1434</v>
      </c>
      <c r="F32" s="82">
        <f>SUM(E32)/E7*100</f>
        <v>1.2296874330060457</v>
      </c>
      <c r="G32" s="47">
        <f t="shared" si="0"/>
        <v>149</v>
      </c>
    </row>
    <row r="33" spans="2:7" ht="29.25" customHeight="1" x14ac:dyDescent="0.25">
      <c r="B33" s="85" t="s">
        <v>108</v>
      </c>
      <c r="C33" s="13">
        <v>643</v>
      </c>
      <c r="D33" s="82">
        <f>SUM(C33)/C7*100</f>
        <v>0.51274690398156342</v>
      </c>
      <c r="E33" s="13">
        <v>515</v>
      </c>
      <c r="F33" s="82">
        <f>SUM(E33)/E7*100</f>
        <v>0.44162414783689918</v>
      </c>
      <c r="G33" s="47">
        <f t="shared" si="0"/>
        <v>-128</v>
      </c>
    </row>
    <row r="34" spans="2:7" ht="28.5" customHeight="1" x14ac:dyDescent="0.25">
      <c r="B34" s="86" t="s">
        <v>109</v>
      </c>
      <c r="C34" s="42">
        <v>1125</v>
      </c>
      <c r="D34" s="87">
        <f>SUM(C34)/C7*100</f>
        <v>0.89710772469558142</v>
      </c>
      <c r="E34" s="42">
        <v>852</v>
      </c>
      <c r="F34" s="87">
        <f>SUM(E34)/E7*100</f>
        <v>0.73060926981949148</v>
      </c>
      <c r="G34" s="48">
        <f t="shared" si="0"/>
        <v>-273</v>
      </c>
    </row>
    <row r="35" spans="2:7" ht="24.75" customHeight="1" thickBot="1" x14ac:dyDescent="0.3">
      <c r="B35" s="86" t="s">
        <v>117</v>
      </c>
      <c r="C35" s="42">
        <v>6500</v>
      </c>
      <c r="D35" s="87">
        <f>SUM(C35)/C7*100</f>
        <v>5.183289076018915</v>
      </c>
      <c r="E35" s="42">
        <v>9032</v>
      </c>
      <c r="F35" s="87">
        <f>SUM(E35)/E7*100</f>
        <v>7.7451442781803364</v>
      </c>
      <c r="G35" s="48">
        <f t="shared" si="0"/>
        <v>2532</v>
      </c>
    </row>
    <row r="36" spans="2:7" ht="24.75" customHeight="1" thickBot="1" x14ac:dyDescent="0.3">
      <c r="B36" s="753" t="s">
        <v>168</v>
      </c>
      <c r="C36" s="754">
        <f>SUM(C37,C39,C41:C42,C44)</f>
        <v>10911</v>
      </c>
      <c r="D36" s="755">
        <f>SUM(C36)/C7*100</f>
        <v>8.7007487859142127</v>
      </c>
      <c r="E36" s="754">
        <f>SUM(E37,E39,E41:E42,E44)</f>
        <v>11311</v>
      </c>
      <c r="F36" s="755">
        <f>SUM(E36)/E7*100</f>
        <v>9.6994383226857614</v>
      </c>
      <c r="G36" s="756">
        <f t="shared" si="0"/>
        <v>400</v>
      </c>
    </row>
    <row r="37" spans="2:7" ht="27" customHeight="1" x14ac:dyDescent="0.25">
      <c r="B37" s="715" t="s">
        <v>104</v>
      </c>
      <c r="C37" s="716">
        <v>1698</v>
      </c>
      <c r="D37" s="717">
        <f>SUM(C37)/C7*100</f>
        <v>1.3540345924738642</v>
      </c>
      <c r="E37" s="716">
        <v>1383</v>
      </c>
      <c r="F37" s="717">
        <f>SUM(E37)/E7*100</f>
        <v>1.1859537795309352</v>
      </c>
      <c r="G37" s="604">
        <f t="shared" si="0"/>
        <v>-315</v>
      </c>
    </row>
    <row r="38" spans="2:7" ht="23.25" customHeight="1" x14ac:dyDescent="0.25">
      <c r="B38" s="534" t="s">
        <v>169</v>
      </c>
      <c r="C38" s="83">
        <v>306</v>
      </c>
      <c r="D38" s="82">
        <f>SUM(C38)/C7*100</f>
        <v>0.24401330111719816</v>
      </c>
      <c r="E38" s="83">
        <v>244</v>
      </c>
      <c r="F38" s="89">
        <f>SUM(E38)/E7*100</f>
        <v>0.20923551858680273</v>
      </c>
      <c r="G38" s="98">
        <f t="shared" si="0"/>
        <v>-62</v>
      </c>
    </row>
    <row r="39" spans="2:7" ht="25.5" customHeight="1" x14ac:dyDescent="0.25">
      <c r="B39" s="718" t="s">
        <v>105</v>
      </c>
      <c r="C39" s="616">
        <v>8348</v>
      </c>
      <c r="D39" s="719">
        <f>SUM(C39)/C7*100</f>
        <v>6.6569380317855238</v>
      </c>
      <c r="E39" s="616">
        <v>9190</v>
      </c>
      <c r="F39" s="719">
        <f>SUM(E39)/E7*100</f>
        <v>7.8806328516914634</v>
      </c>
      <c r="G39" s="608">
        <f t="shared" si="0"/>
        <v>842</v>
      </c>
    </row>
    <row r="40" spans="2:7" ht="27" customHeight="1" x14ac:dyDescent="0.25">
      <c r="B40" s="534" t="s">
        <v>170</v>
      </c>
      <c r="C40" s="83">
        <v>37</v>
      </c>
      <c r="D40" s="82">
        <f>SUM(C40)/C7*100</f>
        <v>2.95048762788769E-2</v>
      </c>
      <c r="E40" s="83">
        <v>21</v>
      </c>
      <c r="F40" s="84">
        <f>SUM(E40)/E7*100</f>
        <v>1.8007974960339582E-2</v>
      </c>
      <c r="G40" s="98">
        <f t="shared" si="0"/>
        <v>-16</v>
      </c>
    </row>
    <row r="41" spans="2:7" ht="28.5" customHeight="1" x14ac:dyDescent="0.25">
      <c r="B41" s="718" t="s">
        <v>106</v>
      </c>
      <c r="C41" s="616">
        <v>1</v>
      </c>
      <c r="D41" s="719">
        <f>SUM(C41)/C7*100</f>
        <v>7.9742908861829456E-4</v>
      </c>
      <c r="E41" s="616">
        <v>0</v>
      </c>
      <c r="F41" s="719">
        <f>SUM(E41)/E7*100</f>
        <v>0</v>
      </c>
      <c r="G41" s="608">
        <f t="shared" si="0"/>
        <v>-1</v>
      </c>
    </row>
    <row r="42" spans="2:7" ht="25.5" customHeight="1" x14ac:dyDescent="0.25">
      <c r="B42" s="718" t="s">
        <v>107</v>
      </c>
      <c r="C42" s="616">
        <v>820</v>
      </c>
      <c r="D42" s="719">
        <f>SUM(C42)/C7*100</f>
        <v>0.65389185266700156</v>
      </c>
      <c r="E42" s="616">
        <v>738</v>
      </c>
      <c r="F42" s="719">
        <f>SUM(E42)/E7*100</f>
        <v>0.63285169146336229</v>
      </c>
      <c r="G42" s="608">
        <f t="shared" si="0"/>
        <v>-82</v>
      </c>
    </row>
    <row r="43" spans="2:7" ht="29.25" customHeight="1" x14ac:dyDescent="0.25">
      <c r="B43" s="534" t="s">
        <v>171</v>
      </c>
      <c r="C43" s="83">
        <v>78</v>
      </c>
      <c r="D43" s="82">
        <f>SUM(C43)/C7*100</f>
        <v>6.2199468912226982E-2</v>
      </c>
      <c r="E43" s="83">
        <v>18</v>
      </c>
      <c r="F43" s="84">
        <f>SUM(E43)/E7*100</f>
        <v>1.5435407108862497E-2</v>
      </c>
      <c r="G43" s="98">
        <f t="shared" si="0"/>
        <v>-60</v>
      </c>
    </row>
    <row r="44" spans="2:7" ht="36" customHeight="1" thickBot="1" x14ac:dyDescent="0.3">
      <c r="B44" s="720" t="s">
        <v>113</v>
      </c>
      <c r="C44" s="721">
        <v>44</v>
      </c>
      <c r="D44" s="722">
        <f>SUM(C44)/C7*100</f>
        <v>3.5086879899204962E-2</v>
      </c>
      <c r="E44" s="721">
        <v>0</v>
      </c>
      <c r="F44" s="723">
        <f>SUM(E44)/E7*100</f>
        <v>0</v>
      </c>
      <c r="G44" s="724">
        <f t="shared" si="0"/>
        <v>-44</v>
      </c>
    </row>
    <row r="45" spans="2:7" x14ac:dyDescent="0.25">
      <c r="C45" s="658">
        <f>SUM(C8,C36)</f>
        <v>125403</v>
      </c>
      <c r="E45" s="658">
        <f>SUM(E8,E36)</f>
        <v>116615</v>
      </c>
      <c r="G45" s="658">
        <f>SUM(G8,G36)</f>
        <v>-8788</v>
      </c>
    </row>
  </sheetData>
  <mergeCells count="4">
    <mergeCell ref="B4:B6"/>
    <mergeCell ref="E4:F5"/>
    <mergeCell ref="C4:D5"/>
    <mergeCell ref="G4:G5"/>
  </mergeCells>
  <pageMargins left="1.3779527559055118" right="0" top="0.6692913385826772" bottom="0" header="0" footer="0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J14"/>
  <sheetViews>
    <sheetView workbookViewId="0">
      <selection activeCell="B1" sqref="B1"/>
    </sheetView>
  </sheetViews>
  <sheetFormatPr defaultRowHeight="15" x14ac:dyDescent="0.25"/>
  <cols>
    <col min="1" max="1" width="2.28515625" style="2" customWidth="1"/>
    <col min="2" max="2" width="38.28515625" style="2" customWidth="1"/>
    <col min="3" max="3" width="10" style="2" customWidth="1"/>
    <col min="4" max="4" width="8.5703125" style="2" customWidth="1"/>
    <col min="5" max="5" width="9.140625" style="2"/>
    <col min="6" max="6" width="8.140625" style="2" customWidth="1"/>
    <col min="7" max="7" width="10.42578125" style="2" customWidth="1"/>
    <col min="8" max="8" width="8" style="2" customWidth="1"/>
    <col min="9" max="9" width="10.28515625" style="2" customWidth="1"/>
    <col min="10" max="16384" width="9.140625" style="2"/>
  </cols>
  <sheetData>
    <row r="2" spans="2:10" x14ac:dyDescent="0.25">
      <c r="B2" s="11" t="s">
        <v>312</v>
      </c>
    </row>
    <row r="3" spans="2:10" x14ac:dyDescent="0.25">
      <c r="B3" s="11" t="s">
        <v>313</v>
      </c>
    </row>
    <row r="4" spans="2:10" ht="15.75" thickBot="1" x14ac:dyDescent="0.3"/>
    <row r="5" spans="2:10" ht="27.75" customHeight="1" x14ac:dyDescent="0.25">
      <c r="B5" s="1118" t="s">
        <v>173</v>
      </c>
      <c r="C5" s="1120">
        <v>2018</v>
      </c>
      <c r="D5" s="1121"/>
      <c r="E5" s="1120">
        <v>2019</v>
      </c>
      <c r="F5" s="1121"/>
      <c r="G5" s="1121" t="s">
        <v>140</v>
      </c>
      <c r="H5" s="1102"/>
    </row>
    <row r="6" spans="2:10" ht="32.25" customHeight="1" thickBot="1" x14ac:dyDescent="0.3">
      <c r="B6" s="1119"/>
      <c r="C6" s="114" t="s">
        <v>137</v>
      </c>
      <c r="D6" s="114" t="s">
        <v>138</v>
      </c>
      <c r="E6" s="115" t="s">
        <v>137</v>
      </c>
      <c r="F6" s="114" t="s">
        <v>138</v>
      </c>
      <c r="G6" s="116" t="s">
        <v>137</v>
      </c>
      <c r="H6" s="27" t="s">
        <v>138</v>
      </c>
    </row>
    <row r="7" spans="2:10" ht="30" customHeight="1" x14ac:dyDescent="0.25">
      <c r="B7" s="117" t="s">
        <v>4</v>
      </c>
      <c r="C7" s="64">
        <v>69942</v>
      </c>
      <c r="D7" s="118">
        <f>SUM(D8:D9)</f>
        <v>100</v>
      </c>
      <c r="E7" s="64">
        <v>62056</v>
      </c>
      <c r="F7" s="118">
        <f>SUM(F8:F9)</f>
        <v>100</v>
      </c>
      <c r="G7" s="120">
        <f>E7-C7</f>
        <v>-7886</v>
      </c>
      <c r="H7" s="119">
        <f>G7/C7*100</f>
        <v>-11.275056475365302</v>
      </c>
    </row>
    <row r="8" spans="2:10" ht="29.25" customHeight="1" x14ac:dyDescent="0.25">
      <c r="B8" s="12" t="s">
        <v>5</v>
      </c>
      <c r="C8" s="6">
        <v>33525</v>
      </c>
      <c r="D8" s="10">
        <f>SUM(C8)/C7*100</f>
        <v>47.932572703096852</v>
      </c>
      <c r="E8" s="6">
        <v>29591</v>
      </c>
      <c r="F8" s="10">
        <f>SUM(E8)/E7*100</f>
        <v>47.684349619698338</v>
      </c>
      <c r="G8" s="121">
        <f>E8-C8</f>
        <v>-3934</v>
      </c>
      <c r="H8" s="72">
        <f>E8*100/C8-100</f>
        <v>-11.734526472781511</v>
      </c>
      <c r="J8" s="77"/>
    </row>
    <row r="9" spans="2:10" ht="27.75" customHeight="1" thickBot="1" x14ac:dyDescent="0.3">
      <c r="B9" s="103" t="s">
        <v>6</v>
      </c>
      <c r="C9" s="4">
        <f>SUM(C7)-C8</f>
        <v>36417</v>
      </c>
      <c r="D9" s="66">
        <f>SUM(C9)/C7*100</f>
        <v>52.067427296903148</v>
      </c>
      <c r="E9" s="4">
        <f>SUM(E7)-E8</f>
        <v>32465</v>
      </c>
      <c r="F9" s="66">
        <f>SUM(E9)/E7*100</f>
        <v>52.315650380301662</v>
      </c>
      <c r="G9" s="122">
        <f>E9-C9</f>
        <v>-3952</v>
      </c>
      <c r="H9" s="111">
        <f>E9*100/C9-100</f>
        <v>-10.852074580553037</v>
      </c>
    </row>
    <row r="10" spans="2:10" ht="25.5" customHeight="1" x14ac:dyDescent="0.25">
      <c r="B10" s="340" t="s">
        <v>174</v>
      </c>
      <c r="C10" s="346"/>
      <c r="D10" s="346"/>
      <c r="E10" s="346"/>
      <c r="F10" s="346"/>
      <c r="G10" s="346"/>
      <c r="H10" s="347"/>
    </row>
    <row r="11" spans="2:10" ht="25.5" customHeight="1" x14ac:dyDescent="0.25">
      <c r="B11" s="12" t="s">
        <v>175</v>
      </c>
      <c r="C11" s="6">
        <v>61025</v>
      </c>
      <c r="D11" s="10">
        <f>SUM(C11)/C7*100</f>
        <v>87.250865002430587</v>
      </c>
      <c r="E11" s="6">
        <v>54966</v>
      </c>
      <c r="F11" s="10">
        <f>SUM(E11)/E7*100</f>
        <v>88.574835632332082</v>
      </c>
      <c r="G11" s="108">
        <f>E11-C11</f>
        <v>-6059</v>
      </c>
      <c r="H11" s="7">
        <f>E11*100/C11-100</f>
        <v>-9.928717738631704</v>
      </c>
    </row>
    <row r="12" spans="2:10" ht="30" x14ac:dyDescent="0.25">
      <c r="B12" s="12" t="s">
        <v>176</v>
      </c>
      <c r="C12" s="104">
        <v>2297</v>
      </c>
      <c r="D12" s="106">
        <f>SUM(C12)/C7*100</f>
        <v>3.2841497240570763</v>
      </c>
      <c r="E12" s="104">
        <v>2008</v>
      </c>
      <c r="F12" s="106">
        <f>SUM(E12)/E7*100</f>
        <v>3.2357870310687118</v>
      </c>
      <c r="G12" s="109">
        <f>E12-C12</f>
        <v>-289</v>
      </c>
      <c r="H12" s="36">
        <f>E12*100/C12-100</f>
        <v>-12.581628210709624</v>
      </c>
    </row>
    <row r="13" spans="2:10" ht="23.25" customHeight="1" thickBot="1" x14ac:dyDescent="0.3">
      <c r="B13" s="483" t="s">
        <v>2</v>
      </c>
      <c r="C13" s="105">
        <v>8917</v>
      </c>
      <c r="D13" s="107">
        <f>SUM(C13)/C7*100</f>
        <v>12.749134997569413</v>
      </c>
      <c r="E13" s="105">
        <v>7090</v>
      </c>
      <c r="F13" s="107">
        <f>SUM(E13)/E7*100</f>
        <v>11.425164367667913</v>
      </c>
      <c r="G13" s="110">
        <f>E13-C13</f>
        <v>-1827</v>
      </c>
      <c r="H13" s="39">
        <f>E13*100/C13-100</f>
        <v>-20.48895368397443</v>
      </c>
    </row>
    <row r="14" spans="2:10" x14ac:dyDescent="0.25">
      <c r="C14" s="769">
        <f>SUM(C8:C9)</f>
        <v>69942</v>
      </c>
      <c r="E14" s="769">
        <f>SUM(E8:E9)</f>
        <v>62056</v>
      </c>
    </row>
  </sheetData>
  <mergeCells count="4">
    <mergeCell ref="B5:B6"/>
    <mergeCell ref="E5:F5"/>
    <mergeCell ref="C5:D5"/>
    <mergeCell ref="G5:H5"/>
  </mergeCells>
  <pageMargins left="2.2834645669291338" right="0.70866141732283472" top="2.0866141732283467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L34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1.7109375" style="11" customWidth="1"/>
    <col min="3" max="3" width="12" style="11" customWidth="1"/>
    <col min="4" max="4" width="9.5703125" style="11" customWidth="1"/>
    <col min="5" max="5" width="8.5703125" style="11" customWidth="1"/>
    <col min="6" max="6" width="10.85546875" style="11" customWidth="1"/>
    <col min="7" max="7" width="12" style="11" customWidth="1"/>
    <col min="8" max="8" width="9.140625" style="11"/>
    <col min="9" max="9" width="10.28515625" style="11" customWidth="1"/>
    <col min="10" max="10" width="7" style="11" customWidth="1"/>
    <col min="11" max="11" width="10.42578125" style="11" customWidth="1"/>
    <col min="12" max="12" width="8.5703125" style="11" customWidth="1"/>
    <col min="13" max="16384" width="9.140625" style="11"/>
  </cols>
  <sheetData>
    <row r="2" spans="2:12" x14ac:dyDescent="0.25">
      <c r="B2" s="11" t="s">
        <v>310</v>
      </c>
    </row>
    <row r="3" spans="2:12" x14ac:dyDescent="0.25">
      <c r="B3" s="11" t="s">
        <v>311</v>
      </c>
    </row>
    <row r="4" spans="2:12" ht="15.75" thickBot="1" x14ac:dyDescent="0.3"/>
    <row r="5" spans="2:12" ht="15.75" thickBot="1" x14ac:dyDescent="0.3">
      <c r="B5" s="1095" t="s">
        <v>139</v>
      </c>
      <c r="C5" s="1124" t="s">
        <v>179</v>
      </c>
      <c r="D5" s="1125"/>
      <c r="E5" s="1125"/>
      <c r="F5" s="1125"/>
      <c r="G5" s="1125"/>
      <c r="H5" s="1125"/>
      <c r="I5" s="1125"/>
      <c r="J5" s="1125"/>
      <c r="K5" s="1125"/>
      <c r="L5" s="1126"/>
    </row>
    <row r="6" spans="2:12" ht="28.5" customHeight="1" x14ac:dyDescent="0.25">
      <c r="B6" s="1103"/>
      <c r="C6" s="1097">
        <v>2018</v>
      </c>
      <c r="D6" s="1098"/>
      <c r="E6" s="1099"/>
      <c r="F6" s="1097">
        <v>2019</v>
      </c>
      <c r="G6" s="1098"/>
      <c r="H6" s="1099"/>
      <c r="I6" s="1097" t="s">
        <v>140</v>
      </c>
      <c r="J6" s="1098"/>
      <c r="K6" s="1098"/>
      <c r="L6" s="1099"/>
    </row>
    <row r="7" spans="2:12" ht="43.5" customHeight="1" x14ac:dyDescent="0.25">
      <c r="B7" s="1103"/>
      <c r="C7" s="1122" t="s">
        <v>4</v>
      </c>
      <c r="D7" s="1127" t="s">
        <v>96</v>
      </c>
      <c r="E7" s="1128"/>
      <c r="F7" s="1122" t="s">
        <v>4</v>
      </c>
      <c r="G7" s="1127" t="s">
        <v>96</v>
      </c>
      <c r="H7" s="1128"/>
      <c r="I7" s="1129" t="s">
        <v>4</v>
      </c>
      <c r="J7" s="1130"/>
      <c r="K7" s="1127" t="s">
        <v>96</v>
      </c>
      <c r="L7" s="1128"/>
    </row>
    <row r="8" spans="2:12" ht="15" customHeight="1" thickBot="1" x14ac:dyDescent="0.3">
      <c r="B8" s="1096"/>
      <c r="C8" s="1123"/>
      <c r="D8" s="312" t="s">
        <v>137</v>
      </c>
      <c r="E8" s="313" t="s">
        <v>138</v>
      </c>
      <c r="F8" s="1123"/>
      <c r="G8" s="114" t="s">
        <v>137</v>
      </c>
      <c r="H8" s="27" t="s">
        <v>138</v>
      </c>
      <c r="I8" s="311" t="s">
        <v>137</v>
      </c>
      <c r="J8" s="312" t="s">
        <v>138</v>
      </c>
      <c r="K8" s="115" t="s">
        <v>137</v>
      </c>
      <c r="L8" s="313" t="s">
        <v>138</v>
      </c>
    </row>
    <row r="9" spans="2:12" ht="26.25" customHeight="1" thickBot="1" x14ac:dyDescent="0.3">
      <c r="B9" s="257" t="s">
        <v>25</v>
      </c>
      <c r="C9" s="96">
        <f>SUM(C10:C34)</f>
        <v>125403</v>
      </c>
      <c r="D9" s="330">
        <f>SUM(D10:D34)</f>
        <v>69942</v>
      </c>
      <c r="E9" s="365">
        <f>D9/C9*100</f>
        <v>55.773785316140767</v>
      </c>
      <c r="F9" s="96">
        <f>SUM(F10:F34)</f>
        <v>116615</v>
      </c>
      <c r="G9" s="330">
        <f>SUM(G10:G34)</f>
        <v>62056</v>
      </c>
      <c r="H9" s="331">
        <f>SUM(G9)/F9*100</f>
        <v>53.214423530420618</v>
      </c>
      <c r="I9" s="96">
        <f>SUM(F9)-C9</f>
        <v>-8788</v>
      </c>
      <c r="J9" s="366">
        <f>SUM(I9)/C9*100</f>
        <v>-7.0078068307775725</v>
      </c>
      <c r="K9" s="330">
        <f>SUM(G9)-D9</f>
        <v>-7886</v>
      </c>
      <c r="L9" s="331">
        <f>SUM(K9)/D9*100</f>
        <v>-11.275056475365302</v>
      </c>
    </row>
    <row r="10" spans="2:12" ht="18" customHeight="1" x14ac:dyDescent="0.25">
      <c r="B10" s="71" t="s">
        <v>26</v>
      </c>
      <c r="C10" s="218">
        <v>1687</v>
      </c>
      <c r="D10" s="219">
        <v>1005</v>
      </c>
      <c r="E10" s="123">
        <f t="shared" ref="E10:E34" si="0">D10/C10*100</f>
        <v>59.573206876111442</v>
      </c>
      <c r="F10" s="218">
        <v>1464</v>
      </c>
      <c r="G10" s="219">
        <v>816</v>
      </c>
      <c r="H10" s="72">
        <f t="shared" ref="H10:H34" si="1">SUM(G10)/F10*100</f>
        <v>55.737704918032783</v>
      </c>
      <c r="I10" s="218">
        <f t="shared" ref="I10:I34" si="2">SUM(F10)-C10</f>
        <v>-223</v>
      </c>
      <c r="J10" s="337">
        <f t="shared" ref="J10:J34" si="3">SUM(I10)/C10*100</f>
        <v>-13.218731475992888</v>
      </c>
      <c r="K10" s="219">
        <f>SUM(G10)-D10</f>
        <v>-189</v>
      </c>
      <c r="L10" s="72">
        <f t="shared" ref="L10:L34" si="4">SUM(K10)/D10*100</f>
        <v>-18.805970149253731</v>
      </c>
    </row>
    <row r="11" spans="2:12" ht="15.75" customHeight="1" x14ac:dyDescent="0.25">
      <c r="B11" s="12" t="s">
        <v>27</v>
      </c>
      <c r="C11" s="70">
        <v>5103</v>
      </c>
      <c r="D11" s="9">
        <v>2966</v>
      </c>
      <c r="E11" s="123">
        <f t="shared" si="0"/>
        <v>58.122672937487749</v>
      </c>
      <c r="F11" s="70">
        <v>4752</v>
      </c>
      <c r="G11" s="9">
        <v>2634</v>
      </c>
      <c r="H11" s="7">
        <f t="shared" si="1"/>
        <v>55.429292929292927</v>
      </c>
      <c r="I11" s="70">
        <f t="shared" si="2"/>
        <v>-351</v>
      </c>
      <c r="J11" s="124">
        <f t="shared" si="3"/>
        <v>-6.8783068783068781</v>
      </c>
      <c r="K11" s="9">
        <f>SUM(G11)-D11</f>
        <v>-332</v>
      </c>
      <c r="L11" s="7">
        <f t="shared" si="4"/>
        <v>-11.193526635198921</v>
      </c>
    </row>
    <row r="12" spans="2:12" x14ac:dyDescent="0.25">
      <c r="B12" s="12" t="s">
        <v>28</v>
      </c>
      <c r="C12" s="70">
        <v>6729</v>
      </c>
      <c r="D12" s="9">
        <v>3577</v>
      </c>
      <c r="E12" s="123">
        <f t="shared" si="0"/>
        <v>53.157972952890475</v>
      </c>
      <c r="F12" s="70">
        <v>6070</v>
      </c>
      <c r="G12" s="9">
        <v>3113</v>
      </c>
      <c r="H12" s="7">
        <f t="shared" si="1"/>
        <v>51.28500823723229</v>
      </c>
      <c r="I12" s="70">
        <f t="shared" si="2"/>
        <v>-659</v>
      </c>
      <c r="J12" s="124">
        <f t="shared" si="3"/>
        <v>-9.7934314162579881</v>
      </c>
      <c r="K12" s="9">
        <f t="shared" ref="K12:K34" si="5">SUM(G12)-D12</f>
        <v>-464</v>
      </c>
      <c r="L12" s="7">
        <f t="shared" si="4"/>
        <v>-12.971764048084989</v>
      </c>
    </row>
    <row r="13" spans="2:12" x14ac:dyDescent="0.25">
      <c r="B13" s="12" t="s">
        <v>29</v>
      </c>
      <c r="C13" s="70">
        <v>8397</v>
      </c>
      <c r="D13" s="9">
        <v>4825</v>
      </c>
      <c r="E13" s="123">
        <f t="shared" si="0"/>
        <v>57.460997975467428</v>
      </c>
      <c r="F13" s="70">
        <v>8573</v>
      </c>
      <c r="G13" s="9">
        <v>4419</v>
      </c>
      <c r="H13" s="7">
        <f t="shared" si="1"/>
        <v>51.545549982503204</v>
      </c>
      <c r="I13" s="70">
        <f t="shared" si="2"/>
        <v>176</v>
      </c>
      <c r="J13" s="124">
        <f t="shared" si="3"/>
        <v>2.0959866619030607</v>
      </c>
      <c r="K13" s="9">
        <f t="shared" si="5"/>
        <v>-406</v>
      </c>
      <c r="L13" s="7">
        <f t="shared" si="4"/>
        <v>-8.4145077720207251</v>
      </c>
    </row>
    <row r="14" spans="2:12" x14ac:dyDescent="0.25">
      <c r="B14" s="12" t="s">
        <v>30</v>
      </c>
      <c r="C14" s="70">
        <v>7725</v>
      </c>
      <c r="D14" s="9">
        <v>3648</v>
      </c>
      <c r="E14" s="123">
        <f t="shared" si="0"/>
        <v>47.223300970873787</v>
      </c>
      <c r="F14" s="70">
        <v>6715</v>
      </c>
      <c r="G14" s="9">
        <v>3244</v>
      </c>
      <c r="H14" s="7">
        <f t="shared" si="1"/>
        <v>48.309754281459419</v>
      </c>
      <c r="I14" s="70">
        <f t="shared" si="2"/>
        <v>-1010</v>
      </c>
      <c r="J14" s="124">
        <f t="shared" si="3"/>
        <v>-13.074433656957929</v>
      </c>
      <c r="K14" s="9">
        <f t="shared" si="5"/>
        <v>-404</v>
      </c>
      <c r="L14" s="7">
        <f t="shared" si="4"/>
        <v>-11.074561403508772</v>
      </c>
    </row>
    <row r="15" spans="2:12" x14ac:dyDescent="0.25">
      <c r="B15" s="12" t="s">
        <v>31</v>
      </c>
      <c r="C15" s="70">
        <v>3884</v>
      </c>
      <c r="D15" s="9">
        <v>2009</v>
      </c>
      <c r="E15" s="123">
        <f t="shared" si="0"/>
        <v>51.725025746652932</v>
      </c>
      <c r="F15" s="70">
        <v>3464</v>
      </c>
      <c r="G15" s="9">
        <v>1678</v>
      </c>
      <c r="H15" s="7">
        <f t="shared" si="1"/>
        <v>48.441108545034645</v>
      </c>
      <c r="I15" s="70">
        <f t="shared" si="2"/>
        <v>-420</v>
      </c>
      <c r="J15" s="124">
        <f t="shared" si="3"/>
        <v>-10.813594232749743</v>
      </c>
      <c r="K15" s="9">
        <f t="shared" si="5"/>
        <v>-331</v>
      </c>
      <c r="L15" s="7">
        <f t="shared" si="4"/>
        <v>-16.475858636137382</v>
      </c>
    </row>
    <row r="16" spans="2:12" x14ac:dyDescent="0.25">
      <c r="B16" s="12" t="s">
        <v>32</v>
      </c>
      <c r="C16" s="70">
        <v>4939</v>
      </c>
      <c r="D16" s="9">
        <v>2434</v>
      </c>
      <c r="E16" s="123">
        <f t="shared" si="0"/>
        <v>49.281231018424783</v>
      </c>
      <c r="F16" s="70">
        <v>4344</v>
      </c>
      <c r="G16" s="9">
        <v>1975</v>
      </c>
      <c r="H16" s="7">
        <f t="shared" si="1"/>
        <v>45.465009208103133</v>
      </c>
      <c r="I16" s="70">
        <f t="shared" si="2"/>
        <v>-595</v>
      </c>
      <c r="J16" s="124">
        <f t="shared" si="3"/>
        <v>-12.046973071471957</v>
      </c>
      <c r="K16" s="9">
        <f t="shared" si="5"/>
        <v>-459</v>
      </c>
      <c r="L16" s="7">
        <f t="shared" si="4"/>
        <v>-18.85784716516023</v>
      </c>
    </row>
    <row r="17" spans="2:12" x14ac:dyDescent="0.25">
      <c r="B17" s="12" t="s">
        <v>33</v>
      </c>
      <c r="C17" s="70">
        <v>2383</v>
      </c>
      <c r="D17" s="9">
        <v>1436</v>
      </c>
      <c r="E17" s="123">
        <f t="shared" si="0"/>
        <v>60.260176248426355</v>
      </c>
      <c r="F17" s="70">
        <v>2270</v>
      </c>
      <c r="G17" s="9">
        <v>1441</v>
      </c>
      <c r="H17" s="7">
        <f>SUM(G17)/F17*100</f>
        <v>63.480176211453745</v>
      </c>
      <c r="I17" s="70">
        <f t="shared" si="2"/>
        <v>-113</v>
      </c>
      <c r="J17" s="124">
        <f t="shared" si="3"/>
        <v>-4.7419219471254719</v>
      </c>
      <c r="K17" s="9">
        <f t="shared" si="5"/>
        <v>5</v>
      </c>
      <c r="L17" s="7">
        <f t="shared" si="4"/>
        <v>0.34818941504178275</v>
      </c>
    </row>
    <row r="18" spans="2:12" x14ac:dyDescent="0.25">
      <c r="B18" s="12" t="s">
        <v>34</v>
      </c>
      <c r="C18" s="70">
        <v>5641</v>
      </c>
      <c r="D18" s="9">
        <v>3068</v>
      </c>
      <c r="E18" s="123">
        <f t="shared" si="0"/>
        <v>54.387519943272466</v>
      </c>
      <c r="F18" s="70">
        <v>5409</v>
      </c>
      <c r="G18" s="9">
        <v>2763</v>
      </c>
      <c r="H18" s="7">
        <f>SUM(G18)/F18*100</f>
        <v>51.081530782029951</v>
      </c>
      <c r="I18" s="70">
        <f t="shared" si="2"/>
        <v>-232</v>
      </c>
      <c r="J18" s="124">
        <f t="shared" si="3"/>
        <v>-4.1127459670271227</v>
      </c>
      <c r="K18" s="9">
        <f t="shared" si="5"/>
        <v>-305</v>
      </c>
      <c r="L18" s="7">
        <f t="shared" si="4"/>
        <v>-9.941329856584094</v>
      </c>
    </row>
    <row r="19" spans="2:12" x14ac:dyDescent="0.25">
      <c r="B19" s="12" t="s">
        <v>35</v>
      </c>
      <c r="C19" s="70">
        <v>4283</v>
      </c>
      <c r="D19" s="9">
        <v>2320</v>
      </c>
      <c r="E19" s="123">
        <f t="shared" si="0"/>
        <v>54.167639505019849</v>
      </c>
      <c r="F19" s="70">
        <v>3846</v>
      </c>
      <c r="G19" s="9">
        <v>1962</v>
      </c>
      <c r="H19" s="7">
        <f>SUM(G19)/F19*100</f>
        <v>51.014040561622465</v>
      </c>
      <c r="I19" s="70">
        <f t="shared" si="2"/>
        <v>-437</v>
      </c>
      <c r="J19" s="124">
        <f t="shared" si="3"/>
        <v>-10.203128648143824</v>
      </c>
      <c r="K19" s="9">
        <f t="shared" si="5"/>
        <v>-358</v>
      </c>
      <c r="L19" s="7">
        <f t="shared" si="4"/>
        <v>-15.431034482758621</v>
      </c>
    </row>
    <row r="20" spans="2:12" x14ac:dyDescent="0.25">
      <c r="B20" s="12" t="s">
        <v>36</v>
      </c>
      <c r="C20" s="70">
        <v>4857</v>
      </c>
      <c r="D20" s="9">
        <v>2961</v>
      </c>
      <c r="E20" s="123">
        <f t="shared" si="0"/>
        <v>60.96355775169858</v>
      </c>
      <c r="F20" s="70">
        <v>4724</v>
      </c>
      <c r="G20" s="9">
        <v>2557</v>
      </c>
      <c r="H20" s="7">
        <f t="shared" si="1"/>
        <v>54.127857747671456</v>
      </c>
      <c r="I20" s="70">
        <f t="shared" si="2"/>
        <v>-133</v>
      </c>
      <c r="J20" s="124">
        <f t="shared" si="3"/>
        <v>-2.7383158328186123</v>
      </c>
      <c r="K20" s="9">
        <f t="shared" si="5"/>
        <v>-404</v>
      </c>
      <c r="L20" s="7">
        <f t="shared" si="4"/>
        <v>-13.64403917595407</v>
      </c>
    </row>
    <row r="21" spans="2:12" x14ac:dyDescent="0.25">
      <c r="B21" s="12" t="s">
        <v>37</v>
      </c>
      <c r="C21" s="70">
        <v>7036</v>
      </c>
      <c r="D21" s="9">
        <v>4097</v>
      </c>
      <c r="E21" s="123">
        <f t="shared" si="0"/>
        <v>58.229107447413298</v>
      </c>
      <c r="F21" s="70">
        <v>6170</v>
      </c>
      <c r="G21" s="9">
        <v>3413</v>
      </c>
      <c r="H21" s="7">
        <f t="shared" si="1"/>
        <v>55.316045380875202</v>
      </c>
      <c r="I21" s="70">
        <f t="shared" si="2"/>
        <v>-866</v>
      </c>
      <c r="J21" s="124">
        <f t="shared" si="3"/>
        <v>-12.308129619101763</v>
      </c>
      <c r="K21" s="9">
        <f t="shared" si="5"/>
        <v>-684</v>
      </c>
      <c r="L21" s="7">
        <f t="shared" si="4"/>
        <v>-16.695142787405416</v>
      </c>
    </row>
    <row r="22" spans="2:12" x14ac:dyDescent="0.25">
      <c r="B22" s="12" t="s">
        <v>38</v>
      </c>
      <c r="C22" s="70">
        <v>4940</v>
      </c>
      <c r="D22" s="9">
        <v>2906</v>
      </c>
      <c r="E22" s="123">
        <f t="shared" si="0"/>
        <v>58.825910931174086</v>
      </c>
      <c r="F22" s="70">
        <v>4780</v>
      </c>
      <c r="G22" s="9">
        <v>2553</v>
      </c>
      <c r="H22" s="7">
        <f t="shared" si="1"/>
        <v>53.410041841004187</v>
      </c>
      <c r="I22" s="70">
        <f t="shared" si="2"/>
        <v>-160</v>
      </c>
      <c r="J22" s="124">
        <f t="shared" si="3"/>
        <v>-3.2388663967611335</v>
      </c>
      <c r="K22" s="9">
        <f t="shared" si="5"/>
        <v>-353</v>
      </c>
      <c r="L22" s="7">
        <f t="shared" si="4"/>
        <v>-12.147281486579491</v>
      </c>
    </row>
    <row r="23" spans="2:12" x14ac:dyDescent="0.25">
      <c r="B23" s="18" t="s">
        <v>39</v>
      </c>
      <c r="C23" s="70">
        <v>4636</v>
      </c>
      <c r="D23" s="9">
        <v>2367</v>
      </c>
      <c r="E23" s="123">
        <f t="shared" si="0"/>
        <v>51.056945642795512</v>
      </c>
      <c r="F23" s="70">
        <v>4501</v>
      </c>
      <c r="G23" s="9">
        <v>2315</v>
      </c>
      <c r="H23" s="7">
        <f t="shared" si="1"/>
        <v>51.433014885580988</v>
      </c>
      <c r="I23" s="70">
        <f t="shared" si="2"/>
        <v>-135</v>
      </c>
      <c r="J23" s="124">
        <f t="shared" si="3"/>
        <v>-2.911993097497843</v>
      </c>
      <c r="K23" s="9">
        <f t="shared" si="5"/>
        <v>-52</v>
      </c>
      <c r="L23" s="7">
        <f t="shared" si="4"/>
        <v>-2.1968736797634136</v>
      </c>
    </row>
    <row r="24" spans="2:12" x14ac:dyDescent="0.25">
      <c r="B24" s="18" t="s">
        <v>40</v>
      </c>
      <c r="C24" s="70">
        <v>6575</v>
      </c>
      <c r="D24" s="9">
        <v>3411</v>
      </c>
      <c r="E24" s="123">
        <f t="shared" si="0"/>
        <v>51.878326996197721</v>
      </c>
      <c r="F24" s="70">
        <v>5717</v>
      </c>
      <c r="G24" s="9">
        <v>3022</v>
      </c>
      <c r="H24" s="7">
        <f t="shared" si="1"/>
        <v>52.85989155151303</v>
      </c>
      <c r="I24" s="70">
        <f t="shared" si="2"/>
        <v>-858</v>
      </c>
      <c r="J24" s="124">
        <f t="shared" si="3"/>
        <v>-13.049429657794676</v>
      </c>
      <c r="K24" s="9">
        <f t="shared" si="5"/>
        <v>-389</v>
      </c>
      <c r="L24" s="7">
        <f t="shared" si="4"/>
        <v>-11.404280269715626</v>
      </c>
    </row>
    <row r="25" spans="2:12" x14ac:dyDescent="0.25">
      <c r="B25" s="18" t="s">
        <v>41</v>
      </c>
      <c r="C25" s="70">
        <v>4983</v>
      </c>
      <c r="D25" s="9">
        <v>2954</v>
      </c>
      <c r="E25" s="123">
        <f t="shared" si="0"/>
        <v>59.281557294802326</v>
      </c>
      <c r="F25" s="70">
        <v>5222</v>
      </c>
      <c r="G25" s="9">
        <v>2784</v>
      </c>
      <c r="H25" s="7">
        <f t="shared" si="1"/>
        <v>53.312906932209877</v>
      </c>
      <c r="I25" s="70">
        <f t="shared" si="2"/>
        <v>239</v>
      </c>
      <c r="J25" s="124">
        <f t="shared" si="3"/>
        <v>4.7963074453140679</v>
      </c>
      <c r="K25" s="9">
        <f t="shared" si="5"/>
        <v>-170</v>
      </c>
      <c r="L25" s="7">
        <f t="shared" si="4"/>
        <v>-5.754908598510494</v>
      </c>
    </row>
    <row r="26" spans="2:12" x14ac:dyDescent="0.25">
      <c r="B26" s="18" t="s">
        <v>42</v>
      </c>
      <c r="C26" s="70">
        <v>7223</v>
      </c>
      <c r="D26" s="9">
        <v>4525</v>
      </c>
      <c r="E26" s="123">
        <f t="shared" si="0"/>
        <v>62.647099543126131</v>
      </c>
      <c r="F26" s="70">
        <v>7030</v>
      </c>
      <c r="G26" s="9">
        <v>4159</v>
      </c>
      <c r="H26" s="7">
        <f t="shared" si="1"/>
        <v>59.160739687055475</v>
      </c>
      <c r="I26" s="70">
        <f t="shared" si="2"/>
        <v>-193</v>
      </c>
      <c r="J26" s="124">
        <f t="shared" si="3"/>
        <v>-2.6720199363145505</v>
      </c>
      <c r="K26" s="9">
        <f t="shared" si="5"/>
        <v>-366</v>
      </c>
      <c r="L26" s="7">
        <f t="shared" si="4"/>
        <v>-8.0883977900552484</v>
      </c>
    </row>
    <row r="27" spans="2:12" x14ac:dyDescent="0.25">
      <c r="B27" s="18" t="s">
        <v>43</v>
      </c>
      <c r="C27" s="70">
        <v>4699</v>
      </c>
      <c r="D27" s="9">
        <v>2666</v>
      </c>
      <c r="E27" s="123">
        <f t="shared" si="0"/>
        <v>56.735475633113431</v>
      </c>
      <c r="F27" s="70">
        <v>4221</v>
      </c>
      <c r="G27" s="9">
        <v>2341</v>
      </c>
      <c r="H27" s="7">
        <f t="shared" si="1"/>
        <v>55.460791281686802</v>
      </c>
      <c r="I27" s="70">
        <f t="shared" si="2"/>
        <v>-478</v>
      </c>
      <c r="J27" s="124">
        <f t="shared" si="3"/>
        <v>-10.172377101510961</v>
      </c>
      <c r="K27" s="9">
        <f t="shared" si="5"/>
        <v>-325</v>
      </c>
      <c r="L27" s="7">
        <f t="shared" si="4"/>
        <v>-12.190547636909226</v>
      </c>
    </row>
    <row r="28" spans="2:12" x14ac:dyDescent="0.25">
      <c r="B28" s="18" t="s">
        <v>44</v>
      </c>
      <c r="C28" s="70">
        <v>5346</v>
      </c>
      <c r="D28" s="9">
        <v>2673</v>
      </c>
      <c r="E28" s="123">
        <f t="shared" si="0"/>
        <v>50</v>
      </c>
      <c r="F28" s="70">
        <v>4855</v>
      </c>
      <c r="G28" s="9">
        <v>2430</v>
      </c>
      <c r="H28" s="7">
        <f t="shared" si="1"/>
        <v>50.051493305870231</v>
      </c>
      <c r="I28" s="70">
        <f t="shared" si="2"/>
        <v>-491</v>
      </c>
      <c r="J28" s="124">
        <f t="shared" si="3"/>
        <v>-9.1844369622147397</v>
      </c>
      <c r="K28" s="9">
        <f t="shared" si="5"/>
        <v>-243</v>
      </c>
      <c r="L28" s="7">
        <f t="shared" si="4"/>
        <v>-9.0909090909090917</v>
      </c>
    </row>
    <row r="29" spans="2:12" x14ac:dyDescent="0.25">
      <c r="B29" s="18" t="s">
        <v>45</v>
      </c>
      <c r="C29" s="70">
        <v>5278</v>
      </c>
      <c r="D29" s="9">
        <v>3078</v>
      </c>
      <c r="E29" s="123">
        <f t="shared" si="0"/>
        <v>58.317544524441075</v>
      </c>
      <c r="F29" s="70">
        <v>5008</v>
      </c>
      <c r="G29" s="9">
        <v>2687</v>
      </c>
      <c r="H29" s="7">
        <f t="shared" si="1"/>
        <v>53.654153354632584</v>
      </c>
      <c r="I29" s="70">
        <f t="shared" si="2"/>
        <v>-270</v>
      </c>
      <c r="J29" s="124">
        <f t="shared" si="3"/>
        <v>-5.1155740810913226</v>
      </c>
      <c r="K29" s="9">
        <f t="shared" si="5"/>
        <v>-391</v>
      </c>
      <c r="L29" s="7">
        <f t="shared" si="4"/>
        <v>-12.703053931124106</v>
      </c>
    </row>
    <row r="30" spans="2:12" x14ac:dyDescent="0.25">
      <c r="B30" s="18" t="s">
        <v>46</v>
      </c>
      <c r="C30" s="70">
        <v>2995</v>
      </c>
      <c r="D30" s="9">
        <v>1798</v>
      </c>
      <c r="E30" s="123">
        <f t="shared" si="0"/>
        <v>60.033388981636058</v>
      </c>
      <c r="F30" s="70">
        <v>2724</v>
      </c>
      <c r="G30" s="9">
        <v>1588</v>
      </c>
      <c r="H30" s="7">
        <f t="shared" si="1"/>
        <v>58.29662261380323</v>
      </c>
      <c r="I30" s="70">
        <f t="shared" si="2"/>
        <v>-271</v>
      </c>
      <c r="J30" s="124">
        <f t="shared" si="3"/>
        <v>-9.0484140233722865</v>
      </c>
      <c r="K30" s="9">
        <f t="shared" si="5"/>
        <v>-210</v>
      </c>
      <c r="L30" s="7">
        <f t="shared" si="4"/>
        <v>-11.67964404894327</v>
      </c>
    </row>
    <row r="31" spans="2:12" x14ac:dyDescent="0.25">
      <c r="B31" s="18" t="s">
        <v>47</v>
      </c>
      <c r="C31" s="70">
        <v>2020</v>
      </c>
      <c r="D31" s="9">
        <v>963</v>
      </c>
      <c r="E31" s="123">
        <f t="shared" si="0"/>
        <v>47.67326732673267</v>
      </c>
      <c r="F31" s="70">
        <v>1698</v>
      </c>
      <c r="G31" s="9">
        <v>720</v>
      </c>
      <c r="H31" s="7">
        <f t="shared" si="1"/>
        <v>42.402826855123678</v>
      </c>
      <c r="I31" s="70">
        <f t="shared" si="2"/>
        <v>-322</v>
      </c>
      <c r="J31" s="124">
        <f t="shared" si="3"/>
        <v>-15.940594059405941</v>
      </c>
      <c r="K31" s="9">
        <f t="shared" si="5"/>
        <v>-243</v>
      </c>
      <c r="L31" s="7">
        <f t="shared" si="4"/>
        <v>-25.233644859813083</v>
      </c>
    </row>
    <row r="32" spans="2:12" x14ac:dyDescent="0.25">
      <c r="B32" s="18" t="s">
        <v>48</v>
      </c>
      <c r="C32" s="70">
        <v>3627</v>
      </c>
      <c r="D32" s="9">
        <v>1912</v>
      </c>
      <c r="E32" s="123">
        <f t="shared" si="0"/>
        <v>52.71574303832368</v>
      </c>
      <c r="F32" s="70">
        <v>3363</v>
      </c>
      <c r="G32" s="9">
        <v>1799</v>
      </c>
      <c r="H32" s="7">
        <f t="shared" si="1"/>
        <v>53.493904252155808</v>
      </c>
      <c r="I32" s="70">
        <f t="shared" si="2"/>
        <v>-264</v>
      </c>
      <c r="J32" s="124">
        <f t="shared" si="3"/>
        <v>-7.2787427626137307</v>
      </c>
      <c r="K32" s="9">
        <f t="shared" si="5"/>
        <v>-113</v>
      </c>
      <c r="L32" s="7">
        <f t="shared" si="4"/>
        <v>-5.9100418410041842</v>
      </c>
    </row>
    <row r="33" spans="2:12" x14ac:dyDescent="0.25">
      <c r="B33" s="18" t="s">
        <v>49</v>
      </c>
      <c r="C33" s="70">
        <v>7519</v>
      </c>
      <c r="D33" s="9">
        <v>4704</v>
      </c>
      <c r="E33" s="123">
        <f t="shared" si="0"/>
        <v>62.561510839207344</v>
      </c>
      <c r="F33" s="70">
        <v>7231</v>
      </c>
      <c r="G33" s="9">
        <v>4312</v>
      </c>
      <c r="H33" s="7">
        <f t="shared" si="1"/>
        <v>59.632139399806391</v>
      </c>
      <c r="I33" s="70">
        <f t="shared" si="2"/>
        <v>-288</v>
      </c>
      <c r="J33" s="124">
        <f t="shared" si="3"/>
        <v>-3.8302965819922861</v>
      </c>
      <c r="K33" s="9">
        <f t="shared" si="5"/>
        <v>-392</v>
      </c>
      <c r="L33" s="7">
        <f t="shared" si="4"/>
        <v>-8.3333333333333321</v>
      </c>
    </row>
    <row r="34" spans="2:12" ht="15.75" thickBot="1" x14ac:dyDescent="0.3">
      <c r="B34" s="19" t="s">
        <v>50</v>
      </c>
      <c r="C34" s="3">
        <v>2898</v>
      </c>
      <c r="D34" s="5">
        <v>1639</v>
      </c>
      <c r="E34" s="125">
        <f t="shared" si="0"/>
        <v>56.556245686680469</v>
      </c>
      <c r="F34" s="3">
        <v>2464</v>
      </c>
      <c r="G34" s="5">
        <v>1331</v>
      </c>
      <c r="H34" s="8">
        <f t="shared" si="1"/>
        <v>54.017857142857139</v>
      </c>
      <c r="I34" s="3">
        <f t="shared" si="2"/>
        <v>-434</v>
      </c>
      <c r="J34" s="66">
        <f t="shared" si="3"/>
        <v>-14.975845410628018</v>
      </c>
      <c r="K34" s="5">
        <f t="shared" si="5"/>
        <v>-308</v>
      </c>
      <c r="L34" s="8">
        <f t="shared" si="4"/>
        <v>-18.791946308724832</v>
      </c>
    </row>
  </sheetData>
  <mergeCells count="11">
    <mergeCell ref="B5:B8"/>
    <mergeCell ref="C7:C8"/>
    <mergeCell ref="C5:L5"/>
    <mergeCell ref="F6:H6"/>
    <mergeCell ref="C6:E6"/>
    <mergeCell ref="I6:L6"/>
    <mergeCell ref="F7:F8"/>
    <mergeCell ref="G7:H7"/>
    <mergeCell ref="D7:E7"/>
    <mergeCell ref="I7:J7"/>
    <mergeCell ref="K7:L7"/>
  </mergeCells>
  <printOptions horizontalCentered="1"/>
  <pageMargins left="0" right="0" top="0.62992125984251968" bottom="0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K37"/>
  <sheetViews>
    <sheetView zoomScale="80" zoomScaleNormal="80" workbookViewId="0">
      <selection activeCell="B1" sqref="B1"/>
    </sheetView>
  </sheetViews>
  <sheetFormatPr defaultRowHeight="15" x14ac:dyDescent="0.25"/>
  <cols>
    <col min="1" max="1" width="2.28515625" style="95" customWidth="1"/>
    <col min="2" max="2" width="28" style="95" customWidth="1"/>
    <col min="3" max="3" width="10.5703125" style="95" customWidth="1"/>
    <col min="4" max="4" width="10" style="95" customWidth="1"/>
    <col min="5" max="5" width="9.5703125" style="95" customWidth="1"/>
    <col min="6" max="6" width="10.42578125" style="95" customWidth="1"/>
    <col min="7" max="7" width="14.5703125" style="95" customWidth="1"/>
    <col min="8" max="8" width="9" style="95" customWidth="1"/>
    <col min="9" max="9" width="10.28515625" style="95" customWidth="1"/>
    <col min="10" max="16384" width="9.140625" style="95"/>
  </cols>
  <sheetData>
    <row r="2" spans="2:11" x14ac:dyDescent="0.25">
      <c r="B2" s="11" t="s">
        <v>309</v>
      </c>
      <c r="C2" s="11"/>
      <c r="D2" s="11"/>
      <c r="E2" s="11"/>
      <c r="F2" s="11"/>
      <c r="G2" s="11"/>
      <c r="H2" s="11"/>
    </row>
    <row r="3" spans="2:11" x14ac:dyDescent="0.25">
      <c r="B3" s="11" t="s">
        <v>303</v>
      </c>
      <c r="C3" s="11"/>
      <c r="D3" s="11"/>
      <c r="E3" s="11"/>
      <c r="F3" s="11"/>
      <c r="G3" s="11"/>
      <c r="H3" s="11"/>
    </row>
    <row r="4" spans="2:11" ht="15.75" thickBot="1" x14ac:dyDescent="0.3">
      <c r="B4" s="11"/>
      <c r="C4" s="11"/>
      <c r="D4" s="11"/>
      <c r="E4" s="11"/>
      <c r="F4" s="11"/>
      <c r="G4" s="11"/>
      <c r="H4" s="11"/>
    </row>
    <row r="5" spans="2:11" ht="24" customHeight="1" x14ac:dyDescent="0.25">
      <c r="B5" s="1124" t="s">
        <v>180</v>
      </c>
      <c r="C5" s="1135" t="s">
        <v>342</v>
      </c>
      <c r="D5" s="1136"/>
      <c r="E5" s="1135" t="s">
        <v>422</v>
      </c>
      <c r="F5" s="1136"/>
      <c r="G5" s="1137" t="s">
        <v>181</v>
      </c>
      <c r="H5" s="1139" t="s">
        <v>138</v>
      </c>
    </row>
    <row r="6" spans="2:11" ht="30.75" thickBot="1" x14ac:dyDescent="0.3">
      <c r="B6" s="1134"/>
      <c r="C6" s="25" t="s">
        <v>4</v>
      </c>
      <c r="D6" s="770" t="s">
        <v>119</v>
      </c>
      <c r="E6" s="25" t="s">
        <v>4</v>
      </c>
      <c r="F6" s="770" t="s">
        <v>119</v>
      </c>
      <c r="G6" s="1138"/>
      <c r="H6" s="1113"/>
    </row>
    <row r="7" spans="2:11" ht="30.75" customHeight="1" thickBot="1" x14ac:dyDescent="0.3">
      <c r="B7" s="257" t="s">
        <v>25</v>
      </c>
      <c r="C7" s="189">
        <f>SUM(C11:C35)</f>
        <v>12451</v>
      </c>
      <c r="D7" s="189">
        <f>SUM(D11:D35)</f>
        <v>6506</v>
      </c>
      <c r="E7" s="61">
        <f>SUM(E11:E35)</f>
        <v>11805</v>
      </c>
      <c r="F7" s="63">
        <f>SUM(F11:F35)</f>
        <v>6233</v>
      </c>
      <c r="G7" s="191">
        <f>SUM(E7-C7)</f>
        <v>-646</v>
      </c>
      <c r="H7" s="62">
        <f>(E7-C7)*100/C7</f>
        <v>-5.1883382860814393</v>
      </c>
      <c r="I7" s="426"/>
      <c r="J7" s="426"/>
    </row>
    <row r="8" spans="2:11" ht="33.75" customHeight="1" x14ac:dyDescent="0.25">
      <c r="B8" s="137" t="s">
        <v>178</v>
      </c>
      <c r="C8" s="45">
        <v>12392</v>
      </c>
      <c r="D8" s="126">
        <v>6473</v>
      </c>
      <c r="E8" s="45">
        <v>11740</v>
      </c>
      <c r="F8" s="771">
        <v>6200</v>
      </c>
      <c r="G8" s="126">
        <f>SUM(E8-C8)</f>
        <v>-652</v>
      </c>
      <c r="H8" s="46">
        <f>(E8-C8)*100/C8</f>
        <v>-5.2614590058101998</v>
      </c>
      <c r="J8" s="424"/>
      <c r="K8" s="428"/>
    </row>
    <row r="9" spans="2:11" ht="35.25" customHeight="1" thickBot="1" x14ac:dyDescent="0.3">
      <c r="B9" s="138" t="s">
        <v>176</v>
      </c>
      <c r="C9" s="29">
        <v>1377</v>
      </c>
      <c r="D9" s="139">
        <v>739</v>
      </c>
      <c r="E9" s="622">
        <v>1304</v>
      </c>
      <c r="F9" s="623">
        <v>702</v>
      </c>
      <c r="G9" s="139">
        <f>SUM(E9-C9)</f>
        <v>-73</v>
      </c>
      <c r="H9" s="140">
        <f>(E9-C9)*100/C9</f>
        <v>-5.3013798111837325</v>
      </c>
      <c r="J9" s="424"/>
      <c r="K9" s="428"/>
    </row>
    <row r="10" spans="2:11" ht="28.5" customHeight="1" thickBot="1" x14ac:dyDescent="0.3">
      <c r="B10" s="1131" t="s">
        <v>442</v>
      </c>
      <c r="C10" s="1132"/>
      <c r="D10" s="1132"/>
      <c r="E10" s="1132"/>
      <c r="F10" s="1132"/>
      <c r="G10" s="1132"/>
      <c r="H10" s="1133"/>
    </row>
    <row r="11" spans="2:11" ht="15.75" customHeight="1" x14ac:dyDescent="0.25">
      <c r="B11" s="71" t="s">
        <v>26</v>
      </c>
      <c r="C11" s="45">
        <v>180</v>
      </c>
      <c r="D11" s="126">
        <v>89</v>
      </c>
      <c r="E11" s="52">
        <v>184</v>
      </c>
      <c r="F11" s="370">
        <v>93</v>
      </c>
      <c r="G11" s="126">
        <f t="shared" ref="G11:G35" si="0">SUM(E11-C11)</f>
        <v>4</v>
      </c>
      <c r="H11" s="127">
        <f t="shared" ref="H11:H35" si="1">(E11-C11)*100/C11</f>
        <v>2.2222222222222223</v>
      </c>
    </row>
    <row r="12" spans="2:11" x14ac:dyDescent="0.25">
      <c r="B12" s="12" t="s">
        <v>27</v>
      </c>
      <c r="C12" s="13">
        <v>831</v>
      </c>
      <c r="D12" s="104">
        <v>367</v>
      </c>
      <c r="E12" s="13">
        <v>802</v>
      </c>
      <c r="F12" s="371">
        <v>397</v>
      </c>
      <c r="G12" s="104">
        <f t="shared" si="0"/>
        <v>-29</v>
      </c>
      <c r="H12" s="128">
        <f t="shared" si="1"/>
        <v>-3.4897713598074609</v>
      </c>
    </row>
    <row r="13" spans="2:11" x14ac:dyDescent="0.25">
      <c r="B13" s="12" t="s">
        <v>28</v>
      </c>
      <c r="C13" s="13">
        <v>486</v>
      </c>
      <c r="D13" s="104">
        <v>287</v>
      </c>
      <c r="E13" s="13">
        <v>439</v>
      </c>
      <c r="F13" s="371">
        <v>289</v>
      </c>
      <c r="G13" s="104">
        <f t="shared" si="0"/>
        <v>-47</v>
      </c>
      <c r="H13" s="128">
        <f t="shared" si="1"/>
        <v>-9.6707818930041149</v>
      </c>
    </row>
    <row r="14" spans="2:11" x14ac:dyDescent="0.25">
      <c r="B14" s="12" t="s">
        <v>29</v>
      </c>
      <c r="C14" s="13">
        <v>944</v>
      </c>
      <c r="D14" s="104">
        <v>473</v>
      </c>
      <c r="E14" s="13">
        <v>800</v>
      </c>
      <c r="F14" s="371">
        <v>418</v>
      </c>
      <c r="G14" s="104">
        <f t="shared" si="0"/>
        <v>-144</v>
      </c>
      <c r="H14" s="128">
        <f t="shared" si="1"/>
        <v>-15.254237288135593</v>
      </c>
    </row>
    <row r="15" spans="2:11" x14ac:dyDescent="0.25">
      <c r="B15" s="12" t="s">
        <v>30</v>
      </c>
      <c r="C15" s="13">
        <v>758</v>
      </c>
      <c r="D15" s="104">
        <v>403</v>
      </c>
      <c r="E15" s="13">
        <v>695</v>
      </c>
      <c r="F15" s="371">
        <v>364</v>
      </c>
      <c r="G15" s="104">
        <f t="shared" si="0"/>
        <v>-63</v>
      </c>
      <c r="H15" s="128">
        <f t="shared" si="1"/>
        <v>-8.311345646437994</v>
      </c>
    </row>
    <row r="16" spans="2:11" x14ac:dyDescent="0.25">
      <c r="B16" s="12" t="s">
        <v>31</v>
      </c>
      <c r="C16" s="13">
        <v>242</v>
      </c>
      <c r="D16" s="104">
        <v>123</v>
      </c>
      <c r="E16" s="13">
        <v>250</v>
      </c>
      <c r="F16" s="371">
        <v>113</v>
      </c>
      <c r="G16" s="104">
        <f t="shared" si="0"/>
        <v>8</v>
      </c>
      <c r="H16" s="128">
        <f t="shared" si="1"/>
        <v>3.3057851239669422</v>
      </c>
    </row>
    <row r="17" spans="2:8" x14ac:dyDescent="0.25">
      <c r="B17" s="12" t="s">
        <v>32</v>
      </c>
      <c r="C17" s="13">
        <v>352</v>
      </c>
      <c r="D17" s="104">
        <v>204</v>
      </c>
      <c r="E17" s="13">
        <v>315</v>
      </c>
      <c r="F17" s="371">
        <v>183</v>
      </c>
      <c r="G17" s="104">
        <f t="shared" si="0"/>
        <v>-37</v>
      </c>
      <c r="H17" s="128">
        <f t="shared" si="1"/>
        <v>-10.511363636363637</v>
      </c>
    </row>
    <row r="18" spans="2:8" x14ac:dyDescent="0.25">
      <c r="B18" s="12" t="s">
        <v>33</v>
      </c>
      <c r="C18" s="13">
        <v>386</v>
      </c>
      <c r="D18" s="104">
        <v>223</v>
      </c>
      <c r="E18" s="13">
        <v>350</v>
      </c>
      <c r="F18" s="371">
        <v>182</v>
      </c>
      <c r="G18" s="104">
        <f t="shared" si="0"/>
        <v>-36</v>
      </c>
      <c r="H18" s="128">
        <f t="shared" si="1"/>
        <v>-9.3264248704663206</v>
      </c>
    </row>
    <row r="19" spans="2:8" x14ac:dyDescent="0.25">
      <c r="B19" s="12" t="s">
        <v>34</v>
      </c>
      <c r="C19" s="13">
        <v>533</v>
      </c>
      <c r="D19" s="104">
        <v>237</v>
      </c>
      <c r="E19" s="13">
        <v>542</v>
      </c>
      <c r="F19" s="371">
        <v>275</v>
      </c>
      <c r="G19" s="104">
        <f t="shared" si="0"/>
        <v>9</v>
      </c>
      <c r="H19" s="128">
        <f t="shared" si="1"/>
        <v>1.6885553470919326</v>
      </c>
    </row>
    <row r="20" spans="2:8" x14ac:dyDescent="0.25">
      <c r="B20" s="12" t="s">
        <v>35</v>
      </c>
      <c r="C20" s="13">
        <v>285</v>
      </c>
      <c r="D20" s="104">
        <v>111</v>
      </c>
      <c r="E20" s="13">
        <v>262</v>
      </c>
      <c r="F20" s="371">
        <v>123</v>
      </c>
      <c r="G20" s="104">
        <f t="shared" si="0"/>
        <v>-23</v>
      </c>
      <c r="H20" s="128">
        <f t="shared" si="1"/>
        <v>-8.0701754385964914</v>
      </c>
    </row>
    <row r="21" spans="2:8" x14ac:dyDescent="0.25">
      <c r="B21" s="12" t="s">
        <v>36</v>
      </c>
      <c r="C21" s="13">
        <v>693</v>
      </c>
      <c r="D21" s="104">
        <v>389</v>
      </c>
      <c r="E21" s="13">
        <v>635</v>
      </c>
      <c r="F21" s="371">
        <v>318</v>
      </c>
      <c r="G21" s="104">
        <f t="shared" si="0"/>
        <v>-58</v>
      </c>
      <c r="H21" s="128">
        <f t="shared" si="1"/>
        <v>-8.3694083694083687</v>
      </c>
    </row>
    <row r="22" spans="2:8" x14ac:dyDescent="0.25">
      <c r="B22" s="12" t="s">
        <v>37</v>
      </c>
      <c r="C22" s="13">
        <v>465</v>
      </c>
      <c r="D22" s="104">
        <v>275</v>
      </c>
      <c r="E22" s="13">
        <v>521</v>
      </c>
      <c r="F22" s="371">
        <v>301</v>
      </c>
      <c r="G22" s="104">
        <f t="shared" si="0"/>
        <v>56</v>
      </c>
      <c r="H22" s="128">
        <f t="shared" si="1"/>
        <v>12.043010752688172</v>
      </c>
    </row>
    <row r="23" spans="2:8" x14ac:dyDescent="0.25">
      <c r="B23" s="12" t="s">
        <v>38</v>
      </c>
      <c r="C23" s="13">
        <v>653</v>
      </c>
      <c r="D23" s="104">
        <v>330</v>
      </c>
      <c r="E23" s="13">
        <v>671</v>
      </c>
      <c r="F23" s="371">
        <v>323</v>
      </c>
      <c r="G23" s="104">
        <f t="shared" si="0"/>
        <v>18</v>
      </c>
      <c r="H23" s="128">
        <f t="shared" si="1"/>
        <v>2.7565084226646248</v>
      </c>
    </row>
    <row r="24" spans="2:8" x14ac:dyDescent="0.25">
      <c r="B24" s="18" t="s">
        <v>39</v>
      </c>
      <c r="C24" s="129">
        <v>541</v>
      </c>
      <c r="D24" s="130">
        <v>289</v>
      </c>
      <c r="E24" s="129">
        <v>526</v>
      </c>
      <c r="F24" s="772">
        <v>270</v>
      </c>
      <c r="G24" s="104">
        <f t="shared" si="0"/>
        <v>-15</v>
      </c>
      <c r="H24" s="128">
        <f t="shared" si="1"/>
        <v>-2.7726432532347505</v>
      </c>
    </row>
    <row r="25" spans="2:8" x14ac:dyDescent="0.25">
      <c r="B25" s="18" t="s">
        <v>40</v>
      </c>
      <c r="C25" s="129">
        <v>662</v>
      </c>
      <c r="D25" s="130">
        <v>340</v>
      </c>
      <c r="E25" s="129">
        <v>606</v>
      </c>
      <c r="F25" s="772">
        <v>327</v>
      </c>
      <c r="G25" s="104">
        <f t="shared" si="0"/>
        <v>-56</v>
      </c>
      <c r="H25" s="128">
        <f t="shared" si="1"/>
        <v>-8.4592145015105746</v>
      </c>
    </row>
    <row r="26" spans="2:8" x14ac:dyDescent="0.25">
      <c r="B26" s="18" t="s">
        <v>41</v>
      </c>
      <c r="C26" s="129">
        <v>663</v>
      </c>
      <c r="D26" s="130">
        <v>375</v>
      </c>
      <c r="E26" s="129">
        <v>611</v>
      </c>
      <c r="F26" s="772">
        <v>350</v>
      </c>
      <c r="G26" s="104">
        <f t="shared" si="0"/>
        <v>-52</v>
      </c>
      <c r="H26" s="128">
        <f t="shared" si="1"/>
        <v>-7.8431372549019605</v>
      </c>
    </row>
    <row r="27" spans="2:8" x14ac:dyDescent="0.25">
      <c r="B27" s="18" t="s">
        <v>42</v>
      </c>
      <c r="C27" s="129">
        <v>792</v>
      </c>
      <c r="D27" s="130">
        <v>455</v>
      </c>
      <c r="E27" s="129">
        <v>681</v>
      </c>
      <c r="F27" s="772">
        <v>385</v>
      </c>
      <c r="G27" s="104">
        <f t="shared" si="0"/>
        <v>-111</v>
      </c>
      <c r="H27" s="128">
        <f t="shared" si="1"/>
        <v>-14.015151515151516</v>
      </c>
    </row>
    <row r="28" spans="2:8" x14ac:dyDescent="0.25">
      <c r="B28" s="18" t="s">
        <v>43</v>
      </c>
      <c r="C28" s="129">
        <v>369</v>
      </c>
      <c r="D28" s="130">
        <v>183</v>
      </c>
      <c r="E28" s="129">
        <v>401</v>
      </c>
      <c r="F28" s="772">
        <v>191</v>
      </c>
      <c r="G28" s="104">
        <f t="shared" si="0"/>
        <v>32</v>
      </c>
      <c r="H28" s="128">
        <f t="shared" si="1"/>
        <v>8.6720867208672079</v>
      </c>
    </row>
    <row r="29" spans="2:8" x14ac:dyDescent="0.25">
      <c r="B29" s="18" t="s">
        <v>44</v>
      </c>
      <c r="C29" s="129">
        <v>364</v>
      </c>
      <c r="D29" s="130">
        <v>192</v>
      </c>
      <c r="E29" s="129">
        <v>329</v>
      </c>
      <c r="F29" s="772">
        <v>172</v>
      </c>
      <c r="G29" s="104">
        <f t="shared" si="0"/>
        <v>-35</v>
      </c>
      <c r="H29" s="128">
        <f t="shared" si="1"/>
        <v>-9.615384615384615</v>
      </c>
    </row>
    <row r="30" spans="2:8" x14ac:dyDescent="0.25">
      <c r="B30" s="18" t="s">
        <v>45</v>
      </c>
      <c r="C30" s="129">
        <v>648</v>
      </c>
      <c r="D30" s="130">
        <v>271</v>
      </c>
      <c r="E30" s="129">
        <v>604</v>
      </c>
      <c r="F30" s="772">
        <v>282</v>
      </c>
      <c r="G30" s="104">
        <f t="shared" si="0"/>
        <v>-44</v>
      </c>
      <c r="H30" s="128">
        <f t="shared" si="1"/>
        <v>-6.7901234567901234</v>
      </c>
    </row>
    <row r="31" spans="2:8" x14ac:dyDescent="0.25">
      <c r="B31" s="18" t="s">
        <v>46</v>
      </c>
      <c r="C31" s="129">
        <v>224</v>
      </c>
      <c r="D31" s="130">
        <v>119</v>
      </c>
      <c r="E31" s="129">
        <v>243</v>
      </c>
      <c r="F31" s="772">
        <v>128</v>
      </c>
      <c r="G31" s="104">
        <f t="shared" si="0"/>
        <v>19</v>
      </c>
      <c r="H31" s="128">
        <f t="shared" si="1"/>
        <v>8.4821428571428577</v>
      </c>
    </row>
    <row r="32" spans="2:8" x14ac:dyDescent="0.25">
      <c r="B32" s="18" t="s">
        <v>47</v>
      </c>
      <c r="C32" s="129">
        <v>132</v>
      </c>
      <c r="D32" s="130">
        <v>80</v>
      </c>
      <c r="E32" s="129">
        <v>121</v>
      </c>
      <c r="F32" s="772">
        <v>63</v>
      </c>
      <c r="G32" s="104">
        <f t="shared" si="0"/>
        <v>-11</v>
      </c>
      <c r="H32" s="128">
        <f t="shared" si="1"/>
        <v>-8.3333333333333339</v>
      </c>
    </row>
    <row r="33" spans="2:8" x14ac:dyDescent="0.25">
      <c r="B33" s="18" t="s">
        <v>48</v>
      </c>
      <c r="C33" s="129">
        <v>368</v>
      </c>
      <c r="D33" s="130">
        <v>189</v>
      </c>
      <c r="E33" s="129">
        <v>359</v>
      </c>
      <c r="F33" s="772">
        <v>182</v>
      </c>
      <c r="G33" s="104">
        <f t="shared" si="0"/>
        <v>-9</v>
      </c>
      <c r="H33" s="128">
        <f>(E33-C33)*100/C33</f>
        <v>-2.4456521739130435</v>
      </c>
    </row>
    <row r="34" spans="2:8" x14ac:dyDescent="0.25">
      <c r="B34" s="18" t="s">
        <v>49</v>
      </c>
      <c r="C34" s="129">
        <v>681</v>
      </c>
      <c r="D34" s="130">
        <v>396</v>
      </c>
      <c r="E34" s="129">
        <v>685</v>
      </c>
      <c r="F34" s="772">
        <v>421</v>
      </c>
      <c r="G34" s="104">
        <f t="shared" si="0"/>
        <v>4</v>
      </c>
      <c r="H34" s="128">
        <f t="shared" si="1"/>
        <v>0.58737151248164465</v>
      </c>
    </row>
    <row r="35" spans="2:8" ht="15.75" thickBot="1" x14ac:dyDescent="0.3">
      <c r="B35" s="19" t="s">
        <v>50</v>
      </c>
      <c r="C35" s="132">
        <v>199</v>
      </c>
      <c r="D35" s="133">
        <v>106</v>
      </c>
      <c r="E35" s="132">
        <v>173</v>
      </c>
      <c r="F35" s="773">
        <v>83</v>
      </c>
      <c r="G35" s="105">
        <f t="shared" si="0"/>
        <v>-26</v>
      </c>
      <c r="H35" s="135">
        <f t="shared" si="1"/>
        <v>-13.06532663316583</v>
      </c>
    </row>
    <row r="36" spans="2:8" x14ac:dyDescent="0.25">
      <c r="C36" s="922">
        <f>SUM(T.I!C8)</f>
        <v>82933</v>
      </c>
      <c r="E36" s="922">
        <f>SUM(T.I!F8)</f>
        <v>75455</v>
      </c>
    </row>
    <row r="37" spans="2:8" x14ac:dyDescent="0.25">
      <c r="C37" s="428">
        <f>SUM(C7/C36)*100</f>
        <v>15.013324008537014</v>
      </c>
      <c r="E37" s="428">
        <f>SUM(E7/E36)*100</f>
        <v>15.645086475382678</v>
      </c>
      <c r="F37" s="426"/>
    </row>
  </sheetData>
  <mergeCells count="6">
    <mergeCell ref="B10:H10"/>
    <mergeCell ref="B5:B6"/>
    <mergeCell ref="E5:F5"/>
    <mergeCell ref="C5:D5"/>
    <mergeCell ref="G5:G6"/>
    <mergeCell ref="H5:H6"/>
  </mergeCells>
  <printOptions horizontalCentered="1"/>
  <pageMargins left="0" right="0" top="1.7322834645669292" bottom="0" header="0" footer="0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N41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3.5703125" style="11" customWidth="1"/>
    <col min="3" max="3" width="14" style="11" customWidth="1"/>
    <col min="4" max="4" width="12.5703125" style="11" customWidth="1"/>
    <col min="5" max="5" width="14.42578125" style="11" customWidth="1"/>
    <col min="6" max="6" width="12.7109375" style="11" customWidth="1"/>
    <col min="7" max="7" width="3.140625" style="11" customWidth="1"/>
    <col min="8" max="8" width="31.140625" style="11" customWidth="1"/>
    <col min="9" max="9" width="14.140625" style="11" customWidth="1"/>
    <col min="10" max="10" width="11.7109375" style="11" customWidth="1"/>
    <col min="11" max="11" width="16.140625" style="11" customWidth="1"/>
    <col min="12" max="12" width="12.5703125" style="11" customWidth="1"/>
    <col min="13" max="13" width="3.42578125" style="11" customWidth="1"/>
    <col min="14" max="14" width="10.7109375" style="158" customWidth="1"/>
    <col min="15" max="16384" width="9.140625" style="11"/>
  </cols>
  <sheetData>
    <row r="1" spans="2:14" x14ac:dyDescent="0.25">
      <c r="B1" s="11" t="s">
        <v>467</v>
      </c>
      <c r="H1" s="11" t="s">
        <v>468</v>
      </c>
    </row>
    <row r="2" spans="2:14" ht="15.75" thickBot="1" x14ac:dyDescent="0.3">
      <c r="B2" s="11" t="s">
        <v>308</v>
      </c>
      <c r="H2" s="11" t="s">
        <v>182</v>
      </c>
    </row>
    <row r="3" spans="2:14" ht="26.25" customHeight="1" thickBot="1" x14ac:dyDescent="0.3">
      <c r="B3" s="479"/>
      <c r="C3" s="1140" t="s">
        <v>342</v>
      </c>
      <c r="D3" s="1142"/>
      <c r="E3" s="1140" t="s">
        <v>422</v>
      </c>
      <c r="F3" s="1142"/>
      <c r="H3" s="907"/>
      <c r="I3" s="1140" t="s">
        <v>342</v>
      </c>
      <c r="J3" s="1141"/>
      <c r="K3" s="1140" t="s">
        <v>422</v>
      </c>
      <c r="L3" s="1141"/>
      <c r="N3" s="714">
        <f>SUM(D7:D9)</f>
        <v>67.222938998950966</v>
      </c>
    </row>
    <row r="4" spans="2:14" ht="30.75" customHeight="1" thickBot="1" x14ac:dyDescent="0.3">
      <c r="B4" s="480" t="s">
        <v>3</v>
      </c>
      <c r="C4" s="726" t="s">
        <v>418</v>
      </c>
      <c r="D4" s="482" t="s">
        <v>90</v>
      </c>
      <c r="E4" s="726" t="s">
        <v>418</v>
      </c>
      <c r="F4" s="482" t="s">
        <v>90</v>
      </c>
      <c r="H4" s="908" t="s">
        <v>3</v>
      </c>
      <c r="I4" s="918" t="s">
        <v>418</v>
      </c>
      <c r="J4" s="919" t="s">
        <v>90</v>
      </c>
      <c r="K4" s="918" t="s">
        <v>419</v>
      </c>
      <c r="L4" s="919" t="s">
        <v>90</v>
      </c>
      <c r="N4" s="714">
        <f>SUM(F7:F9)</f>
        <v>66.770923066728514</v>
      </c>
    </row>
    <row r="5" spans="2:14" ht="23.25" customHeight="1" thickBot="1" x14ac:dyDescent="0.3">
      <c r="B5" s="143" t="s">
        <v>62</v>
      </c>
      <c r="C5" s="144">
        <f>SUM(C7:C12)</f>
        <v>82933</v>
      </c>
      <c r="D5" s="145">
        <f>SUM(D7:D12)</f>
        <v>100.00000000000001</v>
      </c>
      <c r="E5" s="146">
        <f t="shared" ref="E5" si="0">SUM(E7:E12)</f>
        <v>75455</v>
      </c>
      <c r="F5" s="145">
        <f>SUM(F7:F12)</f>
        <v>100</v>
      </c>
      <c r="H5" s="143" t="s">
        <v>62</v>
      </c>
      <c r="I5" s="144">
        <f>SUM(I7:I11)</f>
        <v>82933</v>
      </c>
      <c r="J5" s="145">
        <f>SUM(J7:J11)</f>
        <v>100</v>
      </c>
      <c r="K5" s="146">
        <f>SUM(K7:K11)</f>
        <v>75455</v>
      </c>
      <c r="L5" s="145">
        <f>SUM(L7:L11)</f>
        <v>100</v>
      </c>
      <c r="N5" s="714">
        <f>SUM(D26+D20+D21)</f>
        <v>60.572992656722896</v>
      </c>
    </row>
    <row r="6" spans="2:14" ht="24" customHeight="1" thickBot="1" x14ac:dyDescent="0.3">
      <c r="B6" s="774" t="s">
        <v>443</v>
      </c>
      <c r="C6" s="350"/>
      <c r="D6" s="350"/>
      <c r="E6" s="350"/>
      <c r="F6" s="351"/>
      <c r="H6" s="911" t="s">
        <v>444</v>
      </c>
      <c r="I6" s="912"/>
      <c r="J6" s="912"/>
      <c r="K6" s="912"/>
      <c r="L6" s="913"/>
      <c r="N6" s="714">
        <f>SUM(D20+D21)</f>
        <v>44.822929352609933</v>
      </c>
    </row>
    <row r="7" spans="2:14" ht="16.5" customHeight="1" thickTop="1" x14ac:dyDescent="0.25">
      <c r="B7" s="147" t="s">
        <v>64</v>
      </c>
      <c r="C7" s="149">
        <v>11412</v>
      </c>
      <c r="D7" s="148">
        <f>SUM(C7/C5*100)</f>
        <v>13.760505468269567</v>
      </c>
      <c r="E7" s="149">
        <v>10295</v>
      </c>
      <c r="F7" s="148">
        <f>SUM(E7/E5*100)</f>
        <v>13.643893711483665</v>
      </c>
      <c r="H7" s="147" t="s">
        <v>71</v>
      </c>
      <c r="I7" s="149">
        <v>12829</v>
      </c>
      <c r="J7" s="148">
        <f>SUM(I7/I5*100)</f>
        <v>15.469113621839318</v>
      </c>
      <c r="K7" s="149">
        <v>11753</v>
      </c>
      <c r="L7" s="148">
        <f>SUM(K7/K5*100)</f>
        <v>15.576171227884169</v>
      </c>
      <c r="N7" s="714">
        <f>SUM(F26+F20+F21)</f>
        <v>61.011198727718508</v>
      </c>
    </row>
    <row r="8" spans="2:14" ht="15" customHeight="1" x14ac:dyDescent="0.25">
      <c r="B8" s="12" t="s">
        <v>65</v>
      </c>
      <c r="C8" s="104">
        <v>25075</v>
      </c>
      <c r="D8" s="36">
        <f>SUM(C8/C5*100)</f>
        <v>30.235250141680638</v>
      </c>
      <c r="E8" s="104">
        <v>22239</v>
      </c>
      <c r="F8" s="1035">
        <f>SUM(E8/E5*100)</f>
        <v>29.473195944602743</v>
      </c>
      <c r="H8" s="12" t="s">
        <v>12</v>
      </c>
      <c r="I8" s="104">
        <v>21614</v>
      </c>
      <c r="J8" s="36">
        <f>SUM(I8/I5*100)</f>
        <v>26.062001856920645</v>
      </c>
      <c r="K8" s="104">
        <v>19754</v>
      </c>
      <c r="L8" s="1035">
        <f>SUM(K8/K5*100)</f>
        <v>26.179842290106688</v>
      </c>
      <c r="N8" s="714">
        <f>SUM(F20+F21)</f>
        <v>46.356106288516337</v>
      </c>
    </row>
    <row r="9" spans="2:14" ht="15.75" customHeight="1" x14ac:dyDescent="0.25">
      <c r="B9" s="12" t="s">
        <v>66</v>
      </c>
      <c r="C9" s="104">
        <v>19263</v>
      </c>
      <c r="D9" s="36">
        <f>SUM(C9/C5*100)</f>
        <v>23.227183389000761</v>
      </c>
      <c r="E9" s="104">
        <v>17848</v>
      </c>
      <c r="F9" s="1035">
        <f>SUM(E9/E5*100)</f>
        <v>23.653833410642104</v>
      </c>
      <c r="G9" s="423"/>
      <c r="H9" s="12" t="s">
        <v>420</v>
      </c>
      <c r="I9" s="104">
        <v>9254</v>
      </c>
      <c r="J9" s="36">
        <f>SUM(I9/I5*100)</f>
        <v>11.158404977511967</v>
      </c>
      <c r="K9" s="104">
        <v>8350</v>
      </c>
      <c r="L9" s="36">
        <f>SUM(K9/K5*100)</f>
        <v>11.066198396395203</v>
      </c>
      <c r="N9" s="714">
        <f>SUM(N3-N4)</f>
        <v>0.45201593222245151</v>
      </c>
    </row>
    <row r="10" spans="2:14" ht="16.5" customHeight="1" x14ac:dyDescent="0.25">
      <c r="B10" s="12" t="s">
        <v>67</v>
      </c>
      <c r="C10" s="104">
        <v>14871</v>
      </c>
      <c r="D10" s="36">
        <f>SUM(C10/C5*100)</f>
        <v>17.931342167773987</v>
      </c>
      <c r="E10" s="104">
        <v>13553</v>
      </c>
      <c r="F10" s="1035">
        <f>SUM(E10/E5*100)</f>
        <v>17.961699025909482</v>
      </c>
      <c r="H10" s="12" t="s">
        <v>72</v>
      </c>
      <c r="I10" s="104">
        <v>23071</v>
      </c>
      <c r="J10" s="36">
        <f>SUM(I10/I5*100)</f>
        <v>27.818841715601749</v>
      </c>
      <c r="K10" s="104">
        <v>20907</v>
      </c>
      <c r="L10" s="1035">
        <f>SUM(K10/K5*100)</f>
        <v>27.707905374064012</v>
      </c>
      <c r="N10" s="714">
        <f>SUM(J8,J10)</f>
        <v>53.880843572522394</v>
      </c>
    </row>
    <row r="11" spans="2:14" ht="16.5" customHeight="1" thickBot="1" x14ac:dyDescent="0.3">
      <c r="B11" s="12" t="s">
        <v>68</v>
      </c>
      <c r="C11" s="104">
        <v>8419</v>
      </c>
      <c r="D11" s="36">
        <f>SUM(C11/C5*100)</f>
        <v>10.151568133312432</v>
      </c>
      <c r="E11" s="104">
        <v>7628</v>
      </c>
      <c r="F11" s="36">
        <f>SUM(E11/E5*100)</f>
        <v>10.109336690742827</v>
      </c>
      <c r="H11" s="103" t="s">
        <v>456</v>
      </c>
      <c r="I11" s="105">
        <v>16165</v>
      </c>
      <c r="J11" s="39">
        <f>SUM(I11/I5*100)</f>
        <v>19.491637828126319</v>
      </c>
      <c r="K11" s="105">
        <v>14691</v>
      </c>
      <c r="L11" s="1036">
        <f>SUM(K11/K5*100)</f>
        <v>19.469882711549928</v>
      </c>
      <c r="N11" s="714">
        <f>SUM(L8,L10)</f>
        <v>53.887747664170703</v>
      </c>
    </row>
    <row r="12" spans="2:14" ht="15.75" thickBot="1" x14ac:dyDescent="0.3">
      <c r="B12" s="103" t="s">
        <v>91</v>
      </c>
      <c r="C12" s="105">
        <v>3893</v>
      </c>
      <c r="D12" s="39">
        <f>SUM(C12/C5*100)</f>
        <v>4.6941506999626199</v>
      </c>
      <c r="E12" s="105">
        <v>3892</v>
      </c>
      <c r="F12" s="39">
        <f>SUM(E12/E5*100)</f>
        <v>5.1580412166191767</v>
      </c>
    </row>
    <row r="13" spans="2:14" ht="17.25" customHeight="1" x14ac:dyDescent="0.25"/>
    <row r="14" spans="2:14" ht="14.25" customHeight="1" x14ac:dyDescent="0.25">
      <c r="B14" s="11" t="s">
        <v>469</v>
      </c>
    </row>
    <row r="15" spans="2:14" ht="15.75" thickBot="1" x14ac:dyDescent="0.3">
      <c r="B15" s="11" t="s">
        <v>308</v>
      </c>
    </row>
    <row r="16" spans="2:14" ht="21.75" customHeight="1" thickBot="1" x14ac:dyDescent="0.3">
      <c r="B16" s="479"/>
      <c r="C16" s="1140" t="s">
        <v>342</v>
      </c>
      <c r="D16" s="1142"/>
      <c r="E16" s="1140" t="s">
        <v>422</v>
      </c>
      <c r="F16" s="1142"/>
    </row>
    <row r="17" spans="2:9" ht="34.5" customHeight="1" thickBot="1" x14ac:dyDescent="0.3">
      <c r="B17" s="480" t="s">
        <v>3</v>
      </c>
      <c r="C17" s="726" t="s">
        <v>418</v>
      </c>
      <c r="D17" s="482" t="s">
        <v>90</v>
      </c>
      <c r="E17" s="726" t="s">
        <v>418</v>
      </c>
      <c r="F17" s="482" t="s">
        <v>90</v>
      </c>
    </row>
    <row r="18" spans="2:9" ht="24" customHeight="1" thickBot="1" x14ac:dyDescent="0.3">
      <c r="B18" s="143" t="s">
        <v>62</v>
      </c>
      <c r="C18" s="144">
        <f>SUM(C20:C26)</f>
        <v>82933</v>
      </c>
      <c r="D18" s="145">
        <f>SUM(D20:D26)</f>
        <v>99.999999999999986</v>
      </c>
      <c r="E18" s="146">
        <f>SUM(E20:E26)</f>
        <v>75455</v>
      </c>
      <c r="F18" s="145">
        <f>SUM(F20:F26)</f>
        <v>100</v>
      </c>
    </row>
    <row r="19" spans="2:9" ht="21" customHeight="1" thickBot="1" x14ac:dyDescent="0.3">
      <c r="B19" s="775" t="s">
        <v>445</v>
      </c>
      <c r="C19" s="150"/>
      <c r="D19" s="150"/>
      <c r="E19" s="150"/>
      <c r="F19" s="151"/>
    </row>
    <row r="20" spans="2:9" ht="19.5" customHeight="1" thickTop="1" x14ac:dyDescent="0.25">
      <c r="B20" s="147" t="s">
        <v>75</v>
      </c>
      <c r="C20" s="149">
        <v>16838</v>
      </c>
      <c r="D20" s="148">
        <f>SUM(C20/C18*100)</f>
        <v>20.303136266624865</v>
      </c>
      <c r="E20" s="149">
        <v>15292</v>
      </c>
      <c r="F20" s="1037">
        <f>SUM(E20/E18*100)</f>
        <v>20.266383937446161</v>
      </c>
    </row>
    <row r="21" spans="2:9" x14ac:dyDescent="0.25">
      <c r="B21" s="12" t="s">
        <v>92</v>
      </c>
      <c r="C21" s="104">
        <v>20335</v>
      </c>
      <c r="D21" s="36">
        <f>SUM(C21/C18*100)</f>
        <v>24.519793085985071</v>
      </c>
      <c r="E21" s="104">
        <v>19686</v>
      </c>
      <c r="F21" s="1035">
        <f>SUM(E21/E18*100)</f>
        <v>26.089722351070176</v>
      </c>
    </row>
    <row r="22" spans="2:9" ht="15.75" customHeight="1" x14ac:dyDescent="0.25">
      <c r="B22" s="12" t="s">
        <v>93</v>
      </c>
      <c r="C22" s="104">
        <v>12386</v>
      </c>
      <c r="D22" s="36">
        <f>SUM(C22/C18*100)</f>
        <v>14.93494748773106</v>
      </c>
      <c r="E22" s="104">
        <v>11325</v>
      </c>
      <c r="F22" s="36">
        <f>SUM(E22/E18*100)</f>
        <v>15.008945729242596</v>
      </c>
    </row>
    <row r="23" spans="2:9" ht="18" customHeight="1" x14ac:dyDescent="0.25">
      <c r="B23" s="12" t="s">
        <v>94</v>
      </c>
      <c r="C23" s="104">
        <v>11865</v>
      </c>
      <c r="D23" s="36">
        <f>SUM(C23/C18*100)</f>
        <v>14.306729528655662</v>
      </c>
      <c r="E23" s="104">
        <v>10593</v>
      </c>
      <c r="F23" s="36">
        <f>SUM(E23/E18*100)</f>
        <v>14.038831091378967</v>
      </c>
      <c r="G23" s="714"/>
      <c r="H23" s="423"/>
      <c r="I23" s="423"/>
    </row>
    <row r="24" spans="2:9" ht="20.25" customHeight="1" x14ac:dyDescent="0.25">
      <c r="B24" s="152" t="s">
        <v>95</v>
      </c>
      <c r="C24" s="153">
        <v>6293</v>
      </c>
      <c r="D24" s="43">
        <f>SUM(C24/C18*100)</f>
        <v>7.5880530066439178</v>
      </c>
      <c r="E24" s="153">
        <v>5591</v>
      </c>
      <c r="F24" s="43">
        <f>SUM(E24/E18*100)</f>
        <v>7.4097143993108476</v>
      </c>
      <c r="G24" s="423"/>
      <c r="H24" s="423"/>
    </row>
    <row r="25" spans="2:9" ht="15.75" customHeight="1" x14ac:dyDescent="0.25">
      <c r="B25" s="152" t="s">
        <v>83</v>
      </c>
      <c r="C25" s="153">
        <v>2154</v>
      </c>
      <c r="D25" s="43">
        <f>SUM(C25/C18*100)</f>
        <v>2.5972773202464641</v>
      </c>
      <c r="E25" s="153">
        <v>1910</v>
      </c>
      <c r="F25" s="43">
        <f>SUM(E25/E18*100)</f>
        <v>2.5313100523490824</v>
      </c>
    </row>
    <row r="26" spans="2:9" ht="16.5" customHeight="1" thickBot="1" x14ac:dyDescent="0.3">
      <c r="B26" s="103" t="s">
        <v>76</v>
      </c>
      <c r="C26" s="105">
        <v>13062</v>
      </c>
      <c r="D26" s="39">
        <f>SUM(C26/C18*100)</f>
        <v>15.750063304112958</v>
      </c>
      <c r="E26" s="105">
        <v>11058</v>
      </c>
      <c r="F26" s="39">
        <f>SUM(E26/E18*100)</f>
        <v>14.655092439202175</v>
      </c>
    </row>
    <row r="28" spans="2:9" ht="16.5" customHeight="1" x14ac:dyDescent="0.25">
      <c r="C28" s="658">
        <f>SUM(C7:C12)</f>
        <v>82933</v>
      </c>
      <c r="D28" s="658">
        <f>SUM(D7:D12)</f>
        <v>100.00000000000001</v>
      </c>
      <c r="E28" s="658">
        <f>SUM(E7:E12)</f>
        <v>75455</v>
      </c>
      <c r="F28" s="658">
        <f>SUM(F7:F12)</f>
        <v>100</v>
      </c>
    </row>
    <row r="29" spans="2:9" ht="14.25" customHeight="1" x14ac:dyDescent="0.25">
      <c r="C29" s="658">
        <f>SUM(C20:C26)</f>
        <v>82933</v>
      </c>
      <c r="D29" s="658">
        <f>SUM(D20:D26)</f>
        <v>99.999999999999986</v>
      </c>
      <c r="E29" s="658">
        <f>SUM(E20:E26)</f>
        <v>75455</v>
      </c>
      <c r="F29" s="658">
        <f>SUM(F20:F26)</f>
        <v>100</v>
      </c>
    </row>
    <row r="30" spans="2:9" ht="14.25" customHeight="1" x14ac:dyDescent="0.25">
      <c r="C30" s="658">
        <f>SUM(I7:I11)</f>
        <v>82933</v>
      </c>
      <c r="D30" s="658">
        <f>SUM(J7:J11)</f>
        <v>100</v>
      </c>
      <c r="E30" s="658">
        <f>SUM(K7:K11)</f>
        <v>75455</v>
      </c>
      <c r="F30" s="658">
        <f>SUM(L7:L11)</f>
        <v>100</v>
      </c>
    </row>
    <row r="31" spans="2:9" ht="23.25" customHeight="1" x14ac:dyDescent="0.25"/>
    <row r="32" spans="2:9" ht="15.75" customHeight="1" x14ac:dyDescent="0.25"/>
    <row r="33" spans="3:9" x14ac:dyDescent="0.25">
      <c r="G33" s="714"/>
      <c r="H33" s="714"/>
      <c r="I33" s="423"/>
    </row>
    <row r="41" spans="3:9" x14ac:dyDescent="0.25">
      <c r="C41" s="67"/>
      <c r="D41" s="423"/>
      <c r="F41" s="423"/>
    </row>
  </sheetData>
  <mergeCells count="6">
    <mergeCell ref="K3:L3"/>
    <mergeCell ref="C3:D3"/>
    <mergeCell ref="E3:F3"/>
    <mergeCell ref="C16:D16"/>
    <mergeCell ref="E16:F16"/>
    <mergeCell ref="I3:J3"/>
  </mergeCells>
  <pageMargins left="0" right="0" top="1.3779527559055118" bottom="0" header="0.31496062992125984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35</vt:i4>
      </vt:variant>
    </vt:vector>
  </HeadingPairs>
  <TitlesOfParts>
    <vt:vector size="35" baseType="lpstr">
      <vt:lpstr>T.I</vt:lpstr>
      <vt:lpstr>T.II</vt:lpstr>
      <vt:lpstr>T.III</vt:lpstr>
      <vt:lpstr>T.IV</vt:lpstr>
      <vt:lpstr>T.V</vt:lpstr>
      <vt:lpstr>T.VI</vt:lpstr>
      <vt:lpstr>T.VII</vt:lpstr>
      <vt:lpstr>T.VIII</vt:lpstr>
      <vt:lpstr>T.IX T.X T.XI</vt:lpstr>
      <vt:lpstr>T.XII</vt:lpstr>
      <vt:lpstr>T.XIII</vt:lpstr>
      <vt:lpstr>T.XIV A</vt:lpstr>
      <vt:lpstr>T.XIV B</vt:lpstr>
      <vt:lpstr>T.XIV C</vt:lpstr>
      <vt:lpstr>T.XV</vt:lpstr>
      <vt:lpstr>T.XVI</vt:lpstr>
      <vt:lpstr>T.XVII</vt:lpstr>
      <vt:lpstr>T.XVIII A</vt:lpstr>
      <vt:lpstr>T.XVIII B</vt:lpstr>
      <vt:lpstr>T.XVIII C</vt:lpstr>
      <vt:lpstr>T.XIX</vt:lpstr>
      <vt:lpstr>T.XX</vt:lpstr>
      <vt:lpstr>T.XXI</vt:lpstr>
      <vt:lpstr>T.XXII A</vt:lpstr>
      <vt:lpstr>T.XXII B</vt:lpstr>
      <vt:lpstr>T.XXIII</vt:lpstr>
      <vt:lpstr>T.XXIV</vt:lpstr>
      <vt:lpstr>T.XXV</vt:lpstr>
      <vt:lpstr>T.XXV A</vt:lpstr>
      <vt:lpstr>T.XXVI</vt:lpstr>
      <vt:lpstr>T.XXVII</vt:lpstr>
      <vt:lpstr>T.XXVIII</vt:lpstr>
      <vt:lpstr>T.XXIX</vt:lpstr>
      <vt:lpstr>T.XXX</vt:lpstr>
      <vt:lpstr>T.XXXI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lastModifiedBy>WUP</cp:lastModifiedBy>
  <cp:lastPrinted>2020-03-06T09:41:52Z</cp:lastPrinted>
  <dcterms:created xsi:type="dcterms:W3CDTF">2016-01-29T08:03:05Z</dcterms:created>
  <dcterms:modified xsi:type="dcterms:W3CDTF">2020-03-09T13:29:15Z</dcterms:modified>
</cp:coreProperties>
</file>