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35" windowWidth="19035" windowHeight="8520" tabRatio="921"/>
  </bookViews>
  <sheets>
    <sheet name="T.I" sheetId="26" r:id="rId1"/>
    <sheet name="T.II" sheetId="2" r:id="rId2"/>
    <sheet name="T.III" sheetId="6" r:id="rId3"/>
    <sheet name="T.IV" sheetId="28" r:id="rId4"/>
    <sheet name="T.V" sheetId="27" r:id="rId5"/>
    <sheet name="T.VI" sheetId="31" r:id="rId6"/>
    <sheet name="T.VII" sheetId="29" r:id="rId7"/>
    <sheet name="T.VIII" sheetId="32" r:id="rId8"/>
    <sheet name="T.IX T.X T.XI" sheetId="12" r:id="rId9"/>
    <sheet name="T.XII" sheetId="3" r:id="rId10"/>
    <sheet name="T.XIII" sheetId="37" r:id="rId11"/>
    <sheet name="T.XIV" sheetId="40" r:id="rId12"/>
    <sheet name="T.XV" sheetId="54" r:id="rId13"/>
    <sheet name="T.XVI" sheetId="39" r:id="rId14"/>
    <sheet name="T.XVII" sheetId="34" r:id="rId15"/>
    <sheet name="T.XVIII" sheetId="41" r:id="rId16"/>
    <sheet name="T.XIX" sheetId="42" r:id="rId17"/>
    <sheet name="T.XX" sheetId="17" r:id="rId18"/>
    <sheet name="T.XXI" sheetId="43" r:id="rId19"/>
    <sheet name="T.XXII" sheetId="44" r:id="rId20"/>
    <sheet name="T.XXIII" sheetId="45" r:id="rId21"/>
    <sheet name="T.XXIV" sheetId="18" r:id="rId22"/>
    <sheet name="T.XXV" sheetId="46" r:id="rId23"/>
    <sheet name="T.XXVI" sheetId="21" r:id="rId24"/>
  </sheets>
  <calcPr calcId="145621"/>
</workbook>
</file>

<file path=xl/calcChain.xml><?xml version="1.0" encoding="utf-8"?>
<calcChain xmlns="http://schemas.openxmlformats.org/spreadsheetml/2006/main">
  <c r="G37" i="34" l="1"/>
  <c r="G36" i="34"/>
  <c r="G35" i="34"/>
  <c r="G34" i="34"/>
  <c r="H34" i="34" l="1"/>
  <c r="H36" i="34"/>
  <c r="G38" i="34"/>
  <c r="H37" i="34" s="1"/>
  <c r="D35" i="17"/>
  <c r="G19" i="45"/>
  <c r="G18" i="45"/>
  <c r="L35" i="17"/>
  <c r="J24" i="46"/>
  <c r="I39" i="12"/>
  <c r="H39" i="12"/>
  <c r="L10" i="12"/>
  <c r="L9" i="12"/>
  <c r="J11" i="12"/>
  <c r="K11" i="12"/>
  <c r="H9" i="12"/>
  <c r="H10" i="12"/>
  <c r="G27" i="12"/>
  <c r="K8" i="39"/>
  <c r="H8" i="39"/>
  <c r="F8" i="39"/>
  <c r="G8" i="39"/>
  <c r="I8" i="39"/>
  <c r="J8" i="39"/>
  <c r="L9" i="26"/>
  <c r="L8" i="26"/>
  <c r="F12" i="45"/>
  <c r="C12" i="45"/>
  <c r="G22" i="45"/>
  <c r="D22" i="45"/>
  <c r="J9" i="43"/>
  <c r="F12" i="27"/>
  <c r="P33" i="17"/>
  <c r="P34" i="17"/>
  <c r="H17" i="41"/>
  <c r="J17" i="41"/>
  <c r="J18" i="41"/>
  <c r="G7" i="41"/>
  <c r="D29" i="37"/>
  <c r="K26" i="37"/>
  <c r="I26" i="37"/>
  <c r="H26" i="37"/>
  <c r="K12" i="37"/>
  <c r="H12" i="37"/>
  <c r="H35" i="34" l="1"/>
  <c r="H38" i="34" s="1"/>
  <c r="L28" i="3"/>
  <c r="L26" i="3"/>
  <c r="L11" i="3"/>
  <c r="L10" i="3"/>
  <c r="I7" i="3"/>
  <c r="R12" i="40"/>
  <c r="Q12" i="40"/>
  <c r="L7" i="3"/>
  <c r="M10" i="3"/>
  <c r="O10" i="3"/>
  <c r="P10" i="3"/>
  <c r="M11" i="3"/>
  <c r="O11" i="3"/>
  <c r="P11" i="3"/>
  <c r="L12" i="3"/>
  <c r="M12" i="3"/>
  <c r="O12" i="3"/>
  <c r="P12" i="3"/>
  <c r="L13" i="3"/>
  <c r="M13" i="3"/>
  <c r="O13" i="3"/>
  <c r="P13" i="3"/>
  <c r="L14" i="3"/>
  <c r="M14" i="3"/>
  <c r="O14" i="3"/>
  <c r="P14" i="3"/>
  <c r="L15" i="3"/>
  <c r="M15" i="3"/>
  <c r="O15" i="3"/>
  <c r="P15" i="3"/>
  <c r="L16" i="3"/>
  <c r="M16" i="3"/>
  <c r="O16" i="3"/>
  <c r="P16" i="3"/>
  <c r="L17" i="3"/>
  <c r="M17" i="3"/>
  <c r="O17" i="3"/>
  <c r="P17" i="3"/>
  <c r="L18" i="3"/>
  <c r="M18" i="3"/>
  <c r="O18" i="3"/>
  <c r="P18" i="3"/>
  <c r="L19" i="3"/>
  <c r="M19" i="3"/>
  <c r="O19" i="3"/>
  <c r="P19" i="3"/>
  <c r="L20" i="3"/>
  <c r="M20" i="3"/>
  <c r="O20" i="3"/>
  <c r="P20" i="3"/>
  <c r="L21" i="3"/>
  <c r="M21" i="3"/>
  <c r="O21" i="3"/>
  <c r="P21" i="3"/>
  <c r="L22" i="3"/>
  <c r="M22" i="3"/>
  <c r="O22" i="3"/>
  <c r="P22" i="3"/>
  <c r="L23" i="3"/>
  <c r="M23" i="3"/>
  <c r="O23" i="3"/>
  <c r="P23" i="3"/>
  <c r="L24" i="3"/>
  <c r="M24" i="3"/>
  <c r="O24" i="3"/>
  <c r="P24" i="3"/>
  <c r="L25" i="3"/>
  <c r="M25" i="3"/>
  <c r="O25" i="3"/>
  <c r="P25" i="3"/>
  <c r="M26" i="3"/>
  <c r="O26" i="3"/>
  <c r="P26" i="3"/>
  <c r="L27" i="3"/>
  <c r="M27" i="3"/>
  <c r="O27" i="3"/>
  <c r="P27" i="3"/>
  <c r="M28" i="3"/>
  <c r="O28" i="3"/>
  <c r="P28" i="3"/>
  <c r="L29" i="3"/>
  <c r="M29" i="3"/>
  <c r="O29" i="3"/>
  <c r="P29" i="3"/>
  <c r="L30" i="3"/>
  <c r="M30" i="3"/>
  <c r="O30" i="3"/>
  <c r="P30" i="3"/>
  <c r="E36" i="27"/>
  <c r="F26" i="27"/>
  <c r="F19" i="27"/>
  <c r="F11" i="27"/>
  <c r="F9" i="27"/>
  <c r="N14" i="6"/>
  <c r="N13" i="6"/>
  <c r="N12" i="6"/>
  <c r="M13" i="6"/>
  <c r="M12" i="6"/>
  <c r="M14" i="6"/>
  <c r="E19" i="6"/>
  <c r="L7" i="2"/>
  <c r="K7" i="2"/>
  <c r="J8" i="26"/>
  <c r="H22" i="45" l="1"/>
  <c r="H21" i="45"/>
  <c r="H20" i="45"/>
  <c r="H19" i="45"/>
  <c r="H18" i="45"/>
  <c r="H17" i="45"/>
  <c r="E17" i="45"/>
  <c r="D17" i="45"/>
  <c r="H16" i="45"/>
  <c r="H15" i="45"/>
  <c r="H14" i="45"/>
  <c r="G23" i="45"/>
  <c r="G21" i="45"/>
  <c r="G20" i="45"/>
  <c r="G17" i="45"/>
  <c r="G16" i="45"/>
  <c r="G15" i="45"/>
  <c r="G14" i="45"/>
  <c r="E22" i="45"/>
  <c r="E21" i="45"/>
  <c r="E20" i="45"/>
  <c r="E19" i="45"/>
  <c r="E18" i="45"/>
  <c r="E16" i="45"/>
  <c r="E15" i="45"/>
  <c r="E14" i="45"/>
  <c r="D14" i="45"/>
  <c r="D23" i="45"/>
  <c r="D21" i="45"/>
  <c r="D20" i="45"/>
  <c r="D19" i="45"/>
  <c r="D18" i="45"/>
  <c r="D16" i="45"/>
  <c r="D15" i="45"/>
  <c r="F11" i="45" l="1"/>
  <c r="F9" i="45" l="1"/>
  <c r="K18" i="45"/>
  <c r="J18" i="45"/>
  <c r="I12" i="34" l="1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1" i="34"/>
  <c r="I10" i="34"/>
  <c r="J12" i="34" l="1"/>
  <c r="J16" i="34"/>
  <c r="J20" i="34"/>
  <c r="J24" i="34"/>
  <c r="J28" i="34"/>
  <c r="K27" i="34"/>
  <c r="J13" i="34"/>
  <c r="J17" i="34"/>
  <c r="J21" i="34"/>
  <c r="J25" i="34"/>
  <c r="J29" i="34"/>
  <c r="J10" i="34"/>
  <c r="J14" i="34"/>
  <c r="J18" i="34"/>
  <c r="J22" i="34"/>
  <c r="J26" i="34"/>
  <c r="J30" i="34"/>
  <c r="J11" i="34"/>
  <c r="J15" i="34"/>
  <c r="J19" i="34"/>
  <c r="J23" i="34"/>
  <c r="J27" i="34"/>
  <c r="E8" i="34"/>
  <c r="E31" i="34"/>
  <c r="F29" i="34" s="1"/>
  <c r="K29" i="34" s="1"/>
  <c r="F30" i="34"/>
  <c r="K30" i="34" s="1"/>
  <c r="F26" i="34"/>
  <c r="K15" i="34" s="1"/>
  <c r="F22" i="34"/>
  <c r="K18" i="34" s="1"/>
  <c r="F18" i="34"/>
  <c r="K16" i="34" s="1"/>
  <c r="F14" i="34"/>
  <c r="K21" i="34" s="1"/>
  <c r="F11" i="34"/>
  <c r="F10" i="34"/>
  <c r="K23" i="34" s="1"/>
  <c r="F31" i="34" l="1"/>
  <c r="F15" i="34"/>
  <c r="K11" i="34" s="1"/>
  <c r="F19" i="34"/>
  <c r="K25" i="34" s="1"/>
  <c r="F23" i="34"/>
  <c r="K13" i="34" s="1"/>
  <c r="F27" i="34"/>
  <c r="K22" i="34" s="1"/>
  <c r="F12" i="34"/>
  <c r="K10" i="34" s="1"/>
  <c r="F16" i="34"/>
  <c r="K12" i="34" s="1"/>
  <c r="F20" i="34"/>
  <c r="K24" i="34" s="1"/>
  <c r="F24" i="34"/>
  <c r="K14" i="34" s="1"/>
  <c r="F28" i="34"/>
  <c r="K20" i="34" s="1"/>
  <c r="F13" i="34"/>
  <c r="K28" i="34" s="1"/>
  <c r="F17" i="34"/>
  <c r="F21" i="34"/>
  <c r="K26" i="34" s="1"/>
  <c r="F25" i="34"/>
  <c r="K19" i="34" s="1"/>
  <c r="I34" i="43"/>
  <c r="H34" i="43"/>
  <c r="I33" i="43"/>
  <c r="H33" i="43"/>
  <c r="I32" i="43"/>
  <c r="H32" i="43"/>
  <c r="I31" i="43"/>
  <c r="H31" i="43"/>
  <c r="I30" i="43"/>
  <c r="H30" i="43"/>
  <c r="I29" i="43"/>
  <c r="H29" i="43"/>
  <c r="I28" i="43"/>
  <c r="H28" i="43"/>
  <c r="I27" i="43"/>
  <c r="H27" i="43"/>
  <c r="I26" i="43"/>
  <c r="H26" i="43"/>
  <c r="I25" i="43"/>
  <c r="H25" i="43"/>
  <c r="I24" i="43"/>
  <c r="H24" i="43"/>
  <c r="I23" i="43"/>
  <c r="H23" i="43"/>
  <c r="I22" i="43"/>
  <c r="H22" i="43"/>
  <c r="I21" i="43"/>
  <c r="H21" i="43"/>
  <c r="I20" i="43"/>
  <c r="H20" i="43"/>
  <c r="I19" i="43"/>
  <c r="H19" i="43"/>
  <c r="I18" i="43"/>
  <c r="H18" i="43"/>
  <c r="I17" i="43"/>
  <c r="H17" i="43"/>
  <c r="I16" i="43"/>
  <c r="H16" i="43"/>
  <c r="I15" i="43"/>
  <c r="H15" i="43"/>
  <c r="I14" i="43"/>
  <c r="H14" i="43"/>
  <c r="I13" i="43"/>
  <c r="H13" i="43"/>
  <c r="I12" i="43"/>
  <c r="H12" i="43"/>
  <c r="I11" i="43"/>
  <c r="H11" i="43"/>
  <c r="I10" i="43"/>
  <c r="H10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P12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F65" i="42"/>
  <c r="D65" i="42"/>
  <c r="F8" i="34" l="1"/>
  <c r="K17" i="34"/>
  <c r="O16" i="54"/>
  <c r="O34" i="17"/>
  <c r="O22" i="46"/>
  <c r="O21" i="46"/>
  <c r="S5" i="21"/>
  <c r="S18" i="21"/>
  <c r="S17" i="21"/>
  <c r="S16" i="21"/>
  <c r="S15" i="21"/>
  <c r="S14" i="21"/>
  <c r="S12" i="21"/>
  <c r="S11" i="21"/>
  <c r="S10" i="21"/>
  <c r="S9" i="21"/>
  <c r="S8" i="21"/>
  <c r="S6" i="21"/>
  <c r="F18" i="41"/>
  <c r="G18" i="41" s="1"/>
  <c r="G20" i="41"/>
  <c r="G17" i="41"/>
  <c r="G16" i="41"/>
  <c r="G15" i="41"/>
  <c r="G14" i="41"/>
  <c r="G13" i="41"/>
  <c r="G12" i="41"/>
  <c r="G11" i="41"/>
  <c r="G10" i="41"/>
  <c r="G9" i="41"/>
  <c r="G8" i="41"/>
  <c r="D19" i="41"/>
  <c r="D18" i="41"/>
  <c r="D10" i="40"/>
  <c r="H10" i="37"/>
  <c r="D10" i="37"/>
  <c r="D11" i="37"/>
  <c r="D12" i="37"/>
  <c r="D13" i="37"/>
  <c r="D14" i="37"/>
  <c r="D15" i="37"/>
  <c r="D16" i="37"/>
  <c r="D17" i="37"/>
  <c r="G26" i="37"/>
  <c r="J11" i="26"/>
  <c r="J10" i="26"/>
  <c r="J9" i="26"/>
  <c r="I11" i="26"/>
  <c r="I10" i="26"/>
  <c r="I9" i="26"/>
  <c r="I8" i="26"/>
  <c r="H11" i="26"/>
  <c r="H10" i="26"/>
  <c r="H9" i="26"/>
  <c r="H8" i="26"/>
  <c r="E11" i="26"/>
  <c r="E10" i="26"/>
  <c r="E9" i="26"/>
  <c r="E8" i="26"/>
  <c r="F7" i="2" l="1"/>
  <c r="K13" i="6"/>
  <c r="K12" i="6"/>
  <c r="K10" i="6"/>
  <c r="K9" i="6"/>
  <c r="K7" i="6"/>
  <c r="C19" i="6" l="1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C7" i="2" l="1"/>
  <c r="E22" i="12"/>
  <c r="C22" i="12"/>
  <c r="E7" i="32"/>
  <c r="G8" i="31"/>
  <c r="G7" i="31"/>
  <c r="C9" i="31"/>
  <c r="C9" i="27"/>
  <c r="C35" i="17" l="1"/>
  <c r="H11" i="41"/>
  <c r="H7" i="41"/>
  <c r="D20" i="41"/>
  <c r="E20" i="41"/>
  <c r="F20" i="41"/>
  <c r="K17" i="39"/>
  <c r="F36" i="32"/>
  <c r="D36" i="32"/>
  <c r="C36" i="32"/>
  <c r="E36" i="32"/>
  <c r="H9" i="32"/>
  <c r="H8" i="32"/>
  <c r="G9" i="32"/>
  <c r="G8" i="32"/>
  <c r="K10" i="43" l="1"/>
  <c r="D9" i="27"/>
  <c r="F47" i="44" l="1"/>
  <c r="L12" i="37" l="1"/>
  <c r="K13" i="37"/>
  <c r="I16" i="3"/>
  <c r="I17" i="3"/>
  <c r="P12" i="37" l="1"/>
  <c r="C26" i="27"/>
  <c r="C8" i="27" s="1"/>
  <c r="E26" i="27"/>
  <c r="F55" i="42" l="1"/>
  <c r="G58" i="42" s="1"/>
  <c r="F48" i="42"/>
  <c r="G51" i="42" s="1"/>
  <c r="F44" i="42"/>
  <c r="G47" i="42" s="1"/>
  <c r="F38" i="42"/>
  <c r="G41" i="42" s="1"/>
  <c r="F34" i="42"/>
  <c r="G37" i="42" s="1"/>
  <c r="F29" i="42"/>
  <c r="G31" i="42" s="1"/>
  <c r="F24" i="42"/>
  <c r="G28" i="42" s="1"/>
  <c r="F18" i="42"/>
  <c r="G21" i="42" s="1"/>
  <c r="F11" i="42"/>
  <c r="G14" i="42" s="1"/>
  <c r="F6" i="42"/>
  <c r="F54" i="44"/>
  <c r="G53" i="44"/>
  <c r="F43" i="44"/>
  <c r="G46" i="44" s="1"/>
  <c r="F37" i="44"/>
  <c r="G39" i="44" s="1"/>
  <c r="F33" i="44"/>
  <c r="G36" i="44" s="1"/>
  <c r="F28" i="44"/>
  <c r="G32" i="44" s="1"/>
  <c r="F23" i="44"/>
  <c r="G26" i="44" s="1"/>
  <c r="F17" i="44"/>
  <c r="G19" i="44" s="1"/>
  <c r="F10" i="44"/>
  <c r="F5" i="44"/>
  <c r="G8" i="44" s="1"/>
  <c r="O33" i="17"/>
  <c r="O32" i="17"/>
  <c r="G43" i="42" l="1"/>
  <c r="G30" i="42"/>
  <c r="G33" i="42"/>
  <c r="G20" i="42"/>
  <c r="G23" i="42"/>
  <c r="G16" i="42"/>
  <c r="G7" i="42"/>
  <c r="G9" i="44"/>
  <c r="F59" i="44"/>
  <c r="F60" i="44" s="1"/>
  <c r="G58" i="44" s="1"/>
  <c r="G29" i="44"/>
  <c r="G30" i="44"/>
  <c r="G27" i="44"/>
  <c r="G6" i="44"/>
  <c r="G7" i="44"/>
  <c r="G56" i="42"/>
  <c r="G57" i="42"/>
  <c r="G54" i="42"/>
  <c r="G49" i="42"/>
  <c r="G50" i="42"/>
  <c r="G53" i="42"/>
  <c r="G39" i="42"/>
  <c r="G40" i="42"/>
  <c r="G19" i="42"/>
  <c r="G17" i="42"/>
  <c r="G12" i="42"/>
  <c r="G13" i="42"/>
  <c r="G8" i="42"/>
  <c r="G15" i="42"/>
  <c r="G22" i="42"/>
  <c r="G25" i="42"/>
  <c r="G32" i="42"/>
  <c r="G35" i="42"/>
  <c r="G42" i="42"/>
  <c r="G45" i="42"/>
  <c r="G52" i="42"/>
  <c r="G26" i="42"/>
  <c r="G36" i="42"/>
  <c r="G46" i="42"/>
  <c r="F60" i="42"/>
  <c r="G10" i="42"/>
  <c r="G27" i="42"/>
  <c r="G9" i="42"/>
  <c r="G13" i="44"/>
  <c r="G20" i="44"/>
  <c r="G50" i="44"/>
  <c r="G14" i="44"/>
  <c r="G21" i="44"/>
  <c r="G24" i="44"/>
  <c r="G31" i="44"/>
  <c r="G34" i="44"/>
  <c r="G41" i="44"/>
  <c r="G44" i="44"/>
  <c r="G51" i="44"/>
  <c r="G11" i="44"/>
  <c r="G15" i="44"/>
  <c r="G18" i="44"/>
  <c r="G22" i="44"/>
  <c r="G25" i="44"/>
  <c r="G35" i="44"/>
  <c r="G38" i="44"/>
  <c r="G42" i="44"/>
  <c r="G45" i="44"/>
  <c r="G48" i="44"/>
  <c r="G52" i="44"/>
  <c r="G40" i="44"/>
  <c r="G12" i="44"/>
  <c r="G16" i="44"/>
  <c r="G49" i="44"/>
  <c r="S33" i="54"/>
  <c r="R33" i="54"/>
  <c r="S32" i="54"/>
  <c r="R32" i="54"/>
  <c r="S31" i="54"/>
  <c r="R31" i="54"/>
  <c r="S30" i="54"/>
  <c r="R30" i="54"/>
  <c r="S29" i="54"/>
  <c r="R29" i="54"/>
  <c r="S28" i="54"/>
  <c r="R28" i="54"/>
  <c r="S27" i="54"/>
  <c r="R27" i="54"/>
  <c r="S26" i="54"/>
  <c r="R26" i="54"/>
  <c r="S25" i="54"/>
  <c r="R25" i="54"/>
  <c r="S24" i="54"/>
  <c r="R24" i="54"/>
  <c r="S23" i="54"/>
  <c r="R23" i="54"/>
  <c r="S22" i="54"/>
  <c r="R22" i="54"/>
  <c r="S21" i="54"/>
  <c r="R21" i="54"/>
  <c r="S20" i="54"/>
  <c r="R20" i="54"/>
  <c r="S19" i="54"/>
  <c r="R19" i="54"/>
  <c r="S18" i="54"/>
  <c r="R18" i="54"/>
  <c r="S17" i="54"/>
  <c r="R17" i="54"/>
  <c r="S16" i="54"/>
  <c r="R16" i="54"/>
  <c r="S15" i="54"/>
  <c r="R15" i="54"/>
  <c r="S14" i="54"/>
  <c r="R14" i="54"/>
  <c r="S13" i="54"/>
  <c r="R13" i="54"/>
  <c r="S12" i="54"/>
  <c r="R12" i="54"/>
  <c r="S11" i="54"/>
  <c r="R11" i="54"/>
  <c r="S10" i="54"/>
  <c r="R10" i="54"/>
  <c r="I46" i="54" s="1"/>
  <c r="J46" i="54" s="1"/>
  <c r="S9" i="54"/>
  <c r="R9" i="54"/>
  <c r="I45" i="54" s="1"/>
  <c r="J45" i="54" s="1"/>
  <c r="P33" i="54"/>
  <c r="O33" i="54"/>
  <c r="P32" i="54"/>
  <c r="O32" i="54"/>
  <c r="P31" i="54"/>
  <c r="O31" i="54"/>
  <c r="P30" i="54"/>
  <c r="O30" i="54"/>
  <c r="P29" i="54"/>
  <c r="O29" i="54"/>
  <c r="P28" i="54"/>
  <c r="O28" i="54"/>
  <c r="P27" i="54"/>
  <c r="O27" i="54"/>
  <c r="P26" i="54"/>
  <c r="O26" i="54"/>
  <c r="P25" i="54"/>
  <c r="O25" i="54"/>
  <c r="P24" i="54"/>
  <c r="O24" i="54"/>
  <c r="P23" i="54"/>
  <c r="O23" i="54"/>
  <c r="P22" i="54"/>
  <c r="O22" i="54"/>
  <c r="P21" i="54"/>
  <c r="O21" i="54"/>
  <c r="P20" i="54"/>
  <c r="O20" i="54"/>
  <c r="P19" i="54"/>
  <c r="O19" i="54"/>
  <c r="P18" i="54"/>
  <c r="O18" i="54"/>
  <c r="P17" i="54"/>
  <c r="O17" i="54"/>
  <c r="P16" i="54"/>
  <c r="P15" i="54"/>
  <c r="O15" i="54"/>
  <c r="P14" i="54"/>
  <c r="O14" i="54"/>
  <c r="P13" i="54"/>
  <c r="O13" i="54"/>
  <c r="P12" i="54"/>
  <c r="O12" i="54"/>
  <c r="P11" i="54"/>
  <c r="O11" i="54"/>
  <c r="P10" i="54"/>
  <c r="O10" i="54"/>
  <c r="P9" i="54"/>
  <c r="O9" i="54"/>
  <c r="E45" i="54" l="1"/>
  <c r="F45" i="54" s="1"/>
  <c r="C45" i="54"/>
  <c r="D45" i="54" s="1"/>
  <c r="G47" i="44"/>
  <c r="G10" i="44"/>
  <c r="G23" i="44"/>
  <c r="G33" i="44"/>
  <c r="G37" i="44"/>
  <c r="G28" i="44"/>
  <c r="G43" i="44"/>
  <c r="G54" i="44"/>
  <c r="G5" i="44"/>
  <c r="G17" i="44"/>
  <c r="F61" i="42"/>
  <c r="G59" i="42" s="1"/>
  <c r="G44" i="42"/>
  <c r="G34" i="42"/>
  <c r="G24" i="42"/>
  <c r="G29" i="42"/>
  <c r="G55" i="42"/>
  <c r="G48" i="42"/>
  <c r="G38" i="42"/>
  <c r="G18" i="42"/>
  <c r="G6" i="42"/>
  <c r="G11" i="42"/>
  <c r="P32" i="17"/>
  <c r="J11" i="40"/>
  <c r="F10" i="40"/>
  <c r="Q11" i="40" s="1"/>
  <c r="G24" i="37"/>
  <c r="G23" i="37"/>
  <c r="G59" i="44" l="1"/>
  <c r="G60" i="42"/>
  <c r="F9" i="28" l="1"/>
  <c r="E36" i="28"/>
  <c r="L15" i="2" l="1"/>
  <c r="K15" i="2"/>
  <c r="K14" i="2"/>
  <c r="L8" i="2"/>
  <c r="K8" i="2"/>
  <c r="C32" i="46" l="1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C9" i="46"/>
  <c r="C8" i="46"/>
  <c r="C11" i="45" l="1"/>
  <c r="C9" i="45" l="1"/>
  <c r="D11" i="45"/>
  <c r="K14" i="45"/>
  <c r="J14" i="45"/>
  <c r="J15" i="45" l="1"/>
  <c r="J16" i="45"/>
  <c r="D12" i="45"/>
  <c r="D10" i="45"/>
  <c r="J17" i="45" s="1"/>
  <c r="G12" i="45"/>
  <c r="G11" i="45"/>
  <c r="G10" i="45"/>
  <c r="K17" i="45" s="1"/>
  <c r="D7" i="46"/>
  <c r="E7" i="46"/>
  <c r="O18" i="17" l="1"/>
  <c r="F29" i="27" l="1"/>
  <c r="I29" i="37" l="1"/>
  <c r="H13" i="37"/>
  <c r="I69" i="54"/>
  <c r="J69" i="54" s="1"/>
  <c r="I68" i="54"/>
  <c r="J68" i="54" s="1"/>
  <c r="I67" i="54"/>
  <c r="J67" i="54" s="1"/>
  <c r="I66" i="54"/>
  <c r="J66" i="54" s="1"/>
  <c r="I65" i="54"/>
  <c r="J65" i="54" s="1"/>
  <c r="I64" i="54"/>
  <c r="J64" i="54" s="1"/>
  <c r="I63" i="54"/>
  <c r="J63" i="54" s="1"/>
  <c r="I62" i="54"/>
  <c r="J62" i="54" s="1"/>
  <c r="I61" i="54"/>
  <c r="J61" i="54" s="1"/>
  <c r="I60" i="54"/>
  <c r="J60" i="54" s="1"/>
  <c r="I59" i="54"/>
  <c r="J59" i="54" s="1"/>
  <c r="I58" i="54"/>
  <c r="J58" i="54" s="1"/>
  <c r="I57" i="54"/>
  <c r="J57" i="54" s="1"/>
  <c r="I56" i="54"/>
  <c r="J56" i="54" s="1"/>
  <c r="I55" i="54"/>
  <c r="J55" i="54" s="1"/>
  <c r="I54" i="54"/>
  <c r="J54" i="54" s="1"/>
  <c r="I53" i="54"/>
  <c r="J53" i="54" s="1"/>
  <c r="I52" i="54"/>
  <c r="J52" i="54" s="1"/>
  <c r="I51" i="54"/>
  <c r="J51" i="54" s="1"/>
  <c r="I50" i="54"/>
  <c r="J50" i="54" s="1"/>
  <c r="I49" i="54"/>
  <c r="J49" i="54" s="1"/>
  <c r="I48" i="54"/>
  <c r="J48" i="54" s="1"/>
  <c r="I47" i="54"/>
  <c r="J47" i="54" s="1"/>
  <c r="G69" i="54"/>
  <c r="H69" i="54" s="1"/>
  <c r="G68" i="54"/>
  <c r="H68" i="54" s="1"/>
  <c r="G67" i="54"/>
  <c r="H67" i="54" s="1"/>
  <c r="G66" i="54"/>
  <c r="H66" i="54" s="1"/>
  <c r="G65" i="54"/>
  <c r="H65" i="54" s="1"/>
  <c r="G64" i="54"/>
  <c r="H64" i="54" s="1"/>
  <c r="G63" i="54"/>
  <c r="H63" i="54" s="1"/>
  <c r="G62" i="54"/>
  <c r="H62" i="54" s="1"/>
  <c r="G61" i="54"/>
  <c r="H61" i="54" s="1"/>
  <c r="G60" i="54"/>
  <c r="H60" i="54" s="1"/>
  <c r="G59" i="54"/>
  <c r="H59" i="54" s="1"/>
  <c r="G58" i="54"/>
  <c r="H58" i="54" s="1"/>
  <c r="G57" i="54"/>
  <c r="H57" i="54" s="1"/>
  <c r="G56" i="54"/>
  <c r="H56" i="54" s="1"/>
  <c r="G55" i="54"/>
  <c r="H55" i="54" s="1"/>
  <c r="G54" i="54"/>
  <c r="H54" i="54" s="1"/>
  <c r="G53" i="54"/>
  <c r="H53" i="54" s="1"/>
  <c r="G52" i="54"/>
  <c r="H52" i="54" s="1"/>
  <c r="G51" i="54"/>
  <c r="H51" i="54" s="1"/>
  <c r="G50" i="54"/>
  <c r="H50" i="54" s="1"/>
  <c r="G49" i="54"/>
  <c r="H49" i="54" s="1"/>
  <c r="G48" i="54"/>
  <c r="H48" i="54" s="1"/>
  <c r="G47" i="54"/>
  <c r="H47" i="54" s="1"/>
  <c r="G46" i="54"/>
  <c r="H46" i="54" s="1"/>
  <c r="G45" i="54"/>
  <c r="H45" i="54" s="1"/>
  <c r="E69" i="54"/>
  <c r="F69" i="54" s="1"/>
  <c r="E68" i="54"/>
  <c r="F68" i="54" s="1"/>
  <c r="E67" i="54"/>
  <c r="F67" i="54" s="1"/>
  <c r="E66" i="54"/>
  <c r="F66" i="54" s="1"/>
  <c r="E65" i="54"/>
  <c r="F65" i="54" s="1"/>
  <c r="E64" i="54"/>
  <c r="F64" i="54" s="1"/>
  <c r="E63" i="54"/>
  <c r="F63" i="54" s="1"/>
  <c r="E62" i="54"/>
  <c r="F62" i="54" s="1"/>
  <c r="E61" i="54"/>
  <c r="F61" i="54" s="1"/>
  <c r="E60" i="54"/>
  <c r="F60" i="54" s="1"/>
  <c r="E59" i="54"/>
  <c r="F59" i="54" s="1"/>
  <c r="E58" i="54"/>
  <c r="F58" i="54" s="1"/>
  <c r="E57" i="54"/>
  <c r="F57" i="54" s="1"/>
  <c r="E56" i="54"/>
  <c r="F56" i="54" s="1"/>
  <c r="E55" i="54"/>
  <c r="F55" i="54" s="1"/>
  <c r="E54" i="54"/>
  <c r="F54" i="54" s="1"/>
  <c r="E53" i="54"/>
  <c r="F53" i="54" s="1"/>
  <c r="E52" i="54"/>
  <c r="F52" i="54" s="1"/>
  <c r="E51" i="54"/>
  <c r="F51" i="54" s="1"/>
  <c r="E50" i="54"/>
  <c r="F50" i="54" s="1"/>
  <c r="E49" i="54"/>
  <c r="F49" i="54" s="1"/>
  <c r="E48" i="54"/>
  <c r="F48" i="54" s="1"/>
  <c r="E47" i="54"/>
  <c r="F47" i="54" s="1"/>
  <c r="E46" i="54"/>
  <c r="F46" i="54" s="1"/>
  <c r="C69" i="54"/>
  <c r="D69" i="54" s="1"/>
  <c r="C68" i="54"/>
  <c r="D68" i="54" s="1"/>
  <c r="C67" i="54"/>
  <c r="D67" i="54" s="1"/>
  <c r="C66" i="54"/>
  <c r="D66" i="54" s="1"/>
  <c r="C65" i="54"/>
  <c r="D65" i="54" s="1"/>
  <c r="C64" i="54"/>
  <c r="D64" i="54" s="1"/>
  <c r="C63" i="54"/>
  <c r="D63" i="54" s="1"/>
  <c r="C62" i="54"/>
  <c r="D62" i="54" s="1"/>
  <c r="C61" i="54"/>
  <c r="D61" i="54" s="1"/>
  <c r="C60" i="54"/>
  <c r="D60" i="54" s="1"/>
  <c r="C59" i="54"/>
  <c r="D59" i="54" s="1"/>
  <c r="C58" i="54"/>
  <c r="D58" i="54" s="1"/>
  <c r="C57" i="54"/>
  <c r="D57" i="54" s="1"/>
  <c r="C56" i="54"/>
  <c r="D56" i="54" s="1"/>
  <c r="C55" i="54"/>
  <c r="D55" i="54" s="1"/>
  <c r="C54" i="54"/>
  <c r="D54" i="54" s="1"/>
  <c r="C53" i="54"/>
  <c r="D53" i="54" s="1"/>
  <c r="C52" i="54"/>
  <c r="D52" i="54" s="1"/>
  <c r="C51" i="54"/>
  <c r="D51" i="54" s="1"/>
  <c r="C50" i="54"/>
  <c r="D50" i="54" s="1"/>
  <c r="C49" i="54"/>
  <c r="D49" i="54" s="1"/>
  <c r="C48" i="54"/>
  <c r="D48" i="54" s="1"/>
  <c r="C47" i="54"/>
  <c r="D47" i="54" s="1"/>
  <c r="C46" i="54"/>
  <c r="D46" i="54" s="1"/>
  <c r="T33" i="54"/>
  <c r="Q33" i="54"/>
  <c r="T32" i="54"/>
  <c r="Q32" i="54"/>
  <c r="T31" i="54"/>
  <c r="Q31" i="54"/>
  <c r="T30" i="54"/>
  <c r="Q30" i="54"/>
  <c r="T29" i="54"/>
  <c r="Q29" i="54"/>
  <c r="T28" i="54"/>
  <c r="Q28" i="54"/>
  <c r="T27" i="54"/>
  <c r="Q27" i="54"/>
  <c r="T26" i="54"/>
  <c r="Q26" i="54"/>
  <c r="T25" i="54"/>
  <c r="Q25" i="54"/>
  <c r="T24" i="54"/>
  <c r="Q24" i="54"/>
  <c r="T23" i="54"/>
  <c r="Q23" i="54"/>
  <c r="T22" i="54"/>
  <c r="Q22" i="54"/>
  <c r="T21" i="54"/>
  <c r="Q21" i="54"/>
  <c r="T20" i="54"/>
  <c r="Q20" i="54"/>
  <c r="T19" i="54"/>
  <c r="Q19" i="54"/>
  <c r="T18" i="54"/>
  <c r="Q18" i="54"/>
  <c r="T17" i="54"/>
  <c r="Q17" i="54"/>
  <c r="T16" i="54"/>
  <c r="Q16" i="54"/>
  <c r="T15" i="54"/>
  <c r="Q15" i="54"/>
  <c r="T14" i="54"/>
  <c r="Q14" i="54"/>
  <c r="T13" i="54"/>
  <c r="Q13" i="54"/>
  <c r="T12" i="54"/>
  <c r="Q12" i="54"/>
  <c r="T11" i="54"/>
  <c r="Q11" i="54"/>
  <c r="T10" i="54"/>
  <c r="Q10" i="54"/>
  <c r="T9" i="54"/>
  <c r="Q9" i="54"/>
  <c r="S8" i="54"/>
  <c r="R8" i="54"/>
  <c r="P8" i="54"/>
  <c r="O8" i="54"/>
  <c r="N33" i="54"/>
  <c r="K33" i="54"/>
  <c r="N32" i="54"/>
  <c r="K32" i="54"/>
  <c r="N31" i="54"/>
  <c r="K31" i="54"/>
  <c r="N30" i="54"/>
  <c r="K30" i="54"/>
  <c r="N29" i="54"/>
  <c r="K29" i="54"/>
  <c r="N28" i="54"/>
  <c r="K28" i="54"/>
  <c r="N27" i="54"/>
  <c r="K27" i="54"/>
  <c r="N26" i="54"/>
  <c r="K26" i="54"/>
  <c r="N25" i="54"/>
  <c r="K25" i="54"/>
  <c r="N24" i="54"/>
  <c r="K24" i="54"/>
  <c r="N23" i="54"/>
  <c r="K23" i="54"/>
  <c r="N22" i="54"/>
  <c r="K22" i="54"/>
  <c r="N21" i="54"/>
  <c r="K21" i="54"/>
  <c r="N20" i="54"/>
  <c r="K20" i="54"/>
  <c r="N19" i="54"/>
  <c r="K19" i="54"/>
  <c r="N18" i="54"/>
  <c r="K18" i="54"/>
  <c r="N17" i="54"/>
  <c r="K17" i="54"/>
  <c r="N16" i="54"/>
  <c r="K16" i="54"/>
  <c r="N15" i="54"/>
  <c r="K15" i="54"/>
  <c r="N14" i="54"/>
  <c r="K14" i="54"/>
  <c r="N13" i="54"/>
  <c r="K13" i="54"/>
  <c r="N12" i="54"/>
  <c r="K12" i="54"/>
  <c r="N11" i="54"/>
  <c r="K11" i="54"/>
  <c r="N10" i="54"/>
  <c r="K10" i="54"/>
  <c r="N9" i="54"/>
  <c r="K9" i="54"/>
  <c r="M8" i="54"/>
  <c r="L8" i="54"/>
  <c r="J8" i="54"/>
  <c r="I8" i="54"/>
  <c r="H33" i="54"/>
  <c r="E33" i="54"/>
  <c r="H32" i="54"/>
  <c r="E32" i="54"/>
  <c r="H31" i="54"/>
  <c r="E31" i="54"/>
  <c r="H30" i="54"/>
  <c r="E30" i="54"/>
  <c r="H29" i="54"/>
  <c r="E29" i="54"/>
  <c r="H28" i="54"/>
  <c r="E28" i="54"/>
  <c r="H27" i="54"/>
  <c r="E27" i="54"/>
  <c r="H26" i="54"/>
  <c r="E26" i="54"/>
  <c r="H25" i="54"/>
  <c r="E25" i="54"/>
  <c r="H24" i="54"/>
  <c r="E24" i="54"/>
  <c r="H23" i="54"/>
  <c r="E23" i="54"/>
  <c r="H22" i="54"/>
  <c r="E22" i="54"/>
  <c r="H21" i="54"/>
  <c r="E21" i="54"/>
  <c r="H20" i="54"/>
  <c r="E20" i="54"/>
  <c r="H19" i="54"/>
  <c r="E19" i="54"/>
  <c r="H18" i="54"/>
  <c r="E18" i="54"/>
  <c r="H17" i="54"/>
  <c r="E17" i="54"/>
  <c r="H16" i="54"/>
  <c r="E16" i="54"/>
  <c r="H15" i="54"/>
  <c r="E15" i="54"/>
  <c r="H14" i="54"/>
  <c r="E14" i="54"/>
  <c r="H13" i="54"/>
  <c r="E13" i="54"/>
  <c r="H12" i="54"/>
  <c r="E12" i="54"/>
  <c r="H11" i="54"/>
  <c r="E11" i="54"/>
  <c r="H10" i="54"/>
  <c r="E10" i="54"/>
  <c r="H9" i="54"/>
  <c r="E9" i="54"/>
  <c r="G8" i="54"/>
  <c r="F8" i="54"/>
  <c r="D8" i="54"/>
  <c r="C8" i="54"/>
  <c r="K10" i="37"/>
  <c r="L10" i="37" s="1"/>
  <c r="E46" i="39"/>
  <c r="F46" i="39" s="1"/>
  <c r="E70" i="39"/>
  <c r="F70" i="39" s="1"/>
  <c r="E69" i="39"/>
  <c r="F69" i="39" s="1"/>
  <c r="E68" i="39"/>
  <c r="F68" i="39" s="1"/>
  <c r="E67" i="39"/>
  <c r="F67" i="39" s="1"/>
  <c r="E66" i="39"/>
  <c r="F66" i="39" s="1"/>
  <c r="E65" i="39"/>
  <c r="F65" i="39" s="1"/>
  <c r="E64" i="39"/>
  <c r="F64" i="39" s="1"/>
  <c r="E63" i="39"/>
  <c r="F63" i="39" s="1"/>
  <c r="E62" i="39"/>
  <c r="F62" i="39" s="1"/>
  <c r="E61" i="39"/>
  <c r="F61" i="39" s="1"/>
  <c r="E60" i="39"/>
  <c r="F60" i="39" s="1"/>
  <c r="E59" i="39"/>
  <c r="F59" i="39" s="1"/>
  <c r="E58" i="39"/>
  <c r="F58" i="39" s="1"/>
  <c r="E57" i="39"/>
  <c r="F57" i="39" s="1"/>
  <c r="E56" i="39"/>
  <c r="F56" i="39" s="1"/>
  <c r="E55" i="39"/>
  <c r="F55" i="39" s="1"/>
  <c r="E54" i="39"/>
  <c r="F54" i="39" s="1"/>
  <c r="E53" i="39"/>
  <c r="F53" i="39" s="1"/>
  <c r="E52" i="39"/>
  <c r="F52" i="39" s="1"/>
  <c r="E51" i="39"/>
  <c r="F51" i="39" s="1"/>
  <c r="E50" i="39"/>
  <c r="F50" i="39" s="1"/>
  <c r="E49" i="39"/>
  <c r="F49" i="39" s="1"/>
  <c r="E48" i="39"/>
  <c r="F48" i="39" s="1"/>
  <c r="E47" i="39"/>
  <c r="F47" i="39" s="1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D8" i="39"/>
  <c r="C8" i="39"/>
  <c r="G44" i="54" l="1"/>
  <c r="H44" i="54" s="1"/>
  <c r="I44" i="54"/>
  <c r="J44" i="54" s="1"/>
  <c r="Q8" i="54"/>
  <c r="E44" i="54"/>
  <c r="F44" i="54" s="1"/>
  <c r="C44" i="54"/>
  <c r="D44" i="54" s="1"/>
  <c r="K8" i="54"/>
  <c r="T8" i="54"/>
  <c r="N8" i="54"/>
  <c r="H8" i="54"/>
  <c r="E8" i="54"/>
  <c r="E8" i="39"/>
  <c r="G16" i="32" l="1"/>
  <c r="G15" i="32"/>
  <c r="N14" i="29"/>
  <c r="O34" i="29"/>
  <c r="O33" i="29"/>
  <c r="O32" i="29"/>
  <c r="O31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3" i="29"/>
  <c r="N12" i="29"/>
  <c r="N11" i="29"/>
  <c r="N10" i="29"/>
  <c r="M9" i="6" l="1"/>
  <c r="M10" i="6"/>
  <c r="J10" i="6"/>
  <c r="H9" i="18" l="1"/>
  <c r="G9" i="18"/>
  <c r="F9" i="18"/>
  <c r="E9" i="18"/>
  <c r="D9" i="18"/>
  <c r="C9" i="18"/>
  <c r="D54" i="44"/>
  <c r="D47" i="44"/>
  <c r="E51" i="44" s="1"/>
  <c r="D43" i="44"/>
  <c r="E46" i="44" s="1"/>
  <c r="D37" i="44"/>
  <c r="E42" i="44" s="1"/>
  <c r="D33" i="44"/>
  <c r="E34" i="44" s="1"/>
  <c r="D28" i="44"/>
  <c r="E30" i="44" s="1"/>
  <c r="D23" i="44"/>
  <c r="E26" i="44" s="1"/>
  <c r="D17" i="44"/>
  <c r="E22" i="44" s="1"/>
  <c r="D10" i="44"/>
  <c r="E14" i="44" s="1"/>
  <c r="D5" i="44"/>
  <c r="D59" i="44" s="1"/>
  <c r="D60" i="44" s="1"/>
  <c r="AA34" i="43"/>
  <c r="F34" i="43" s="1"/>
  <c r="T34" i="43"/>
  <c r="M34" i="43"/>
  <c r="Q34" i="43" s="1"/>
  <c r="L34" i="43"/>
  <c r="P34" i="43" s="1"/>
  <c r="K34" i="43"/>
  <c r="O34" i="43" s="1"/>
  <c r="AA33" i="43"/>
  <c r="T33" i="43"/>
  <c r="M33" i="43"/>
  <c r="Q33" i="43" s="1"/>
  <c r="L33" i="43"/>
  <c r="P33" i="43" s="1"/>
  <c r="F33" i="43"/>
  <c r="AA32" i="43"/>
  <c r="F32" i="43" s="1"/>
  <c r="T32" i="43"/>
  <c r="M32" i="43"/>
  <c r="Q32" i="43" s="1"/>
  <c r="L32" i="43"/>
  <c r="P32" i="43" s="1"/>
  <c r="K32" i="43"/>
  <c r="O32" i="43" s="1"/>
  <c r="AA31" i="43"/>
  <c r="F31" i="43" s="1"/>
  <c r="T31" i="43"/>
  <c r="J31" i="43" s="1"/>
  <c r="M31" i="43"/>
  <c r="Q31" i="43" s="1"/>
  <c r="L31" i="43"/>
  <c r="P31" i="43" s="1"/>
  <c r="K31" i="43"/>
  <c r="O31" i="43" s="1"/>
  <c r="AA30" i="43"/>
  <c r="F30" i="43" s="1"/>
  <c r="T30" i="43"/>
  <c r="M30" i="43"/>
  <c r="Q30" i="43" s="1"/>
  <c r="L30" i="43"/>
  <c r="P30" i="43" s="1"/>
  <c r="K30" i="43"/>
  <c r="O30" i="43" s="1"/>
  <c r="AA29" i="43"/>
  <c r="T29" i="43"/>
  <c r="M29" i="43"/>
  <c r="Q29" i="43" s="1"/>
  <c r="L29" i="43"/>
  <c r="P29" i="43" s="1"/>
  <c r="F29" i="43"/>
  <c r="AA28" i="43"/>
  <c r="F28" i="43" s="1"/>
  <c r="T28" i="43"/>
  <c r="M28" i="43"/>
  <c r="Q28" i="43" s="1"/>
  <c r="L28" i="43"/>
  <c r="P28" i="43" s="1"/>
  <c r="K28" i="43"/>
  <c r="O28" i="43" s="1"/>
  <c r="AA27" i="43"/>
  <c r="F27" i="43" s="1"/>
  <c r="T27" i="43"/>
  <c r="M27" i="43"/>
  <c r="Q27" i="43" s="1"/>
  <c r="L27" i="43"/>
  <c r="P27" i="43" s="1"/>
  <c r="K27" i="43"/>
  <c r="O27" i="43" s="1"/>
  <c r="AA26" i="43"/>
  <c r="F26" i="43" s="1"/>
  <c r="T26" i="43"/>
  <c r="M26" i="43"/>
  <c r="Q26" i="43" s="1"/>
  <c r="L26" i="43"/>
  <c r="P26" i="43" s="1"/>
  <c r="K26" i="43"/>
  <c r="O26" i="43" s="1"/>
  <c r="AA25" i="43"/>
  <c r="T25" i="43"/>
  <c r="M25" i="43"/>
  <c r="Q25" i="43" s="1"/>
  <c r="L25" i="43"/>
  <c r="P25" i="43" s="1"/>
  <c r="F25" i="43"/>
  <c r="AA24" i="43"/>
  <c r="F24" i="43" s="1"/>
  <c r="T24" i="43"/>
  <c r="M24" i="43"/>
  <c r="Q24" i="43" s="1"/>
  <c r="L24" i="43"/>
  <c r="P24" i="43" s="1"/>
  <c r="K24" i="43"/>
  <c r="O24" i="43" s="1"/>
  <c r="AA23" i="43"/>
  <c r="F23" i="43" s="1"/>
  <c r="T23" i="43"/>
  <c r="M23" i="43"/>
  <c r="Q23" i="43" s="1"/>
  <c r="L23" i="43"/>
  <c r="P23" i="43" s="1"/>
  <c r="K23" i="43"/>
  <c r="O23" i="43" s="1"/>
  <c r="AA22" i="43"/>
  <c r="F22" i="43" s="1"/>
  <c r="T22" i="43"/>
  <c r="M22" i="43"/>
  <c r="Q22" i="43" s="1"/>
  <c r="L22" i="43"/>
  <c r="P22" i="43" s="1"/>
  <c r="K22" i="43"/>
  <c r="O22" i="43" s="1"/>
  <c r="AA21" i="43"/>
  <c r="F21" i="43" s="1"/>
  <c r="T21" i="43"/>
  <c r="M21" i="43"/>
  <c r="Q21" i="43" s="1"/>
  <c r="L21" i="43"/>
  <c r="P21" i="43" s="1"/>
  <c r="AA20" i="43"/>
  <c r="T20" i="43"/>
  <c r="M20" i="43"/>
  <c r="Q20" i="43" s="1"/>
  <c r="L20" i="43"/>
  <c r="P20" i="43" s="1"/>
  <c r="K20" i="43"/>
  <c r="O20" i="43" s="1"/>
  <c r="F20" i="43"/>
  <c r="AA19" i="43"/>
  <c r="F19" i="43" s="1"/>
  <c r="T19" i="43"/>
  <c r="M19" i="43"/>
  <c r="Q19" i="43" s="1"/>
  <c r="L19" i="43"/>
  <c r="P19" i="43" s="1"/>
  <c r="K19" i="43"/>
  <c r="O19" i="43" s="1"/>
  <c r="AA18" i="43"/>
  <c r="F18" i="43" s="1"/>
  <c r="T18" i="43"/>
  <c r="M18" i="43"/>
  <c r="Q18" i="43" s="1"/>
  <c r="L18" i="43"/>
  <c r="P18" i="43" s="1"/>
  <c r="K18" i="43"/>
  <c r="O18" i="43" s="1"/>
  <c r="AA17" i="43"/>
  <c r="F17" i="43" s="1"/>
  <c r="T17" i="43"/>
  <c r="M17" i="43"/>
  <c r="Q17" i="43" s="1"/>
  <c r="L17" i="43"/>
  <c r="P17" i="43" s="1"/>
  <c r="AA16" i="43"/>
  <c r="F16" i="43" s="1"/>
  <c r="T16" i="43"/>
  <c r="M16" i="43"/>
  <c r="Q16" i="43" s="1"/>
  <c r="L16" i="43"/>
  <c r="P16" i="43" s="1"/>
  <c r="K16" i="43"/>
  <c r="O16" i="43" s="1"/>
  <c r="AA15" i="43"/>
  <c r="F15" i="43" s="1"/>
  <c r="T15" i="43"/>
  <c r="M15" i="43"/>
  <c r="Q15" i="43" s="1"/>
  <c r="L15" i="43"/>
  <c r="P15" i="43" s="1"/>
  <c r="K15" i="43"/>
  <c r="O15" i="43" s="1"/>
  <c r="AA14" i="43"/>
  <c r="F14" i="43" s="1"/>
  <c r="T14" i="43"/>
  <c r="M14" i="43"/>
  <c r="Q14" i="43" s="1"/>
  <c r="L14" i="43"/>
  <c r="K14" i="43"/>
  <c r="O14" i="43" s="1"/>
  <c r="AA13" i="43"/>
  <c r="T13" i="43"/>
  <c r="M13" i="43"/>
  <c r="Q13" i="43" s="1"/>
  <c r="L13" i="43"/>
  <c r="P13" i="43" s="1"/>
  <c r="F13" i="43"/>
  <c r="AA12" i="43"/>
  <c r="F12" i="43" s="1"/>
  <c r="T12" i="43"/>
  <c r="M12" i="43"/>
  <c r="Q12" i="43" s="1"/>
  <c r="L12" i="43"/>
  <c r="P12" i="43" s="1"/>
  <c r="K12" i="43"/>
  <c r="O12" i="43" s="1"/>
  <c r="AA11" i="43"/>
  <c r="T11" i="43"/>
  <c r="M11" i="43"/>
  <c r="Q11" i="43" s="1"/>
  <c r="L11" i="43"/>
  <c r="P11" i="43" s="1"/>
  <c r="K11" i="43"/>
  <c r="F11" i="43"/>
  <c r="AA10" i="43"/>
  <c r="F10" i="43" s="1"/>
  <c r="T10" i="43"/>
  <c r="L10" i="43"/>
  <c r="P10" i="43" s="1"/>
  <c r="AG9" i="43"/>
  <c r="AF9" i="43"/>
  <c r="AE9" i="43"/>
  <c r="AD9" i="43"/>
  <c r="AC9" i="43"/>
  <c r="AB9" i="43"/>
  <c r="Z9" i="43"/>
  <c r="Y9" i="43"/>
  <c r="X9" i="43"/>
  <c r="W9" i="43"/>
  <c r="V9" i="43"/>
  <c r="U9" i="43"/>
  <c r="E9" i="43"/>
  <c r="D9" i="43"/>
  <c r="C9" i="43"/>
  <c r="P31" i="17"/>
  <c r="O31" i="17"/>
  <c r="P30" i="17"/>
  <c r="O30" i="17"/>
  <c r="P29" i="17"/>
  <c r="O29" i="17"/>
  <c r="P28" i="17"/>
  <c r="O28" i="17"/>
  <c r="P27" i="17"/>
  <c r="O27" i="17"/>
  <c r="P26" i="17"/>
  <c r="O26" i="17"/>
  <c r="P25" i="17"/>
  <c r="O25" i="17"/>
  <c r="P24" i="17"/>
  <c r="O24" i="17"/>
  <c r="P23" i="17"/>
  <c r="O23" i="17"/>
  <c r="P22" i="17"/>
  <c r="O22" i="17"/>
  <c r="P21" i="17"/>
  <c r="O21" i="17"/>
  <c r="P20" i="17"/>
  <c r="O20" i="17"/>
  <c r="P19" i="17"/>
  <c r="O19" i="17"/>
  <c r="P18" i="17"/>
  <c r="P17" i="17"/>
  <c r="O17" i="17"/>
  <c r="P16" i="17"/>
  <c r="O16" i="17"/>
  <c r="P15" i="17"/>
  <c r="O15" i="17"/>
  <c r="P14" i="17"/>
  <c r="O14" i="17"/>
  <c r="P13" i="17"/>
  <c r="O13" i="17"/>
  <c r="O12" i="17"/>
  <c r="E9" i="17"/>
  <c r="D9" i="17"/>
  <c r="C9" i="17"/>
  <c r="E35" i="17" s="1"/>
  <c r="D55" i="42"/>
  <c r="E56" i="42" s="1"/>
  <c r="D48" i="42"/>
  <c r="E54" i="42" s="1"/>
  <c r="D44" i="42"/>
  <c r="E46" i="42" s="1"/>
  <c r="D38" i="42"/>
  <c r="E42" i="42" s="1"/>
  <c r="D34" i="42"/>
  <c r="E35" i="42" s="1"/>
  <c r="D29" i="42"/>
  <c r="E30" i="42" s="1"/>
  <c r="D24" i="42"/>
  <c r="E26" i="42" s="1"/>
  <c r="D18" i="42"/>
  <c r="E22" i="42" s="1"/>
  <c r="D11" i="42"/>
  <c r="E15" i="42" s="1"/>
  <c r="D6" i="42"/>
  <c r="E18" i="41"/>
  <c r="H16" i="41"/>
  <c r="H15" i="41"/>
  <c r="H14" i="41"/>
  <c r="H13" i="41"/>
  <c r="H12" i="41"/>
  <c r="H10" i="41"/>
  <c r="H9" i="41"/>
  <c r="H8" i="41"/>
  <c r="C70" i="39"/>
  <c r="D70" i="39" s="1"/>
  <c r="K33" i="39"/>
  <c r="H33" i="39"/>
  <c r="C69" i="39"/>
  <c r="D69" i="39" s="1"/>
  <c r="K32" i="39"/>
  <c r="H32" i="39"/>
  <c r="C68" i="39"/>
  <c r="D68" i="39" s="1"/>
  <c r="K31" i="39"/>
  <c r="H31" i="39"/>
  <c r="C67" i="39"/>
  <c r="D67" i="39" s="1"/>
  <c r="K30" i="39"/>
  <c r="H30" i="39"/>
  <c r="C66" i="39"/>
  <c r="D66" i="39" s="1"/>
  <c r="K29" i="39"/>
  <c r="H29" i="39"/>
  <c r="C65" i="39"/>
  <c r="D65" i="39" s="1"/>
  <c r="K28" i="39"/>
  <c r="H28" i="39"/>
  <c r="C64" i="39"/>
  <c r="D64" i="39" s="1"/>
  <c r="K27" i="39"/>
  <c r="H27" i="39"/>
  <c r="C63" i="39"/>
  <c r="D63" i="39" s="1"/>
  <c r="K26" i="39"/>
  <c r="H26" i="39"/>
  <c r="C62" i="39"/>
  <c r="D62" i="39" s="1"/>
  <c r="K25" i="39"/>
  <c r="H25" i="39"/>
  <c r="C61" i="39"/>
  <c r="D61" i="39" s="1"/>
  <c r="K24" i="39"/>
  <c r="H24" i="39"/>
  <c r="C60" i="39"/>
  <c r="D60" i="39" s="1"/>
  <c r="K23" i="39"/>
  <c r="H23" i="39"/>
  <c r="C59" i="39"/>
  <c r="D59" i="39" s="1"/>
  <c r="K22" i="39"/>
  <c r="H22" i="39"/>
  <c r="C58" i="39"/>
  <c r="D58" i="39" s="1"/>
  <c r="K21" i="39"/>
  <c r="H21" i="39"/>
  <c r="C57" i="39"/>
  <c r="D57" i="39" s="1"/>
  <c r="K20" i="39"/>
  <c r="H20" i="39"/>
  <c r="C56" i="39"/>
  <c r="D56" i="39" s="1"/>
  <c r="K19" i="39"/>
  <c r="H19" i="39"/>
  <c r="C55" i="39"/>
  <c r="D55" i="39" s="1"/>
  <c r="K18" i="39"/>
  <c r="H18" i="39"/>
  <c r="C54" i="39"/>
  <c r="D54" i="39" s="1"/>
  <c r="H17" i="39"/>
  <c r="C53" i="39"/>
  <c r="D53" i="39" s="1"/>
  <c r="K16" i="39"/>
  <c r="H16" i="39"/>
  <c r="C52" i="39"/>
  <c r="D52" i="39" s="1"/>
  <c r="K15" i="39"/>
  <c r="H15" i="39"/>
  <c r="C51" i="39"/>
  <c r="D51" i="39" s="1"/>
  <c r="K14" i="39"/>
  <c r="H14" i="39"/>
  <c r="C50" i="39"/>
  <c r="D50" i="39" s="1"/>
  <c r="K13" i="39"/>
  <c r="H13" i="39"/>
  <c r="C49" i="39"/>
  <c r="D49" i="39" s="1"/>
  <c r="K12" i="39"/>
  <c r="H12" i="39"/>
  <c r="C48" i="39"/>
  <c r="D48" i="39" s="1"/>
  <c r="K11" i="39"/>
  <c r="H11" i="39"/>
  <c r="C47" i="39"/>
  <c r="D47" i="39" s="1"/>
  <c r="K10" i="39"/>
  <c r="H10" i="39"/>
  <c r="C46" i="39"/>
  <c r="D46" i="39" s="1"/>
  <c r="K9" i="39"/>
  <c r="H9" i="39"/>
  <c r="E45" i="39"/>
  <c r="F45" i="39" s="1"/>
  <c r="N35" i="40"/>
  <c r="J35" i="40"/>
  <c r="H35" i="40"/>
  <c r="C35" i="40"/>
  <c r="I35" i="40" s="1"/>
  <c r="N34" i="40"/>
  <c r="J34" i="40"/>
  <c r="H34" i="40"/>
  <c r="C34" i="40"/>
  <c r="E34" i="40" s="1"/>
  <c r="N33" i="40"/>
  <c r="J33" i="40"/>
  <c r="H33" i="40"/>
  <c r="C33" i="40"/>
  <c r="E33" i="40" s="1"/>
  <c r="N32" i="40"/>
  <c r="J32" i="40"/>
  <c r="H32" i="40"/>
  <c r="C32" i="40"/>
  <c r="I32" i="40" s="1"/>
  <c r="N31" i="40"/>
  <c r="J31" i="40"/>
  <c r="H31" i="40"/>
  <c r="C31" i="40"/>
  <c r="I31" i="40" s="1"/>
  <c r="N30" i="40"/>
  <c r="J30" i="40"/>
  <c r="H30" i="40"/>
  <c r="C30" i="40"/>
  <c r="E30" i="40" s="1"/>
  <c r="N29" i="40"/>
  <c r="J29" i="40"/>
  <c r="H29" i="40"/>
  <c r="C29" i="40"/>
  <c r="E29" i="40" s="1"/>
  <c r="N28" i="40"/>
  <c r="J28" i="40"/>
  <c r="H28" i="40"/>
  <c r="C28" i="40"/>
  <c r="E28" i="40" s="1"/>
  <c r="N27" i="40"/>
  <c r="J27" i="40"/>
  <c r="H27" i="40"/>
  <c r="C27" i="40"/>
  <c r="I27" i="40" s="1"/>
  <c r="N26" i="40"/>
  <c r="J26" i="40"/>
  <c r="H26" i="40"/>
  <c r="C26" i="40"/>
  <c r="I26" i="40" s="1"/>
  <c r="N25" i="40"/>
  <c r="J25" i="40"/>
  <c r="H25" i="40"/>
  <c r="C25" i="40"/>
  <c r="E25" i="40" s="1"/>
  <c r="N24" i="40"/>
  <c r="J24" i="40"/>
  <c r="H24" i="40"/>
  <c r="C24" i="40"/>
  <c r="E24" i="40" s="1"/>
  <c r="N23" i="40"/>
  <c r="J23" i="40"/>
  <c r="H23" i="40"/>
  <c r="C23" i="40"/>
  <c r="I23" i="40" s="1"/>
  <c r="N22" i="40"/>
  <c r="J22" i="40"/>
  <c r="H22" i="40"/>
  <c r="C22" i="40"/>
  <c r="E22" i="40" s="1"/>
  <c r="N21" i="40"/>
  <c r="J21" i="40"/>
  <c r="H21" i="40"/>
  <c r="C21" i="40"/>
  <c r="E21" i="40" s="1"/>
  <c r="N20" i="40"/>
  <c r="J20" i="40"/>
  <c r="H20" i="40"/>
  <c r="C20" i="40"/>
  <c r="E20" i="40" s="1"/>
  <c r="N19" i="40"/>
  <c r="J19" i="40"/>
  <c r="H19" i="40"/>
  <c r="C19" i="40"/>
  <c r="I19" i="40" s="1"/>
  <c r="N18" i="40"/>
  <c r="J18" i="40"/>
  <c r="H18" i="40"/>
  <c r="C18" i="40"/>
  <c r="E18" i="40" s="1"/>
  <c r="N17" i="40"/>
  <c r="J17" i="40"/>
  <c r="H17" i="40"/>
  <c r="C17" i="40"/>
  <c r="E17" i="40" s="1"/>
  <c r="N16" i="40"/>
  <c r="J16" i="40"/>
  <c r="H16" i="40"/>
  <c r="C16" i="40"/>
  <c r="I16" i="40" s="1"/>
  <c r="N15" i="40"/>
  <c r="J15" i="40"/>
  <c r="H15" i="40"/>
  <c r="C15" i="40"/>
  <c r="I15" i="40" s="1"/>
  <c r="N14" i="40"/>
  <c r="J14" i="40"/>
  <c r="H14" i="40"/>
  <c r="C14" i="40"/>
  <c r="E14" i="40" s="1"/>
  <c r="N13" i="40"/>
  <c r="J13" i="40"/>
  <c r="H13" i="40"/>
  <c r="C13" i="40"/>
  <c r="E13" i="40" s="1"/>
  <c r="N12" i="40"/>
  <c r="J12" i="40"/>
  <c r="J10" i="40" s="1"/>
  <c r="H12" i="40"/>
  <c r="C12" i="40"/>
  <c r="I12" i="40" s="1"/>
  <c r="N11" i="40"/>
  <c r="H11" i="40"/>
  <c r="C11" i="40"/>
  <c r="M10" i="40"/>
  <c r="L10" i="40"/>
  <c r="Q13" i="40" s="1"/>
  <c r="G10" i="40"/>
  <c r="H10" i="40" s="1"/>
  <c r="I33" i="37"/>
  <c r="M33" i="37" s="1"/>
  <c r="N33" i="37" s="1"/>
  <c r="G33" i="37"/>
  <c r="K33" i="37" s="1"/>
  <c r="L33" i="37" s="1"/>
  <c r="F33" i="37"/>
  <c r="D33" i="37"/>
  <c r="I32" i="37"/>
  <c r="M32" i="37" s="1"/>
  <c r="N32" i="37" s="1"/>
  <c r="G32" i="37"/>
  <c r="K32" i="37" s="1"/>
  <c r="L32" i="37" s="1"/>
  <c r="F32" i="37"/>
  <c r="D32" i="37"/>
  <c r="I31" i="37"/>
  <c r="M31" i="37" s="1"/>
  <c r="N31" i="37" s="1"/>
  <c r="G31" i="37"/>
  <c r="K31" i="37" s="1"/>
  <c r="L31" i="37" s="1"/>
  <c r="F31" i="37"/>
  <c r="D31" i="37"/>
  <c r="I30" i="37"/>
  <c r="G30" i="37"/>
  <c r="K30" i="37" s="1"/>
  <c r="L30" i="37" s="1"/>
  <c r="F30" i="37"/>
  <c r="D30" i="37"/>
  <c r="M29" i="37"/>
  <c r="N29" i="37" s="1"/>
  <c r="G29" i="37"/>
  <c r="K29" i="37" s="1"/>
  <c r="L29" i="37" s="1"/>
  <c r="F29" i="37"/>
  <c r="I28" i="37"/>
  <c r="M28" i="37" s="1"/>
  <c r="N28" i="37" s="1"/>
  <c r="G28" i="37"/>
  <c r="K28" i="37" s="1"/>
  <c r="L28" i="37" s="1"/>
  <c r="F28" i="37"/>
  <c r="D28" i="37"/>
  <c r="I27" i="37"/>
  <c r="M27" i="37" s="1"/>
  <c r="N27" i="37" s="1"/>
  <c r="G27" i="37"/>
  <c r="K27" i="37" s="1"/>
  <c r="L27" i="37" s="1"/>
  <c r="F27" i="37"/>
  <c r="D27" i="37"/>
  <c r="M26" i="37"/>
  <c r="N26" i="37" s="1"/>
  <c r="L26" i="37"/>
  <c r="F26" i="37"/>
  <c r="D26" i="37"/>
  <c r="K24" i="37"/>
  <c r="L24" i="37" s="1"/>
  <c r="I24" i="37"/>
  <c r="M24" i="37" s="1"/>
  <c r="N24" i="37" s="1"/>
  <c r="I23" i="37"/>
  <c r="M17" i="37"/>
  <c r="N17" i="37" s="1"/>
  <c r="K17" i="37"/>
  <c r="L17" i="37" s="1"/>
  <c r="J17" i="37"/>
  <c r="H17" i="37"/>
  <c r="F17" i="37"/>
  <c r="M16" i="37"/>
  <c r="N16" i="37" s="1"/>
  <c r="K16" i="37"/>
  <c r="L16" i="37" s="1"/>
  <c r="J16" i="37"/>
  <c r="H16" i="37"/>
  <c r="F16" i="37"/>
  <c r="M15" i="37"/>
  <c r="N15" i="37" s="1"/>
  <c r="K15" i="37"/>
  <c r="L15" i="37" s="1"/>
  <c r="J15" i="37"/>
  <c r="H15" i="37"/>
  <c r="F15" i="37"/>
  <c r="M14" i="37"/>
  <c r="N14" i="37" s="1"/>
  <c r="K14" i="37"/>
  <c r="L14" i="37" s="1"/>
  <c r="J14" i="37"/>
  <c r="H14" i="37"/>
  <c r="F14" i="37"/>
  <c r="M13" i="37"/>
  <c r="N13" i="37" s="1"/>
  <c r="L13" i="37"/>
  <c r="J13" i="37"/>
  <c r="F13" i="37"/>
  <c r="P13" i="37"/>
  <c r="M12" i="37"/>
  <c r="N12" i="37" s="1"/>
  <c r="J12" i="37"/>
  <c r="F12" i="37"/>
  <c r="M11" i="37"/>
  <c r="N11" i="37" s="1"/>
  <c r="K11" i="37"/>
  <c r="L11" i="37" s="1"/>
  <c r="J11" i="37"/>
  <c r="H11" i="37"/>
  <c r="F11" i="37"/>
  <c r="M10" i="37"/>
  <c r="N10" i="37" s="1"/>
  <c r="J10" i="37"/>
  <c r="F10" i="37"/>
  <c r="P10" i="37"/>
  <c r="M8" i="37"/>
  <c r="N8" i="37" s="1"/>
  <c r="K8" i="37"/>
  <c r="L8" i="37" s="1"/>
  <c r="M7" i="37"/>
  <c r="N7" i="37" s="1"/>
  <c r="K7" i="37"/>
  <c r="L7" i="37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J17" i="3"/>
  <c r="J16" i="3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8" i="3"/>
  <c r="J8" i="3" s="1"/>
  <c r="H7" i="3"/>
  <c r="G7" i="3"/>
  <c r="F7" i="3"/>
  <c r="E7" i="3"/>
  <c r="D7" i="3"/>
  <c r="C7" i="3"/>
  <c r="E36" i="12"/>
  <c r="F44" i="12" s="1"/>
  <c r="C36" i="12"/>
  <c r="D44" i="12" s="1"/>
  <c r="F26" i="12"/>
  <c r="D27" i="12"/>
  <c r="E7" i="12"/>
  <c r="F14" i="12" s="1"/>
  <c r="C7" i="12"/>
  <c r="D14" i="12" s="1"/>
  <c r="H35" i="32"/>
  <c r="G35" i="32"/>
  <c r="H34" i="32"/>
  <c r="G34" i="32"/>
  <c r="H33" i="32"/>
  <c r="G33" i="32"/>
  <c r="H32" i="32"/>
  <c r="G32" i="32"/>
  <c r="H31" i="32"/>
  <c r="G31" i="32"/>
  <c r="H30" i="32"/>
  <c r="G30" i="32"/>
  <c r="H29" i="32"/>
  <c r="G29" i="32"/>
  <c r="H28" i="32"/>
  <c r="G28" i="32"/>
  <c r="H27" i="32"/>
  <c r="G27" i="32"/>
  <c r="H26" i="32"/>
  <c r="G26" i="32"/>
  <c r="H25" i="32"/>
  <c r="G25" i="32"/>
  <c r="H24" i="32"/>
  <c r="G24" i="32"/>
  <c r="H23" i="32"/>
  <c r="G23" i="32"/>
  <c r="H22" i="32"/>
  <c r="G22" i="32"/>
  <c r="H21" i="32"/>
  <c r="G21" i="32"/>
  <c r="H20" i="32"/>
  <c r="G20" i="32"/>
  <c r="H19" i="32"/>
  <c r="G19" i="32"/>
  <c r="H18" i="32"/>
  <c r="G18" i="32"/>
  <c r="H17" i="32"/>
  <c r="G17" i="32"/>
  <c r="H16" i="32"/>
  <c r="H15" i="32"/>
  <c r="H14" i="32"/>
  <c r="G14" i="32"/>
  <c r="H13" i="32"/>
  <c r="G13" i="32"/>
  <c r="H12" i="32"/>
  <c r="J12" i="32" s="1"/>
  <c r="G12" i="32"/>
  <c r="H11" i="32"/>
  <c r="G11" i="32"/>
  <c r="F7" i="32"/>
  <c r="D7" i="32"/>
  <c r="C7" i="32"/>
  <c r="K34" i="29"/>
  <c r="L34" i="29" s="1"/>
  <c r="I34" i="29"/>
  <c r="J34" i="29" s="1"/>
  <c r="H34" i="29"/>
  <c r="E34" i="29"/>
  <c r="K33" i="29"/>
  <c r="L33" i="29" s="1"/>
  <c r="I33" i="29"/>
  <c r="J33" i="29" s="1"/>
  <c r="H33" i="29"/>
  <c r="E33" i="29"/>
  <c r="K32" i="29"/>
  <c r="L32" i="29" s="1"/>
  <c r="I32" i="29"/>
  <c r="J32" i="29" s="1"/>
  <c r="H32" i="29"/>
  <c r="E32" i="29"/>
  <c r="K31" i="29"/>
  <c r="L31" i="29" s="1"/>
  <c r="I31" i="29"/>
  <c r="J31" i="29" s="1"/>
  <c r="H31" i="29"/>
  <c r="E31" i="29"/>
  <c r="K30" i="29"/>
  <c r="L30" i="29" s="1"/>
  <c r="I30" i="29"/>
  <c r="J30" i="29" s="1"/>
  <c r="H30" i="29"/>
  <c r="E30" i="29"/>
  <c r="K29" i="29"/>
  <c r="L29" i="29" s="1"/>
  <c r="I29" i="29"/>
  <c r="J29" i="29" s="1"/>
  <c r="H29" i="29"/>
  <c r="E29" i="29"/>
  <c r="K28" i="29"/>
  <c r="L28" i="29" s="1"/>
  <c r="I28" i="29"/>
  <c r="J28" i="29" s="1"/>
  <c r="H28" i="29"/>
  <c r="E28" i="29"/>
  <c r="K27" i="29"/>
  <c r="L27" i="29" s="1"/>
  <c r="I27" i="29"/>
  <c r="J27" i="29" s="1"/>
  <c r="H27" i="29"/>
  <c r="E27" i="29"/>
  <c r="K26" i="29"/>
  <c r="L26" i="29" s="1"/>
  <c r="I26" i="29"/>
  <c r="J26" i="29" s="1"/>
  <c r="H26" i="29"/>
  <c r="E26" i="29"/>
  <c r="K25" i="29"/>
  <c r="L25" i="29" s="1"/>
  <c r="I25" i="29"/>
  <c r="J25" i="29" s="1"/>
  <c r="H25" i="29"/>
  <c r="E25" i="29"/>
  <c r="K24" i="29"/>
  <c r="L24" i="29" s="1"/>
  <c r="I24" i="29"/>
  <c r="J24" i="29" s="1"/>
  <c r="H24" i="29"/>
  <c r="E24" i="29"/>
  <c r="K23" i="29"/>
  <c r="L23" i="29" s="1"/>
  <c r="I23" i="29"/>
  <c r="J23" i="29" s="1"/>
  <c r="H23" i="29"/>
  <c r="E23" i="29"/>
  <c r="K22" i="29"/>
  <c r="L22" i="29" s="1"/>
  <c r="I22" i="29"/>
  <c r="J22" i="29" s="1"/>
  <c r="H22" i="29"/>
  <c r="E22" i="29"/>
  <c r="K21" i="29"/>
  <c r="L21" i="29" s="1"/>
  <c r="I21" i="29"/>
  <c r="J21" i="29" s="1"/>
  <c r="H21" i="29"/>
  <c r="E21" i="29"/>
  <c r="K20" i="29"/>
  <c r="L20" i="29" s="1"/>
  <c r="I20" i="29"/>
  <c r="J20" i="29" s="1"/>
  <c r="H20" i="29"/>
  <c r="E20" i="29"/>
  <c r="K19" i="29"/>
  <c r="L19" i="29" s="1"/>
  <c r="I19" i="29"/>
  <c r="J19" i="29" s="1"/>
  <c r="H19" i="29"/>
  <c r="E19" i="29"/>
  <c r="K18" i="29"/>
  <c r="L18" i="29" s="1"/>
  <c r="I18" i="29"/>
  <c r="J18" i="29" s="1"/>
  <c r="H18" i="29"/>
  <c r="E18" i="29"/>
  <c r="K17" i="29"/>
  <c r="L17" i="29" s="1"/>
  <c r="I17" i="29"/>
  <c r="J17" i="29" s="1"/>
  <c r="H17" i="29"/>
  <c r="E17" i="29"/>
  <c r="K16" i="29"/>
  <c r="L16" i="29" s="1"/>
  <c r="I16" i="29"/>
  <c r="J16" i="29" s="1"/>
  <c r="H16" i="29"/>
  <c r="E16" i="29"/>
  <c r="K15" i="29"/>
  <c r="L15" i="29" s="1"/>
  <c r="I15" i="29"/>
  <c r="J15" i="29" s="1"/>
  <c r="H15" i="29"/>
  <c r="E15" i="29"/>
  <c r="K14" i="29"/>
  <c r="L14" i="29" s="1"/>
  <c r="I14" i="29"/>
  <c r="J14" i="29" s="1"/>
  <c r="H14" i="29"/>
  <c r="E14" i="29"/>
  <c r="K13" i="29"/>
  <c r="L13" i="29" s="1"/>
  <c r="I13" i="29"/>
  <c r="J13" i="29" s="1"/>
  <c r="H13" i="29"/>
  <c r="E13" i="29"/>
  <c r="K12" i="29"/>
  <c r="L12" i="29" s="1"/>
  <c r="I12" i="29"/>
  <c r="J12" i="29" s="1"/>
  <c r="H12" i="29"/>
  <c r="E12" i="29"/>
  <c r="K11" i="29"/>
  <c r="L11" i="29" s="1"/>
  <c r="I11" i="29"/>
  <c r="J11" i="29" s="1"/>
  <c r="H11" i="29"/>
  <c r="E11" i="29"/>
  <c r="K10" i="29"/>
  <c r="L10" i="29" s="1"/>
  <c r="I10" i="29"/>
  <c r="J10" i="29" s="1"/>
  <c r="H10" i="29"/>
  <c r="E10" i="29"/>
  <c r="G9" i="29"/>
  <c r="F9" i="29"/>
  <c r="D9" i="29"/>
  <c r="C9" i="29"/>
  <c r="H13" i="31"/>
  <c r="G13" i="31"/>
  <c r="F13" i="31"/>
  <c r="D13" i="31"/>
  <c r="H12" i="31"/>
  <c r="G12" i="31"/>
  <c r="F12" i="31"/>
  <c r="D12" i="31"/>
  <c r="H11" i="31"/>
  <c r="G11" i="31"/>
  <c r="F11" i="31"/>
  <c r="D11" i="31"/>
  <c r="E9" i="31"/>
  <c r="G9" i="31" s="1"/>
  <c r="H8" i="31"/>
  <c r="F8" i="31"/>
  <c r="D8" i="31"/>
  <c r="H7" i="31"/>
  <c r="G44" i="27"/>
  <c r="F44" i="27"/>
  <c r="D44" i="27"/>
  <c r="G43" i="27"/>
  <c r="F43" i="27"/>
  <c r="D43" i="27"/>
  <c r="G42" i="27"/>
  <c r="F42" i="27"/>
  <c r="D42" i="27"/>
  <c r="G41" i="27"/>
  <c r="F41" i="27"/>
  <c r="D41" i="27"/>
  <c r="G40" i="27"/>
  <c r="F40" i="27"/>
  <c r="D40" i="27"/>
  <c r="G39" i="27"/>
  <c r="F39" i="27"/>
  <c r="D39" i="27"/>
  <c r="G38" i="27"/>
  <c r="F38" i="27"/>
  <c r="D38" i="27"/>
  <c r="G37" i="27"/>
  <c r="F37" i="27"/>
  <c r="D37" i="27"/>
  <c r="F36" i="27"/>
  <c r="C36" i="27"/>
  <c r="G35" i="27"/>
  <c r="F35" i="27"/>
  <c r="D35" i="27"/>
  <c r="G34" i="27"/>
  <c r="F34" i="27"/>
  <c r="D34" i="27"/>
  <c r="G33" i="27"/>
  <c r="F33" i="27"/>
  <c r="D33" i="27"/>
  <c r="G32" i="27"/>
  <c r="F32" i="27"/>
  <c r="D32" i="27"/>
  <c r="G31" i="27"/>
  <c r="F31" i="27"/>
  <c r="D31" i="27"/>
  <c r="G30" i="27"/>
  <c r="F30" i="27"/>
  <c r="D30" i="27"/>
  <c r="G29" i="27"/>
  <c r="D29" i="27"/>
  <c r="G28" i="27"/>
  <c r="F28" i="27"/>
  <c r="D28" i="27"/>
  <c r="G27" i="27"/>
  <c r="F27" i="27"/>
  <c r="D27" i="27"/>
  <c r="D26" i="27"/>
  <c r="G25" i="27"/>
  <c r="F25" i="27"/>
  <c r="D25" i="27"/>
  <c r="G24" i="27"/>
  <c r="F24" i="27"/>
  <c r="D24" i="27"/>
  <c r="G23" i="27"/>
  <c r="F23" i="27"/>
  <c r="D23" i="27"/>
  <c r="G22" i="27"/>
  <c r="F22" i="27"/>
  <c r="D22" i="27"/>
  <c r="G21" i="27"/>
  <c r="F21" i="27"/>
  <c r="D21" i="27"/>
  <c r="G20" i="27"/>
  <c r="F20" i="27"/>
  <c r="D20" i="27"/>
  <c r="G19" i="27"/>
  <c r="D19" i="27"/>
  <c r="G18" i="27"/>
  <c r="F18" i="27"/>
  <c r="D18" i="27"/>
  <c r="G17" i="27"/>
  <c r="F17" i="27"/>
  <c r="D17" i="27"/>
  <c r="G16" i="27"/>
  <c r="F16" i="27"/>
  <c r="D16" i="27"/>
  <c r="G15" i="27"/>
  <c r="F15" i="27"/>
  <c r="D15" i="27"/>
  <c r="G14" i="27"/>
  <c r="F14" i="27"/>
  <c r="D14" i="27"/>
  <c r="G12" i="27"/>
  <c r="D12" i="27"/>
  <c r="G11" i="27"/>
  <c r="D11" i="27"/>
  <c r="E9" i="27"/>
  <c r="G7" i="27"/>
  <c r="G34" i="28"/>
  <c r="H34" i="28" s="1"/>
  <c r="G33" i="28"/>
  <c r="H33" i="28" s="1"/>
  <c r="G32" i="28"/>
  <c r="H32" i="28" s="1"/>
  <c r="G31" i="28"/>
  <c r="H31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10" i="28"/>
  <c r="H10" i="28" s="1"/>
  <c r="D9" i="28"/>
  <c r="C9" i="28"/>
  <c r="K17" i="6"/>
  <c r="J17" i="6"/>
  <c r="G17" i="6"/>
  <c r="F17" i="6"/>
  <c r="D17" i="6"/>
  <c r="K16" i="6"/>
  <c r="J16" i="6"/>
  <c r="G16" i="6"/>
  <c r="F16" i="6"/>
  <c r="D16" i="6"/>
  <c r="K15" i="6"/>
  <c r="J15" i="6"/>
  <c r="G15" i="6"/>
  <c r="F15" i="6"/>
  <c r="D15" i="6"/>
  <c r="K14" i="6"/>
  <c r="J14" i="6"/>
  <c r="G14" i="6"/>
  <c r="F14" i="6"/>
  <c r="D14" i="6"/>
  <c r="J13" i="6"/>
  <c r="G13" i="6"/>
  <c r="F13" i="6"/>
  <c r="D13" i="6"/>
  <c r="J12" i="6"/>
  <c r="G12" i="6"/>
  <c r="F12" i="6"/>
  <c r="D12" i="6"/>
  <c r="G10" i="6"/>
  <c r="F10" i="6"/>
  <c r="D10" i="6"/>
  <c r="J9" i="6"/>
  <c r="G9" i="6"/>
  <c r="F9" i="6"/>
  <c r="D9" i="6"/>
  <c r="G7" i="6"/>
  <c r="L32" i="2"/>
  <c r="K32" i="2"/>
  <c r="G32" i="2"/>
  <c r="F32" i="2"/>
  <c r="L31" i="2"/>
  <c r="K31" i="2"/>
  <c r="G31" i="2"/>
  <c r="F31" i="2"/>
  <c r="L30" i="2"/>
  <c r="K30" i="2"/>
  <c r="G30" i="2"/>
  <c r="F30" i="2"/>
  <c r="L29" i="2"/>
  <c r="K29" i="2"/>
  <c r="G29" i="2"/>
  <c r="F29" i="2"/>
  <c r="L28" i="2"/>
  <c r="K28" i="2"/>
  <c r="G28" i="2"/>
  <c r="F28" i="2"/>
  <c r="L27" i="2"/>
  <c r="K27" i="2"/>
  <c r="G27" i="2"/>
  <c r="F27" i="2"/>
  <c r="L26" i="2"/>
  <c r="K26" i="2"/>
  <c r="G26" i="2"/>
  <c r="F26" i="2"/>
  <c r="L25" i="2"/>
  <c r="K25" i="2"/>
  <c r="G25" i="2"/>
  <c r="F25" i="2"/>
  <c r="L24" i="2"/>
  <c r="K24" i="2"/>
  <c r="G24" i="2"/>
  <c r="F24" i="2"/>
  <c r="L23" i="2"/>
  <c r="K23" i="2"/>
  <c r="G23" i="2"/>
  <c r="F23" i="2"/>
  <c r="L22" i="2"/>
  <c r="K22" i="2"/>
  <c r="G22" i="2"/>
  <c r="F22" i="2"/>
  <c r="L21" i="2"/>
  <c r="K21" i="2"/>
  <c r="G21" i="2"/>
  <c r="F21" i="2"/>
  <c r="L20" i="2"/>
  <c r="K20" i="2"/>
  <c r="G20" i="2"/>
  <c r="F20" i="2"/>
  <c r="L19" i="2"/>
  <c r="K19" i="2"/>
  <c r="G19" i="2"/>
  <c r="F19" i="2"/>
  <c r="L18" i="2"/>
  <c r="K18" i="2"/>
  <c r="G18" i="2"/>
  <c r="F18" i="2"/>
  <c r="L17" i="2"/>
  <c r="K17" i="2"/>
  <c r="G17" i="2"/>
  <c r="F17" i="2"/>
  <c r="L16" i="2"/>
  <c r="K16" i="2"/>
  <c r="G16" i="2"/>
  <c r="F16" i="2"/>
  <c r="G15" i="2"/>
  <c r="F15" i="2"/>
  <c r="L14" i="2"/>
  <c r="G14" i="2"/>
  <c r="F14" i="2"/>
  <c r="L13" i="2"/>
  <c r="K13" i="2"/>
  <c r="G13" i="2"/>
  <c r="F13" i="2"/>
  <c r="L12" i="2"/>
  <c r="K12" i="2"/>
  <c r="G12" i="2"/>
  <c r="F12" i="2"/>
  <c r="L11" i="2"/>
  <c r="K11" i="2"/>
  <c r="G11" i="2"/>
  <c r="F11" i="2"/>
  <c r="L10" i="2"/>
  <c r="K10" i="2"/>
  <c r="G10" i="2"/>
  <c r="F10" i="2"/>
  <c r="L9" i="2"/>
  <c r="K9" i="2"/>
  <c r="G9" i="2"/>
  <c r="F9" i="2"/>
  <c r="G8" i="2"/>
  <c r="F8" i="2"/>
  <c r="E7" i="2"/>
  <c r="D7" i="2"/>
  <c r="AA9" i="43" l="1"/>
  <c r="F9" i="43" s="1"/>
  <c r="I11" i="40"/>
  <c r="K11" i="40" s="1"/>
  <c r="C10" i="40"/>
  <c r="R11" i="40" s="1"/>
  <c r="E57" i="42"/>
  <c r="E58" i="42"/>
  <c r="E10" i="42"/>
  <c r="E8" i="42"/>
  <c r="E7" i="42"/>
  <c r="E9" i="42"/>
  <c r="D60" i="42"/>
  <c r="O11" i="43"/>
  <c r="J33" i="37"/>
  <c r="J15" i="32"/>
  <c r="J11" i="32"/>
  <c r="J13" i="32"/>
  <c r="J16" i="32"/>
  <c r="J20" i="32"/>
  <c r="J22" i="32"/>
  <c r="J24" i="32"/>
  <c r="J26" i="32"/>
  <c r="J28" i="32"/>
  <c r="J30" i="32"/>
  <c r="J34" i="32"/>
  <c r="J18" i="32"/>
  <c r="J32" i="32"/>
  <c r="J14" i="32"/>
  <c r="J17" i="32"/>
  <c r="L31" i="32" s="1"/>
  <c r="J19" i="32"/>
  <c r="J21" i="32"/>
  <c r="L14" i="32" s="1"/>
  <c r="J23" i="32"/>
  <c r="J25" i="32"/>
  <c r="J27" i="32"/>
  <c r="J29" i="32"/>
  <c r="K21" i="32" s="1"/>
  <c r="J31" i="32"/>
  <c r="J33" i="32"/>
  <c r="J35" i="32"/>
  <c r="E8" i="27"/>
  <c r="F8" i="27" s="1"/>
  <c r="H17" i="6"/>
  <c r="K9" i="29"/>
  <c r="K11" i="32"/>
  <c r="L11" i="32"/>
  <c r="L35" i="32"/>
  <c r="L27" i="32"/>
  <c r="L23" i="32"/>
  <c r="L19" i="32"/>
  <c r="K35" i="32"/>
  <c r="K26" i="32"/>
  <c r="K18" i="32"/>
  <c r="K14" i="32"/>
  <c r="L34" i="32"/>
  <c r="L26" i="32"/>
  <c r="L22" i="32"/>
  <c r="L18" i="32"/>
  <c r="K34" i="32"/>
  <c r="K29" i="32"/>
  <c r="K25" i="32"/>
  <c r="K17" i="32"/>
  <c r="K13" i="32"/>
  <c r="K15" i="32"/>
  <c r="L33" i="32"/>
  <c r="L29" i="32"/>
  <c r="L25" i="32"/>
  <c r="L21" i="32"/>
  <c r="L17" i="32"/>
  <c r="L13" i="32"/>
  <c r="K33" i="32"/>
  <c r="K28" i="32"/>
  <c r="K24" i="32"/>
  <c r="K20" i="32"/>
  <c r="K16" i="32"/>
  <c r="K12" i="32"/>
  <c r="K32" i="32"/>
  <c r="L32" i="32"/>
  <c r="L28" i="32"/>
  <c r="L24" i="32"/>
  <c r="L20" i="32"/>
  <c r="L16" i="32"/>
  <c r="L12" i="32"/>
  <c r="K31" i="32"/>
  <c r="K27" i="32"/>
  <c r="K23" i="32"/>
  <c r="K19" i="32"/>
  <c r="G7" i="32"/>
  <c r="H7" i="32"/>
  <c r="I9" i="29"/>
  <c r="J9" i="29" s="1"/>
  <c r="F9" i="31"/>
  <c r="F7" i="31" s="1"/>
  <c r="G9" i="28"/>
  <c r="H9" i="28" s="1"/>
  <c r="N9" i="6"/>
  <c r="G7" i="2"/>
  <c r="J7" i="3"/>
  <c r="E37" i="42"/>
  <c r="E36" i="42"/>
  <c r="H18" i="41"/>
  <c r="E8" i="44"/>
  <c r="E58" i="44"/>
  <c r="T9" i="43"/>
  <c r="C45" i="39"/>
  <c r="D45" i="39" s="1"/>
  <c r="J30" i="37"/>
  <c r="E48" i="44"/>
  <c r="E50" i="44"/>
  <c r="E52" i="44"/>
  <c r="E53" i="44"/>
  <c r="E49" i="44"/>
  <c r="E45" i="44"/>
  <c r="E44" i="44"/>
  <c r="E40" i="44"/>
  <c r="E41" i="44"/>
  <c r="E39" i="44"/>
  <c r="E38" i="44"/>
  <c r="E36" i="44"/>
  <c r="E35" i="44"/>
  <c r="E29" i="44"/>
  <c r="E31" i="44"/>
  <c r="E32" i="44"/>
  <c r="E27" i="44"/>
  <c r="E25" i="44"/>
  <c r="E24" i="44"/>
  <c r="E19" i="44"/>
  <c r="E20" i="44"/>
  <c r="E21" i="44"/>
  <c r="E18" i="44"/>
  <c r="E16" i="44"/>
  <c r="E13" i="44"/>
  <c r="E12" i="44"/>
  <c r="E11" i="44"/>
  <c r="E15" i="44"/>
  <c r="E9" i="44"/>
  <c r="E7" i="44"/>
  <c r="E6" i="44"/>
  <c r="J17" i="43"/>
  <c r="N17" i="43" s="1"/>
  <c r="R17" i="43" s="1"/>
  <c r="J29" i="43"/>
  <c r="N29" i="43" s="1"/>
  <c r="R29" i="43" s="1"/>
  <c r="J13" i="43"/>
  <c r="N13" i="43" s="1"/>
  <c r="R13" i="43" s="1"/>
  <c r="J21" i="43"/>
  <c r="N21" i="43" s="1"/>
  <c r="R21" i="43" s="1"/>
  <c r="J25" i="43"/>
  <c r="N25" i="43" s="1"/>
  <c r="R25" i="43" s="1"/>
  <c r="J33" i="43"/>
  <c r="N33" i="43" s="1"/>
  <c r="R33" i="43" s="1"/>
  <c r="E49" i="42"/>
  <c r="E51" i="42"/>
  <c r="E52" i="42"/>
  <c r="E53" i="42"/>
  <c r="E50" i="42"/>
  <c r="E47" i="42"/>
  <c r="E45" i="42"/>
  <c r="E41" i="42"/>
  <c r="E40" i="42"/>
  <c r="E39" i="42"/>
  <c r="E43" i="42"/>
  <c r="E32" i="42"/>
  <c r="E31" i="42"/>
  <c r="E33" i="42"/>
  <c r="E27" i="42"/>
  <c r="E28" i="42"/>
  <c r="E25" i="42"/>
  <c r="E21" i="42"/>
  <c r="E20" i="42"/>
  <c r="E19" i="42"/>
  <c r="E23" i="42"/>
  <c r="E14" i="42"/>
  <c r="E12" i="42"/>
  <c r="E17" i="42"/>
  <c r="E16" i="42"/>
  <c r="E13" i="42"/>
  <c r="F19" i="41"/>
  <c r="E19" i="41"/>
  <c r="N10" i="40"/>
  <c r="K12" i="40"/>
  <c r="K15" i="40"/>
  <c r="K16" i="40"/>
  <c r="K19" i="40"/>
  <c r="K23" i="40"/>
  <c r="K26" i="40"/>
  <c r="K27" i="40"/>
  <c r="K31" i="40"/>
  <c r="K32" i="40"/>
  <c r="K35" i="40"/>
  <c r="M30" i="37"/>
  <c r="N30" i="37" s="1"/>
  <c r="H32" i="37"/>
  <c r="J31" i="37"/>
  <c r="M23" i="37"/>
  <c r="N23" i="37" s="1"/>
  <c r="J27" i="37"/>
  <c r="J32" i="37"/>
  <c r="J26" i="37"/>
  <c r="J29" i="37"/>
  <c r="J28" i="37"/>
  <c r="H31" i="37"/>
  <c r="H28" i="37"/>
  <c r="P28" i="37" s="1"/>
  <c r="H29" i="37"/>
  <c r="H33" i="37"/>
  <c r="H27" i="37"/>
  <c r="K23" i="37"/>
  <c r="L23" i="37" s="1"/>
  <c r="H30" i="37"/>
  <c r="F38" i="12"/>
  <c r="F39" i="12"/>
  <c r="F43" i="12"/>
  <c r="F42" i="12"/>
  <c r="F27" i="12"/>
  <c r="F25" i="12"/>
  <c r="G9" i="27"/>
  <c r="I22" i="40"/>
  <c r="K22" i="40" s="1"/>
  <c r="I28" i="40"/>
  <c r="K28" i="40" s="1"/>
  <c r="I14" i="40"/>
  <c r="K14" i="40" s="1"/>
  <c r="I30" i="40"/>
  <c r="K30" i="40" s="1"/>
  <c r="I18" i="40"/>
  <c r="K18" i="40" s="1"/>
  <c r="E12" i="40"/>
  <c r="I20" i="40"/>
  <c r="K20" i="40" s="1"/>
  <c r="I24" i="40"/>
  <c r="K24" i="40" s="1"/>
  <c r="I34" i="40"/>
  <c r="K34" i="40" s="1"/>
  <c r="E16" i="40"/>
  <c r="E26" i="40"/>
  <c r="E32" i="40"/>
  <c r="F41" i="12"/>
  <c r="F40" i="12"/>
  <c r="D39" i="12"/>
  <c r="D41" i="12"/>
  <c r="D43" i="12"/>
  <c r="D38" i="12"/>
  <c r="D40" i="12"/>
  <c r="D42" i="12"/>
  <c r="F24" i="12"/>
  <c r="F28" i="12"/>
  <c r="D24" i="12"/>
  <c r="D26" i="12"/>
  <c r="D28" i="12"/>
  <c r="D25" i="12"/>
  <c r="F11" i="12"/>
  <c r="F12" i="12"/>
  <c r="F9" i="12"/>
  <c r="F13" i="12"/>
  <c r="F10" i="12"/>
  <c r="D9" i="12"/>
  <c r="D11" i="12"/>
  <c r="D13" i="12"/>
  <c r="D10" i="12"/>
  <c r="D12" i="12"/>
  <c r="H9" i="29"/>
  <c r="L9" i="29"/>
  <c r="E9" i="29"/>
  <c r="H9" i="31"/>
  <c r="D9" i="31"/>
  <c r="D7" i="31" s="1"/>
  <c r="G36" i="27"/>
  <c r="D36" i="27"/>
  <c r="G26" i="27"/>
  <c r="D8" i="27"/>
  <c r="H9" i="6"/>
  <c r="H10" i="6"/>
  <c r="H12" i="6"/>
  <c r="H14" i="6"/>
  <c r="H16" i="6"/>
  <c r="H13" i="6"/>
  <c r="H15" i="6"/>
  <c r="E11" i="40"/>
  <c r="I13" i="40"/>
  <c r="K13" i="40" s="1"/>
  <c r="E15" i="40"/>
  <c r="I17" i="40"/>
  <c r="K17" i="40" s="1"/>
  <c r="E19" i="40"/>
  <c r="I21" i="40"/>
  <c r="K21" i="40" s="1"/>
  <c r="E23" i="40"/>
  <c r="I25" i="40"/>
  <c r="K25" i="40" s="1"/>
  <c r="E27" i="40"/>
  <c r="I29" i="40"/>
  <c r="K29" i="40" s="1"/>
  <c r="E31" i="40"/>
  <c r="I33" i="40"/>
  <c r="K33" i="40" s="1"/>
  <c r="E35" i="40"/>
  <c r="N8" i="2"/>
  <c r="O8" i="2"/>
  <c r="O9" i="2"/>
  <c r="N9" i="2"/>
  <c r="N10" i="2"/>
  <c r="O10" i="2"/>
  <c r="O11" i="2"/>
  <c r="N11" i="2"/>
  <c r="N12" i="2"/>
  <c r="O12" i="2"/>
  <c r="O13" i="2"/>
  <c r="N13" i="2"/>
  <c r="N14" i="2"/>
  <c r="O14" i="2"/>
  <c r="O15" i="2"/>
  <c r="N15" i="2"/>
  <c r="O16" i="2"/>
  <c r="N16" i="2"/>
  <c r="N17" i="2"/>
  <c r="O17" i="2"/>
  <c r="N18" i="2"/>
  <c r="O18" i="2"/>
  <c r="O19" i="2"/>
  <c r="N19" i="2"/>
  <c r="N20" i="2"/>
  <c r="O20" i="2"/>
  <c r="O21" i="2"/>
  <c r="N21" i="2"/>
  <c r="O22" i="2"/>
  <c r="N22" i="2"/>
  <c r="O23" i="2"/>
  <c r="N23" i="2"/>
  <c r="O24" i="2"/>
  <c r="N24" i="2"/>
  <c r="O25" i="2"/>
  <c r="N25" i="2"/>
  <c r="O26" i="2"/>
  <c r="N26" i="2"/>
  <c r="N27" i="2"/>
  <c r="O27" i="2"/>
  <c r="O28" i="2"/>
  <c r="N28" i="2"/>
  <c r="N29" i="2"/>
  <c r="O29" i="2"/>
  <c r="O30" i="2"/>
  <c r="N30" i="2"/>
  <c r="O31" i="2"/>
  <c r="N31" i="2"/>
  <c r="N32" i="2"/>
  <c r="O32" i="2"/>
  <c r="C7" i="46"/>
  <c r="J32" i="43"/>
  <c r="N32" i="43" s="1"/>
  <c r="R32" i="43" s="1"/>
  <c r="J27" i="43"/>
  <c r="N27" i="43" s="1"/>
  <c r="R27" i="43" s="1"/>
  <c r="O10" i="43"/>
  <c r="G9" i="43"/>
  <c r="I9" i="43"/>
  <c r="J11" i="43"/>
  <c r="N11" i="43" s="1"/>
  <c r="R11" i="43" s="1"/>
  <c r="J12" i="43"/>
  <c r="N12" i="43" s="1"/>
  <c r="R12" i="43" s="1"/>
  <c r="J15" i="43"/>
  <c r="N15" i="43" s="1"/>
  <c r="R15" i="43" s="1"/>
  <c r="J28" i="43"/>
  <c r="N28" i="43" s="1"/>
  <c r="R28" i="43" s="1"/>
  <c r="H9" i="43"/>
  <c r="J19" i="43"/>
  <c r="N19" i="43" s="1"/>
  <c r="R19" i="43" s="1"/>
  <c r="J20" i="43"/>
  <c r="N20" i="43" s="1"/>
  <c r="R20" i="43" s="1"/>
  <c r="J24" i="43"/>
  <c r="N24" i="43" s="1"/>
  <c r="R24" i="43" s="1"/>
  <c r="N31" i="43"/>
  <c r="R31" i="43" s="1"/>
  <c r="J16" i="43"/>
  <c r="N16" i="43" s="1"/>
  <c r="R16" i="43" s="1"/>
  <c r="J23" i="43"/>
  <c r="N23" i="43" s="1"/>
  <c r="R23" i="43" s="1"/>
  <c r="P14" i="43"/>
  <c r="L9" i="43"/>
  <c r="P9" i="43" s="1"/>
  <c r="M10" i="43"/>
  <c r="K17" i="43"/>
  <c r="O17" i="43" s="1"/>
  <c r="K25" i="43"/>
  <c r="O25" i="43" s="1"/>
  <c r="K33" i="43"/>
  <c r="O33" i="43" s="1"/>
  <c r="K13" i="43"/>
  <c r="O13" i="43" s="1"/>
  <c r="K21" i="43"/>
  <c r="O21" i="43" s="1"/>
  <c r="K29" i="43"/>
  <c r="O29" i="43" s="1"/>
  <c r="J10" i="43"/>
  <c r="N10" i="43" s="1"/>
  <c r="R10" i="43" s="1"/>
  <c r="J14" i="43"/>
  <c r="N14" i="43" s="1"/>
  <c r="R14" i="43" s="1"/>
  <c r="J18" i="43"/>
  <c r="N18" i="43" s="1"/>
  <c r="R18" i="43" s="1"/>
  <c r="J22" i="43"/>
  <c r="N22" i="43" s="1"/>
  <c r="R22" i="43" s="1"/>
  <c r="J26" i="43"/>
  <c r="N26" i="43" s="1"/>
  <c r="R26" i="43" s="1"/>
  <c r="J30" i="43"/>
  <c r="N30" i="43" s="1"/>
  <c r="R30" i="43" s="1"/>
  <c r="J34" i="43"/>
  <c r="N34" i="43" s="1"/>
  <c r="R34" i="43" s="1"/>
  <c r="K16" i="45" l="1"/>
  <c r="K15" i="45"/>
  <c r="E11" i="42"/>
  <c r="D61" i="42"/>
  <c r="E59" i="42" s="1"/>
  <c r="E6" i="42"/>
  <c r="N9" i="43"/>
  <c r="R9" i="43" s="1"/>
  <c r="K9" i="43"/>
  <c r="O9" i="43" s="1"/>
  <c r="G19" i="41"/>
  <c r="G39" i="12"/>
  <c r="K30" i="32"/>
  <c r="L30" i="32"/>
  <c r="K22" i="32"/>
  <c r="L15" i="32"/>
  <c r="F36" i="12"/>
  <c r="R13" i="40"/>
  <c r="I10" i="40"/>
  <c r="E28" i="44"/>
  <c r="E37" i="44"/>
  <c r="E17" i="44"/>
  <c r="E43" i="44"/>
  <c r="E54" i="44"/>
  <c r="E10" i="44"/>
  <c r="E33" i="44"/>
  <c r="E47" i="44"/>
  <c r="E5" i="44"/>
  <c r="E23" i="44"/>
  <c r="E34" i="42"/>
  <c r="E55" i="42"/>
  <c r="E44" i="42"/>
  <c r="E38" i="42"/>
  <c r="E29" i="42"/>
  <c r="E18" i="42"/>
  <c r="E24" i="42"/>
  <c r="E48" i="42"/>
  <c r="H19" i="41"/>
  <c r="D36" i="12"/>
  <c r="D22" i="12"/>
  <c r="D7" i="12"/>
  <c r="F22" i="12"/>
  <c r="F7" i="12"/>
  <c r="G8" i="27"/>
  <c r="E10" i="40"/>
  <c r="M9" i="43"/>
  <c r="Q9" i="43" s="1"/>
  <c r="Q10" i="43"/>
  <c r="R14" i="40" l="1"/>
  <c r="Q14" i="40"/>
  <c r="E59" i="44"/>
  <c r="E60" i="42"/>
  <c r="K10" i="40"/>
</calcChain>
</file>

<file path=xl/sharedStrings.xml><?xml version="1.0" encoding="utf-8"?>
<sst xmlns="http://schemas.openxmlformats.org/spreadsheetml/2006/main" count="1313" uniqueCount="549">
  <si>
    <t>osoby poprzednio pracujące</t>
  </si>
  <si>
    <t>w tym:</t>
  </si>
  <si>
    <t>osoby dotychczas nie pracujące</t>
  </si>
  <si>
    <t>Wyszczególnienie</t>
  </si>
  <si>
    <t>ogółem</t>
  </si>
  <si>
    <t>kobiety</t>
  </si>
  <si>
    <t>mężczyźni</t>
  </si>
  <si>
    <t>według wieku:</t>
  </si>
  <si>
    <t>25-34 lat</t>
  </si>
  <si>
    <t>35-44 lat</t>
  </si>
  <si>
    <t>45-54 lat</t>
  </si>
  <si>
    <t>55 lat i więcej</t>
  </si>
  <si>
    <t>według poziomu wykształcenia</t>
  </si>
  <si>
    <t>wyzsze</t>
  </si>
  <si>
    <t>policealne i średnie zawodowe</t>
  </si>
  <si>
    <t>średnie ogólnokształcace</t>
  </si>
  <si>
    <t>zasadnicze-zawodowe</t>
  </si>
  <si>
    <t>gimnazjalne, podstawowe i niepełne podstawowe</t>
  </si>
  <si>
    <t>www.stat.gov.pl, Bank Danych Lokalnych.</t>
  </si>
  <si>
    <t>zasiłki dla bezrobotnych</t>
  </si>
  <si>
    <t>inne</t>
  </si>
  <si>
    <t>prace interwencyjne</t>
  </si>
  <si>
    <t>roboty publiczne</t>
  </si>
  <si>
    <t>środki dla pracodawców na wyposażenie i doposażenie stanowisk pracy</t>
  </si>
  <si>
    <t>stypendia i składki na ubezpieczenia społeczne **</t>
  </si>
  <si>
    <t>Powiaty</t>
  </si>
  <si>
    <t>województwo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</si>
  <si>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</si>
  <si>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</si>
  <si>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</si>
  <si>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</si>
  <si>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</si>
  <si>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</si>
  <si>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</si>
  <si>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</si>
  <si>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</si>
  <si>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</si>
  <si>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</si>
  <si>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</si>
  <si>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</si>
  <si>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</si>
  <si>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</si>
  <si>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</si>
  <si>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</si>
  <si>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</si>
  <si>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</si>
  <si>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</si>
  <si>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</si>
  <si>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</si>
  <si>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</si>
  <si>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</si>
  <si>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</si>
  <si>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przy pracach interwencyjnych</t>
  </si>
  <si>
    <t>przy robotach publicznych</t>
  </si>
  <si>
    <t>bezrobotni skierowani na staż</t>
  </si>
  <si>
    <t>osoby zatrudnione</t>
  </si>
  <si>
    <t>bezrobotni, którzy rozpoczęli prace społecznie użyteczne</t>
  </si>
  <si>
    <t>bezrobotni, którzy podjęli działalność gospodarczą</t>
  </si>
  <si>
    <t>Razem</t>
  </si>
  <si>
    <t>pracy subsydiowanej</t>
  </si>
  <si>
    <t>z sektora publicznego</t>
  </si>
  <si>
    <t>w tym</t>
  </si>
  <si>
    <t>Ogółem</t>
  </si>
  <si>
    <t>18-24</t>
  </si>
  <si>
    <t>25-34</t>
  </si>
  <si>
    <t>35-44</t>
  </si>
  <si>
    <t>45-54</t>
  </si>
  <si>
    <t>55-59</t>
  </si>
  <si>
    <t>do 1 roku</t>
  </si>
  <si>
    <t>bez stażu pracy</t>
  </si>
  <si>
    <t>30 lat i więcej</t>
  </si>
  <si>
    <t>wliczbach bezwzgędnych</t>
  </si>
  <si>
    <t>w odsetkach</t>
  </si>
  <si>
    <t>w liczbach bezwzgędnych</t>
  </si>
  <si>
    <t>z tego w przedziałach wieku</t>
  </si>
  <si>
    <t>60 lat i więcej</t>
  </si>
  <si>
    <t>z tego z wykształceniem</t>
  </si>
  <si>
    <t>wyższym</t>
  </si>
  <si>
    <t>policealnym i średnim zawodowym</t>
  </si>
  <si>
    <t>średnim ogólnokształcącym</t>
  </si>
  <si>
    <t>zasadniczym zawodowym</t>
  </si>
  <si>
    <t>gimnazjalnym i poniżej</t>
  </si>
  <si>
    <t>od 1 do 5 lat</t>
  </si>
  <si>
    <t>od 5 do 10 lat</t>
  </si>
  <si>
    <t>od 10 do 20 lat</t>
  </si>
  <si>
    <t>od 20 do 30 lat</t>
  </si>
  <si>
    <t>w tym osoby, które podjęły pracę</t>
  </si>
  <si>
    <t>- po raz pierwszy</t>
  </si>
  <si>
    <t>- po raz kolejny  (od 1990 r.)</t>
  </si>
  <si>
    <t>- po pracach interwencyjnych</t>
  </si>
  <si>
    <t>- po robotach publicznych</t>
  </si>
  <si>
    <t>- po stażu</t>
  </si>
  <si>
    <t>- po szkoleniu</t>
  </si>
  <si>
    <t>- podjęcia pracy w ramach refundacji kosztów zatrudnienia bezrobotnego</t>
  </si>
  <si>
    <t>- rozpoczęcia szkolenia</t>
  </si>
  <si>
    <t>- rozpoczęcia stażu</t>
  </si>
  <si>
    <t>- rozpoczęcia przygotowania zawodowego dorosłych</t>
  </si>
  <si>
    <t>- rozpoczęcia pracy społecznie użytecznej</t>
  </si>
  <si>
    <t>- nabycia praw emerytalnych lub rentowych</t>
  </si>
  <si>
    <t>- nabycia uprawnień do świadczenia przedemerytalnego</t>
  </si>
  <si>
    <t>- po odbyciu przygotowania zawodowego dorosłych</t>
  </si>
  <si>
    <t>- podjęcia pracy poza miejscem zamieszkania w ramach bonu na zasiedlenie</t>
  </si>
  <si>
    <t>- odmowy ustalenia profilu pomocy</t>
  </si>
  <si>
    <t>- skierowania do agencji zatrudnienia w ramach zlecania działań aktywizacyjnych</t>
  </si>
  <si>
    <t>- dobrowolnej rezygnacji ze statusu bezrobotnego</t>
  </si>
  <si>
    <t>- podjęcia nauki</t>
  </si>
  <si>
    <t>- osiągnięcia wieku emerytalnego</t>
  </si>
  <si>
    <t>- innych</t>
  </si>
  <si>
    <t>---</t>
  </si>
  <si>
    <t>w tym kobiety</t>
  </si>
  <si>
    <t>od 31 do 50 roku życia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</si>
  <si>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</si>
  <si>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</si>
  <si>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</si>
  <si>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</si>
  <si>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</si>
  <si>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</si>
  <si>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</si>
  <si>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</si>
  <si>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</si>
  <si>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</si>
  <si>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</si>
  <si>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wzrost-spadek*</t>
  </si>
  <si>
    <t>kategorie</t>
  </si>
  <si>
    <t>w tym osoby zwolnione z przyczyn dotyczących zakładu pracy</t>
  </si>
  <si>
    <t>w liczbach</t>
  </si>
  <si>
    <t>bezrobotni ogółem</t>
  </si>
  <si>
    <t>liczba</t>
  </si>
  <si>
    <t>%</t>
  </si>
  <si>
    <t>powiaty</t>
  </si>
  <si>
    <t>wzrost/spadek</t>
  </si>
  <si>
    <t>LICZBA BEZROBOTNYCH</t>
  </si>
  <si>
    <t>STOPA BEZROBOCIA</t>
  </si>
  <si>
    <t>wzrost/spadek (liczba)</t>
  </si>
  <si>
    <t>*Bank Danych Loklanych www.stat.gov.pl</t>
  </si>
  <si>
    <t>nowo zarejestrowani bezrobotni "napływ"</t>
  </si>
  <si>
    <t xml:space="preserve">  z tego rejestrujący się:</t>
  </si>
  <si>
    <t xml:space="preserve">   w tym powracający do rejestracji:</t>
  </si>
  <si>
    <t>- po pracach społecznie użytecznych</t>
  </si>
  <si>
    <t>"napływ" bezrobotnych</t>
  </si>
  <si>
    <t>bezrobotni wyłączeni z rejestru "odpływ" (ogółem)</t>
  </si>
  <si>
    <t>wyłączeni z rejestru z utratą statusu bezrobotnych</t>
  </si>
  <si>
    <t>z powodu podjęcia pracy</t>
  </si>
  <si>
    <t>- pracy niesubsydiowanej</t>
  </si>
  <si>
    <t>- pracy subsydiowanej:</t>
  </si>
  <si>
    <t xml:space="preserve">   pracy subsydiowanej z tytułu:</t>
  </si>
  <si>
    <t>-  prac interwencyjnych</t>
  </si>
  <si>
    <t>-  robót publicznych</t>
  </si>
  <si>
    <t>-  otrzymania dotacji na uruchomienie działalności gospodarczej</t>
  </si>
  <si>
    <t>w tym bonu na zasiedlenie</t>
  </si>
  <si>
    <t>- podjęcia pracy w ramach bonu zatrudnieniowego</t>
  </si>
  <si>
    <t>- podjęcia pracy w ramach świadczenia aktywizacyjnego</t>
  </si>
  <si>
    <t>- podjęcia pracy w ramach grantu na telepracę</t>
  </si>
  <si>
    <t>- podjęcia pracy w ramach refundacji składek na ubezpieczenia społeczne</t>
  </si>
  <si>
    <t>- podjęcia pracy w ramach dofinansowania wynagrodzenia za zatrudnienie skierowanego bezrobotnego powyżej 50 roku życia</t>
  </si>
  <si>
    <t xml:space="preserve"> z innego powodu niż podjęcie pracy</t>
  </si>
  <si>
    <t>- odmowy bez uzasadnionej przyczyny przyjęcia propozycji odpowiedniej pracy lub innej formy pomocy, w tym w ramach Programu Aktywizacja i Integracja</t>
  </si>
  <si>
    <t>- nie potwierdzenia gotowości do pracy</t>
  </si>
  <si>
    <t>wyłączeni z rejestru bez utraty statusu bezrobtnych</t>
  </si>
  <si>
    <t>w tym w ramach bonu szkoleniowego</t>
  </si>
  <si>
    <t>w tym w ramach bonu stażowego</t>
  </si>
  <si>
    <t>w tym w ramach Programu Aktywizacja i Integracja</t>
  </si>
  <si>
    <t xml:space="preserve"> - inne (podjęcia pracy subsydiowanej)</t>
  </si>
  <si>
    <t>Kategorie</t>
  </si>
  <si>
    <t>z ogółu bezrobotnych, którzy podjęli pracę</t>
  </si>
  <si>
    <t>poprzednio pracujący (ogółem)</t>
  </si>
  <si>
    <t>w tym zwolnieni z przyczyn dotyczących zakładu pracy</t>
  </si>
  <si>
    <t>poprzednio pracujący</t>
  </si>
  <si>
    <t>"odpływ" bezrobotnych, w tym osoby, które podjęły pracę</t>
  </si>
  <si>
    <t>wyszczególnienie</t>
  </si>
  <si>
    <t>bezrobotni posiadający prawo do zasiłku w podziale na powiaty</t>
  </si>
  <si>
    <t>wzrost/spadek
(liczba)</t>
  </si>
  <si>
    <t xml:space="preserve">                Stan w końcu okresu</t>
  </si>
  <si>
    <t>z tego wg stażu:</t>
  </si>
  <si>
    <t>w tym bezrobotni posiadający gospodarstwo rolne</t>
  </si>
  <si>
    <t>wzrost/spadek liczba</t>
  </si>
  <si>
    <t>Bezrobotni zamieszkali na wsi w podziale na powiaty</t>
  </si>
  <si>
    <t>bezrobotni długotrwale*</t>
  </si>
  <si>
    <t>do 30 roku życia*</t>
  </si>
  <si>
    <t>powyżej 50 roku życia**</t>
  </si>
  <si>
    <t>* Bezrobotny do 30 roku życia – do dnia zastosowania wobec niego usług lub instrumentów rynku pracy nie ukończył 30 roku życia.</t>
  </si>
  <si>
    <t>** Bezrobotny powyżej 50 roku życia – w dniu zastosowania wobec niego usług lub instrumentów rynku pracy ukończył co najmniej 50 rok życia.</t>
  </si>
  <si>
    <t>grupy zawodów</t>
  </si>
  <si>
    <t>A</t>
  </si>
  <si>
    <t>B</t>
  </si>
  <si>
    <t>AB</t>
  </si>
  <si>
    <t>razem</t>
  </si>
  <si>
    <t>wzrost/spadek w %</t>
  </si>
  <si>
    <t>w mln zł</t>
  </si>
  <si>
    <t>środki na podjęcie działalności gospodarczej</t>
  </si>
  <si>
    <t>* Kategoria ta zawiera koszty należne instytucjom szkoleniowym, koszty egzaminów, licencji bez stypendiów i składek na ubezpieczenie społeczne.</t>
  </si>
  <si>
    <t>PRZEDSTAWICIELE WŁADZ PUBLICZNYCH, WYŻSI URZĘDNICY I KIEROWNICY</t>
  </si>
  <si>
    <t>SPECJALIŚCI</t>
  </si>
  <si>
    <t>TECHNICY I INNY ŚREDNI PERSONEL</t>
  </si>
  <si>
    <t>PRACOWNICY BIUROWI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</si>
  <si>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</si>
  <si>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</si>
  <si>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</si>
  <si>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</si>
  <si>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PRACOWNICY WYKONUJĄCY PRACE PROSTE</t>
  </si>
  <si>
    <t>bezrobotni bez zawodu</t>
  </si>
  <si>
    <t>bezrobotni z zawodem</t>
  </si>
  <si>
    <t>kody zawodów (wg KZiS)</t>
  </si>
  <si>
    <t>Kierownicy do spraw zarządzania i handlu</t>
  </si>
  <si>
    <t>Kierownicy do spraw produkcji i usług</t>
  </si>
  <si>
    <t>Kierownicy w branży hotelarskiej, handlu i innych branżach usługowych</t>
  </si>
  <si>
    <t>SIŁY ZBROJNE</t>
  </si>
  <si>
    <t>BEZROBOTNI Z ZAWODEM</t>
  </si>
  <si>
    <t>Specjaliści nauk fizycznych, matematycznych i technicznych</t>
  </si>
  <si>
    <t>Specjaliści do spraw zdrowia</t>
  </si>
  <si>
    <t>Specjaliści nauczania i wychowania</t>
  </si>
  <si>
    <t>Specjaliści do spraw ekonomicznych i zarządzania</t>
  </si>
  <si>
    <t>Specjaliści do spraw technologii informacyjno-komunikacyjnych</t>
  </si>
  <si>
    <t>Specjaliści z dziedziny prawa, dziedzin społecznych i kultury</t>
  </si>
  <si>
    <t>Średni personel nauk fizycznych, chemicznych i technicznych</t>
  </si>
  <si>
    <t>Średni personel do spraw zdrowia</t>
  </si>
  <si>
    <t>Średni personel do spraw biznesu i administracji</t>
  </si>
  <si>
    <t>Średni personel z dziedziny prawa, spraw społecznych, kultury i pokrewny</t>
  </si>
  <si>
    <t>Technicy informatycy</t>
  </si>
  <si>
    <t>Sekretarki, operatorzy urządzeń biurowych i pokrewni</t>
  </si>
  <si>
    <t>Pracownicy obsługi klienta</t>
  </si>
  <si>
    <t>Pracownicy do spraw finansowo-statystycznych i ewidencji materiałowej</t>
  </si>
  <si>
    <t>Pozostali pracownicy obsługi biura</t>
  </si>
  <si>
    <t>Pracownicy usług osobistych</t>
  </si>
  <si>
    <t>Sprzedawcy i pokrewni</t>
  </si>
  <si>
    <t>Pracownicy opieki osobistej i pokrewni</t>
  </si>
  <si>
    <t>Pracownicy usług ochrony</t>
  </si>
  <si>
    <t>Rolnicy produkcji towarowej</t>
  </si>
  <si>
    <t>Leśnicy i rybacy</t>
  </si>
  <si>
    <t>Rolnicy i rybacy pracujący na własne potrzeby</t>
  </si>
  <si>
    <t>Robotnicy budowlani i pokrewni (z wyłączeniem elektryków)</t>
  </si>
  <si>
    <t>Robotnicy obróbki metali, mechanicy maszyn i urządzeń i pokrewni</t>
  </si>
  <si>
    <t>Rzemieślnicy i robotnicy poligraficzni</t>
  </si>
  <si>
    <t>Elektrycy i elektronicy</t>
  </si>
  <si>
    <t>Robotnicy w przetwórstwie spożywczym, obróbce drewna, produkcji wyrobów tekstylnych i pokrewni</t>
  </si>
  <si>
    <t>Operatorzy maszyn i urządzeń wydobywczych i przetwórczych</t>
  </si>
  <si>
    <t>Monterzy</t>
  </si>
  <si>
    <t>Kierowcy i operatorzy pojazdów</t>
  </si>
  <si>
    <t>Pomoce domowe i sprzątaczki</t>
  </si>
  <si>
    <t>Robotnicy wykonujący prace proste w rolnictwie, leśnictwie, leśnictwie i rybactwie</t>
  </si>
  <si>
    <t>Robotnicy wykonujący prace proste w górnictwie, przemyśle, budownictwie i transporcie</t>
  </si>
  <si>
    <t>Pracownicy wykonujący prace proste związane z przygotowywaniem posiłków</t>
  </si>
  <si>
    <t>Sprzedawcy uliczni i pracownicy świadczący usługi na ulicach</t>
  </si>
  <si>
    <t>Ładowacze nieczystości i inni pracownicy wykonujący prace proste</t>
  </si>
  <si>
    <t>Oficerowie sił zbrojnych</t>
  </si>
  <si>
    <t>Podoficerowie sił zbrojnych</t>
  </si>
  <si>
    <t>Żołnierze szeregowi</t>
  </si>
  <si>
    <t>PRZEDSTAWICIELE WŁADZ PUBLICZNYCH, WYŻSI URZĘDNICY I KIEROWNICY*</t>
  </si>
  <si>
    <t>Przedstawiciele władz publicznych, wyżsi urzędnicy i dyrektorzy generalni**</t>
  </si>
  <si>
    <t>BEZROBOTNI BEZ ZAWODU***</t>
  </si>
  <si>
    <t>** Wartości procentowe odpowiadające grupom dwucyfrowym obliczono dla danej grupy jednocyfrowej (GJ=100%).</t>
  </si>
  <si>
    <t>*** Odsetek dla bezrobotnych bez zawodu w stosunku do "ogłóem" (A+B=100%).</t>
  </si>
  <si>
    <t>%*</t>
  </si>
  <si>
    <t>OFERTY BEZ ZAWODU***</t>
  </si>
  <si>
    <t>OFERTY Z ZAWODEM</t>
  </si>
  <si>
    <t>bezrobotni w szczególnej sytuacji na rynku pracy</t>
  </si>
  <si>
    <t>do 25 roku życia</t>
  </si>
  <si>
    <t xml:space="preserve">   do 30 roku życia</t>
  </si>
  <si>
    <t xml:space="preserve">   długotrwale bezrobotni</t>
  </si>
  <si>
    <t xml:space="preserve">   powyżej 50 roku życia</t>
  </si>
  <si>
    <t xml:space="preserve">   korzystający ze świadczeń pomocy społecznej</t>
  </si>
  <si>
    <t xml:space="preserve">   posiadający co najmniej jedno dziecko do 6 roku życia</t>
  </si>
  <si>
    <t xml:space="preserve">   posiadający co najmniej jedno dziecko niepełnosprawne do 18 roku życia</t>
  </si>
  <si>
    <t xml:space="preserve">  niepełnosprawni</t>
  </si>
  <si>
    <t>bezrobotni wg wieku</t>
  </si>
  <si>
    <t xml:space="preserve">*Bezrobotny długotrwale – pozostający w rejestrze powiatowego urzędu pracy łącznie przez okres ponad 12 miesięcy </t>
  </si>
  <si>
    <t xml:space="preserve">ogółem </t>
  </si>
  <si>
    <t xml:space="preserve">                                                  w okresie ostatnich 2 lat, z wyłączeniem okresów odbywania stażu</t>
  </si>
  <si>
    <t xml:space="preserve">                                                  i przygotowania zawodowego dorosłych.</t>
  </si>
  <si>
    <t xml:space="preserve">* W jednocyfrowych grupach zawodów, odsetek w stosunku do liczby bezrobotnych ogółem z zawodem (B=100%). </t>
  </si>
  <si>
    <t xml:space="preserve">* W jednocyfrowych grupach zawodów, odsetek w stosunku do liczby ofert ogółem z zawodem (B=100%). </t>
  </si>
  <si>
    <t>Pracownicy (ogółem)</t>
  </si>
  <si>
    <t xml:space="preserve"> z zakładów sektora prywatnego</t>
  </si>
  <si>
    <t>z zakładów  sektora publicznego</t>
  </si>
  <si>
    <r>
      <t xml:space="preserve">Polska </t>
    </r>
    <r>
      <rPr>
        <b/>
        <vertAlign val="superscript"/>
        <sz val="14"/>
        <color theme="1"/>
        <rFont val="Times New Roman"/>
        <family val="1"/>
        <charset val="238"/>
      </rPr>
      <t>1</t>
    </r>
  </si>
  <si>
    <t xml:space="preserve"> z aktywnych form:</t>
  </si>
  <si>
    <t>* Ostatni z opisywanych kwartałów do poprzedniego. Wzrost lub spadek w pkt. proc.</t>
  </si>
  <si>
    <t>Tabela II.     BEZROBOTNI W PUP ORAZ STOPA BEZROBOCIA WG POWIATÓW</t>
  </si>
  <si>
    <t>Tabela IX. BEZROBOTNI WEDŁUG WIEKU</t>
  </si>
  <si>
    <t>Tabela X. BEZROBOTNI WEDŁUG WYKSZTAŁCENIA</t>
  </si>
  <si>
    <t>Tabela XI. BEZROBOTNI WEDŁUG STAŻU PRACY</t>
  </si>
  <si>
    <t xml:space="preserve">                       PRZEZ PRACODAWCÓW DO PUP </t>
  </si>
  <si>
    <t xml:space="preserve">                 Stan w końcu okresu</t>
  </si>
  <si>
    <t>Tabela VIII.    BEZROBOTNI POSIADAJĄCY PRAWO DO ZASIŁKU</t>
  </si>
  <si>
    <t>Tabela VII.   "ODPŁYW" BEZROBOTNYCH W POWIATACH</t>
  </si>
  <si>
    <t>Tabela VI.   BEZROBOTNI, KTÓRZY PODJĘLI PRACĘ</t>
  </si>
  <si>
    <t xml:space="preserve">Tabela V.  BEZROBOTNI WYŁĄCZENI Z REJESTRU "ODPŁYW" </t>
  </si>
  <si>
    <t>Tabela IV.   "NAPŁYW" BEZROBOTNYCH W POWIATACH</t>
  </si>
  <si>
    <t>Tabela III.   BEZROBOTNI ZAREJESTROWANI "NAPŁYW"</t>
  </si>
  <si>
    <t xml:space="preserve">                   Stan w końcu okresu</t>
  </si>
  <si>
    <t>Tabela I.     STAN I STRUKTURA OSÓB BEZROBOTNYCH ZAREJESTROWANYCH W PUP</t>
  </si>
  <si>
    <t xml:space="preserve">                  Stan w końcu okresu, województwo podkarpackie</t>
  </si>
  <si>
    <t>*** Odsetek dla ofert bez zawodu w stosunku do "ogółem" (A+B=100%).</t>
  </si>
  <si>
    <t xml:space="preserve">% </t>
  </si>
  <si>
    <t>** Kategoria ta zawiera stypendia dla uczestników i składki na ubezpieczenie społeczne za okres stażu, przygotowania zawodowego dorosłych</t>
  </si>
  <si>
    <t xml:space="preserve">      realizacji studiów podyplomowych i szkolenia oraz stypendia i składki na ubezpieczenia społeczne za okres kontynuowania nauki. </t>
  </si>
  <si>
    <t>wzrost/spadek ogółem</t>
  </si>
  <si>
    <t>16</t>
  </si>
  <si>
    <t>Wartości dla Polski 2013 r. na podstawie "Monitoring Rynku Pracy. Informacja Kwartalna o aktywności ekonomicznej ludności" GUS Departament Rynku Pracy str. 6.</t>
  </si>
  <si>
    <t>zgłoszenia</t>
  </si>
  <si>
    <t>zwolnienia</t>
  </si>
  <si>
    <t>Ip '18</t>
  </si>
  <si>
    <t xml:space="preserve">                      Stan w końcu okresu, województwo podkarpackie</t>
  </si>
  <si>
    <t>ROK</t>
  </si>
  <si>
    <t>17</t>
  </si>
  <si>
    <t>Wskaźnik zatrudnienia oblicza się jako udział osób pracujących w liczbie ludności ( 15 lat i więcej) ogółem lub dla danej grupy.</t>
  </si>
  <si>
    <t>15-24 lat</t>
  </si>
  <si>
    <t>województwo podkarpackie</t>
  </si>
  <si>
    <t>za IV kwartał według poszczególnych lat. Publikacja sygnalna, Urząd Statystyczny w Rzeszowie.</t>
  </si>
  <si>
    <t>Opracowano na podstawie danych zawartych w "Aktywności ekonomicznej ludności w województwie podkarpackim" -</t>
  </si>
  <si>
    <t>I półrocze</t>
  </si>
  <si>
    <t>m. Krosno</t>
  </si>
  <si>
    <t>m. Przemyśl</t>
  </si>
  <si>
    <t>m. Rzeszów</t>
  </si>
  <si>
    <t>m. Tarnobrzeg</t>
  </si>
  <si>
    <t>Rolnictwo, leśnictwo, łowiectwo i rybactwo</t>
  </si>
  <si>
    <t>Górnictwo i wydobywanie</t>
  </si>
  <si>
    <t>Przetwórstwo przemysłowe</t>
  </si>
  <si>
    <t>Wytwarzanie i zaopatrywanie w energię elektryczną, gaz, parę wodną, gorącą wodę i powietrze do układów klimatyzacyjnych</t>
  </si>
  <si>
    <t>Dostawa wody, gospodarowanie ściekami i odpadami oraz działalność związana z rekultywacją</t>
  </si>
  <si>
    <t>Budownictwo</t>
  </si>
  <si>
    <t>Handel hurtowy i detaliczny; naprawa pojazdów samochodowych, włączając motocykle</t>
  </si>
  <si>
    <t>Działalność związana z zakwaterowaniem i usługami gastronomicznymi</t>
  </si>
  <si>
    <t>Transport i gospodarka magazynowa</t>
  </si>
  <si>
    <t>Informacja i komunikacja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</si>
  <si>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</si>
  <si>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</si>
  <si>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</si>
  <si>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narodowa; obowiązkowe zabezpieczenia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</si>
  <si>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</si>
  <si>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</si>
  <si>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</si>
  <si>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</si>
  <si>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>Gospodarstwa domowe zatrudniające pracowników; gospodarstwa domowe produkujące wyroby i świadczące usługi na własne potrzeby</t>
  </si>
  <si>
    <t>Działalność niezidentyfikowana</t>
  </si>
  <si>
    <t>O</t>
  </si>
  <si>
    <t xml:space="preserve">z ogółem sekcje PKD: </t>
  </si>
  <si>
    <t>Działalność finansowa i ubezpieczeniowa</t>
  </si>
  <si>
    <t>wzrost/spadek w proc.</t>
  </si>
  <si>
    <t>dynamika</t>
  </si>
  <si>
    <t>II p subsydia</t>
  </si>
  <si>
    <t>średnia liczba osób bezrobotnych na 1 ofertę pracy w roku</t>
  </si>
  <si>
    <t>średnia liczba osób bezrobotnych na 1 ofertę pracy w półroczu</t>
  </si>
  <si>
    <t>wzrost/spadek (w %)</t>
  </si>
  <si>
    <t>Aktywne formy promocji zatrudnienia zawierają również pozostałe aktywne formy.</t>
  </si>
  <si>
    <t>Ip '19</t>
  </si>
  <si>
    <t>18</t>
  </si>
  <si>
    <t>W tablicy XXVIII zostały wykorzystane również dane opublikowane na stronie internetowej GUS.</t>
  </si>
  <si>
    <t>bezrobotni (ogółem)</t>
  </si>
  <si>
    <t>posiadający prawo do zasiłku ogółem - województwo</t>
  </si>
  <si>
    <t>Ip '07</t>
  </si>
  <si>
    <t>Ip '08</t>
  </si>
  <si>
    <t>Ip '09</t>
  </si>
  <si>
    <t>Ip '10</t>
  </si>
  <si>
    <t>Ip '11</t>
  </si>
  <si>
    <t>Ip '12</t>
  </si>
  <si>
    <t>Ip '13</t>
  </si>
  <si>
    <t>Ip '14</t>
  </si>
  <si>
    <t>Ip '15</t>
  </si>
  <si>
    <t>Ip '16</t>
  </si>
  <si>
    <t>Ip '17</t>
  </si>
  <si>
    <t>I półrocza</t>
  </si>
  <si>
    <t>Ip. '98</t>
  </si>
  <si>
    <t>Ip. '99</t>
  </si>
  <si>
    <t>Ip. '00</t>
  </si>
  <si>
    <t>Ip. '01</t>
  </si>
  <si>
    <t>Ip. '02</t>
  </si>
  <si>
    <t>Ip. '03</t>
  </si>
  <si>
    <t>Ip. '04</t>
  </si>
  <si>
    <t>Ip. '05</t>
  </si>
  <si>
    <t>Ip. '06</t>
  </si>
  <si>
    <t>Ip. '07</t>
  </si>
  <si>
    <t>Ip. '08</t>
  </si>
  <si>
    <t>Ip. '09</t>
  </si>
  <si>
    <t>Ip. '10</t>
  </si>
  <si>
    <t>Ip. '11</t>
  </si>
  <si>
    <t>Ip. '12</t>
  </si>
  <si>
    <t>Ip. '13</t>
  </si>
  <si>
    <t>Ip. '14</t>
  </si>
  <si>
    <t>Ip. '15</t>
  </si>
  <si>
    <t>Ip. '16</t>
  </si>
  <si>
    <t>Ip. '17</t>
  </si>
  <si>
    <t>Ip. '18</t>
  </si>
  <si>
    <t>Ip. '19</t>
  </si>
  <si>
    <t>rok</t>
  </si>
  <si>
    <t>oferty og. w roku</t>
  </si>
  <si>
    <t>w tym subs. w roku</t>
  </si>
  <si>
    <t xml:space="preserve">                  w okresach sprawozdawczych, województwo podkarpackie</t>
  </si>
  <si>
    <t xml:space="preserve">                    w okresach sprawozdawczych, województwo podkarpackie</t>
  </si>
  <si>
    <t xml:space="preserve">                w okresie sprawozdawczym, województwo podkarpackie</t>
  </si>
  <si>
    <t xml:space="preserve">                   w okresie sprawozdawczym, województwo podkarpackie</t>
  </si>
  <si>
    <t xml:space="preserve">                     w okresie sprawozdawczym, województwo podkarpackie</t>
  </si>
  <si>
    <t xml:space="preserve">                     Stan w końcu okresu, województwo podkarpackie</t>
  </si>
  <si>
    <t xml:space="preserve">                   stan w końcu okresu, województwo podkarpackie</t>
  </si>
  <si>
    <t xml:space="preserve">                     stan w końcu okresu, województwo podkarpackie</t>
  </si>
  <si>
    <t xml:space="preserve">                  stan w końcu okresu, województwo podkarpackie</t>
  </si>
  <si>
    <t xml:space="preserve">                       w okresie sprawozdawczym, województwo podkarpackie</t>
  </si>
  <si>
    <t xml:space="preserve">                         w okresie sprawozdawczym, województwo podkarpackie</t>
  </si>
  <si>
    <t xml:space="preserve">                         przez pracodawców do PUP,</t>
  </si>
  <si>
    <t xml:space="preserve">                           w okresie sprawozdawczym, województwo podkarpackie</t>
  </si>
  <si>
    <t xml:space="preserve">                         w okresie sprawozdawczym, województwo podkarpackie, aktywne i pasywne formy promocji zatrudnieia</t>
  </si>
  <si>
    <t xml:space="preserve">                           w okresie sprawozdawczym</t>
  </si>
  <si>
    <t xml:space="preserve">                              w IV kwartale danego roku</t>
  </si>
  <si>
    <t>lokata max</t>
  </si>
  <si>
    <t>lokata min</t>
  </si>
  <si>
    <t>lokata max sp.</t>
  </si>
  <si>
    <t>lokata min sp.</t>
  </si>
  <si>
    <t>do 30</t>
  </si>
  <si>
    <t>31-50</t>
  </si>
  <si>
    <t>pow.50</t>
  </si>
  <si>
    <t xml:space="preserve">wzrost/spadek </t>
  </si>
  <si>
    <t>(w proc.)</t>
  </si>
  <si>
    <t>do 30 roku życia</t>
  </si>
  <si>
    <t>do 50 roku życia</t>
  </si>
  <si>
    <t xml:space="preserve">                          I MIEJSC AKTYWIZACJI ZAWODOWEJ ZGŁOSZONYCH PRZEZ PRACODAWCÓW DO PUP</t>
  </si>
  <si>
    <t>spadek wynikający z konieczności wypłaty zasiłków</t>
  </si>
  <si>
    <t>1999=100%</t>
  </si>
  <si>
    <t>1999 r. dot. pracy stałej</t>
  </si>
  <si>
    <t>Zwyżki</t>
  </si>
  <si>
    <t>2014-2017</t>
  </si>
  <si>
    <t>subsydia w Ip. danego roku</t>
  </si>
  <si>
    <t>oferty og. w Ip. danego roku</t>
  </si>
  <si>
    <t>----</t>
  </si>
  <si>
    <t>pozostałe aktywne formy ***</t>
  </si>
  <si>
    <t>**** Środki wydatkowane przez Powiatowe Urzędy Pracy w województwie podkarpackim, w ramach ustawy o szczególnych rozwiązaniach</t>
  </si>
  <si>
    <t>Tabela zawiera również informację o części środków wydatkowanych przez państwo polskie w ramach Funduszu Pracy</t>
  </si>
  <si>
    <t>Formy aktywne i zasiłki dla bezrobotnych oraz COVID-19  i  kategoria "inne" sumują się do ogółem wydatków realizowanych z FP.</t>
  </si>
  <si>
    <t xml:space="preserve">      związanych z zapobieganiem, przeciwdziałaniem i zwalczaniem COVID-19,  innych chorób zakaźnych oraz wywołanych nimi</t>
  </si>
  <si>
    <t xml:space="preserve">      sytuacji kryzysowych. Nie zawierają części pomocy państwowej, wydatkowanej przez Fundusz Gwarantowanych Świadczeń Pracowniczych.</t>
  </si>
  <si>
    <t>na przeciwdziałanie SARS-CoV-2 w województwie podkarpackim.  Część środków wydatkowanych w ramach FGŚP</t>
  </si>
  <si>
    <t>działań FGŚP w województwie podkarpackim.</t>
  </si>
  <si>
    <t xml:space="preserve"> (Funduszu Gwarantowanych Świadczeń Pracowniczych) zawiera odpowiedni rozdział analizy w części dotyczącej</t>
  </si>
  <si>
    <r>
      <rPr>
        <vertAlign val="superscript"/>
        <sz val="11"/>
        <color theme="1"/>
        <rFont val="Arial"/>
        <family val="2"/>
        <charset val="238"/>
      </rPr>
      <t>1</t>
    </r>
    <r>
      <rPr>
        <sz val="11"/>
        <color theme="1"/>
        <rFont val="Arial"/>
        <family val="2"/>
        <charset val="238"/>
      </rPr>
      <t xml:space="preserve"> Wydatki na formy wsparcia zatrudnienia (ogółem) są obliczane razem z wydatkami poniesionymi w ramach COVID-19.</t>
    </r>
  </si>
  <si>
    <t>w stosunku do okresów wcześniejszych i posiadają zakres ścisle odpowiadający przepisom ustawy o promocji zatrudnienia i instytucjach rynu pracy.</t>
  </si>
  <si>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Wydatki na aktywne formy promocji zatrudnienia zostasły obliczone bez wydatków w ramach COVID-19. Zachowują możliwość porównania</t>
    </r>
  </si>
  <si>
    <t>*** Kategoria ta od 2016 r. zawiera refundację wynagrodzeń osobom w wieku do 30 roku życia.</t>
  </si>
  <si>
    <r>
      <t xml:space="preserve">formy wsparcia zatrudnienia (ogółem) </t>
    </r>
    <r>
      <rPr>
        <b/>
        <vertAlign val="superscript"/>
        <sz val="16"/>
        <color theme="1"/>
        <rFont val="Times New Roman"/>
        <family val="1"/>
        <charset val="238"/>
      </rPr>
      <t>1</t>
    </r>
  </si>
  <si>
    <r>
      <t xml:space="preserve">aktywne formy promocji zatrudnienia </t>
    </r>
    <r>
      <rPr>
        <b/>
        <vertAlign val="superscript"/>
        <sz val="16"/>
        <color theme="1"/>
        <rFont val="Times New Roman"/>
        <family val="1"/>
        <charset val="238"/>
      </rPr>
      <t>2</t>
    </r>
  </si>
  <si>
    <r>
      <t xml:space="preserve">Środki wydatkowane z Funduszu Pracy w ramach interwencji w związku z COVID-19 (art. 15zzd, </t>
    </r>
    <r>
      <rPr>
        <sz val="16"/>
        <color rgb="FFC00000"/>
        <rFont val="Times New Roman"/>
        <family val="1"/>
        <charset val="238"/>
      </rPr>
      <t>15zzda</t>
    </r>
    <r>
      <rPr>
        <sz val="16"/>
        <color theme="1"/>
        <rFont val="Times New Roman"/>
        <family val="1"/>
        <charset val="238"/>
      </rPr>
      <t xml:space="preserve">, 15zzb, 15zzc, 15zze i </t>
    </r>
    <r>
      <rPr>
        <sz val="16"/>
        <color rgb="FFC00000"/>
        <rFont val="Times New Roman"/>
        <family val="1"/>
        <charset val="238"/>
      </rPr>
      <t>15zze2</t>
    </r>
    <r>
      <rPr>
        <sz val="16"/>
        <color theme="1"/>
        <rFont val="Times New Roman"/>
        <family val="1"/>
        <charset val="238"/>
      </rPr>
      <t xml:space="preserve">  )****</t>
    </r>
  </si>
  <si>
    <t>30 VI 2020</t>
  </si>
  <si>
    <t>30 VI '20</t>
  </si>
  <si>
    <t>Ip 2020</t>
  </si>
  <si>
    <t>I p 2020</t>
  </si>
  <si>
    <t>19</t>
  </si>
  <si>
    <t>IP '20</t>
  </si>
  <si>
    <t>I półrocze 2020</t>
  </si>
  <si>
    <r>
      <t xml:space="preserve">                      </t>
    </r>
    <r>
      <rPr>
        <u/>
        <sz val="11"/>
        <color theme="1"/>
        <rFont val="Times New Roman"/>
        <family val="1"/>
        <charset val="238"/>
      </rPr>
      <t>Stan w końcu okresu</t>
    </r>
    <r>
      <rPr>
        <sz val="11"/>
        <color theme="1"/>
        <rFont val="Times New Roman"/>
        <family val="1"/>
        <charset val="238"/>
      </rPr>
      <t>, województwo podkarpackie</t>
    </r>
  </si>
  <si>
    <t>31 XII'19=100%</t>
  </si>
  <si>
    <t>30 VI'19=100%</t>
  </si>
  <si>
    <t xml:space="preserve">30 VI'19=100% </t>
  </si>
  <si>
    <t>wzrost/spadek 31 XII '19 = 100%
liczba</t>
  </si>
  <si>
    <t xml:space="preserve">wzrost/spadek 31 XII '19 = 100%  (w proc.)
</t>
  </si>
  <si>
    <t>wzrost/spadek 30 VI '19 = 100%
liczba</t>
  </si>
  <si>
    <t>liczba bezrobotnych 30 VI 2020</t>
  </si>
  <si>
    <t>Ip. '20</t>
  </si>
  <si>
    <t>B_2020</t>
  </si>
  <si>
    <t>oferty pracy w Ip 2020 r.</t>
  </si>
  <si>
    <t>wzrost/spadek 30 VI '19 = 100%  (w proc.)</t>
  </si>
  <si>
    <t>podjęcia pracy w ramach refundacji kosztów utworzenia stanowiska pracy</t>
  </si>
  <si>
    <t xml:space="preserve">                   stan w końcu okresu, województwo podkarpackie  c.d.</t>
  </si>
  <si>
    <t>31 XII 2020</t>
  </si>
  <si>
    <t>30 VI 2021</t>
  </si>
  <si>
    <t>30 VI '21</t>
  </si>
  <si>
    <t>31 XII '20</t>
  </si>
  <si>
    <t>2020 rok</t>
  </si>
  <si>
    <t>IIp 2020</t>
  </si>
  <si>
    <t>Ip 2021</t>
  </si>
  <si>
    <t>wzrost lub spadek w por. do I półrocza 2020</t>
  </si>
  <si>
    <t>I półrocze 2021</t>
  </si>
  <si>
    <t>I p 2021</t>
  </si>
  <si>
    <t xml:space="preserve"> 31 XII 2020=100%</t>
  </si>
  <si>
    <t>30 VI "20</t>
  </si>
  <si>
    <t>31 XII '20*</t>
  </si>
  <si>
    <t>wzrost/spadek do Ip 2020 r.</t>
  </si>
  <si>
    <t>wzrost/spadek do XII '20 (liczba)</t>
  </si>
  <si>
    <t>wzrost/spadek do VI '20 (liczba)</t>
  </si>
  <si>
    <t>wzrost/spadek do XII '20 (pkt. proc.)</t>
  </si>
  <si>
    <t>wzrost/spadek do VI '20 (pkt. proc.)</t>
  </si>
  <si>
    <t>II półrocze 2020</t>
  </si>
  <si>
    <t>Stan w końcu okresu, porównanie zmian w półroczu</t>
  </si>
  <si>
    <t>Stan w końcu okresu, porównanie stanów - czerwiec do czerwca</t>
  </si>
  <si>
    <t>dynamika spadków do 31 XII 2020 w poszcz. grupach</t>
  </si>
  <si>
    <t>20</t>
  </si>
  <si>
    <r>
      <rPr>
        <vertAlign val="superscript"/>
        <sz val="9"/>
        <color theme="1"/>
        <rFont val="Times New Roman"/>
        <family val="1"/>
        <charset val="238"/>
      </rPr>
      <t>1</t>
    </r>
    <r>
      <rPr>
        <sz val="9"/>
        <color theme="1"/>
        <rFont val="Times New Roman"/>
        <family val="1"/>
        <charset val="238"/>
      </rPr>
      <t xml:space="preserve"> - Dane dla Polski - BDL, wejście na stronę VII 2021 r.</t>
    </r>
  </si>
  <si>
    <t>W niektórych okresach następuje kontynuacja zwolnień zgłoszonych z roku poprzedniego.</t>
  </si>
  <si>
    <t>IP '21</t>
  </si>
  <si>
    <t>w okresie I półrocza 2021 roku</t>
  </si>
  <si>
    <t>I półrocze 2020 roku</t>
  </si>
  <si>
    <t>I pórócze 2021 roku</t>
  </si>
  <si>
    <t>oferty pracy w Ip 2021 r.</t>
  </si>
  <si>
    <t>w okresie I półrocza 2021 r.</t>
  </si>
  <si>
    <t>Ip. '21</t>
  </si>
  <si>
    <t>liczba bezrobotnych 30 VI 2021</t>
  </si>
  <si>
    <t>w I p '21 r.</t>
  </si>
  <si>
    <t>30 VI 2021 r.</t>
  </si>
  <si>
    <t>Źrodło: System Cesar, 2 sierpnia 2021 r.</t>
  </si>
  <si>
    <t>proc. (w ogółem, dla danej kategorii)</t>
  </si>
  <si>
    <t>proc. do ogółem</t>
  </si>
  <si>
    <t>proc. do form wsparcia zatrudnienia (ogółem)</t>
  </si>
  <si>
    <t xml:space="preserve">     staże</t>
  </si>
  <si>
    <t>szkolenia*</t>
  </si>
  <si>
    <t>Tabela XII.    BEZROBOTNI ZAMIESZKALI NA WSI</t>
  </si>
  <si>
    <t>Tabela XIII. BEZROBOTNI W SZCZEGÓLNEJ SYTUACJI NA RYNKU PRACY</t>
  </si>
  <si>
    <t>Tabela XIV. BEZROBOTNI WG WIEKU, W TYM DO 30 ROKU ŻYCIA I POWYŻEJ 50 ROKU ŻYCIA</t>
  </si>
  <si>
    <t>Tabela XV. BEZROBOTNI DO 30 ROKU ŻYCIA I POWYŻEJ 50 ROKU ŻYCIA</t>
  </si>
  <si>
    <t>Tabela XVI. BEZROBOTNI DŁUGOTRWALE</t>
  </si>
  <si>
    <t>c.d. Tabela XVI. BEZROBOTNI DŁUGOTRWALE</t>
  </si>
  <si>
    <t>Tabela XV. BEZROBOTNI DO 30 ROKU ŻYCIA I POWYŻEJ 50 ROKU ŻYCIA  c.d.</t>
  </si>
  <si>
    <t>Tabela XVIII. ZMIANY ILOŚCI BEZROBOTNYCH WEDŁUG GRUP ZAWODOWYCH</t>
  </si>
  <si>
    <t>Tabela XIX.   BEROBOTNI WG GRUP ZAWODÓW</t>
  </si>
  <si>
    <t>Tabela XX.  Wolne miejsca pracy i miejsca aktywizacji zawodowej zgłoszone</t>
  </si>
  <si>
    <t>Tabela XXI.   ZMIANY W LICZBIE WOLNYCH MIEJSC PRACY</t>
  </si>
  <si>
    <t xml:space="preserve">Tabela XXII.  WOLNE MIEJSCA PRACY I MIEJSCA AKTYWIZACJI ZAWODOWEJ  ZGŁOSZONE </t>
  </si>
  <si>
    <t>Tabela XXIII.  WYDATKI REALIZOWANE Z FUNDUSZU PRACY</t>
  </si>
  <si>
    <t>Tabela XXIV   Aktywne formy promocji zatrudnienia wg powiatów. Liczba bezrobotnych aktywizowanych w ramach poszczególnych form,</t>
  </si>
  <si>
    <t>Tabela XXVI.   WSKAŹNIK  ZATRUDNIENIA</t>
  </si>
  <si>
    <t>B_2021</t>
  </si>
  <si>
    <t>Tabela XXV.  ZGŁOSZENIA ZWOLNIEŃ Z PRZYCZYN NIEDOTYCZĄCYCH PRACOWNIKÓW</t>
  </si>
  <si>
    <t>18-44</t>
  </si>
  <si>
    <t>45-60</t>
  </si>
  <si>
    <t>31.12.2001</t>
  </si>
  <si>
    <t>30.06.2001</t>
  </si>
  <si>
    <t xml:space="preserve">                          POLSKIEJ KLASYFIKACJI DZIAŁALNOŚCI (PKD)</t>
  </si>
  <si>
    <t xml:space="preserve">Tabela XVII.    OFERTY  PRACY   WEDŁUG </t>
  </si>
  <si>
    <t>oferty pracy</t>
  </si>
  <si>
    <t>Oferty pracy zgłoszone do powiatowych urzędów pracy w województwie podkarpackim.</t>
  </si>
  <si>
    <t>sekcje PKD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</si>
  <si>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</si>
  <si>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</si>
  <si>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</si>
  <si>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</si>
  <si>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</si>
  <si>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</si>
  <si>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</si>
  <si>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</si>
  <si>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</si>
  <si>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</si>
  <si>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</si>
  <si>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</si>
  <si>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</si>
  <si>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</si>
  <si>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</si>
  <si>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</si>
  <si>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</si>
  <si>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</si>
  <si>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B-F</t>
  </si>
  <si>
    <t>H-U</t>
  </si>
  <si>
    <t xml:space="preserve">                          w okresie sprawozdawczym, województwo podkarpackie</t>
  </si>
  <si>
    <t>ogółem (o)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</si>
</sst>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#,##0.00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vertAlign val="superscript"/>
      <sz val="16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C0000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E7E2E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4CAE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0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right" vertical="center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>
      <alignment horizontal="right" vertical="center"/>
    </xf>
    <xf numFmtId="0" fontId="16" fillId="0" borderId="0">
      <alignment horizontal="left" vertical="center"/>
    </xf>
    <xf numFmtId="0" fontId="2" fillId="0" borderId="0">
      <alignment horizontal="left" vertical="center"/>
    </xf>
    <xf numFmtId="0" fontId="16" fillId="0" borderId="0">
      <alignment horizontal="left" vertical="center"/>
    </xf>
    <xf numFmtId="0" fontId="2" fillId="0" borderId="0">
      <alignment horizontal="right" vertical="center"/>
    </xf>
  </cellStyleXfs>
  <cellXfs count="962">
    <xf numFmtId="0" fontId="0" fillId="0" borderId="0" xfId="0"/>
    <xf numFmtId="0" fontId="1" fillId="2" borderId="0" xfId="0" applyFont="1" applyFill="1"/>
    <xf numFmtId="0" fontId="0" fillId="2" borderId="0" xfId="0" applyFill="1"/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8" xfId="0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0" fontId="4" fillId="2" borderId="33" xfId="0" applyFont="1" applyFill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 wrapText="1"/>
    </xf>
    <xf numFmtId="3" fontId="4" fillId="2" borderId="83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 wrapText="1"/>
    </xf>
    <xf numFmtId="3" fontId="6" fillId="2" borderId="84" xfId="0" applyNumberFormat="1" applyFont="1" applyFill="1" applyBorder="1" applyAlignment="1">
      <alignment horizontal="center" vertical="center"/>
    </xf>
    <xf numFmtId="3" fontId="6" fillId="2" borderId="83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3" fontId="4" fillId="2" borderId="51" xfId="0" applyNumberFormat="1" applyFont="1" applyFill="1" applyBorder="1" applyAlignment="1">
      <alignment horizontal="center" vertical="center"/>
    </xf>
    <xf numFmtId="165" fontId="4" fillId="2" borderId="49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63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3" fontId="4" fillId="2" borderId="82" xfId="0" applyNumberFormat="1" applyFont="1" applyFill="1" applyBorder="1" applyAlignment="1">
      <alignment horizontal="center" vertical="center"/>
    </xf>
    <xf numFmtId="165" fontId="4" fillId="2" borderId="27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165" fontId="4" fillId="2" borderId="24" xfId="0" applyNumberFormat="1" applyFont="1" applyFill="1" applyBorder="1" applyAlignment="1">
      <alignment horizontal="center" vertical="center"/>
    </xf>
    <xf numFmtId="3" fontId="4" fillId="2" borderId="4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3" fontId="6" fillId="2" borderId="56" xfId="0" applyNumberFormat="1" applyFont="1" applyFill="1" applyBorder="1" applyAlignment="1">
      <alignment horizontal="center" vertical="center"/>
    </xf>
    <xf numFmtId="3" fontId="6" fillId="2" borderId="29" xfId="0" applyNumberFormat="1" applyFont="1" applyFill="1" applyBorder="1" applyAlignment="1">
      <alignment horizontal="center" vertical="center" wrapText="1"/>
    </xf>
    <xf numFmtId="3" fontId="6" fillId="2" borderId="26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0" fontId="7" fillId="2" borderId="0" xfId="0" applyFont="1" applyFill="1"/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left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49" fontId="4" fillId="2" borderId="19" xfId="0" applyNumberFormat="1" applyFont="1" applyFill="1" applyBorder="1" applyAlignment="1">
      <alignment horizontal="left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left" vertical="center" wrapText="1" indent="2"/>
    </xf>
    <xf numFmtId="165" fontId="4" fillId="2" borderId="21" xfId="0" applyNumberFormat="1" applyFont="1" applyFill="1" applyBorder="1" applyAlignment="1">
      <alignment horizontal="center" vertical="center"/>
    </xf>
    <xf numFmtId="3" fontId="4" fillId="2" borderId="9" xfId="0" quotePrefix="1" applyNumberFormat="1" applyFont="1" applyFill="1" applyBorder="1" applyAlignment="1">
      <alignment horizontal="center" vertical="center"/>
    </xf>
    <xf numFmtId="165" fontId="4" fillId="2" borderId="21" xfId="0" quotePrefix="1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63" xfId="0" applyNumberFormat="1" applyFont="1" applyFill="1" applyBorder="1" applyAlignment="1">
      <alignment horizontal="left" vertical="center" wrapText="1"/>
    </xf>
    <xf numFmtId="165" fontId="4" fillId="2" borderId="78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/>
    </xf>
    <xf numFmtId="165" fontId="4" fillId="2" borderId="77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/>
    </xf>
    <xf numFmtId="3" fontId="4" fillId="2" borderId="11" xfId="0" quotePrefix="1" applyNumberFormat="1" applyFont="1" applyFill="1" applyBorder="1" applyAlignment="1">
      <alignment horizontal="center" vertical="center"/>
    </xf>
    <xf numFmtId="165" fontId="4" fillId="2" borderId="59" xfId="0" quotePrefix="1" applyNumberFormat="1" applyFont="1" applyFill="1" applyBorder="1" applyAlignment="1">
      <alignment horizontal="center" vertical="center"/>
    </xf>
    <xf numFmtId="165" fontId="4" fillId="2" borderId="59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 indent="2"/>
    </xf>
    <xf numFmtId="49" fontId="4" fillId="2" borderId="63" xfId="0" applyNumberFormat="1" applyFont="1" applyFill="1" applyBorder="1" applyAlignment="1">
      <alignment horizontal="left" vertical="center" wrapText="1" indent="2"/>
    </xf>
    <xf numFmtId="3" fontId="4" fillId="2" borderId="51" xfId="0" quotePrefix="1" applyNumberFormat="1" applyFont="1" applyFill="1" applyBorder="1" applyAlignment="1">
      <alignment horizontal="center" vertical="center"/>
    </xf>
    <xf numFmtId="165" fontId="4" fillId="2" borderId="78" xfId="0" quotePrefix="1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 wrapText="1"/>
    </xf>
    <xf numFmtId="0" fontId="0" fillId="2" borderId="0" xfId="0" applyFont="1" applyFill="1"/>
    <xf numFmtId="3" fontId="6" fillId="2" borderId="4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quotePrefix="1" applyNumberFormat="1" applyFont="1" applyFill="1" applyBorder="1" applyAlignment="1">
      <alignment horizontal="center" vertical="center"/>
    </xf>
    <xf numFmtId="3" fontId="4" fillId="2" borderId="63" xfId="0" quotePrefix="1" applyNumberFormat="1" applyFont="1" applyFill="1" applyBorder="1" applyAlignment="1">
      <alignment horizontal="center" vertical="center"/>
    </xf>
    <xf numFmtId="3" fontId="4" fillId="2" borderId="33" xfId="0" quotePrefix="1" applyNumberFormat="1" applyFont="1" applyFill="1" applyBorder="1" applyAlignment="1">
      <alignment horizontal="center" vertical="center"/>
    </xf>
    <xf numFmtId="3" fontId="6" fillId="2" borderId="84" xfId="0" applyNumberFormat="1" applyFont="1" applyFill="1" applyBorder="1" applyAlignment="1">
      <alignment horizontal="center" vertical="center" wrapText="1"/>
    </xf>
    <xf numFmtId="165" fontId="6" fillId="2" borderId="80" xfId="0" applyNumberFormat="1" applyFont="1" applyFill="1" applyBorder="1" applyAlignment="1">
      <alignment horizontal="center" vertical="center" wrapText="1"/>
    </xf>
    <xf numFmtId="3" fontId="6" fillId="2" borderId="4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3" fontId="4" fillId="2" borderId="30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44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2" xfId="2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vertical="center" wrapText="1"/>
    </xf>
    <xf numFmtId="165" fontId="6" fillId="2" borderId="26" xfId="0" applyNumberFormat="1" applyFont="1" applyFill="1" applyBorder="1" applyAlignment="1">
      <alignment horizontal="center" vertical="center" wrapText="1"/>
    </xf>
    <xf numFmtId="165" fontId="6" fillId="2" borderId="27" xfId="0" applyNumberFormat="1" applyFont="1" applyFill="1" applyBorder="1" applyAlignment="1">
      <alignment horizontal="center" vertical="center" wrapText="1"/>
    </xf>
    <xf numFmtId="3" fontId="6" fillId="2" borderId="26" xfId="2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38" xfId="2" applyNumberFormat="1" applyFont="1" applyFill="1" applyBorder="1" applyAlignment="1">
      <alignment horizontal="center" vertical="center" wrapText="1"/>
    </xf>
    <xf numFmtId="165" fontId="4" fillId="2" borderId="8" xfId="3" applyNumberFormat="1" applyFont="1" applyFill="1" applyBorder="1" applyAlignment="1">
      <alignment horizontal="center" vertical="center" wrapText="1"/>
    </xf>
    <xf numFmtId="165" fontId="4" fillId="2" borderId="45" xfId="0" applyNumberFormat="1" applyFont="1" applyFill="1" applyBorder="1" applyAlignment="1">
      <alignment horizontal="center" vertical="center" wrapText="1"/>
    </xf>
    <xf numFmtId="165" fontId="4" fillId="2" borderId="39" xfId="3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3" fontId="4" fillId="2" borderId="3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wrapText="1" indent="1"/>
    </xf>
    <xf numFmtId="0" fontId="4" fillId="2" borderId="48" xfId="0" applyFont="1" applyFill="1" applyBorder="1" applyAlignment="1">
      <alignment horizontal="left" vertical="center" wrapText="1" indent="2"/>
    </xf>
    <xf numFmtId="3" fontId="4" fillId="2" borderId="85" xfId="0" applyNumberFormat="1" applyFont="1" applyFill="1" applyBorder="1" applyAlignment="1">
      <alignment horizontal="center" vertical="center"/>
    </xf>
    <xf numFmtId="165" fontId="4" fillId="2" borderId="25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 wrapText="1"/>
    </xf>
    <xf numFmtId="0" fontId="4" fillId="3" borderId="36" xfId="0" applyFont="1" applyFill="1" applyBorder="1"/>
    <xf numFmtId="0" fontId="6" fillId="2" borderId="36" xfId="0" applyFont="1" applyFill="1" applyBorder="1" applyAlignment="1">
      <alignment horizontal="left" vertical="center" wrapText="1"/>
    </xf>
    <xf numFmtId="3" fontId="6" fillId="2" borderId="50" xfId="0" applyNumberFormat="1" applyFont="1" applyFill="1" applyBorder="1" applyAlignment="1">
      <alignment horizontal="center" vertical="center"/>
    </xf>
    <xf numFmtId="165" fontId="6" fillId="2" borderId="3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3" fontId="4" fillId="2" borderId="61" xfId="0" applyNumberFormat="1" applyFont="1" applyFill="1" applyBorder="1" applyAlignment="1">
      <alignment horizontal="center" vertical="center"/>
    </xf>
    <xf numFmtId="165" fontId="4" fillId="2" borderId="62" xfId="0" applyNumberFormat="1" applyFont="1" applyFill="1" applyBorder="1" applyAlignment="1">
      <alignment horizontal="center" vertical="center"/>
    </xf>
    <xf numFmtId="3" fontId="4" fillId="2" borderId="73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3" fontId="4" fillId="2" borderId="16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4" fillId="2" borderId="74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45" xfId="0" applyNumberFormat="1" applyFont="1" applyFill="1" applyBorder="1" applyAlignment="1">
      <alignment horizontal="center" vertical="center"/>
    </xf>
    <xf numFmtId="164" fontId="4" fillId="2" borderId="39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 vertical="center"/>
    </xf>
    <xf numFmtId="3" fontId="4" fillId="2" borderId="5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8" fillId="4" borderId="2" xfId="0" quotePrefix="1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5" fontId="8" fillId="4" borderId="45" xfId="0" applyNumberFormat="1" applyFont="1" applyFill="1" applyBorder="1" applyAlignment="1">
      <alignment horizontal="center" vertical="center"/>
    </xf>
    <xf numFmtId="3" fontId="8" fillId="4" borderId="7" xfId="0" quotePrefix="1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wrapText="1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45" xfId="0" applyNumberFormat="1" applyFont="1" applyFill="1" applyBorder="1" applyAlignment="1">
      <alignment horizontal="center" vertical="center"/>
    </xf>
    <xf numFmtId="3" fontId="8" fillId="4" borderId="51" xfId="0" applyNumberFormat="1" applyFont="1" applyFill="1" applyBorder="1" applyAlignment="1">
      <alignment horizontal="center" vertical="center"/>
    </xf>
    <xf numFmtId="3" fontId="8" fillId="4" borderId="46" xfId="0" applyNumberFormat="1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wrapText="1"/>
    </xf>
    <xf numFmtId="3" fontId="8" fillId="4" borderId="11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center" vertical="center"/>
    </xf>
    <xf numFmtId="3" fontId="8" fillId="4" borderId="12" xfId="0" applyNumberFormat="1" applyFont="1" applyFill="1" applyBorder="1" applyAlignment="1">
      <alignment horizontal="center" vertical="center"/>
    </xf>
    <xf numFmtId="3" fontId="8" fillId="4" borderId="54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horizontal="center" vertical="center"/>
    </xf>
    <xf numFmtId="165" fontId="8" fillId="4" borderId="0" xfId="0" applyNumberFormat="1" applyFont="1" applyFill="1" applyBorder="1" applyAlignment="1">
      <alignment horizontal="center" vertical="center"/>
    </xf>
    <xf numFmtId="3" fontId="8" fillId="4" borderId="0" xfId="0" quotePrefix="1" applyNumberFormat="1" applyFont="1" applyFill="1" applyBorder="1" applyAlignment="1">
      <alignment horizontal="center" vertical="center"/>
    </xf>
    <xf numFmtId="0" fontId="8" fillId="4" borderId="0" xfId="0" applyFont="1" applyFill="1" applyBorder="1"/>
    <xf numFmtId="0" fontId="8" fillId="4" borderId="19" xfId="0" applyFont="1" applyFill="1" applyBorder="1" applyAlignment="1">
      <alignment horizontal="left" wrapText="1" indent="3"/>
    </xf>
    <xf numFmtId="0" fontId="8" fillId="4" borderId="0" xfId="0" applyFont="1" applyFill="1" applyBorder="1" applyAlignment="1">
      <alignment wrapText="1"/>
    </xf>
    <xf numFmtId="0" fontId="6" fillId="2" borderId="55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>
      <alignment horizontal="center" vertical="center"/>
    </xf>
    <xf numFmtId="164" fontId="6" fillId="2" borderId="39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 wrapText="1"/>
    </xf>
    <xf numFmtId="164" fontId="4" fillId="2" borderId="27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/>
    <xf numFmtId="0" fontId="4" fillId="2" borderId="71" xfId="0" applyFont="1" applyFill="1" applyBorder="1"/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39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justify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5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0" fontId="4" fillId="3" borderId="55" xfId="0" applyFont="1" applyFill="1" applyBorder="1"/>
    <xf numFmtId="0" fontId="4" fillId="3" borderId="56" xfId="0" applyFont="1" applyFill="1" applyBorder="1"/>
    <xf numFmtId="164" fontId="8" fillId="2" borderId="10" xfId="0" applyNumberFormat="1" applyFont="1" applyFill="1" applyBorder="1" applyAlignment="1">
      <alignment horizontal="center" vertical="center" wrapText="1"/>
    </xf>
    <xf numFmtId="164" fontId="8" fillId="2" borderId="4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9" fillId="2" borderId="50" xfId="0" applyFont="1" applyFill="1" applyBorder="1" applyAlignment="1">
      <alignment vertical="center" wrapText="1"/>
    </xf>
    <xf numFmtId="3" fontId="9" fillId="2" borderId="3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9" fillId="2" borderId="39" xfId="0" applyNumberFormat="1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3" fontId="8" fillId="2" borderId="27" xfId="0" applyNumberFormat="1" applyFont="1" applyFill="1" applyBorder="1" applyAlignment="1">
      <alignment horizontal="center" vertical="center" wrapText="1"/>
    </xf>
    <xf numFmtId="164" fontId="10" fillId="2" borderId="27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64" fontId="10" fillId="2" borderId="49" xfId="0" applyNumberFormat="1" applyFont="1" applyFill="1" applyBorder="1" applyAlignment="1">
      <alignment horizontal="center" vertical="center" wrapText="1"/>
    </xf>
    <xf numFmtId="165" fontId="4" fillId="2" borderId="82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165" fontId="6" fillId="2" borderId="84" xfId="0" applyNumberFormat="1" applyFont="1" applyFill="1" applyBorder="1" applyAlignment="1">
      <alignment horizontal="center" vertical="center"/>
    </xf>
    <xf numFmtId="165" fontId="6" fillId="2" borderId="83" xfId="0" applyNumberFormat="1" applyFont="1" applyFill="1" applyBorder="1" applyAlignment="1">
      <alignment horizontal="center" vertical="center"/>
    </xf>
    <xf numFmtId="165" fontId="6" fillId="2" borderId="2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ont="1" applyFill="1" applyAlignment="1"/>
    <xf numFmtId="0" fontId="8" fillId="4" borderId="41" xfId="0" applyFont="1" applyFill="1" applyBorder="1" applyAlignment="1">
      <alignment wrapText="1"/>
    </xf>
    <xf numFmtId="3" fontId="8" fillId="4" borderId="82" xfId="0" applyNumberFormat="1" applyFont="1" applyFill="1" applyBorder="1" applyAlignment="1">
      <alignment horizontal="center" vertical="center"/>
    </xf>
    <xf numFmtId="3" fontId="8" fillId="4" borderId="26" xfId="0" quotePrefix="1" applyNumberFormat="1" applyFont="1" applyFill="1" applyBorder="1" applyAlignment="1">
      <alignment horizontal="center" vertical="center"/>
    </xf>
    <xf numFmtId="3" fontId="8" fillId="4" borderId="26" xfId="0" applyNumberFormat="1" applyFont="1" applyFill="1" applyBorder="1" applyAlignment="1">
      <alignment horizontal="center" vertical="center"/>
    </xf>
    <xf numFmtId="165" fontId="8" fillId="4" borderId="26" xfId="0" applyNumberFormat="1" applyFont="1" applyFill="1" applyBorder="1" applyAlignment="1">
      <alignment horizontal="center" vertical="center"/>
    </xf>
    <xf numFmtId="3" fontId="8" fillId="4" borderId="81" xfId="0" applyNumberFormat="1" applyFont="1" applyFill="1" applyBorder="1" applyAlignment="1">
      <alignment horizontal="center" vertical="center"/>
    </xf>
    <xf numFmtId="165" fontId="8" fillId="4" borderId="81" xfId="0" applyNumberFormat="1" applyFont="1" applyFill="1" applyBorder="1" applyAlignment="1">
      <alignment horizontal="center" vertical="center"/>
    </xf>
    <xf numFmtId="3" fontId="8" fillId="4" borderId="82" xfId="0" quotePrefix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5" fontId="4" fillId="2" borderId="12" xfId="0" quotePrefix="1" applyNumberFormat="1" applyFont="1" applyFill="1" applyBorder="1" applyAlignment="1">
      <alignment horizontal="center" vertical="center" wrapText="1"/>
    </xf>
    <xf numFmtId="164" fontId="4" fillId="2" borderId="12" xfId="0" quotePrefix="1" applyNumberFormat="1" applyFont="1" applyFill="1" applyBorder="1" applyAlignment="1">
      <alignment horizontal="center"/>
    </xf>
    <xf numFmtId="164" fontId="4" fillId="2" borderId="13" xfId="0" quotePrefix="1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wrapText="1"/>
    </xf>
    <xf numFmtId="165" fontId="4" fillId="2" borderId="13" xfId="0" quotePrefix="1" applyNumberFormat="1" applyFont="1" applyFill="1" applyBorder="1" applyAlignment="1">
      <alignment horizontal="center" vertical="center" wrapText="1"/>
    </xf>
    <xf numFmtId="165" fontId="8" fillId="4" borderId="54" xfId="0" applyNumberFormat="1" applyFont="1" applyFill="1" applyBorder="1" applyAlignment="1">
      <alignment horizontal="center" vertical="center"/>
    </xf>
    <xf numFmtId="165" fontId="8" fillId="4" borderId="26" xfId="0" quotePrefix="1" applyNumberFormat="1" applyFont="1" applyFill="1" applyBorder="1" applyAlignment="1">
      <alignment horizontal="center" vertical="center"/>
    </xf>
    <xf numFmtId="165" fontId="8" fillId="4" borderId="2" xfId="0" quotePrefix="1" applyNumberFormat="1" applyFont="1" applyFill="1" applyBorder="1" applyAlignment="1">
      <alignment horizontal="center" vertical="center"/>
    </xf>
    <xf numFmtId="165" fontId="8" fillId="4" borderId="27" xfId="0" quotePrefix="1" applyNumberFormat="1" applyFont="1" applyFill="1" applyBorder="1" applyAlignment="1">
      <alignment horizontal="center" vertical="center"/>
    </xf>
    <xf numFmtId="165" fontId="8" fillId="4" borderId="8" xfId="0" quotePrefix="1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wrapText="1"/>
    </xf>
    <xf numFmtId="3" fontId="6" fillId="2" borderId="82" xfId="0" applyNumberFormat="1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/>
    </xf>
    <xf numFmtId="164" fontId="6" fillId="2" borderId="26" xfId="0" applyNumberFormat="1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/>
    </xf>
    <xf numFmtId="164" fontId="6" fillId="2" borderId="27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3" fontId="6" fillId="2" borderId="88" xfId="0" applyNumberFormat="1" applyFont="1" applyFill="1" applyBorder="1" applyAlignment="1">
      <alignment horizontal="center" vertical="center" wrapText="1"/>
    </xf>
    <xf numFmtId="3" fontId="6" fillId="2" borderId="89" xfId="0" applyNumberFormat="1" applyFont="1" applyFill="1" applyBorder="1" applyAlignment="1">
      <alignment horizontal="center" vertical="center" wrapText="1"/>
    </xf>
    <xf numFmtId="165" fontId="6" fillId="2" borderId="90" xfId="0" applyNumberFormat="1" applyFont="1" applyFill="1" applyBorder="1" applyAlignment="1">
      <alignment horizontal="center" vertical="center" wrapText="1"/>
    </xf>
    <xf numFmtId="165" fontId="6" fillId="2" borderId="91" xfId="0" applyNumberFormat="1" applyFont="1" applyFill="1" applyBorder="1" applyAlignment="1">
      <alignment horizontal="center" vertical="center" wrapText="1"/>
    </xf>
    <xf numFmtId="165" fontId="4" fillId="2" borderId="53" xfId="0" applyNumberFormat="1" applyFont="1" applyFill="1" applyBorder="1" applyAlignment="1">
      <alignment horizontal="center" vertical="center" wrapText="1"/>
    </xf>
    <xf numFmtId="165" fontId="4" fillId="2" borderId="47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2" fontId="8" fillId="3" borderId="22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5" fontId="4" fillId="2" borderId="21" xfId="0" applyNumberFormat="1" applyFont="1" applyFill="1" applyBorder="1" applyAlignment="1">
      <alignment horizontal="center" vertical="center" wrapText="1"/>
    </xf>
    <xf numFmtId="165" fontId="6" fillId="2" borderId="77" xfId="0" applyNumberFormat="1" applyFont="1" applyFill="1" applyBorder="1" applyAlignment="1">
      <alignment horizontal="center" vertical="center" wrapText="1"/>
    </xf>
    <xf numFmtId="165" fontId="4" fillId="2" borderId="59" xfId="0" applyNumberFormat="1" applyFont="1" applyFill="1" applyBorder="1" applyAlignment="1">
      <alignment horizontal="center" vertical="center" wrapText="1"/>
    </xf>
    <xf numFmtId="165" fontId="6" fillId="2" borderId="56" xfId="0" applyNumberFormat="1" applyFont="1" applyFill="1" applyBorder="1" applyAlignment="1">
      <alignment horizontal="center" vertical="center"/>
    </xf>
    <xf numFmtId="165" fontId="6" fillId="2" borderId="6" xfId="3" applyNumberFormat="1" applyFont="1" applyFill="1" applyBorder="1" applyAlignment="1">
      <alignment horizontal="center" vertical="center" wrapText="1"/>
    </xf>
    <xf numFmtId="165" fontId="6" fillId="2" borderId="52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/>
    </xf>
    <xf numFmtId="14" fontId="4" fillId="3" borderId="50" xfId="0" applyNumberFormat="1" applyFont="1" applyFill="1" applyBorder="1" applyAlignment="1">
      <alignment horizontal="center" vertical="center" wrapText="1"/>
    </xf>
    <xf numFmtId="14" fontId="4" fillId="3" borderId="58" xfId="0" applyNumberFormat="1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/>
    </xf>
    <xf numFmtId="3" fontId="4" fillId="2" borderId="43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59" xfId="0" applyNumberFormat="1" applyFont="1" applyFill="1" applyBorder="1" applyAlignment="1">
      <alignment horizontal="center" vertical="center"/>
    </xf>
    <xf numFmtId="3" fontId="4" fillId="2" borderId="42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72" xfId="0" applyNumberFormat="1" applyFont="1" applyFill="1" applyBorder="1" applyAlignment="1">
      <alignment horizontal="center" vertical="center"/>
    </xf>
    <xf numFmtId="165" fontId="6" fillId="2" borderId="89" xfId="0" applyNumberFormat="1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81" xfId="0" applyFont="1" applyFill="1" applyBorder="1" applyAlignment="1">
      <alignment horizontal="right" vertical="center" wrapText="1"/>
    </xf>
    <xf numFmtId="164" fontId="8" fillId="2" borderId="10" xfId="0" quotePrefix="1" applyNumberFormat="1" applyFont="1" applyFill="1" applyBorder="1" applyAlignment="1">
      <alignment horizontal="center" vertical="center" wrapText="1"/>
    </xf>
    <xf numFmtId="164" fontId="8" fillId="2" borderId="13" xfId="0" quotePrefix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28" xfId="0" quotePrefix="1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5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164" fontId="6" fillId="2" borderId="27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3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65" fontId="4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0" fillId="2" borderId="0" xfId="0" applyNumberFormat="1" applyFont="1" applyFill="1"/>
    <xf numFmtId="164" fontId="0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4" fontId="0" fillId="2" borderId="0" xfId="0" applyNumberFormat="1" applyFont="1" applyFill="1" applyAlignment="1">
      <alignment horizontal="center"/>
    </xf>
    <xf numFmtId="3" fontId="0" fillId="2" borderId="0" xfId="0" applyNumberFormat="1" applyFont="1" applyFill="1"/>
    <xf numFmtId="164" fontId="4" fillId="2" borderId="0" xfId="0" applyNumberFormat="1" applyFont="1" applyFill="1"/>
    <xf numFmtId="0" fontId="4" fillId="3" borderId="58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 wrapText="1"/>
    </xf>
    <xf numFmtId="2" fontId="0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left"/>
    </xf>
    <xf numFmtId="3" fontId="4" fillId="6" borderId="9" xfId="0" applyNumberFormat="1" applyFont="1" applyFill="1" applyBorder="1" applyAlignment="1">
      <alignment horizontal="center" vertical="center"/>
    </xf>
    <xf numFmtId="165" fontId="4" fillId="6" borderId="21" xfId="0" applyNumberFormat="1" applyFont="1" applyFill="1" applyBorder="1" applyAlignment="1">
      <alignment horizontal="center" vertical="center"/>
    </xf>
    <xf numFmtId="3" fontId="4" fillId="6" borderId="18" xfId="0" applyNumberFormat="1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165" fontId="6" fillId="6" borderId="56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left" vertical="center" wrapText="1" indent="1"/>
    </xf>
    <xf numFmtId="0" fontId="4" fillId="2" borderId="63" xfId="0" applyFont="1" applyFill="1" applyBorder="1" applyAlignment="1">
      <alignment horizontal="left" vertical="center" wrapText="1" indent="2"/>
    </xf>
    <xf numFmtId="3" fontId="4" fillId="2" borderId="7" xfId="0" quotePrefix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>
      <alignment horizontal="center" vertical="center"/>
    </xf>
    <xf numFmtId="165" fontId="6" fillId="6" borderId="56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49" fontId="4" fillId="6" borderId="34" xfId="0" applyNumberFormat="1" applyFont="1" applyFill="1" applyBorder="1" applyAlignment="1">
      <alignment horizontal="left" vertical="center" wrapText="1"/>
    </xf>
    <xf numFmtId="3" fontId="4" fillId="6" borderId="7" xfId="0" applyNumberFormat="1" applyFont="1" applyFill="1" applyBorder="1" applyAlignment="1">
      <alignment horizontal="center" vertical="center"/>
    </xf>
    <xf numFmtId="165" fontId="4" fillId="6" borderId="77" xfId="0" applyNumberFormat="1" applyFont="1" applyFill="1" applyBorder="1" applyAlignment="1">
      <alignment horizontal="center" vertical="center"/>
    </xf>
    <xf numFmtId="3" fontId="4" fillId="6" borderId="34" xfId="0" applyNumberFormat="1" applyFont="1" applyFill="1" applyBorder="1" applyAlignment="1">
      <alignment horizontal="center" vertical="center"/>
    </xf>
    <xf numFmtId="49" fontId="4" fillId="6" borderId="18" xfId="0" applyNumberFormat="1" applyFont="1" applyFill="1" applyBorder="1" applyAlignment="1">
      <alignment horizontal="left" vertical="center" wrapText="1"/>
    </xf>
    <xf numFmtId="49" fontId="4" fillId="6" borderId="79" xfId="0" applyNumberFormat="1" applyFont="1" applyFill="1" applyBorder="1" applyAlignment="1">
      <alignment horizontal="left" vertical="center" wrapText="1"/>
    </xf>
    <xf numFmtId="3" fontId="4" fillId="6" borderId="75" xfId="0" applyNumberFormat="1" applyFont="1" applyFill="1" applyBorder="1" applyAlignment="1">
      <alignment horizontal="center" vertical="center"/>
    </xf>
    <xf numFmtId="165" fontId="4" fillId="6" borderId="70" xfId="0" applyNumberFormat="1" applyFont="1" applyFill="1" applyBorder="1" applyAlignment="1">
      <alignment horizontal="center" vertical="center"/>
    </xf>
    <xf numFmtId="3" fontId="4" fillId="6" borderId="79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left" vertical="center" wrapText="1" indent="1"/>
    </xf>
    <xf numFmtId="3" fontId="5" fillId="2" borderId="94" xfId="0" applyNumberFormat="1" applyFont="1" applyFill="1" applyBorder="1" applyAlignment="1">
      <alignment horizontal="center" vertical="center" wrapText="1"/>
    </xf>
    <xf numFmtId="165" fontId="5" fillId="2" borderId="94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left" vertical="center" wrapText="1" indent="3"/>
    </xf>
    <xf numFmtId="0" fontId="4" fillId="3" borderId="48" xfId="0" applyFont="1" applyFill="1" applyBorder="1" applyAlignment="1">
      <alignment horizontal="center" vertical="center" wrapText="1"/>
    </xf>
    <xf numFmtId="0" fontId="14" fillId="2" borderId="67" xfId="0" applyFont="1" applyFill="1" applyBorder="1" applyAlignment="1">
      <alignment horizontal="left" vertical="center" wrapText="1" indent="3"/>
    </xf>
    <xf numFmtId="3" fontId="13" fillId="2" borderId="50" xfId="0" applyNumberFormat="1" applyFont="1" applyFill="1" applyBorder="1" applyAlignment="1">
      <alignment horizontal="center" vertical="center"/>
    </xf>
    <xf numFmtId="3" fontId="13" fillId="2" borderId="58" xfId="0" applyNumberFormat="1" applyFont="1" applyFill="1" applyBorder="1" applyAlignment="1">
      <alignment horizontal="center" vertical="center"/>
    </xf>
    <xf numFmtId="3" fontId="13" fillId="2" borderId="68" xfId="0" applyNumberFormat="1" applyFont="1" applyFill="1" applyBorder="1" applyAlignment="1">
      <alignment horizontal="center" vertical="center"/>
    </xf>
    <xf numFmtId="164" fontId="13" fillId="2" borderId="39" xfId="0" applyNumberFormat="1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wrapText="1"/>
    </xf>
    <xf numFmtId="3" fontId="4" fillId="3" borderId="0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3" borderId="80" xfId="0" applyNumberFormat="1" applyFont="1" applyFill="1" applyBorder="1" applyAlignment="1">
      <alignment horizontal="center"/>
    </xf>
    <xf numFmtId="2" fontId="10" fillId="2" borderId="10" xfId="0" applyNumberFormat="1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9" fontId="6" fillId="2" borderId="55" xfId="0" applyNumberFormat="1" applyFont="1" applyFill="1" applyBorder="1" applyAlignment="1">
      <alignment horizontal="left" vertical="center" wrapText="1"/>
    </xf>
    <xf numFmtId="49" fontId="4" fillId="2" borderId="41" xfId="0" applyNumberFormat="1" applyFont="1" applyFill="1" applyBorder="1" applyAlignment="1">
      <alignment horizontal="left" vertical="center" wrapText="1" indent="3"/>
    </xf>
    <xf numFmtId="49" fontId="4" fillId="2" borderId="71" xfId="0" applyNumberFormat="1" applyFont="1" applyFill="1" applyBorder="1" applyAlignment="1">
      <alignment horizontal="left" vertical="center" wrapText="1" indent="3"/>
    </xf>
    <xf numFmtId="49" fontId="4" fillId="2" borderId="64" xfId="0" applyNumberFormat="1" applyFont="1" applyFill="1" applyBorder="1" applyAlignment="1">
      <alignment horizontal="left" vertical="center" wrapText="1" indent="5"/>
    </xf>
    <xf numFmtId="49" fontId="4" fillId="2" borderId="19" xfId="0" applyNumberFormat="1" applyFont="1" applyFill="1" applyBorder="1" applyAlignment="1">
      <alignment horizontal="left" vertical="center" wrapText="1" indent="5"/>
    </xf>
    <xf numFmtId="49" fontId="4" fillId="2" borderId="76" xfId="0" applyNumberFormat="1" applyFont="1" applyFill="1" applyBorder="1" applyAlignment="1">
      <alignment horizontal="left" vertical="center" wrapText="1" indent="5"/>
    </xf>
    <xf numFmtId="49" fontId="4" fillId="2" borderId="71" xfId="0" applyNumberFormat="1" applyFont="1" applyFill="1" applyBorder="1" applyAlignment="1">
      <alignment horizontal="left" vertical="center" wrapText="1" indent="5"/>
    </xf>
    <xf numFmtId="0" fontId="4" fillId="3" borderId="31" xfId="0" applyFont="1" applyFill="1" applyBorder="1" applyAlignment="1">
      <alignment horizontal="center" vertical="center"/>
    </xf>
    <xf numFmtId="3" fontId="4" fillId="2" borderId="92" xfId="0" applyNumberFormat="1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165" fontId="6" fillId="2" borderId="52" xfId="0" applyNumberFormat="1" applyFont="1" applyFill="1" applyBorder="1" applyAlignment="1">
      <alignment horizontal="center" vertical="center"/>
    </xf>
    <xf numFmtId="165" fontId="4" fillId="2" borderId="81" xfId="0" applyNumberFormat="1" applyFont="1" applyFill="1" applyBorder="1" applyAlignment="1">
      <alignment horizontal="center" vertical="center"/>
    </xf>
    <xf numFmtId="165" fontId="4" fillId="2" borderId="54" xfId="0" applyNumberFormat="1" applyFont="1" applyFill="1" applyBorder="1" applyAlignment="1">
      <alignment horizontal="center" vertical="center"/>
    </xf>
    <xf numFmtId="165" fontId="4" fillId="2" borderId="87" xfId="0" applyNumberFormat="1" applyFont="1" applyFill="1" applyBorder="1" applyAlignment="1">
      <alignment horizontal="center" vertical="center"/>
    </xf>
    <xf numFmtId="165" fontId="4" fillId="2" borderId="45" xfId="0" applyNumberFormat="1" applyFont="1" applyFill="1" applyBorder="1" applyAlignment="1">
      <alignment horizontal="center" vertical="center"/>
    </xf>
    <xf numFmtId="165" fontId="4" fillId="2" borderId="53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/>
    </xf>
    <xf numFmtId="49" fontId="4" fillId="2" borderId="57" xfId="0" applyNumberFormat="1" applyFont="1" applyFill="1" applyBorder="1" applyAlignment="1">
      <alignment horizontal="left" vertical="center" wrapText="1"/>
    </xf>
    <xf numFmtId="49" fontId="4" fillId="2" borderId="56" xfId="0" applyNumberFormat="1" applyFont="1" applyFill="1" applyBorder="1" applyAlignment="1">
      <alignment horizontal="left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center" wrapText="1"/>
    </xf>
    <xf numFmtId="3" fontId="4" fillId="2" borderId="13" xfId="0" applyNumberFormat="1" applyFont="1" applyFill="1" applyBorder="1" applyAlignment="1">
      <alignment horizont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wrapText="1"/>
    </xf>
    <xf numFmtId="3" fontId="4" fillId="2" borderId="33" xfId="0" applyNumberFormat="1" applyFont="1" applyFill="1" applyBorder="1" applyAlignment="1">
      <alignment horizontal="center" wrapText="1"/>
    </xf>
    <xf numFmtId="14" fontId="4" fillId="3" borderId="13" xfId="0" applyNumberFormat="1" applyFont="1" applyFill="1" applyBorder="1" applyAlignment="1">
      <alignment horizontal="center" vertical="center" wrapText="1"/>
    </xf>
    <xf numFmtId="3" fontId="4" fillId="2" borderId="77" xfId="0" applyNumberFormat="1" applyFont="1" applyFill="1" applyBorder="1" applyAlignment="1">
      <alignment horizontal="center" vertical="center"/>
    </xf>
    <xf numFmtId="3" fontId="4" fillId="2" borderId="50" xfId="0" applyNumberFormat="1" applyFont="1" applyFill="1" applyBorder="1" applyAlignment="1">
      <alignment horizontal="center" vertical="center"/>
    </xf>
    <xf numFmtId="3" fontId="4" fillId="2" borderId="58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/>
    </xf>
    <xf numFmtId="3" fontId="4" fillId="2" borderId="59" xfId="0" applyNumberFormat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165" fontId="6" fillId="2" borderId="86" xfId="0" applyNumberFormat="1" applyFont="1" applyFill="1" applyBorder="1" applyAlignment="1">
      <alignment horizontal="center" vertical="center"/>
    </xf>
    <xf numFmtId="165" fontId="4" fillId="2" borderId="45" xfId="0" applyNumberFormat="1" applyFont="1" applyFill="1" applyBorder="1" applyAlignment="1">
      <alignment horizontal="center"/>
    </xf>
    <xf numFmtId="165" fontId="4" fillId="2" borderId="54" xfId="0" applyNumberFormat="1" applyFont="1" applyFill="1" applyBorder="1" applyAlignment="1">
      <alignment horizontal="center"/>
    </xf>
    <xf numFmtId="165" fontId="6" fillId="2" borderId="87" xfId="0" applyNumberFormat="1" applyFont="1" applyFill="1" applyBorder="1" applyAlignment="1">
      <alignment horizontal="center" vertical="center"/>
    </xf>
    <xf numFmtId="165" fontId="4" fillId="2" borderId="47" xfId="0" applyNumberFormat="1" applyFont="1" applyFill="1" applyBorder="1" applyAlignment="1">
      <alignment horizontal="center" vertical="center"/>
    </xf>
    <xf numFmtId="2" fontId="8" fillId="3" borderId="64" xfId="0" applyNumberFormat="1" applyFont="1" applyFill="1" applyBorder="1" applyAlignment="1">
      <alignment horizontal="left" vertical="center" wrapText="1"/>
    </xf>
    <xf numFmtId="3" fontId="4" fillId="3" borderId="66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3" fontId="8" fillId="2" borderId="82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3" fontId="9" fillId="2" borderId="50" xfId="0" applyNumberFormat="1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164" fontId="9" fillId="2" borderId="39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65" fontId="4" fillId="2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 indent="2"/>
    </xf>
    <xf numFmtId="49" fontId="4" fillId="2" borderId="57" xfId="0" applyNumberFormat="1" applyFont="1" applyFill="1" applyBorder="1" applyAlignment="1">
      <alignment horizontal="left" vertical="center" wrapText="1" indent="2"/>
    </xf>
    <xf numFmtId="49" fontId="4" fillId="2" borderId="56" xfId="0" applyNumberFormat="1" applyFont="1" applyFill="1" applyBorder="1" applyAlignment="1">
      <alignment horizontal="left" vertical="center" wrapText="1" indent="2"/>
    </xf>
    <xf numFmtId="3" fontId="4" fillId="2" borderId="83" xfId="0" applyNumberFormat="1" applyFont="1" applyFill="1" applyBorder="1"/>
    <xf numFmtId="0" fontId="4" fillId="2" borderId="83" xfId="0" applyFont="1" applyFill="1" applyBorder="1" applyAlignment="1">
      <alignment horizontal="center" vertical="center"/>
    </xf>
    <xf numFmtId="3" fontId="4" fillId="2" borderId="1" xfId="0" quotePrefix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84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3" fontId="6" fillId="2" borderId="96" xfId="0" applyNumberFormat="1" applyFont="1" applyFill="1" applyBorder="1" applyAlignment="1">
      <alignment horizontal="center" vertical="center" wrapText="1"/>
    </xf>
    <xf numFmtId="165" fontId="6" fillId="2" borderId="97" xfId="0" applyNumberFormat="1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/>
    </xf>
    <xf numFmtId="3" fontId="8" fillId="2" borderId="51" xfId="0" applyNumberFormat="1" applyFont="1" applyFill="1" applyBorder="1" applyAlignment="1">
      <alignment horizontal="center" vertical="center" wrapText="1"/>
    </xf>
    <xf numFmtId="3" fontId="4" fillId="2" borderId="83" xfId="0" applyNumberFormat="1" applyFont="1" applyFill="1" applyBorder="1" applyAlignment="1">
      <alignment horizontal="left" vertical="center"/>
    </xf>
    <xf numFmtId="3" fontId="4" fillId="9" borderId="1" xfId="0" applyNumberFormat="1" applyFont="1" applyFill="1" applyBorder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1" fillId="2" borderId="0" xfId="0" applyFont="1" applyFill="1"/>
    <xf numFmtId="0" fontId="19" fillId="2" borderId="0" xfId="0" applyFont="1" applyFill="1"/>
    <xf numFmtId="0" fontId="13" fillId="2" borderId="0" xfId="0" applyFont="1" applyFill="1"/>
    <xf numFmtId="0" fontId="22" fillId="2" borderId="0" xfId="0" applyFont="1" applyFill="1"/>
    <xf numFmtId="0" fontId="23" fillId="3" borderId="11" xfId="0" applyFont="1" applyFill="1" applyBorder="1" applyAlignment="1">
      <alignment horizontal="center" vertical="center" wrapText="1"/>
    </xf>
    <xf numFmtId="0" fontId="24" fillId="2" borderId="67" xfId="0" applyFont="1" applyFill="1" applyBorder="1" applyAlignment="1">
      <alignment horizontal="left" vertical="center"/>
    </xf>
    <xf numFmtId="2" fontId="24" fillId="2" borderId="50" xfId="0" applyNumberFormat="1" applyFont="1" applyFill="1" applyBorder="1" applyAlignment="1">
      <alignment horizontal="center" vertical="center"/>
    </xf>
    <xf numFmtId="4" fontId="24" fillId="2" borderId="47" xfId="0" applyNumberFormat="1" applyFont="1" applyFill="1" applyBorder="1" applyAlignment="1">
      <alignment horizontal="center" vertical="center"/>
    </xf>
    <xf numFmtId="4" fontId="24" fillId="2" borderId="47" xfId="0" quotePrefix="1" applyNumberFormat="1" applyFont="1" applyFill="1" applyBorder="1" applyAlignment="1">
      <alignment horizontal="center" vertical="center"/>
    </xf>
    <xf numFmtId="4" fontId="24" fillId="2" borderId="39" xfId="0" quotePrefix="1" applyNumberFormat="1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horizontal="left" vertical="center" wrapText="1"/>
    </xf>
    <xf numFmtId="2" fontId="23" fillId="3" borderId="82" xfId="0" applyNumberFormat="1" applyFont="1" applyFill="1" applyBorder="1" applyAlignment="1">
      <alignment horizontal="center" vertical="center"/>
    </xf>
    <xf numFmtId="4" fontId="23" fillId="3" borderId="81" xfId="0" applyNumberFormat="1" applyFont="1" applyFill="1" applyBorder="1" applyAlignment="1">
      <alignment horizontal="center" vertical="center"/>
    </xf>
    <xf numFmtId="4" fontId="23" fillId="3" borderId="81" xfId="0" quotePrefix="1" applyNumberFormat="1" applyFont="1" applyFill="1" applyBorder="1" applyAlignment="1">
      <alignment horizontal="center" vertical="center"/>
    </xf>
    <xf numFmtId="2" fontId="23" fillId="3" borderId="82" xfId="0" applyNumberFormat="1" applyFont="1" applyFill="1" applyBorder="1" applyAlignment="1">
      <alignment horizontal="center" vertical="center" wrapText="1"/>
    </xf>
    <xf numFmtId="4" fontId="23" fillId="3" borderId="27" xfId="0" quotePrefix="1" applyNumberFormat="1" applyFont="1" applyFill="1" applyBorder="1" applyAlignment="1">
      <alignment horizontal="center" vertical="center"/>
    </xf>
    <xf numFmtId="0" fontId="24" fillId="3" borderId="71" xfId="0" applyFont="1" applyFill="1" applyBorder="1" applyAlignment="1">
      <alignment horizontal="left" vertical="center" wrapText="1"/>
    </xf>
    <xf numFmtId="2" fontId="24" fillId="3" borderId="11" xfId="0" applyNumberFormat="1" applyFont="1" applyFill="1" applyBorder="1" applyAlignment="1">
      <alignment horizontal="center" vertical="center"/>
    </xf>
    <xf numFmtId="4" fontId="24" fillId="3" borderId="54" xfId="0" applyNumberFormat="1" applyFont="1" applyFill="1" applyBorder="1" applyAlignment="1">
      <alignment horizontal="center" vertical="center"/>
    </xf>
    <xf numFmtId="4" fontId="24" fillId="3" borderId="54" xfId="0" quotePrefix="1" applyNumberFormat="1" applyFont="1" applyFill="1" applyBorder="1" applyAlignment="1">
      <alignment horizontal="center" vertical="center"/>
    </xf>
    <xf numFmtId="4" fontId="24" fillId="3" borderId="13" xfId="0" quotePrefix="1" applyNumberFormat="1" applyFont="1" applyFill="1" applyBorder="1" applyAlignment="1">
      <alignment horizontal="center" vertical="center"/>
    </xf>
    <xf numFmtId="0" fontId="24" fillId="7" borderId="71" xfId="0" applyFont="1" applyFill="1" applyBorder="1" applyAlignment="1">
      <alignment horizontal="left" vertical="center" wrapText="1"/>
    </xf>
    <xf numFmtId="2" fontId="24" fillId="7" borderId="11" xfId="0" applyNumberFormat="1" applyFont="1" applyFill="1" applyBorder="1" applyAlignment="1">
      <alignment horizontal="center" vertical="center"/>
    </xf>
    <xf numFmtId="4" fontId="24" fillId="7" borderId="54" xfId="0" applyNumberFormat="1" applyFont="1" applyFill="1" applyBorder="1" applyAlignment="1">
      <alignment horizontal="center" vertical="center"/>
    </xf>
    <xf numFmtId="4" fontId="24" fillId="7" borderId="13" xfId="0" applyNumberFormat="1" applyFont="1" applyFill="1" applyBorder="1" applyAlignment="1">
      <alignment horizontal="center" vertical="center"/>
    </xf>
    <xf numFmtId="0" fontId="26" fillId="2" borderId="69" xfId="0" applyFont="1" applyFill="1" applyBorder="1" applyAlignment="1">
      <alignment horizontal="left" vertical="center" wrapText="1"/>
    </xf>
    <xf numFmtId="2" fontId="23" fillId="2" borderId="0" xfId="0" applyNumberFormat="1" applyFont="1" applyFill="1" applyBorder="1" applyAlignment="1">
      <alignment horizontal="center" vertical="center"/>
    </xf>
    <xf numFmtId="4" fontId="23" fillId="2" borderId="0" xfId="0" applyNumberFormat="1" applyFont="1" applyFill="1" applyBorder="1" applyAlignment="1">
      <alignment horizontal="center" vertical="center"/>
    </xf>
    <xf numFmtId="4" fontId="23" fillId="2" borderId="57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 wrapText="1"/>
    </xf>
    <xf numFmtId="4" fontId="23" fillId="2" borderId="56" xfId="0" applyNumberFormat="1" applyFont="1" applyFill="1" applyBorder="1" applyAlignment="1">
      <alignment horizontal="center" vertical="center"/>
    </xf>
    <xf numFmtId="0" fontId="23" fillId="2" borderId="41" xfId="0" applyFont="1" applyFill="1" applyBorder="1" applyAlignment="1">
      <alignment horizontal="left" vertical="center" wrapText="1"/>
    </xf>
    <xf numFmtId="2" fontId="23" fillId="2" borderId="82" xfId="0" applyNumberFormat="1" applyFont="1" applyFill="1" applyBorder="1" applyAlignment="1">
      <alignment horizontal="center" vertical="center"/>
    </xf>
    <xf numFmtId="4" fontId="23" fillId="2" borderId="81" xfId="0" applyNumberFormat="1" applyFont="1" applyFill="1" applyBorder="1" applyAlignment="1">
      <alignment horizontal="center" vertical="center"/>
    </xf>
    <xf numFmtId="0" fontId="23" fillId="2" borderId="82" xfId="0" applyFont="1" applyFill="1" applyBorder="1" applyAlignment="1">
      <alignment horizontal="center" vertical="center" wrapText="1"/>
    </xf>
    <xf numFmtId="4" fontId="23" fillId="2" borderId="27" xfId="0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left" vertical="center" indent="3"/>
    </xf>
    <xf numFmtId="2" fontId="23" fillId="2" borderId="9" xfId="0" applyNumberFormat="1" applyFont="1" applyFill="1" applyBorder="1" applyAlignment="1">
      <alignment horizontal="center" vertical="center"/>
    </xf>
    <xf numFmtId="4" fontId="23" fillId="2" borderId="45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4" fontId="23" fillId="2" borderId="10" xfId="0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left" vertical="center" wrapText="1" indent="3"/>
    </xf>
    <xf numFmtId="0" fontId="23" fillId="2" borderId="9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 wrapText="1"/>
    </xf>
    <xf numFmtId="0" fontId="23" fillId="2" borderId="71" xfId="0" applyFont="1" applyFill="1" applyBorder="1" applyAlignment="1">
      <alignment horizontal="left" vertical="center" wrapText="1" indent="3"/>
    </xf>
    <xf numFmtId="2" fontId="23" fillId="2" borderId="11" xfId="0" applyNumberFormat="1" applyFont="1" applyFill="1" applyBorder="1" applyAlignment="1">
      <alignment horizontal="center" vertical="center"/>
    </xf>
    <xf numFmtId="4" fontId="23" fillId="2" borderId="54" xfId="0" applyNumberFormat="1" applyFont="1" applyFill="1" applyBorder="1" applyAlignment="1">
      <alignment horizontal="center" vertical="center"/>
    </xf>
    <xf numFmtId="2" fontId="23" fillId="2" borderId="11" xfId="0" applyNumberFormat="1" applyFont="1" applyFill="1" applyBorder="1" applyAlignment="1">
      <alignment horizontal="center" vertical="center" wrapText="1"/>
    </xf>
    <xf numFmtId="4" fontId="23" fillId="2" borderId="13" xfId="0" applyNumberFormat="1" applyFont="1" applyFill="1" applyBorder="1" applyAlignment="1">
      <alignment horizontal="center" vertical="center"/>
    </xf>
    <xf numFmtId="4" fontId="0" fillId="2" borderId="0" xfId="0" applyNumberFormat="1" applyFont="1" applyFill="1"/>
    <xf numFmtId="4" fontId="23" fillId="3" borderId="54" xfId="0" applyNumberFormat="1" applyFont="1" applyFill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center" vertical="center"/>
    </xf>
    <xf numFmtId="165" fontId="4" fillId="2" borderId="33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3" fontId="6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center" vertical="center" wrapText="1"/>
    </xf>
    <xf numFmtId="14" fontId="4" fillId="9" borderId="50" xfId="0" applyNumberFormat="1" applyFont="1" applyFill="1" applyBorder="1" applyAlignment="1">
      <alignment horizontal="center" vertical="center" wrapText="1"/>
    </xf>
    <xf numFmtId="14" fontId="4" fillId="9" borderId="58" xfId="0" applyNumberFormat="1" applyFont="1" applyFill="1" applyBorder="1" applyAlignment="1">
      <alignment horizontal="center" vertical="center" wrapText="1"/>
    </xf>
    <xf numFmtId="0" fontId="4" fillId="9" borderId="92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/>
    </xf>
    <xf numFmtId="3" fontId="6" fillId="3" borderId="56" xfId="0" applyNumberFormat="1" applyFont="1" applyFill="1" applyBorder="1" applyAlignment="1">
      <alignment horizontal="center" vertical="center"/>
    </xf>
    <xf numFmtId="3" fontId="13" fillId="3" borderId="50" xfId="0" applyNumberFormat="1" applyFont="1" applyFill="1" applyBorder="1" applyAlignment="1">
      <alignment horizontal="center" vertical="center"/>
    </xf>
    <xf numFmtId="3" fontId="13" fillId="3" borderId="58" xfId="0" applyNumberFormat="1" applyFont="1" applyFill="1" applyBorder="1" applyAlignment="1">
      <alignment horizontal="center" vertical="center"/>
    </xf>
    <xf numFmtId="3" fontId="4" fillId="3" borderId="82" xfId="0" applyNumberFormat="1" applyFont="1" applyFill="1" applyBorder="1" applyAlignment="1">
      <alignment horizontal="center" vertical="center"/>
    </xf>
    <xf numFmtId="3" fontId="4" fillId="3" borderId="43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21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3" fontId="4" fillId="3" borderId="59" xfId="0" applyNumberFormat="1" applyFont="1" applyFill="1" applyBorder="1" applyAlignment="1">
      <alignment horizontal="center" vertical="center"/>
    </xf>
    <xf numFmtId="3" fontId="4" fillId="2" borderId="98" xfId="0" applyNumberFormat="1" applyFont="1" applyFill="1" applyBorder="1"/>
    <xf numFmtId="3" fontId="9" fillId="2" borderId="12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3" fontId="4" fillId="2" borderId="99" xfId="0" quotePrefix="1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wrapText="1"/>
    </xf>
    <xf numFmtId="165" fontId="6" fillId="2" borderId="0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165" fontId="4" fillId="2" borderId="0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 vertical="center"/>
    </xf>
    <xf numFmtId="164" fontId="0" fillId="2" borderId="0" xfId="0" applyNumberFormat="1" applyFont="1" applyFill="1" applyAlignment="1">
      <alignment horizontal="left" vertical="center"/>
    </xf>
    <xf numFmtId="165" fontId="4" fillId="2" borderId="8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/>
    </xf>
    <xf numFmtId="164" fontId="4" fillId="2" borderId="0" xfId="0" quotePrefix="1" applyNumberFormat="1" applyFont="1" applyFill="1" applyBorder="1" applyAlignment="1">
      <alignment horizontal="center"/>
    </xf>
    <xf numFmtId="165" fontId="8" fillId="4" borderId="0" xfId="0" quotePrefix="1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wrapText="1"/>
    </xf>
    <xf numFmtId="0" fontId="4" fillId="3" borderId="5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wrapText="1"/>
    </xf>
    <xf numFmtId="14" fontId="4" fillId="3" borderId="52" xfId="0" applyNumberFormat="1" applyFont="1" applyFill="1" applyBorder="1" applyAlignment="1">
      <alignment horizontal="center" vertical="center" wrapText="1"/>
    </xf>
    <xf numFmtId="3" fontId="4" fillId="2" borderId="99" xfId="0" applyNumberFormat="1" applyFont="1" applyFill="1" applyBorder="1" applyAlignment="1">
      <alignment horizontal="center" vertical="center"/>
    </xf>
    <xf numFmtId="14" fontId="4" fillId="3" borderId="57" xfId="0" applyNumberFormat="1" applyFont="1" applyFill="1" applyBorder="1" applyAlignment="1">
      <alignment horizontal="center" vertical="center" wrapText="1"/>
    </xf>
    <xf numFmtId="3" fontId="4" fillId="2" borderId="100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5" fontId="4" fillId="2" borderId="34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left" vertical="center" wrapText="1"/>
    </xf>
    <xf numFmtId="3" fontId="6" fillId="10" borderId="57" xfId="0" applyNumberFormat="1" applyFont="1" applyFill="1" applyBorder="1" applyAlignment="1">
      <alignment horizontal="center" vertical="center"/>
    </xf>
    <xf numFmtId="3" fontId="6" fillId="10" borderId="4" xfId="0" applyNumberFormat="1" applyFont="1" applyFill="1" applyBorder="1" applyAlignment="1">
      <alignment horizontal="center" vertical="center"/>
    </xf>
    <xf numFmtId="3" fontId="6" fillId="10" borderId="3" xfId="0" applyNumberFormat="1" applyFont="1" applyFill="1" applyBorder="1" applyAlignment="1">
      <alignment horizontal="center" vertical="center"/>
    </xf>
    <xf numFmtId="3" fontId="6" fillId="10" borderId="6" xfId="0" applyNumberFormat="1" applyFont="1" applyFill="1" applyBorder="1" applyAlignment="1">
      <alignment horizontal="center" vertical="center"/>
    </xf>
    <xf numFmtId="165" fontId="6" fillId="10" borderId="52" xfId="0" applyNumberFormat="1" applyFont="1" applyFill="1" applyBorder="1" applyAlignment="1">
      <alignment horizontal="center" vertical="center"/>
    </xf>
    <xf numFmtId="165" fontId="6" fillId="10" borderId="4" xfId="0" applyNumberFormat="1" applyFont="1" applyFill="1" applyBorder="1" applyAlignment="1">
      <alignment horizontal="center" vertical="center"/>
    </xf>
    <xf numFmtId="165" fontId="6" fillId="10" borderId="3" xfId="0" applyNumberFormat="1" applyFont="1" applyFill="1" applyBorder="1" applyAlignment="1">
      <alignment horizontal="center" vertical="center"/>
    </xf>
    <xf numFmtId="165" fontId="6" fillId="10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 wrapText="1"/>
    </xf>
    <xf numFmtId="3" fontId="4" fillId="3" borderId="20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165" fontId="4" fillId="3" borderId="45" xfId="0" applyNumberFormat="1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165" fontId="4" fillId="3" borderId="18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/>
    <xf numFmtId="0" fontId="30" fillId="2" borderId="0" xfId="0" applyFont="1" applyFill="1"/>
    <xf numFmtId="0" fontId="30" fillId="2" borderId="1" xfId="0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3" fontId="30" fillId="3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3" fontId="4" fillId="9" borderId="1" xfId="0" applyNumberFormat="1" applyFont="1" applyFill="1" applyBorder="1"/>
    <xf numFmtId="0" fontId="4" fillId="3" borderId="80" xfId="0" applyFont="1" applyFill="1" applyBorder="1" applyAlignment="1">
      <alignment horizontal="center" vertical="center" wrapText="1"/>
    </xf>
    <xf numFmtId="3" fontId="10" fillId="2" borderId="43" xfId="0" applyNumberFormat="1" applyFont="1" applyFill="1" applyBorder="1" applyAlignment="1">
      <alignment horizontal="center" vertical="center" wrapText="1"/>
    </xf>
    <xf numFmtId="0" fontId="16" fillId="0" borderId="22" xfId="5" quotePrefix="1" applyBorder="1" applyAlignment="1">
      <alignment horizontal="left" vertical="center" wrapText="1"/>
    </xf>
    <xf numFmtId="0" fontId="16" fillId="0" borderId="51" xfId="5" quotePrefix="1" applyBorder="1" applyAlignment="1">
      <alignment horizontal="left" vertical="center" wrapText="1"/>
    </xf>
    <xf numFmtId="0" fontId="16" fillId="0" borderId="51" xfId="7" quotePrefix="1" applyBorder="1" applyAlignment="1">
      <alignment horizontal="left" vertical="center" wrapText="1"/>
    </xf>
    <xf numFmtId="0" fontId="2" fillId="0" borderId="51" xfId="6" quotePrefix="1" applyBorder="1" applyAlignment="1">
      <alignment horizontal="left" vertical="center" wrapText="1"/>
    </xf>
    <xf numFmtId="0" fontId="16" fillId="2" borderId="51" xfId="5" quotePrefix="1" applyFill="1" applyBorder="1" applyAlignment="1">
      <alignment horizontal="left" vertical="center" wrapText="1"/>
    </xf>
    <xf numFmtId="0" fontId="16" fillId="0" borderId="95" xfId="5" quotePrefix="1" applyBorder="1" applyAlignment="1">
      <alignment horizontal="left" vertical="center" wrapText="1"/>
    </xf>
    <xf numFmtId="0" fontId="16" fillId="3" borderId="51" xfId="5" quotePrefix="1" applyFill="1" applyBorder="1" applyAlignment="1">
      <alignment horizontal="left" vertical="center" wrapText="1"/>
    </xf>
    <xf numFmtId="0" fontId="16" fillId="3" borderId="11" xfId="7" quotePrefix="1" applyFill="1" applyBorder="1" applyAlignment="1">
      <alignment horizontal="left" vertical="center" wrapText="1"/>
    </xf>
    <xf numFmtId="164" fontId="9" fillId="2" borderId="6" xfId="2" applyNumberFormat="1" applyFont="1" applyFill="1" applyBorder="1" applyAlignment="1">
      <alignment horizontal="center" vertical="center" wrapText="1"/>
    </xf>
    <xf numFmtId="164" fontId="4" fillId="3" borderId="66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 wrapText="1"/>
    </xf>
    <xf numFmtId="164" fontId="10" fillId="3" borderId="10" xfId="0" quotePrefix="1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/>
    </xf>
    <xf numFmtId="164" fontId="10" fillId="2" borderId="10" xfId="0" quotePrefix="1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/>
    </xf>
    <xf numFmtId="2" fontId="8" fillId="3" borderId="66" xfId="0" applyNumberFormat="1" applyFont="1" applyFill="1" applyBorder="1" applyAlignment="1">
      <alignment horizontal="center" vertical="center" wrapText="1"/>
    </xf>
    <xf numFmtId="3" fontId="9" fillId="2" borderId="56" xfId="2" applyNumberFormat="1" applyFont="1" applyFill="1" applyBorder="1" applyAlignment="1">
      <alignment horizontal="center" vertical="center" wrapText="1"/>
    </xf>
    <xf numFmtId="3" fontId="10" fillId="2" borderId="21" xfId="0" applyNumberFormat="1" applyFont="1" applyFill="1" applyBorder="1" applyAlignment="1">
      <alignment horizontal="center" vertical="center" wrapText="1"/>
    </xf>
    <xf numFmtId="3" fontId="10" fillId="3" borderId="21" xfId="0" applyNumberFormat="1" applyFont="1" applyFill="1" applyBorder="1" applyAlignment="1">
      <alignment horizontal="center" vertical="center" wrapText="1"/>
    </xf>
    <xf numFmtId="3" fontId="10" fillId="3" borderId="21" xfId="0" quotePrefix="1" applyNumberFormat="1" applyFont="1" applyFill="1" applyBorder="1" applyAlignment="1">
      <alignment horizontal="center" vertical="center" wrapText="1"/>
    </xf>
    <xf numFmtId="3" fontId="10" fillId="2" borderId="78" xfId="0" applyNumberFormat="1" applyFon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/>
    </xf>
    <xf numFmtId="3" fontId="10" fillId="2" borderId="21" xfId="0" quotePrefix="1" applyNumberFormat="1" applyFont="1" applyFill="1" applyBorder="1" applyAlignment="1">
      <alignment horizontal="center" vertical="center" wrapText="1"/>
    </xf>
    <xf numFmtId="3" fontId="5" fillId="3" borderId="21" xfId="0" applyNumberFormat="1" applyFont="1" applyFill="1" applyBorder="1" applyAlignment="1">
      <alignment horizontal="center"/>
    </xf>
    <xf numFmtId="3" fontId="5" fillId="3" borderId="59" xfId="0" applyNumberFormat="1" applyFont="1" applyFill="1" applyBorder="1" applyAlignment="1">
      <alignment horizontal="center"/>
    </xf>
    <xf numFmtId="2" fontId="9" fillId="2" borderId="56" xfId="0" applyNumberFormat="1" applyFont="1" applyFill="1" applyBorder="1" applyAlignment="1">
      <alignment horizontal="left" vertical="center" wrapText="1"/>
    </xf>
    <xf numFmtId="2" fontId="8" fillId="3" borderId="66" xfId="0" applyNumberFormat="1" applyFont="1" applyFill="1" applyBorder="1" applyAlignment="1">
      <alignment horizontal="left" vertical="center" wrapText="1"/>
    </xf>
    <xf numFmtId="0" fontId="17" fillId="2" borderId="27" xfId="5" quotePrefix="1" applyFont="1" applyFill="1" applyBorder="1" applyAlignment="1">
      <alignment horizontal="center" vertical="center" wrapText="1"/>
    </xf>
    <xf numFmtId="0" fontId="17" fillId="2" borderId="10" xfId="5" quotePrefix="1" applyFont="1" applyFill="1" applyBorder="1" applyAlignment="1">
      <alignment horizontal="center" vertical="center" wrapText="1"/>
    </xf>
    <xf numFmtId="0" fontId="17" fillId="3" borderId="10" xfId="5" quotePrefix="1" applyFont="1" applyFill="1" applyBorder="1" applyAlignment="1">
      <alignment horizontal="center" vertical="center" wrapText="1"/>
    </xf>
    <xf numFmtId="0" fontId="17" fillId="3" borderId="13" xfId="5" quotePrefix="1" applyFont="1" applyFill="1" applyBorder="1" applyAlignment="1">
      <alignment horizontal="center" vertical="center" wrapText="1"/>
    </xf>
    <xf numFmtId="1" fontId="8" fillId="2" borderId="32" xfId="0" applyNumberFormat="1" applyFont="1" applyFill="1" applyBorder="1" applyAlignment="1">
      <alignment horizontal="center" vertical="center" wrapText="1"/>
    </xf>
    <xf numFmtId="1" fontId="8" fillId="2" borderId="18" xfId="0" applyNumberFormat="1" applyFont="1" applyFill="1" applyBorder="1" applyAlignment="1">
      <alignment horizontal="center" vertical="center" wrapText="1"/>
    </xf>
    <xf numFmtId="1" fontId="8" fillId="2" borderId="63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/>
    </xf>
    <xf numFmtId="1" fontId="8" fillId="2" borderId="18" xfId="0" quotePrefix="1" applyNumberFormat="1" applyFont="1" applyFill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left" vertical="center" wrapText="1"/>
    </xf>
    <xf numFmtId="164" fontId="8" fillId="3" borderId="10" xfId="0" quotePrefix="1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/>
    </xf>
    <xf numFmtId="164" fontId="8" fillId="2" borderId="10" xfId="0" quotePrefix="1" applyNumberFormat="1" applyFont="1" applyFill="1" applyBorder="1" applyAlignment="1">
      <alignment horizontal="left" vertical="center" wrapText="1"/>
    </xf>
    <xf numFmtId="164" fontId="4" fillId="3" borderId="10" xfId="0" applyNumberFormat="1" applyFont="1" applyFill="1" applyBorder="1" applyAlignment="1">
      <alignment horizontal="left"/>
    </xf>
    <xf numFmtId="164" fontId="9" fillId="2" borderId="0" xfId="2" applyNumberFormat="1" applyFont="1" applyFill="1" applyBorder="1" applyAlignment="1">
      <alignment horizontal="center" vertical="center" wrapText="1"/>
    </xf>
    <xf numFmtId="164" fontId="4" fillId="2" borderId="68" xfId="0" applyNumberFormat="1" applyFont="1" applyFill="1" applyBorder="1" applyAlignment="1">
      <alignment horizontal="center" vertical="center"/>
    </xf>
    <xf numFmtId="1" fontId="5" fillId="2" borderId="101" xfId="0" applyNumberFormat="1" applyFont="1" applyFill="1" applyBorder="1" applyAlignment="1">
      <alignment horizontal="center"/>
    </xf>
    <xf numFmtId="164" fontId="5" fillId="2" borderId="101" xfId="0" applyNumberFormat="1" applyFont="1" applyFill="1" applyBorder="1" applyAlignment="1">
      <alignment horizontal="left"/>
    </xf>
    <xf numFmtId="164" fontId="5" fillId="2" borderId="101" xfId="0" applyNumberFormat="1" applyFont="1" applyFill="1" applyBorder="1" applyAlignment="1">
      <alignment horizontal="center"/>
    </xf>
    <xf numFmtId="164" fontId="8" fillId="3" borderId="10" xfId="0" applyNumberFormat="1" applyFont="1" applyFill="1" applyBorder="1" applyAlignment="1">
      <alignment horizontal="center" vertical="center" wrapText="1"/>
    </xf>
    <xf numFmtId="164" fontId="8" fillId="3" borderId="10" xfId="0" quotePrefix="1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8" fillId="3" borderId="27" xfId="0" applyNumberFormat="1" applyFont="1" applyFill="1" applyBorder="1" applyAlignment="1">
      <alignment horizontal="left" vertical="center" wrapText="1"/>
    </xf>
    <xf numFmtId="164" fontId="8" fillId="3" borderId="27" xfId="0" applyNumberFormat="1" applyFont="1" applyFill="1" applyBorder="1" applyAlignment="1">
      <alignment horizontal="center" vertical="center" wrapText="1"/>
    </xf>
    <xf numFmtId="164" fontId="8" fillId="3" borderId="49" xfId="0" applyNumberFormat="1" applyFont="1" applyFill="1" applyBorder="1" applyAlignment="1">
      <alignment horizontal="left" vertical="center" wrapText="1"/>
    </xf>
    <xf numFmtId="164" fontId="8" fillId="3" borderId="49" xfId="0" applyNumberFormat="1" applyFont="1" applyFill="1" applyBorder="1" applyAlignment="1">
      <alignment horizontal="center" vertical="center" wrapText="1"/>
    </xf>
    <xf numFmtId="0" fontId="23" fillId="3" borderId="64" xfId="0" applyFont="1" applyFill="1" applyBorder="1" applyAlignment="1">
      <alignment horizontal="left" vertical="center" wrapText="1"/>
    </xf>
    <xf numFmtId="0" fontId="23" fillId="3" borderId="22" xfId="0" applyFont="1" applyFill="1" applyBorder="1" applyAlignment="1">
      <alignment horizontal="center" vertical="center"/>
    </xf>
    <xf numFmtId="4" fontId="23" fillId="3" borderId="23" xfId="0" applyNumberFormat="1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 wrapText="1"/>
    </xf>
    <xf numFmtId="4" fontId="23" fillId="3" borderId="46" xfId="0" applyNumberFormat="1" applyFont="1" applyFill="1" applyBorder="1" applyAlignment="1">
      <alignment horizontal="center" vertical="center"/>
    </xf>
    <xf numFmtId="4" fontId="23" fillId="3" borderId="49" xfId="0" applyNumberFormat="1" applyFont="1" applyFill="1" applyBorder="1" applyAlignment="1">
      <alignment horizontal="center" vertical="center"/>
    </xf>
    <xf numFmtId="0" fontId="23" fillId="3" borderId="71" xfId="0" applyFont="1" applyFill="1" applyBorder="1" applyAlignment="1">
      <alignment horizontal="left" vertical="center" wrapText="1"/>
    </xf>
    <xf numFmtId="2" fontId="23" fillId="3" borderId="11" xfId="0" applyNumberFormat="1" applyFont="1" applyFill="1" applyBorder="1" applyAlignment="1">
      <alignment horizontal="center" vertical="center"/>
    </xf>
    <xf numFmtId="4" fontId="23" fillId="3" borderId="54" xfId="0" quotePrefix="1" applyNumberFormat="1" applyFont="1" applyFill="1" applyBorder="1" applyAlignment="1">
      <alignment horizontal="center" vertical="center"/>
    </xf>
    <xf numFmtId="4" fontId="23" fillId="3" borderId="13" xfId="0" quotePrefix="1" applyNumberFormat="1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 wrapText="1"/>
    </xf>
    <xf numFmtId="0" fontId="23" fillId="7" borderId="54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165" fontId="19" fillId="2" borderId="0" xfId="0" applyNumberFormat="1" applyFont="1" applyFill="1" applyAlignment="1">
      <alignment horizontal="left" vertical="center"/>
    </xf>
    <xf numFmtId="165" fontId="19" fillId="2" borderId="0" xfId="0" applyNumberFormat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wrapText="1"/>
    </xf>
    <xf numFmtId="0" fontId="4" fillId="3" borderId="84" xfId="0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82" xfId="0" applyFont="1" applyFill="1" applyBorder="1" applyAlignment="1">
      <alignment vertical="center" wrapText="1"/>
    </xf>
    <xf numFmtId="0" fontId="10" fillId="3" borderId="26" xfId="0" applyFont="1" applyFill="1" applyBorder="1" applyAlignment="1">
      <alignment horizontal="center" vertical="center" wrapText="1"/>
    </xf>
    <xf numFmtId="164" fontId="10" fillId="3" borderId="27" xfId="0" applyNumberFormat="1" applyFont="1" applyFill="1" applyBorder="1" applyAlignment="1">
      <alignment horizontal="center" vertical="center" wrapText="1"/>
    </xf>
    <xf numFmtId="2" fontId="9" fillId="2" borderId="4" xfId="0" quotePrefix="1" applyNumberFormat="1" applyFont="1" applyFill="1" applyBorder="1" applyAlignment="1">
      <alignment horizontal="center" vertical="center" wrapText="1"/>
    </xf>
    <xf numFmtId="0" fontId="16" fillId="0" borderId="22" xfId="5" quotePrefix="1" applyBorder="1" applyAlignment="1">
      <alignment horizontal="center" vertical="center" wrapText="1"/>
    </xf>
    <xf numFmtId="0" fontId="16" fillId="0" borderId="51" xfId="5" quotePrefix="1" applyBorder="1" applyAlignment="1">
      <alignment horizontal="center" vertical="center" wrapText="1"/>
    </xf>
    <xf numFmtId="0" fontId="16" fillId="3" borderId="51" xfId="5" quotePrefix="1" applyFill="1" applyBorder="1" applyAlignment="1">
      <alignment horizontal="center" vertical="center" wrapText="1"/>
    </xf>
    <xf numFmtId="0" fontId="2" fillId="0" borderId="51" xfId="6" quotePrefix="1" applyBorder="1" applyAlignment="1">
      <alignment horizontal="center" vertical="center" wrapText="1"/>
    </xf>
    <xf numFmtId="0" fontId="16" fillId="0" borderId="51" xfId="7" quotePrefix="1" applyBorder="1" applyAlignment="1">
      <alignment horizontal="center" vertical="center" wrapText="1"/>
    </xf>
    <xf numFmtId="0" fontId="16" fillId="0" borderId="95" xfId="5" quotePrefix="1" applyBorder="1" applyAlignment="1">
      <alignment horizontal="center" vertical="center" wrapText="1"/>
    </xf>
    <xf numFmtId="0" fontId="16" fillId="2" borderId="51" xfId="5" quotePrefix="1" applyFill="1" applyBorder="1" applyAlignment="1">
      <alignment horizontal="center" vertical="center" wrapText="1"/>
    </xf>
    <xf numFmtId="0" fontId="16" fillId="3" borderId="11" xfId="7" quotePrefix="1" applyFill="1" applyBorder="1" applyAlignment="1">
      <alignment horizontal="center" vertical="center" wrapText="1"/>
    </xf>
    <xf numFmtId="2" fontId="8" fillId="3" borderId="64" xfId="0" quotePrefix="1" applyNumberFormat="1" applyFont="1" applyFill="1" applyBorder="1" applyAlignment="1">
      <alignment horizontal="center" vertical="center" wrapText="1"/>
    </xf>
    <xf numFmtId="164" fontId="4" fillId="10" borderId="0" xfId="0" applyNumberFormat="1" applyFont="1" applyFill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8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84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8" fillId="3" borderId="66" xfId="0" applyFont="1" applyFill="1" applyBorder="1" applyAlignment="1">
      <alignment horizontal="center" vertical="center" wrapText="1"/>
    </xf>
    <xf numFmtId="0" fontId="18" fillId="3" borderId="80" xfId="0" applyFont="1" applyFill="1" applyBorder="1" applyAlignment="1">
      <alignment horizontal="center" vertical="center" wrapText="1"/>
    </xf>
    <xf numFmtId="0" fontId="18" fillId="3" borderId="58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10" borderId="44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82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8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3" borderId="67" xfId="0" applyFont="1" applyFill="1" applyBorder="1" applyAlignment="1">
      <alignment horizontal="center" vertical="center"/>
    </xf>
    <xf numFmtId="14" fontId="4" fillId="3" borderId="82" xfId="0" applyNumberFormat="1" applyFont="1" applyFill="1" applyBorder="1" applyAlignment="1">
      <alignment horizontal="center" vertical="center" wrapText="1"/>
    </xf>
    <xf numFmtId="14" fontId="4" fillId="3" borderId="27" xfId="0" applyNumberFormat="1" applyFont="1" applyFill="1" applyBorder="1" applyAlignment="1">
      <alignment horizontal="center" vertical="center" wrapText="1"/>
    </xf>
    <xf numFmtId="14" fontId="4" fillId="3" borderId="26" xfId="0" applyNumberFormat="1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4" fontId="4" fillId="3" borderId="5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14" fontId="4" fillId="9" borderId="41" xfId="0" applyNumberFormat="1" applyFont="1" applyFill="1" applyBorder="1" applyAlignment="1">
      <alignment horizontal="center" vertical="center" wrapText="1"/>
    </xf>
    <xf numFmtId="14" fontId="4" fillId="9" borderId="43" xfId="0" applyNumberFormat="1" applyFont="1" applyFill="1" applyBorder="1" applyAlignment="1">
      <alignment horizontal="center" vertical="center" wrapText="1"/>
    </xf>
    <xf numFmtId="14" fontId="4" fillId="3" borderId="41" xfId="0" applyNumberFormat="1" applyFont="1" applyFill="1" applyBorder="1" applyAlignment="1">
      <alignment horizontal="center" vertical="center" wrapText="1"/>
    </xf>
    <xf numFmtId="14" fontId="4" fillId="3" borderId="43" xfId="0" applyNumberFormat="1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4" fillId="3" borderId="82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82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6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1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 wrapText="1"/>
    </xf>
    <xf numFmtId="0" fontId="4" fillId="9" borderId="84" xfId="0" applyFont="1" applyFill="1" applyBorder="1" applyAlignment="1">
      <alignment horizontal="center" vertical="center" wrapText="1"/>
    </xf>
    <xf numFmtId="0" fontId="4" fillId="9" borderId="50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4" fillId="3" borderId="39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2" fontId="8" fillId="3" borderId="24" xfId="0" applyNumberFormat="1" applyFont="1" applyFill="1" applyBorder="1" applyAlignment="1">
      <alignment horizontal="center" vertical="center" wrapText="1"/>
    </xf>
    <xf numFmtId="2" fontId="8" fillId="3" borderId="39" xfId="0" applyNumberFormat="1" applyFont="1" applyFill="1" applyBorder="1" applyAlignment="1">
      <alignment horizontal="center" vertical="center" wrapText="1"/>
    </xf>
    <xf numFmtId="2" fontId="8" fillId="3" borderId="44" xfId="0" applyNumberFormat="1" applyFont="1" applyFill="1" applyBorder="1" applyAlignment="1">
      <alignment horizontal="center" vertical="center" wrapText="1"/>
    </xf>
    <xf numFmtId="2" fontId="8" fillId="3" borderId="36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4" fillId="3" borderId="50" xfId="0" applyFont="1" applyFill="1" applyBorder="1"/>
    <xf numFmtId="0" fontId="8" fillId="3" borderId="87" xfId="0" applyFont="1" applyFill="1" applyBorder="1" applyAlignment="1">
      <alignment horizontal="center" vertical="center" wrapText="1"/>
    </xf>
    <xf numFmtId="0" fontId="4" fillId="3" borderId="47" xfId="0" applyFont="1" applyFill="1" applyBorder="1"/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/>
    <xf numFmtId="0" fontId="8" fillId="3" borderId="64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/>
    <xf numFmtId="0" fontId="4" fillId="2" borderId="0" xfId="0" applyFont="1" applyFill="1" applyBorder="1" applyAlignment="1"/>
    <xf numFmtId="0" fontId="4" fillId="3" borderId="81" xfId="0" applyFont="1" applyFill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 wrapText="1"/>
    </xf>
    <xf numFmtId="0" fontId="4" fillId="3" borderId="86" xfId="0" applyFont="1" applyFill="1" applyBorder="1" applyAlignment="1">
      <alignment horizontal="center" vertical="center" wrapText="1"/>
    </xf>
    <xf numFmtId="0" fontId="23" fillId="7" borderId="64" xfId="0" applyFont="1" applyFill="1" applyBorder="1" applyAlignment="1">
      <alignment horizontal="center" vertical="center" wrapText="1"/>
    </xf>
    <xf numFmtId="0" fontId="23" fillId="7" borderId="67" xfId="0" applyFont="1" applyFill="1" applyBorder="1" applyAlignment="1">
      <alignment horizontal="center" vertical="center" wrapText="1"/>
    </xf>
    <xf numFmtId="0" fontId="23" fillId="7" borderId="41" xfId="0" applyFont="1" applyFill="1" applyBorder="1" applyAlignment="1">
      <alignment horizontal="center" vertical="center"/>
    </xf>
    <xf numFmtId="0" fontId="23" fillId="7" borderId="42" xfId="0" applyFont="1" applyFill="1" applyBorder="1" applyAlignment="1">
      <alignment horizontal="center" vertical="center"/>
    </xf>
    <xf numFmtId="0" fontId="23" fillId="7" borderId="41" xfId="0" applyFont="1" applyFill="1" applyBorder="1" applyAlignment="1">
      <alignment horizontal="center" vertical="center" wrapText="1"/>
    </xf>
    <xf numFmtId="0" fontId="23" fillId="7" borderId="42" xfId="0" applyFont="1" applyFill="1" applyBorder="1" applyAlignment="1">
      <alignment horizontal="center" vertical="center" wrapText="1"/>
    </xf>
    <xf numFmtId="0" fontId="23" fillId="7" borderId="4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</cellXfs>
  <cellStyles count="9">
    <cellStyle name="Dziesiętny" xfId="2" builtinId="3"/>
    <cellStyle name="Normalny" xfId="0" builtinId="0"/>
    <cellStyle name="Procentowy" xfId="3" builtinId="5"/>
    <cellStyle name="S10" xfId="6"/>
    <cellStyle name="S11" xfId="7"/>
    <cellStyle name="S14" xfId="4"/>
    <cellStyle name="S5" xfId="8"/>
    <cellStyle name="S6" xfId="1"/>
    <cellStyle name="S8" xfId="5"/>
  </cellStyles>
  <dxfs count="0"/>
  <tableStyles count="0" defaultTableStyle="TableStyleMedium2" defaultPivotStyle="PivotStyleLight16"/>
  <colors>
    <mruColors>
      <color rgb="FFE4DFEC"/>
      <color rgb="FFF2F0F6"/>
      <color rgb="FFFFFFCC"/>
      <color rgb="FFF4F2F8"/>
      <color rgb="FFEFECF4"/>
      <color rgb="FFD4CAE0"/>
      <color rgb="FF8068A8"/>
      <color rgb="FFFFCC66"/>
      <color rgb="FFFF99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7231553627598"/>
          <c:y val="3.8885303271517291E-2"/>
          <c:w val="0.87742768446372388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T.VIII!$K$10</c:f>
              <c:strCache>
                <c:ptCount val="1"/>
              </c:strCache>
            </c:strRef>
          </c:tx>
          <c:spPr>
            <a:gradFill>
              <a:gsLst>
                <a:gs pos="62000">
                  <a:srgbClr val="7030A0">
                    <a:alpha val="87000"/>
                    <a:lumMod val="88000"/>
                  </a:srgbClr>
                </a:gs>
                <a:gs pos="0">
                  <a:srgbClr val="7B31A9">
                    <a:alpha val="73725"/>
                    <a:lumMod val="49000"/>
                  </a:srgbClr>
                </a:gs>
                <a:gs pos="100000">
                  <a:srgbClr val="B8A2F0">
                    <a:alpha val="66667"/>
                  </a:srgbClr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2"/>
            <c:invertIfNegative val="0"/>
            <c:bubble3D val="0"/>
          </c:dPt>
          <c:dLbls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T.VIII!$K$11:$K$35</c:f>
              <c:strCache>
                <c:ptCount val="25"/>
                <c:pt idx="0">
                  <c:v>dębicki</c:v>
                </c:pt>
                <c:pt idx="1">
                  <c:v>sanocki</c:v>
                </c:pt>
                <c:pt idx="2">
                  <c:v>lubaczowski</c:v>
                </c:pt>
                <c:pt idx="3">
                  <c:v>mielecki</c:v>
                </c:pt>
                <c:pt idx="4">
                  <c:v>krośnieński</c:v>
                </c:pt>
                <c:pt idx="5">
                  <c:v>tarnobrzeski</c:v>
                </c:pt>
                <c:pt idx="6">
                  <c:v>bieszczadzki</c:v>
                </c:pt>
                <c:pt idx="7">
                  <c:v>rzeszowski</c:v>
                </c:pt>
                <c:pt idx="8">
                  <c:v>stalowowolski</c:v>
                </c:pt>
                <c:pt idx="9">
                  <c:v>kolbuszowski</c:v>
                </c:pt>
                <c:pt idx="10">
                  <c:v>Przemyśl</c:v>
                </c:pt>
                <c:pt idx="11">
                  <c:v>Krosno</c:v>
                </c:pt>
                <c:pt idx="12">
                  <c:v>brzozowski</c:v>
                </c:pt>
                <c:pt idx="13">
                  <c:v>jasielski</c:v>
                </c:pt>
                <c:pt idx="14">
                  <c:v>niżański</c:v>
                </c:pt>
                <c:pt idx="15">
                  <c:v>leski</c:v>
                </c:pt>
                <c:pt idx="16">
                  <c:v>łańcucki</c:v>
                </c:pt>
                <c:pt idx="17">
                  <c:v>Tarnobrzeg</c:v>
                </c:pt>
                <c:pt idx="18">
                  <c:v>ropczycko-sędziszowski</c:v>
                </c:pt>
                <c:pt idx="19">
                  <c:v>strzyżowski</c:v>
                </c:pt>
                <c:pt idx="20">
                  <c:v>przemyski</c:v>
                </c:pt>
                <c:pt idx="21">
                  <c:v>Rzeszów</c:v>
                </c:pt>
                <c:pt idx="22">
                  <c:v>leżajski</c:v>
                </c:pt>
                <c:pt idx="23">
                  <c:v>przeworski</c:v>
                </c:pt>
                <c:pt idx="24">
                  <c:v>jarosławski</c:v>
                </c:pt>
              </c:strCache>
            </c:strRef>
          </c:cat>
          <c:val>
            <c:numRef>
              <c:f>T.VIII!$L$11:$L$35</c:f>
              <c:numCache>
                <c:formatCode>0.0</c:formatCode>
                <c:ptCount val="25"/>
                <c:pt idx="0">
                  <c:v>-42.459736456808201</c:v>
                </c:pt>
                <c:pt idx="1">
                  <c:v>-40.899795501022496</c:v>
                </c:pt>
                <c:pt idx="2">
                  <c:v>-40.294117647058826</c:v>
                </c:pt>
                <c:pt idx="3">
                  <c:v>-36.722488038277511</c:v>
                </c:pt>
                <c:pt idx="4">
                  <c:v>-34.523809523809526</c:v>
                </c:pt>
                <c:pt idx="5">
                  <c:v>-31.884057971014492</c:v>
                </c:pt>
                <c:pt idx="6">
                  <c:v>-30.882352941176471</c:v>
                </c:pt>
                <c:pt idx="7">
                  <c:v>-30.555555555555557</c:v>
                </c:pt>
                <c:pt idx="8">
                  <c:v>-30.284552845528456</c:v>
                </c:pt>
                <c:pt idx="9">
                  <c:v>-30.172413793103448</c:v>
                </c:pt>
                <c:pt idx="10">
                  <c:v>-26.797385620915033</c:v>
                </c:pt>
                <c:pt idx="11">
                  <c:v>-25.714285714285715</c:v>
                </c:pt>
                <c:pt idx="12">
                  <c:v>-24.215246636771301</c:v>
                </c:pt>
                <c:pt idx="13">
                  <c:v>-24.041811846689896</c:v>
                </c:pt>
                <c:pt idx="14">
                  <c:v>-24.020887728459531</c:v>
                </c:pt>
                <c:pt idx="15">
                  <c:v>-23.63013698630137</c:v>
                </c:pt>
                <c:pt idx="16">
                  <c:v>-23.229813664596275</c:v>
                </c:pt>
                <c:pt idx="17">
                  <c:v>-20.087336244541486</c:v>
                </c:pt>
                <c:pt idx="18">
                  <c:v>-19.451073985680193</c:v>
                </c:pt>
                <c:pt idx="19">
                  <c:v>-17.241379310344829</c:v>
                </c:pt>
                <c:pt idx="20">
                  <c:v>-17.19242902208202</c:v>
                </c:pt>
                <c:pt idx="21">
                  <c:v>-16.059225512528474</c:v>
                </c:pt>
                <c:pt idx="22">
                  <c:v>-13.93188854489164</c:v>
                </c:pt>
                <c:pt idx="23">
                  <c:v>-9.9369085173501581</c:v>
                </c:pt>
                <c:pt idx="24">
                  <c:v>-6.9444444444444446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175811968"/>
        <c:axId val="195684608"/>
      </c:barChart>
      <c:catAx>
        <c:axId val="175811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95684608"/>
        <c:crosses val="autoZero"/>
        <c:auto val="1"/>
        <c:lblAlgn val="ctr"/>
        <c:lblOffset val="100"/>
        <c:noMultiLvlLbl val="0"/>
      </c:catAx>
      <c:valAx>
        <c:axId val="195684608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758119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7759331399364553"/>
          <c:y val="0.9008436305012435"/>
        </c:manualLayout>
      </c:layout>
      <c:overlay val="1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title>
    <c:autoTitleDeleted val="0"/>
    <c:view3D>
      <c:rotX val="50"/>
      <c:rotY val="70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519405252008473E-2"/>
          <c:y val="7.0328204579701206E-3"/>
          <c:w val="0.98448062319612184"/>
          <c:h val="0.97724464129483812"/>
        </c:manualLayout>
      </c:layout>
      <c:pie3DChart>
        <c:varyColors val="1"/>
        <c:ser>
          <c:idx val="0"/>
          <c:order val="0"/>
          <c:tx>
            <c:strRef>
              <c:f>T.XIV!$P$10</c:f>
              <c:strCache>
                <c:ptCount val="1"/>
                <c:pt idx="0">
                  <c:v>30 VI 2021 r.</c:v>
                </c:pt>
              </c:strCache>
            </c:strRef>
          </c:tx>
          <c:spPr>
            <a:ln w="3175">
              <a:noFill/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h="25400"/>
            </a:sp3d>
          </c:spPr>
          <c:explosion val="4"/>
          <c:dPt>
            <c:idx val="0"/>
            <c:bubble3D val="0"/>
            <c:spPr>
              <a:gradFill>
                <a:gsLst>
                  <a:gs pos="0">
                    <a:srgbClr val="00FF00"/>
                  </a:gs>
                  <a:gs pos="96250">
                    <a:srgbClr val="00FF00"/>
                  </a:gs>
                  <a:gs pos="50000">
                    <a:srgbClr val="00FF00"/>
                  </a:gs>
                  <a:gs pos="100000">
                    <a:srgbClr val="92D050">
                      <a:lumMod val="74000"/>
                      <a:lumOff val="26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</c:dPt>
          <c:dPt>
            <c:idx val="1"/>
            <c:bubble3D val="0"/>
            <c:spPr>
              <a:gradFill>
                <a:gsLst>
                  <a:gs pos="0">
                    <a:srgbClr val="FFC000">
                      <a:lumMod val="96000"/>
                      <a:lumOff val="4000"/>
                    </a:srgbClr>
                  </a:gs>
                  <a:gs pos="69000">
                    <a:srgbClr val="FFB64E"/>
                  </a:gs>
                  <a:gs pos="19000">
                    <a:srgbClr val="FFCC99">
                      <a:lumMod val="86000"/>
                    </a:srgbClr>
                  </a:gs>
                  <a:gs pos="98000">
                    <a:srgbClr val="FFC000">
                      <a:lumMod val="87000"/>
                      <a:lumOff val="13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</c:dPt>
          <c:dPt>
            <c:idx val="2"/>
            <c:bubble3D val="0"/>
            <c:spPr>
              <a:gradFill>
                <a:gsLst>
                  <a:gs pos="0">
                    <a:srgbClr val="934195">
                      <a:lumMod val="67000"/>
                      <a:lumOff val="33000"/>
                    </a:srgbClr>
                  </a:gs>
                  <a:gs pos="50000">
                    <a:srgbClr val="BC96C6">
                      <a:lumMod val="71000"/>
                      <a:lumOff val="29000"/>
                    </a:srgbClr>
                  </a:gs>
                  <a:gs pos="100000">
                    <a:srgbClr val="AF85D1">
                      <a:lumMod val="48000"/>
                      <a:lumOff val="52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</c:dPt>
          <c:dPt>
            <c:idx val="3"/>
            <c:bubble3D val="0"/>
            <c:spPr>
              <a:gradFill>
                <a:gsLst>
                  <a:gs pos="0">
                    <a:srgbClr val="FF9999">
                      <a:lumMod val="89000"/>
                    </a:srgbClr>
                  </a:gs>
                  <a:gs pos="50000">
                    <a:srgbClr val="FF9999">
                      <a:lumMod val="96000"/>
                      <a:lumOff val="4000"/>
                    </a:srgbClr>
                  </a:gs>
                  <a:gs pos="100000">
                    <a:srgbClr val="FF99CC">
                      <a:lumMod val="99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</c:dPt>
          <c:dLbls>
            <c:dLbl>
              <c:idx val="0"/>
              <c:layout>
                <c:manualLayout>
                  <c:x val="-0.18170769443293272"/>
                  <c:y val="-0.24875008601452908"/>
                </c:manualLayout>
              </c:layout>
              <c:tx>
                <c:rich>
                  <a:bodyPr/>
                  <a:lstStyle/>
                  <a:p>
                    <a:r>
                      <a:rPr lang="pl-PL" sz="8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bezr. w wieku do 30 r.ż. tj. 26</a:t>
                    </a:r>
                    <a:r>
                      <a:rPr lang="en-US" sz="8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pl-PL" sz="8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3%</a:t>
                    </a:r>
                    <a:endParaRPr lang="en-US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2930791545793619"/>
                  <c:y val="-0.15940743362135912"/>
                </c:manualLayout>
              </c:layout>
              <c:tx>
                <c:rich>
                  <a:bodyPr/>
                  <a:lstStyle/>
                  <a:p>
                    <a:r>
                      <a:rPr lang="pl-PL" sz="8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bezrobotni w wieku 31-50 lat tj. 50,0%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4225224478519133"/>
                  <c:y val="0.11032311972239425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bezr. w wieku pow. 50 lat tj. 23,7%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8508509327532052E-2"/>
                  <c:y val="-0.32730992158199795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Usługi</a:t>
                    </a:r>
                  </a:p>
                  <a:p>
                    <a:r>
                      <a:rPr lang="pl-PL" sz="800"/>
                      <a:t>31,8 %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31219512845254532"/>
                  <c:y val="-1.0222284161382482E-2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1000 i więcej</a:t>
                    </a:r>
                  </a:p>
                  <a:p>
                    <a:r>
                      <a:rPr lang="en-US" sz="800"/>
                      <a:t>0,0</a:t>
                    </a:r>
                    <a:r>
                      <a:rPr lang="pl-PL" sz="800"/>
                      <a:t>2 %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T.XIV!$P$11:$P$13</c:f>
              <c:strCache>
                <c:ptCount val="3"/>
                <c:pt idx="0">
                  <c:v>do 30</c:v>
                </c:pt>
                <c:pt idx="1">
                  <c:v>31-50</c:v>
                </c:pt>
                <c:pt idx="2">
                  <c:v>pow.50</c:v>
                </c:pt>
              </c:strCache>
            </c:strRef>
          </c:cat>
          <c:val>
            <c:numRef>
              <c:f>T.XIV!$R$11:$R$13</c:f>
              <c:numCache>
                <c:formatCode>0.0</c:formatCode>
                <c:ptCount val="3"/>
                <c:pt idx="0">
                  <c:v>26.289780589049215</c:v>
                </c:pt>
                <c:pt idx="1">
                  <c:v>50.024708440403245</c:v>
                </c:pt>
                <c:pt idx="2">
                  <c:v>23.685510970547536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pl-PL" b="0"/>
              <a:t>oferty ogółem</a:t>
            </a:r>
          </a:p>
          <a:p>
            <a:pPr>
              <a:defRPr b="0"/>
            </a:pPr>
            <a:r>
              <a:rPr lang="pl-PL" b="0"/>
              <a:t>w półroczach </a:t>
            </a:r>
          </a:p>
        </c:rich>
      </c:tx>
      <c:layout>
        <c:manualLayout>
          <c:xMode val="edge"/>
          <c:yMode val="edge"/>
          <c:x val="8.4798714392203794E-2"/>
          <c:y val="5.61700986964377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T.XX!$L$10</c:f>
              <c:strCache>
                <c:ptCount val="1"/>
                <c:pt idx="0">
                  <c:v>oferty og. w Ip. danego roku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T.XX!$K$12:$K$34</c:f>
              <c:strCache>
                <c:ptCount val="23"/>
                <c:pt idx="0">
                  <c:v>Ip. '99</c:v>
                </c:pt>
                <c:pt idx="1">
                  <c:v>Ip. '00</c:v>
                </c:pt>
                <c:pt idx="2">
                  <c:v>Ip. '01</c:v>
                </c:pt>
                <c:pt idx="3">
                  <c:v>Ip. '02</c:v>
                </c:pt>
                <c:pt idx="4">
                  <c:v>Ip. '03</c:v>
                </c:pt>
                <c:pt idx="5">
                  <c:v>Ip. '04</c:v>
                </c:pt>
                <c:pt idx="6">
                  <c:v>Ip. '05</c:v>
                </c:pt>
                <c:pt idx="7">
                  <c:v>Ip. '06</c:v>
                </c:pt>
                <c:pt idx="8">
                  <c:v>Ip. '07</c:v>
                </c:pt>
                <c:pt idx="9">
                  <c:v>Ip. '08</c:v>
                </c:pt>
                <c:pt idx="10">
                  <c:v>Ip. '09</c:v>
                </c:pt>
                <c:pt idx="11">
                  <c:v>Ip. '10</c:v>
                </c:pt>
                <c:pt idx="12">
                  <c:v>Ip. '11</c:v>
                </c:pt>
                <c:pt idx="13">
                  <c:v>Ip. '12</c:v>
                </c:pt>
                <c:pt idx="14">
                  <c:v>Ip. '13</c:v>
                </c:pt>
                <c:pt idx="15">
                  <c:v>Ip. '14</c:v>
                </c:pt>
                <c:pt idx="16">
                  <c:v>Ip. '15</c:v>
                </c:pt>
                <c:pt idx="17">
                  <c:v>Ip. '16</c:v>
                </c:pt>
                <c:pt idx="18">
                  <c:v>Ip. '17</c:v>
                </c:pt>
                <c:pt idx="19">
                  <c:v>Ip. '18</c:v>
                </c:pt>
                <c:pt idx="20">
                  <c:v>Ip. '19</c:v>
                </c:pt>
                <c:pt idx="21">
                  <c:v>Ip. '20</c:v>
                </c:pt>
                <c:pt idx="22">
                  <c:v>Ip. '21</c:v>
                </c:pt>
              </c:strCache>
            </c:strRef>
          </c:cat>
          <c:val>
            <c:numRef>
              <c:f>T.XX!$L$12:$L$34</c:f>
              <c:numCache>
                <c:formatCode>#,##0</c:formatCode>
                <c:ptCount val="23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  <c:pt idx="21">
                  <c:v>15976</c:v>
                </c:pt>
                <c:pt idx="22">
                  <c:v>24927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16608"/>
        <c:axId val="197869952"/>
      </c:lineChart>
      <c:catAx>
        <c:axId val="197716608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97869952"/>
        <c:crosses val="autoZero"/>
        <c:auto val="1"/>
        <c:lblAlgn val="ctr"/>
        <c:lblOffset val="100"/>
        <c:noMultiLvlLbl val="0"/>
      </c:catAx>
      <c:valAx>
        <c:axId val="197869952"/>
        <c:scaling>
          <c:orientation val="minMax"/>
          <c:max val="45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rgbClr val="5353FF">
                  <a:alpha val="81961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197716608"/>
        <c:crosses val="autoZero"/>
        <c:crossBetween val="midCat"/>
        <c:majorUnit val="2000"/>
        <c:minorUnit val="500"/>
      </c:valAx>
      <c:spPr>
        <a:noFill/>
      </c:spPr>
    </c:plotArea>
    <c:legend>
      <c:legendPos val="t"/>
      <c:layout>
        <c:manualLayout>
          <c:xMode val="edge"/>
          <c:yMode val="edge"/>
          <c:x val="0.22838436021457345"/>
          <c:y val="0.70837431174364174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10551558753"/>
          <c:y val="5.1400554097404488E-2"/>
          <c:w val="0.87061179402934341"/>
          <c:h val="0.8494546515018955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T.XX!$H$10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 cmpd="sng">
              <a:solidFill>
                <a:schemeClr val="bg1"/>
              </a:solidFill>
              <a:prstDash val="solid"/>
            </a:ln>
          </c:spPr>
          <c:invertIfNegative val="0"/>
          <c:dLbls>
            <c:txPr>
              <a:bodyPr/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T.XX!$G$12:$G$33</c:f>
              <c:numCache>
                <c:formatCode>General</c:formatCod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</c:numCache>
            </c:numRef>
          </c:cat>
          <c:val>
            <c:numRef>
              <c:f>T.XX!$H$12:$H$33</c:f>
              <c:numCache>
                <c:formatCode>#,##0</c:formatCode>
                <c:ptCount val="22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  <c:pt idx="21">
                  <c:v>37090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73"/>
        <c:axId val="197903488"/>
        <c:axId val="197905024"/>
      </c:barChart>
      <c:catAx>
        <c:axId val="19790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97905024"/>
        <c:crosses val="autoZero"/>
        <c:auto val="1"/>
        <c:lblAlgn val="ctr"/>
        <c:lblOffset val="100"/>
        <c:noMultiLvlLbl val="0"/>
      </c:catAx>
      <c:valAx>
        <c:axId val="197905024"/>
        <c:scaling>
          <c:orientation val="minMax"/>
          <c:max val="80000"/>
          <c:min val="0"/>
        </c:scaling>
        <c:delete val="0"/>
        <c:axPos val="b"/>
        <c:minorGridlines>
          <c:spPr>
            <a:ln>
              <a:solidFill>
                <a:schemeClr val="bg1">
                  <a:lumMod val="50000"/>
                  <a:alpha val="33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97903488"/>
        <c:crosses val="autoZero"/>
        <c:crossBetween val="between"/>
        <c:majorUnit val="10000"/>
        <c:min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T.XX!$H$10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ln w="635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circle"/>
            <c:size val="4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</c:spPr>
          </c:marker>
          <c:cat>
            <c:numRef>
              <c:f>T.XX!$G$12:$G$33</c:f>
              <c:numCache>
                <c:formatCode>General</c:formatCod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</c:numCache>
            </c:numRef>
          </c:cat>
          <c:val>
            <c:numRef>
              <c:f>T.XX!$H$12:$H$33</c:f>
              <c:numCache>
                <c:formatCode>#,##0</c:formatCode>
                <c:ptCount val="22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  <c:pt idx="21">
                  <c:v>37090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T.XX!$I$10</c:f>
              <c:strCache>
                <c:ptCount val="1"/>
                <c:pt idx="0">
                  <c:v>w tym subs. w roku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T.XX!$G$12:$G$33</c:f>
              <c:numCache>
                <c:formatCode>General</c:formatCod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</c:numCache>
            </c:numRef>
          </c:cat>
          <c:val>
            <c:numRef>
              <c:f>T.XX!$I$12:$I$33</c:f>
              <c:numCache>
                <c:formatCode>#,##0</c:formatCode>
                <c:ptCount val="22"/>
                <c:pt idx="0">
                  <c:v>14842</c:v>
                </c:pt>
                <c:pt idx="1">
                  <c:v>14996</c:v>
                </c:pt>
                <c:pt idx="2">
                  <c:v>8521</c:v>
                </c:pt>
                <c:pt idx="3">
                  <c:v>12944</c:v>
                </c:pt>
                <c:pt idx="4">
                  <c:v>22556</c:v>
                </c:pt>
                <c:pt idx="5">
                  <c:v>20038</c:v>
                </c:pt>
                <c:pt idx="6">
                  <c:v>18757</c:v>
                </c:pt>
                <c:pt idx="7">
                  <c:v>20054</c:v>
                </c:pt>
                <c:pt idx="8">
                  <c:v>24494</c:v>
                </c:pt>
                <c:pt idx="9">
                  <c:v>28458</c:v>
                </c:pt>
                <c:pt idx="10">
                  <c:v>28957</c:v>
                </c:pt>
                <c:pt idx="11">
                  <c:v>35663</c:v>
                </c:pt>
                <c:pt idx="12">
                  <c:v>16768</c:v>
                </c:pt>
                <c:pt idx="13">
                  <c:v>25146</c:v>
                </c:pt>
                <c:pt idx="14">
                  <c:v>26050</c:v>
                </c:pt>
                <c:pt idx="15">
                  <c:v>27292</c:v>
                </c:pt>
                <c:pt idx="16">
                  <c:v>28848</c:v>
                </c:pt>
                <c:pt idx="17">
                  <c:v>31407</c:v>
                </c:pt>
                <c:pt idx="18">
                  <c:v>30828</c:v>
                </c:pt>
                <c:pt idx="19">
                  <c:v>20784</c:v>
                </c:pt>
                <c:pt idx="20">
                  <c:v>20491</c:v>
                </c:pt>
                <c:pt idx="21">
                  <c:v>14301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63776"/>
        <c:axId val="197965312"/>
      </c:lineChart>
      <c:catAx>
        <c:axId val="1979637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  <a:alpha val="2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97965312"/>
        <c:crosses val="autoZero"/>
        <c:auto val="1"/>
        <c:lblAlgn val="ctr"/>
        <c:lblOffset val="100"/>
        <c:noMultiLvlLbl val="0"/>
      </c:catAx>
      <c:valAx>
        <c:axId val="197965312"/>
        <c:scaling>
          <c:orientation val="minMax"/>
        </c:scaling>
        <c:delete val="0"/>
        <c:axPos val="l"/>
        <c:minorGridlines>
          <c:spPr>
            <a:ln>
              <a:solidFill>
                <a:schemeClr val="accent4">
                  <a:lumMod val="60000"/>
                  <a:lumOff val="40000"/>
                  <a:alpha val="59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97963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3025890242998E-2"/>
          <c:y val="5.2001836411920674E-2"/>
          <c:w val="0.62425671607441391"/>
          <c:h val="0.10659437549709831"/>
        </c:manualLayout>
      </c:layout>
      <c:overlay val="0"/>
      <c:spPr>
        <a:noFill/>
      </c:spPr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2"/>
          <c:order val="0"/>
          <c:tx>
            <c:strRef>
              <c:f>T.XX!$L$10</c:f>
              <c:strCache>
                <c:ptCount val="1"/>
                <c:pt idx="0">
                  <c:v>oferty og. w Ip. danego roku</c:v>
                </c:pt>
              </c:strCache>
            </c:strRef>
          </c:tx>
          <c:spPr>
            <a:ln w="41275" cmpd="sng">
              <a:solidFill>
                <a:schemeClr val="tx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13721042740900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137210427409024E-2"/>
                  <c:y val="2.407131680422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137210427409024E-2"/>
                  <c:y val="2.8528968064263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845618010124659E-2"/>
                  <c:y val="2.8528968064263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078891943952226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8891943952149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7770119860585391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T.XX!$G$12:$G$34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f>T.XX!$L$12:$L$34</c:f>
              <c:numCache>
                <c:formatCode>#,##0</c:formatCode>
                <c:ptCount val="23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  <c:pt idx="21">
                  <c:v>15976</c:v>
                </c:pt>
                <c:pt idx="22">
                  <c:v>24927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T.XX!$N$10</c:f>
              <c:strCache>
                <c:ptCount val="1"/>
                <c:pt idx="0">
                  <c:v>subsydia w Ip. danego roku</c:v>
                </c:pt>
              </c:strCache>
            </c:strRef>
          </c:tx>
          <c:spPr>
            <a:ln w="63500" cmpd="tri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T.XX!$G$12:$G$34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f>T.XX!$N$12:$N$34</c:f>
              <c:numCache>
                <c:formatCode>#,##0</c:formatCode>
                <c:ptCount val="23"/>
                <c:pt idx="2">
                  <c:v>4362</c:v>
                </c:pt>
                <c:pt idx="3">
                  <c:v>4639</c:v>
                </c:pt>
                <c:pt idx="4">
                  <c:v>11201</c:v>
                </c:pt>
                <c:pt idx="6">
                  <c:v>10813</c:v>
                </c:pt>
                <c:pt idx="7">
                  <c:v>9779</c:v>
                </c:pt>
                <c:pt idx="8">
                  <c:v>14414</c:v>
                </c:pt>
                <c:pt idx="9">
                  <c:v>15639</c:v>
                </c:pt>
                <c:pt idx="10">
                  <c:v>16435</c:v>
                </c:pt>
                <c:pt idx="11">
                  <c:v>21368</c:v>
                </c:pt>
                <c:pt idx="12">
                  <c:v>10464</c:v>
                </c:pt>
                <c:pt idx="13">
                  <c:v>12684</c:v>
                </c:pt>
                <c:pt idx="14">
                  <c:v>17521</c:v>
                </c:pt>
                <c:pt idx="15">
                  <c:v>16121</c:v>
                </c:pt>
                <c:pt idx="16">
                  <c:v>16952</c:v>
                </c:pt>
                <c:pt idx="17">
                  <c:v>19558</c:v>
                </c:pt>
                <c:pt idx="18">
                  <c:v>17945</c:v>
                </c:pt>
                <c:pt idx="19">
                  <c:v>12024</c:v>
                </c:pt>
                <c:pt idx="20">
                  <c:v>12447</c:v>
                </c:pt>
                <c:pt idx="21">
                  <c:v>6536</c:v>
                </c:pt>
                <c:pt idx="22">
                  <c:v>9903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18336"/>
        <c:axId val="198348800"/>
      </c:lineChart>
      <c:catAx>
        <c:axId val="1983183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  <a:alpha val="2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98348800"/>
        <c:crosses val="autoZero"/>
        <c:auto val="1"/>
        <c:lblAlgn val="ctr"/>
        <c:lblOffset val="100"/>
        <c:noMultiLvlLbl val="0"/>
      </c:catAx>
      <c:valAx>
        <c:axId val="198348800"/>
        <c:scaling>
          <c:orientation val="minMax"/>
        </c:scaling>
        <c:delete val="0"/>
        <c:axPos val="l"/>
        <c:minorGridlines>
          <c:spPr>
            <a:ln>
              <a:solidFill>
                <a:schemeClr val="accent4">
                  <a:lumMod val="60000"/>
                  <a:lumOff val="40000"/>
                  <a:alpha val="59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98318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3025890242998E-2"/>
          <c:y val="5.2001836411920674E-2"/>
          <c:w val="0.62425671607441391"/>
          <c:h val="0.10659437549709831"/>
        </c:manualLayout>
      </c:layout>
      <c:overlay val="0"/>
      <c:spPr>
        <a:noFill/>
      </c:spPr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b="1">
                <a:latin typeface="Arial" panose="020B0604020202020204" pitchFamily="34" charset="0"/>
                <a:cs typeface="Arial" panose="020B0604020202020204" pitchFamily="34" charset="0"/>
              </a:rPr>
              <a:t>okres I p. w danym roku</a:t>
            </a:r>
          </a:p>
        </c:rich>
      </c:tx>
      <c:layout>
        <c:manualLayout>
          <c:xMode val="edge"/>
          <c:yMode val="edge"/>
          <c:x val="0.33968594752743753"/>
          <c:y val="9.21779542279437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T.XXV!$I$7</c:f>
              <c:strCache>
                <c:ptCount val="1"/>
                <c:pt idx="0">
                  <c:v>zgłoszenia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T.XXV!$H$8:$H$22</c:f>
              <c:strCache>
                <c:ptCount val="15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  <c:pt idx="13">
                  <c:v>IP '20</c:v>
                </c:pt>
                <c:pt idx="14">
                  <c:v>IP '21</c:v>
                </c:pt>
              </c:strCache>
            </c:strRef>
          </c:cat>
          <c:val>
            <c:numRef>
              <c:f>T.XXV!$I$8:$I$22</c:f>
              <c:numCache>
                <c:formatCode>#,##0</c:formatCode>
                <c:ptCount val="15"/>
                <c:pt idx="0">
                  <c:v>236</c:v>
                </c:pt>
                <c:pt idx="1">
                  <c:v>1321</c:v>
                </c:pt>
                <c:pt idx="2">
                  <c:v>8218</c:v>
                </c:pt>
                <c:pt idx="3">
                  <c:v>803</c:v>
                </c:pt>
                <c:pt idx="4">
                  <c:v>2044</c:v>
                </c:pt>
                <c:pt idx="5">
                  <c:v>438</c:v>
                </c:pt>
                <c:pt idx="6">
                  <c:v>1134</c:v>
                </c:pt>
                <c:pt idx="7">
                  <c:v>809</c:v>
                </c:pt>
                <c:pt idx="8">
                  <c:v>991</c:v>
                </c:pt>
                <c:pt idx="9">
                  <c:v>264</c:v>
                </c:pt>
                <c:pt idx="10">
                  <c:v>485</c:v>
                </c:pt>
                <c:pt idx="11">
                  <c:v>323</c:v>
                </c:pt>
                <c:pt idx="12">
                  <c:v>835</c:v>
                </c:pt>
                <c:pt idx="13">
                  <c:v>3035</c:v>
                </c:pt>
                <c:pt idx="14">
                  <c:v>88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T.XXV!$J$7</c:f>
              <c:strCache>
                <c:ptCount val="1"/>
                <c:pt idx="0">
                  <c:v>zwolnienia</c:v>
                </c:pt>
              </c:strCache>
            </c:strRef>
          </c:tx>
          <c:marker>
            <c:symbol val="none"/>
          </c:marker>
          <c:cat>
            <c:strRef>
              <c:f>T.XXV!$H$8:$H$22</c:f>
              <c:strCache>
                <c:ptCount val="15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  <c:pt idx="13">
                  <c:v>IP '20</c:v>
                </c:pt>
                <c:pt idx="14">
                  <c:v>IP '21</c:v>
                </c:pt>
              </c:strCache>
            </c:strRef>
          </c:cat>
          <c:val>
            <c:numRef>
              <c:f>T.XXV!$J$8:$J$22</c:f>
              <c:numCache>
                <c:formatCode>#,##0</c:formatCode>
                <c:ptCount val="15"/>
                <c:pt idx="0">
                  <c:v>199</c:v>
                </c:pt>
                <c:pt idx="1">
                  <c:v>909</c:v>
                </c:pt>
                <c:pt idx="2">
                  <c:v>4590</c:v>
                </c:pt>
                <c:pt idx="3">
                  <c:v>129</c:v>
                </c:pt>
                <c:pt idx="4">
                  <c:v>1509</c:v>
                </c:pt>
                <c:pt idx="5">
                  <c:v>549</c:v>
                </c:pt>
                <c:pt idx="6">
                  <c:v>590</c:v>
                </c:pt>
                <c:pt idx="7">
                  <c:v>378</c:v>
                </c:pt>
                <c:pt idx="8">
                  <c:v>419</c:v>
                </c:pt>
                <c:pt idx="9">
                  <c:v>92</c:v>
                </c:pt>
                <c:pt idx="10">
                  <c:v>348</c:v>
                </c:pt>
                <c:pt idx="11">
                  <c:v>358</c:v>
                </c:pt>
                <c:pt idx="12">
                  <c:v>333</c:v>
                </c:pt>
                <c:pt idx="13">
                  <c:v>1230</c:v>
                </c:pt>
                <c:pt idx="14">
                  <c:v>238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15040"/>
        <c:axId val="195420928"/>
      </c:lineChart>
      <c:catAx>
        <c:axId val="19541504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95420928"/>
        <c:crosses val="autoZero"/>
        <c:auto val="1"/>
        <c:lblAlgn val="ctr"/>
        <c:lblOffset val="100"/>
        <c:noMultiLvlLbl val="0"/>
      </c:catAx>
      <c:valAx>
        <c:axId val="195420928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rgbClr val="5353FF">
                  <a:alpha val="81961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195415040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8026406253413433"/>
          <c:y val="0.2287686315221733"/>
          <c:w val="0.54390956982473326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>
                <a:latin typeface="Arial" panose="020B0604020202020204" pitchFamily="34" charset="0"/>
                <a:cs typeface="Arial" panose="020B0604020202020204" pitchFamily="34" charset="0"/>
              </a:rPr>
              <a:t>wg poszczególnych lat</a:t>
            </a:r>
          </a:p>
        </c:rich>
      </c:tx>
      <c:layout>
        <c:manualLayout>
          <c:xMode val="edge"/>
          <c:yMode val="edge"/>
          <c:x val="0.36125554207894989"/>
          <c:y val="7.65957857440968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9144709558031465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T.XXV!$M$7</c:f>
              <c:strCache>
                <c:ptCount val="1"/>
                <c:pt idx="0">
                  <c:v>zgłoszenia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T.XXV!$L$8:$L$21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T.XXV!$M$8:$M$21</c:f>
              <c:numCache>
                <c:formatCode>#,##0</c:formatCode>
                <c:ptCount val="14"/>
                <c:pt idx="0">
                  <c:v>479</c:v>
                </c:pt>
                <c:pt idx="1">
                  <c:v>4570</c:v>
                </c:pt>
                <c:pt idx="2">
                  <c:v>9176</c:v>
                </c:pt>
                <c:pt idx="3">
                  <c:v>1412</c:v>
                </c:pt>
                <c:pt idx="4">
                  <c:v>2730</c:v>
                </c:pt>
                <c:pt idx="5">
                  <c:v>1273</c:v>
                </c:pt>
                <c:pt idx="6">
                  <c:v>2106</c:v>
                </c:pt>
                <c:pt idx="7">
                  <c:v>1311</c:v>
                </c:pt>
                <c:pt idx="8">
                  <c:v>1204</c:v>
                </c:pt>
                <c:pt idx="9">
                  <c:v>720</c:v>
                </c:pt>
                <c:pt idx="10">
                  <c:v>819</c:v>
                </c:pt>
                <c:pt idx="11">
                  <c:v>587</c:v>
                </c:pt>
                <c:pt idx="12">
                  <c:v>1044</c:v>
                </c:pt>
                <c:pt idx="13">
                  <c:v>4716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T.XXV!$N$7</c:f>
              <c:strCache>
                <c:ptCount val="1"/>
                <c:pt idx="0">
                  <c:v>zwolnienia</c:v>
                </c:pt>
              </c:strCache>
            </c:strRef>
          </c:tx>
          <c:marker>
            <c:symbol val="none"/>
          </c:marker>
          <c:cat>
            <c:numRef>
              <c:f>T.XXV!$L$8:$L$21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T.XXV!$N$8:$N$21</c:f>
              <c:numCache>
                <c:formatCode>#,##0</c:formatCode>
                <c:ptCount val="14"/>
                <c:pt idx="0">
                  <c:v>437</c:v>
                </c:pt>
                <c:pt idx="1">
                  <c:v>2154</c:v>
                </c:pt>
                <c:pt idx="2">
                  <c:v>6255</c:v>
                </c:pt>
                <c:pt idx="3">
                  <c:v>1120</c:v>
                </c:pt>
                <c:pt idx="4">
                  <c:v>2048</c:v>
                </c:pt>
                <c:pt idx="5">
                  <c:v>1050</c:v>
                </c:pt>
                <c:pt idx="6">
                  <c:v>1235</c:v>
                </c:pt>
                <c:pt idx="7">
                  <c:v>651</c:v>
                </c:pt>
                <c:pt idx="8">
                  <c:v>1108</c:v>
                </c:pt>
                <c:pt idx="9">
                  <c:v>609</c:v>
                </c:pt>
                <c:pt idx="10">
                  <c:v>557</c:v>
                </c:pt>
                <c:pt idx="11">
                  <c:v>530</c:v>
                </c:pt>
                <c:pt idx="12">
                  <c:v>726</c:v>
                </c:pt>
                <c:pt idx="13">
                  <c:v>2746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633152"/>
        <c:axId val="197634688"/>
      </c:lineChart>
      <c:catAx>
        <c:axId val="197633152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97634688"/>
        <c:crosses val="autoZero"/>
        <c:auto val="1"/>
        <c:lblAlgn val="ctr"/>
        <c:lblOffset val="100"/>
        <c:noMultiLvlLbl val="0"/>
      </c:catAx>
      <c:valAx>
        <c:axId val="197634688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rgbClr val="5353FF">
                  <a:alpha val="81961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197633152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644745879151375"/>
          <c:y val="0.21305489726514848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41823089152962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T.XXVI!$B$5</c:f>
              <c:strCache>
                <c:ptCount val="1"/>
                <c:pt idx="0">
                  <c:v>Polska 1</c:v>
                </c:pt>
              </c:strCache>
            </c:strRef>
          </c:tx>
          <c:spPr>
            <a:ln w="793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T.XXVI!$C$4:$R$4</c:f>
              <c:strCache>
                <c:ptCount val="16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strCache>
            </c:strRef>
          </c:cat>
          <c:val>
            <c:numRef>
              <c:f>T.XXVI!$C$5:$R$5</c:f>
              <c:numCache>
                <c:formatCode>General</c:formatCode>
                <c:ptCount val="16"/>
                <c:pt idx="0">
                  <c:v>45.9</c:v>
                </c:pt>
                <c:pt idx="1">
                  <c:v>47.5</c:v>
                </c:pt>
                <c:pt idx="2">
                  <c:v>49.5</c:v>
                </c:pt>
                <c:pt idx="3" formatCode="0.0">
                  <c:v>51</c:v>
                </c:pt>
                <c:pt idx="4">
                  <c:v>50.4</c:v>
                </c:pt>
                <c:pt idx="5">
                  <c:v>50.2</c:v>
                </c:pt>
                <c:pt idx="6">
                  <c:v>50.3</c:v>
                </c:pt>
                <c:pt idx="7">
                  <c:v>50.4</c:v>
                </c:pt>
                <c:pt idx="8">
                  <c:v>50.6</c:v>
                </c:pt>
                <c:pt idx="9">
                  <c:v>51.7</c:v>
                </c:pt>
                <c:pt idx="10" formatCode="0.0">
                  <c:v>52.6</c:v>
                </c:pt>
                <c:pt idx="11" formatCode="0.0">
                  <c:v>53.2</c:v>
                </c:pt>
                <c:pt idx="12" formatCode="0.0">
                  <c:v>53.7</c:v>
                </c:pt>
                <c:pt idx="13" formatCode="0.0">
                  <c:v>54</c:v>
                </c:pt>
                <c:pt idx="14" formatCode="0.0">
                  <c:v>54.4</c:v>
                </c:pt>
                <c:pt idx="15" formatCode="0.0">
                  <c:v>54.7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T.XXVI!$B$6</c:f>
              <c:strCache>
                <c:ptCount val="1"/>
                <c:pt idx="0">
                  <c:v>województwo podkarpackie</c:v>
                </c:pt>
              </c:strCache>
            </c:strRef>
          </c:tx>
          <c:spPr>
            <a:ln>
              <a:solidFill>
                <a:srgbClr val="8068A8">
                  <a:alpha val="91000"/>
                </a:srgbClr>
              </a:solidFill>
            </a:ln>
          </c:spPr>
          <c:marker>
            <c:symbol val="none"/>
          </c:marker>
          <c:cat>
            <c:strRef>
              <c:f>T.XXVI!$C$4:$R$4</c:f>
              <c:strCache>
                <c:ptCount val="16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strCache>
            </c:strRef>
          </c:cat>
          <c:val>
            <c:numRef>
              <c:f>T.XXVI!$C$6:$R$6</c:f>
              <c:numCache>
                <c:formatCode>0.0</c:formatCode>
                <c:ptCount val="16"/>
                <c:pt idx="0" formatCode="General">
                  <c:v>44.9</c:v>
                </c:pt>
                <c:pt idx="1">
                  <c:v>47</c:v>
                </c:pt>
                <c:pt idx="2">
                  <c:v>51</c:v>
                </c:pt>
                <c:pt idx="3" formatCode="General">
                  <c:v>51.8</c:v>
                </c:pt>
                <c:pt idx="4" formatCode="General">
                  <c:v>50.2</c:v>
                </c:pt>
                <c:pt idx="5" formatCode="General">
                  <c:v>49.8</c:v>
                </c:pt>
                <c:pt idx="6" formatCode="General">
                  <c:v>49.3</c:v>
                </c:pt>
                <c:pt idx="7" formatCode="General">
                  <c:v>48.6</c:v>
                </c:pt>
                <c:pt idx="8" formatCode="General">
                  <c:v>48.1</c:v>
                </c:pt>
                <c:pt idx="9" formatCode="General">
                  <c:v>46.7</c:v>
                </c:pt>
                <c:pt idx="10">
                  <c:v>48</c:v>
                </c:pt>
                <c:pt idx="11">
                  <c:v>50.9</c:v>
                </c:pt>
                <c:pt idx="12">
                  <c:v>52.6</c:v>
                </c:pt>
                <c:pt idx="13">
                  <c:v>52.2</c:v>
                </c:pt>
                <c:pt idx="14">
                  <c:v>51.9</c:v>
                </c:pt>
                <c:pt idx="15">
                  <c:v>51.1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70272"/>
        <c:axId val="198071808"/>
      </c:lineChart>
      <c:catAx>
        <c:axId val="198070272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98071808"/>
        <c:crosses val="autoZero"/>
        <c:auto val="1"/>
        <c:lblAlgn val="ctr"/>
        <c:lblOffset val="100"/>
        <c:noMultiLvlLbl val="0"/>
      </c:catAx>
      <c:valAx>
        <c:axId val="198071808"/>
        <c:scaling>
          <c:orientation val="minMax"/>
          <c:max val="55"/>
          <c:min val="44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rgbClr val="5353FF">
                  <a:alpha val="81961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198070272"/>
        <c:crosses val="autoZero"/>
        <c:crossBetween val="midCat"/>
        <c:majorUnit val="0.5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8.6279088643602425E-2"/>
          <c:y val="4.9070743925712937E-2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687915</xdr:colOff>
      <xdr:row>10</xdr:row>
      <xdr:rowOff>10584</xdr:rowOff>
    </xdr:from>
    <xdr:to>
      <xdr:col>22</xdr:col>
      <xdr:colOff>202140</xdr:colOff>
      <xdr:row>30</xdr:row>
      <xdr:rowOff>19049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15</xdr:row>
      <xdr:rowOff>76199</xdr:rowOff>
    </xdr:from>
    <xdr:to>
      <xdr:col>20</xdr:col>
      <xdr:colOff>600075</xdr:colOff>
      <xdr:row>28</xdr:row>
      <xdr:rowOff>142874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105833</xdr:colOff>
      <xdr:row>0</xdr:row>
      <xdr:rowOff>84665</xdr:rowOff>
    </xdr:from>
    <xdr:to>
      <xdr:col>25</xdr:col>
      <xdr:colOff>211666</xdr:colOff>
      <xdr:row>10</xdr:row>
      <xdr:rowOff>105832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645583</xdr:colOff>
      <xdr:row>10</xdr:row>
      <xdr:rowOff>84670</xdr:rowOff>
    </xdr:from>
    <xdr:to>
      <xdr:col>25</xdr:col>
      <xdr:colOff>169333</xdr:colOff>
      <xdr:row>25</xdr:row>
      <xdr:rowOff>74085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582082</xdr:colOff>
      <xdr:row>38</xdr:row>
      <xdr:rowOff>148166</xdr:rowOff>
    </xdr:from>
    <xdr:to>
      <xdr:col>25</xdr:col>
      <xdr:colOff>571500</xdr:colOff>
      <xdr:row>51</xdr:row>
      <xdr:rowOff>179916</xdr:rowOff>
    </xdr:to>
    <xdr:graphicFrame macro="">
      <xdr:nvGraphicFramePr>
        <xdr:cNvPr id="8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539750</xdr:colOff>
      <xdr:row>25</xdr:row>
      <xdr:rowOff>84668</xdr:rowOff>
    </xdr:from>
    <xdr:to>
      <xdr:col>25</xdr:col>
      <xdr:colOff>529168</xdr:colOff>
      <xdr:row>38</xdr:row>
      <xdr:rowOff>148166</xdr:rowOff>
    </xdr:to>
    <xdr:graphicFrame macro="">
      <xdr:nvGraphicFramePr>
        <xdr:cNvPr id="5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560916</xdr:colOff>
      <xdr:row>1</xdr:row>
      <xdr:rowOff>42335</xdr:rowOff>
    </xdr:from>
    <xdr:to>
      <xdr:col>25</xdr:col>
      <xdr:colOff>52916</xdr:colOff>
      <xdr:row>11</xdr:row>
      <xdr:rowOff>158750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539749</xdr:colOff>
      <xdr:row>12</xdr:row>
      <xdr:rowOff>52917</xdr:rowOff>
    </xdr:from>
    <xdr:to>
      <xdr:col>25</xdr:col>
      <xdr:colOff>31749</xdr:colOff>
      <xdr:row>25</xdr:row>
      <xdr:rowOff>63499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275167</xdr:colOff>
      <xdr:row>2</xdr:row>
      <xdr:rowOff>84666</xdr:rowOff>
    </xdr:from>
    <xdr:to>
      <xdr:col>28</xdr:col>
      <xdr:colOff>381000</xdr:colOff>
      <xdr:row>8</xdr:row>
      <xdr:rowOff>264584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1:L11"/>
  <sheetViews>
    <sheetView tabSelected="1" zoomScale="120" zoomScaleNormal="12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0.28515625" style="11" customWidth="1"/>
    <col min="3" max="3" width="10.42578125" style="11" customWidth="1"/>
    <col min="4" max="4" width="9.7109375" style="11" customWidth="1"/>
    <col min="5" max="5" width="8.5703125" style="11" customWidth="1"/>
    <col min="6" max="6" width="10.140625" style="11" customWidth="1"/>
    <col min="7" max="7" width="9.28515625" style="11" customWidth="1"/>
    <col min="8" max="8" width="7.7109375" style="11" customWidth="1"/>
    <col min="9" max="9" width="12.140625" style="11" customWidth="1"/>
    <col min="10" max="10" width="11.7109375" style="11" customWidth="1"/>
    <col min="11" max="16384" width="9.140625" style="11"/>
  </cols>
  <sheetData>
    <row r="1" spans="2:12" ht="9.75" customHeight="1" x14ac:dyDescent="0.25"/>
    <row r="2" spans="2:12" x14ac:dyDescent="0.25">
      <c r="B2" s="11" t="s">
        <v>290</v>
      </c>
    </row>
    <row r="3" spans="2:12" x14ac:dyDescent="0.25">
      <c r="B3" s="11" t="s">
        <v>291</v>
      </c>
    </row>
    <row r="4" spans="2:12" ht="9" customHeight="1" thickBot="1" x14ac:dyDescent="0.3"/>
    <row r="5" spans="2:12" ht="30" customHeight="1" x14ac:dyDescent="0.25">
      <c r="B5" s="797" t="s">
        <v>123</v>
      </c>
      <c r="C5" s="800" t="s">
        <v>460</v>
      </c>
      <c r="D5" s="800"/>
      <c r="E5" s="801"/>
      <c r="F5" s="800" t="s">
        <v>461</v>
      </c>
      <c r="G5" s="800"/>
      <c r="H5" s="801"/>
      <c r="I5" s="802" t="s">
        <v>296</v>
      </c>
      <c r="J5" s="805" t="s">
        <v>187</v>
      </c>
    </row>
    <row r="6" spans="2:12" ht="26.25" customHeight="1" x14ac:dyDescent="0.25">
      <c r="B6" s="798"/>
      <c r="C6" s="808" t="s">
        <v>348</v>
      </c>
      <c r="D6" s="810" t="s">
        <v>109</v>
      </c>
      <c r="E6" s="811"/>
      <c r="F6" s="808" t="s">
        <v>348</v>
      </c>
      <c r="G6" s="810" t="s">
        <v>109</v>
      </c>
      <c r="H6" s="811"/>
      <c r="I6" s="803"/>
      <c r="J6" s="806"/>
    </row>
    <row r="7" spans="2:12" ht="34.5" customHeight="1" thickBot="1" x14ac:dyDescent="0.3">
      <c r="B7" s="799"/>
      <c r="C7" s="809"/>
      <c r="D7" s="326" t="s">
        <v>127</v>
      </c>
      <c r="E7" s="85" t="s">
        <v>128</v>
      </c>
      <c r="F7" s="809"/>
      <c r="G7" s="326" t="s">
        <v>127</v>
      </c>
      <c r="H7" s="85" t="s">
        <v>128</v>
      </c>
      <c r="I7" s="804"/>
      <c r="J7" s="807"/>
    </row>
    <row r="8" spans="2:12" ht="34.5" customHeight="1" x14ac:dyDescent="0.25">
      <c r="B8" s="133" t="s">
        <v>4</v>
      </c>
      <c r="C8" s="305">
        <v>87326</v>
      </c>
      <c r="D8" s="54">
        <v>46036</v>
      </c>
      <c r="E8" s="111">
        <f>D8*100/C8</f>
        <v>52.717403751460047</v>
      </c>
      <c r="F8" s="305">
        <v>80944</v>
      </c>
      <c r="G8" s="54">
        <v>43242</v>
      </c>
      <c r="H8" s="111">
        <f>G8*100/F8</f>
        <v>53.422118995848983</v>
      </c>
      <c r="I8" s="63">
        <f>SUM(F8-C8)</f>
        <v>-6382</v>
      </c>
      <c r="J8" s="333">
        <f>SUM(I8/C8*100)</f>
        <v>-7.3082472574032931</v>
      </c>
      <c r="L8" s="388">
        <f>SUM(G8/F8)*100</f>
        <v>53.422118995848976</v>
      </c>
    </row>
    <row r="9" spans="2:12" ht="27" customHeight="1" x14ac:dyDescent="0.25">
      <c r="B9" s="12" t="s">
        <v>0</v>
      </c>
      <c r="C9" s="58">
        <v>74744</v>
      </c>
      <c r="D9" s="9">
        <v>38463</v>
      </c>
      <c r="E9" s="7">
        <f>D9*100/C9</f>
        <v>51.459648935031574</v>
      </c>
      <c r="F9" s="58">
        <v>69287</v>
      </c>
      <c r="G9" s="9">
        <v>36206</v>
      </c>
      <c r="H9" s="7">
        <f>G9*100/F9</f>
        <v>52.255112791721388</v>
      </c>
      <c r="I9" s="58">
        <f>SUM(F9-C9)</f>
        <v>-5457</v>
      </c>
      <c r="J9" s="332">
        <f>SUM(I9/C9*100)</f>
        <v>-7.3009204752220915</v>
      </c>
      <c r="L9" s="388">
        <f>SUM(D8/C8)*100</f>
        <v>52.717403751460047</v>
      </c>
    </row>
    <row r="10" spans="2:12" ht="43.5" customHeight="1" x14ac:dyDescent="0.25">
      <c r="B10" s="12" t="s">
        <v>124</v>
      </c>
      <c r="C10" s="58">
        <v>4351</v>
      </c>
      <c r="D10" s="9">
        <v>2237</v>
      </c>
      <c r="E10" s="7">
        <f>D10*100/C10</f>
        <v>51.413468168237188</v>
      </c>
      <c r="F10" s="58">
        <v>3736</v>
      </c>
      <c r="G10" s="9">
        <v>2005</v>
      </c>
      <c r="H10" s="7">
        <f>G10*100/F10</f>
        <v>53.667023554603851</v>
      </c>
      <c r="I10" s="58">
        <f>SUM(F10-C10)</f>
        <v>-615</v>
      </c>
      <c r="J10" s="332">
        <f>SUM(I10/C10*100)</f>
        <v>-14.13468168237187</v>
      </c>
    </row>
    <row r="11" spans="2:12" ht="27.75" customHeight="1" thickBot="1" x14ac:dyDescent="0.3">
      <c r="B11" s="95" t="s">
        <v>2</v>
      </c>
      <c r="C11" s="3">
        <v>12582</v>
      </c>
      <c r="D11" s="5">
        <v>7573</v>
      </c>
      <c r="E11" s="8">
        <f>D11*100/C11</f>
        <v>60.189159116197743</v>
      </c>
      <c r="F11" s="3">
        <v>11657</v>
      </c>
      <c r="G11" s="5">
        <v>7036</v>
      </c>
      <c r="H11" s="8">
        <f>G11*100/F11</f>
        <v>60.358582825769922</v>
      </c>
      <c r="I11" s="3">
        <f>SUM(F11-C11)</f>
        <v>-925</v>
      </c>
      <c r="J11" s="334">
        <f>SUM(I11/C11*100)</f>
        <v>-7.3517723732316007</v>
      </c>
    </row>
  </sheetData>
  <mergeCells count="9">
    <mergeCell ref="B5:B7"/>
    <mergeCell ref="F5:H5"/>
    <mergeCell ref="C5:E5"/>
    <mergeCell ref="I5:I7"/>
    <mergeCell ref="J5:J7"/>
    <mergeCell ref="F6:F7"/>
    <mergeCell ref="G6:H6"/>
    <mergeCell ref="C6:C7"/>
    <mergeCell ref="D6:E6"/>
  </mergeCells>
  <pageMargins left="1.299212598425197" right="0.70866141732283472" top="1.1417322834645669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2:Q30"/>
  <sheetViews>
    <sheetView workbookViewId="0">
      <selection activeCell="B1" sqref="B1"/>
    </sheetView>
  </sheetViews>
  <sheetFormatPr defaultColWidth="9.140625" defaultRowHeight="15" x14ac:dyDescent="0.25"/>
  <cols>
    <col min="1" max="1" width="3.7109375" style="11" customWidth="1"/>
    <col min="2" max="2" width="21.5703125" style="11" customWidth="1"/>
    <col min="3" max="4" width="9.140625" style="11" customWidth="1"/>
    <col min="5" max="6" width="9" style="11" customWidth="1"/>
    <col min="7" max="8" width="8.85546875" style="11" customWidth="1"/>
    <col min="9" max="9" width="13.140625" style="11" customWidth="1"/>
    <col min="10" max="10" width="13.7109375" style="11" customWidth="1"/>
    <col min="11" max="11" width="3" style="11" customWidth="1"/>
    <col min="12" max="12" width="10.85546875" style="11" customWidth="1"/>
    <col min="13" max="13" width="8.85546875" style="11" customWidth="1"/>
    <col min="14" max="14" width="5" style="152" customWidth="1"/>
    <col min="15" max="16384" width="9.140625" style="11"/>
  </cols>
  <sheetData>
    <row r="2" spans="2:17" x14ac:dyDescent="0.25">
      <c r="B2" s="11" t="s">
        <v>501</v>
      </c>
    </row>
    <row r="3" spans="2:17" x14ac:dyDescent="0.25">
      <c r="B3" s="11" t="s">
        <v>392</v>
      </c>
    </row>
    <row r="4" spans="2:17" ht="12.75" customHeight="1" thickBot="1" x14ac:dyDescent="0.3">
      <c r="J4" s="161"/>
    </row>
    <row r="5" spans="2:17" ht="24" customHeight="1" x14ac:dyDescent="0.25">
      <c r="B5" s="876" t="s">
        <v>169</v>
      </c>
      <c r="C5" s="872" t="s">
        <v>440</v>
      </c>
      <c r="D5" s="873"/>
      <c r="E5" s="872" t="s">
        <v>463</v>
      </c>
      <c r="F5" s="873"/>
      <c r="G5" s="874" t="s">
        <v>462</v>
      </c>
      <c r="H5" s="875"/>
      <c r="I5" s="613" t="s">
        <v>266</v>
      </c>
      <c r="J5" s="615"/>
    </row>
    <row r="6" spans="2:17" ht="37.5" customHeight="1" thickBot="1" x14ac:dyDescent="0.3">
      <c r="B6" s="877"/>
      <c r="C6" s="611" t="s">
        <v>4</v>
      </c>
      <c r="D6" s="612" t="s">
        <v>109</v>
      </c>
      <c r="E6" s="611" t="s">
        <v>4</v>
      </c>
      <c r="F6" s="612" t="s">
        <v>109</v>
      </c>
      <c r="G6" s="339" t="s">
        <v>4</v>
      </c>
      <c r="H6" s="340" t="s">
        <v>109</v>
      </c>
      <c r="I6" s="614" t="s">
        <v>175</v>
      </c>
      <c r="J6" s="616" t="s">
        <v>470</v>
      </c>
    </row>
    <row r="7" spans="2:17" ht="27.75" customHeight="1" thickBot="1" x14ac:dyDescent="0.3">
      <c r="B7" s="183" t="s">
        <v>26</v>
      </c>
      <c r="C7" s="50">
        <f t="shared" ref="C7:H7" si="0">SUM(C10:C30)</f>
        <v>53045</v>
      </c>
      <c r="D7" s="52">
        <f t="shared" si="0"/>
        <v>28220</v>
      </c>
      <c r="E7" s="50">
        <f t="shared" si="0"/>
        <v>54240</v>
      </c>
      <c r="F7" s="52">
        <f t="shared" si="0"/>
        <v>28926</v>
      </c>
      <c r="G7" s="617">
        <f>SUM(G10:G30)</f>
        <v>49815</v>
      </c>
      <c r="H7" s="618">
        <f t="shared" si="0"/>
        <v>26969</v>
      </c>
      <c r="I7" s="186">
        <f>SUM(G7-E7)</f>
        <v>-4425</v>
      </c>
      <c r="J7" s="185">
        <f>I7/E7*100</f>
        <v>-8.1581858407079633</v>
      </c>
      <c r="L7" s="388">
        <f>SUM(G7/T.I!F8*100)</f>
        <v>61.542547934374383</v>
      </c>
      <c r="M7" s="394"/>
    </row>
    <row r="8" spans="2:17" ht="36.75" thickBot="1" x14ac:dyDescent="0.3">
      <c r="B8" s="435" t="s">
        <v>174</v>
      </c>
      <c r="C8" s="436">
        <v>8105</v>
      </c>
      <c r="D8" s="437">
        <v>4540</v>
      </c>
      <c r="E8" s="436">
        <v>8300</v>
      </c>
      <c r="F8" s="437">
        <v>4635</v>
      </c>
      <c r="G8" s="619">
        <v>7720</v>
      </c>
      <c r="H8" s="620">
        <v>4357</v>
      </c>
      <c r="I8" s="438">
        <f t="shared" ref="I8:I30" si="1">SUM(G8-E8)</f>
        <v>-580</v>
      </c>
      <c r="J8" s="439">
        <f t="shared" ref="J8:J30" si="2">I8/E8*100</f>
        <v>-6.9879518072289164</v>
      </c>
      <c r="L8" s="529" t="s">
        <v>403</v>
      </c>
      <c r="M8" s="529" t="s">
        <v>404</v>
      </c>
      <c r="O8" s="529" t="s">
        <v>403</v>
      </c>
      <c r="P8" s="529" t="s">
        <v>404</v>
      </c>
      <c r="Q8" s="152"/>
    </row>
    <row r="9" spans="2:17" ht="27.75" customHeight="1" thickBot="1" x14ac:dyDescent="0.3">
      <c r="B9" s="200" t="s">
        <v>176</v>
      </c>
      <c r="C9" s="341"/>
      <c r="D9" s="202"/>
      <c r="E9" s="341"/>
      <c r="F9" s="202"/>
      <c r="G9" s="201"/>
      <c r="H9" s="201"/>
      <c r="I9" s="202"/>
      <c r="J9" s="492"/>
      <c r="L9" s="531" t="s">
        <v>108</v>
      </c>
      <c r="M9" s="531" t="s">
        <v>108</v>
      </c>
      <c r="O9" s="531" t="s">
        <v>108</v>
      </c>
      <c r="P9" s="531" t="s">
        <v>108</v>
      </c>
      <c r="Q9" s="152"/>
    </row>
    <row r="10" spans="2:17" ht="15" customHeight="1" x14ac:dyDescent="0.25">
      <c r="B10" s="321" t="s">
        <v>27</v>
      </c>
      <c r="C10" s="43">
        <v>756</v>
      </c>
      <c r="D10" s="342">
        <v>394</v>
      </c>
      <c r="E10" s="43">
        <v>798</v>
      </c>
      <c r="F10" s="342">
        <v>422</v>
      </c>
      <c r="G10" s="621">
        <v>712</v>
      </c>
      <c r="H10" s="622">
        <v>370</v>
      </c>
      <c r="I10" s="345">
        <f t="shared" si="1"/>
        <v>-86</v>
      </c>
      <c r="J10" s="190">
        <f t="shared" si="2"/>
        <v>-10.776942355889723</v>
      </c>
      <c r="L10" s="212">
        <f>RANK(G10,G10:G30,0)</f>
        <v>21</v>
      </c>
      <c r="M10" s="212">
        <f>RANK(G10,G10:G30,1)</f>
        <v>1</v>
      </c>
      <c r="N10" s="152">
        <v>1</v>
      </c>
      <c r="O10" s="212">
        <f>RANK(J10,J10:J30,0)</f>
        <v>16</v>
      </c>
      <c r="P10" s="212">
        <f>RANK(J10,J10:J30,1)</f>
        <v>6</v>
      </c>
      <c r="Q10" s="152">
        <v>1</v>
      </c>
    </row>
    <row r="11" spans="2:17" ht="16.5" customHeight="1" x14ac:dyDescent="0.25">
      <c r="B11" s="208" t="s">
        <v>28</v>
      </c>
      <c r="C11" s="13">
        <v>4043</v>
      </c>
      <c r="D11" s="343">
        <v>2201</v>
      </c>
      <c r="E11" s="13">
        <v>4074</v>
      </c>
      <c r="F11" s="343">
        <v>2177</v>
      </c>
      <c r="G11" s="623">
        <v>3723</v>
      </c>
      <c r="H11" s="624">
        <v>2043</v>
      </c>
      <c r="I11" s="346">
        <f t="shared" si="1"/>
        <v>-351</v>
      </c>
      <c r="J11" s="330">
        <f t="shared" si="2"/>
        <v>-8.6156111929307801</v>
      </c>
      <c r="L11" s="9">
        <f>RANK(G11,G10:G30,0)</f>
        <v>3</v>
      </c>
      <c r="M11" s="9">
        <f>RANK(G11,G10:G30,1)</f>
        <v>19</v>
      </c>
      <c r="N11" s="152">
        <v>2</v>
      </c>
      <c r="O11" s="9">
        <f>RANK(J11,J10:J30,0)</f>
        <v>11</v>
      </c>
      <c r="P11" s="9">
        <f>RANK(J11,J10:J30,1)</f>
        <v>11</v>
      </c>
      <c r="Q11" s="152">
        <v>2</v>
      </c>
    </row>
    <row r="12" spans="2:17" ht="18" customHeight="1" x14ac:dyDescent="0.25">
      <c r="B12" s="208" t="s">
        <v>29</v>
      </c>
      <c r="C12" s="13">
        <v>2102</v>
      </c>
      <c r="D12" s="343">
        <v>1248</v>
      </c>
      <c r="E12" s="13">
        <v>2191</v>
      </c>
      <c r="F12" s="343">
        <v>1270</v>
      </c>
      <c r="G12" s="623">
        <v>1797</v>
      </c>
      <c r="H12" s="624">
        <v>1135</v>
      </c>
      <c r="I12" s="346">
        <f t="shared" si="1"/>
        <v>-394</v>
      </c>
      <c r="J12" s="330">
        <f t="shared" si="2"/>
        <v>-17.982656321314469</v>
      </c>
      <c r="L12" s="9">
        <f>RANK(G12,G10:G30,0)</f>
        <v>13</v>
      </c>
      <c r="M12" s="9">
        <f>RANK(G12,G10:G30,1)</f>
        <v>9</v>
      </c>
      <c r="N12" s="152">
        <v>3</v>
      </c>
      <c r="O12" s="9">
        <f>RANK(J12,J10:J30,0)</f>
        <v>21</v>
      </c>
      <c r="P12" s="9">
        <f>RANK(J12,J10:J30,1)</f>
        <v>1</v>
      </c>
      <c r="Q12" s="152">
        <v>3</v>
      </c>
    </row>
    <row r="13" spans="2:17" x14ac:dyDescent="0.25">
      <c r="B13" s="208" t="s">
        <v>30</v>
      </c>
      <c r="C13" s="13">
        <v>3644</v>
      </c>
      <c r="D13" s="343">
        <v>1919</v>
      </c>
      <c r="E13" s="13">
        <v>3775</v>
      </c>
      <c r="F13" s="343">
        <v>2036</v>
      </c>
      <c r="G13" s="623">
        <v>3616</v>
      </c>
      <c r="H13" s="624">
        <v>1980</v>
      </c>
      <c r="I13" s="346">
        <f t="shared" si="1"/>
        <v>-159</v>
      </c>
      <c r="J13" s="330">
        <f t="shared" si="2"/>
        <v>-4.2119205298013247</v>
      </c>
      <c r="L13" s="9">
        <f>RANK(G13,G10:G30,0)</f>
        <v>4</v>
      </c>
      <c r="M13" s="9">
        <f>RANK(G13,G10:G30,1)</f>
        <v>18</v>
      </c>
      <c r="N13" s="152">
        <v>4</v>
      </c>
      <c r="O13" s="9">
        <f>RANK(J13,J10:J30,0)</f>
        <v>2</v>
      </c>
      <c r="P13" s="9">
        <f>RANK(J13,J10:J30,1)</f>
        <v>20</v>
      </c>
      <c r="Q13" s="152">
        <v>4</v>
      </c>
    </row>
    <row r="14" spans="2:17" x14ac:dyDescent="0.25">
      <c r="B14" s="208" t="s">
        <v>31</v>
      </c>
      <c r="C14" s="13">
        <v>3858</v>
      </c>
      <c r="D14" s="343">
        <v>2246</v>
      </c>
      <c r="E14" s="13">
        <v>3946</v>
      </c>
      <c r="F14" s="343">
        <v>2312</v>
      </c>
      <c r="G14" s="623">
        <v>3870</v>
      </c>
      <c r="H14" s="624">
        <v>2241</v>
      </c>
      <c r="I14" s="346">
        <f t="shared" si="1"/>
        <v>-76</v>
      </c>
      <c r="J14" s="330">
        <f t="shared" si="2"/>
        <v>-1.9260010136847441</v>
      </c>
      <c r="L14" s="9">
        <f>RANK(G14,G10:G30,0)</f>
        <v>2</v>
      </c>
      <c r="M14" s="9">
        <f>RANK(G14,G10:G30,1)</f>
        <v>20</v>
      </c>
      <c r="N14" s="152">
        <v>5</v>
      </c>
      <c r="O14" s="9">
        <f>RANK(J14,J10:J30,0)</f>
        <v>1</v>
      </c>
      <c r="P14" s="9">
        <f>RANK(J14,J10:J30,1)</f>
        <v>21</v>
      </c>
      <c r="Q14" s="152">
        <v>5</v>
      </c>
    </row>
    <row r="15" spans="2:17" ht="15.75" customHeight="1" x14ac:dyDescent="0.25">
      <c r="B15" s="208" t="s">
        <v>32</v>
      </c>
      <c r="C15" s="13">
        <v>1831</v>
      </c>
      <c r="D15" s="343">
        <v>961</v>
      </c>
      <c r="E15" s="13">
        <v>1799</v>
      </c>
      <c r="F15" s="343">
        <v>970</v>
      </c>
      <c r="G15" s="623">
        <v>1613</v>
      </c>
      <c r="H15" s="624">
        <v>883</v>
      </c>
      <c r="I15" s="346">
        <f t="shared" si="1"/>
        <v>-186</v>
      </c>
      <c r="J15" s="330">
        <f t="shared" si="2"/>
        <v>-10.339077265147303</v>
      </c>
      <c r="L15" s="9">
        <f>RANK(G15,G10:G30,0)</f>
        <v>14</v>
      </c>
      <c r="M15" s="9">
        <f>RANK(G15,G10:G30,1)</f>
        <v>8</v>
      </c>
      <c r="N15" s="152">
        <v>6</v>
      </c>
      <c r="O15" s="9">
        <f>RANK(J15,J10:J30,0)</f>
        <v>15</v>
      </c>
      <c r="P15" s="9">
        <f>RANK(J15,J10:J30,1)</f>
        <v>7</v>
      </c>
      <c r="Q15" s="152">
        <v>6</v>
      </c>
    </row>
    <row r="16" spans="2:17" x14ac:dyDescent="0.25">
      <c r="B16" s="208" t="s">
        <v>33</v>
      </c>
      <c r="C16" s="13">
        <v>2182</v>
      </c>
      <c r="D16" s="343">
        <v>1169</v>
      </c>
      <c r="E16" s="13">
        <v>2172</v>
      </c>
      <c r="F16" s="343">
        <v>1223</v>
      </c>
      <c r="G16" s="623">
        <v>2023</v>
      </c>
      <c r="H16" s="624">
        <v>1172</v>
      </c>
      <c r="I16" s="346">
        <f>SUM(G16-E16)</f>
        <v>-149</v>
      </c>
      <c r="J16" s="330">
        <f t="shared" si="2"/>
        <v>-6.8600368324125238</v>
      </c>
      <c r="L16" s="9">
        <f>RANK(G16,G10:G30,0)</f>
        <v>12</v>
      </c>
      <c r="M16" s="9">
        <f>RANK(G16,G10:G30,1)</f>
        <v>10</v>
      </c>
      <c r="N16" s="152">
        <v>7</v>
      </c>
      <c r="O16" s="9">
        <f>RANK(J16,J10:J30,0)</f>
        <v>8</v>
      </c>
      <c r="P16" s="9">
        <f>RANK(J16,J10:J30,1)</f>
        <v>14</v>
      </c>
      <c r="Q16" s="152">
        <v>7</v>
      </c>
    </row>
    <row r="17" spans="2:17" x14ac:dyDescent="0.25">
      <c r="B17" s="208" t="s">
        <v>34</v>
      </c>
      <c r="C17" s="13">
        <v>1471</v>
      </c>
      <c r="D17" s="343">
        <v>697</v>
      </c>
      <c r="E17" s="13">
        <v>1597</v>
      </c>
      <c r="F17" s="343">
        <v>775</v>
      </c>
      <c r="G17" s="623">
        <v>1311</v>
      </c>
      <c r="H17" s="624">
        <v>607</v>
      </c>
      <c r="I17" s="346">
        <f>SUM(G17-E17)</f>
        <v>-286</v>
      </c>
      <c r="J17" s="330">
        <f t="shared" si="2"/>
        <v>-17.908578584846587</v>
      </c>
      <c r="L17" s="9">
        <f>RANK(G17,G10:G30,0)</f>
        <v>18</v>
      </c>
      <c r="M17" s="9">
        <f>RANK(G17,G10:G30,1)</f>
        <v>4</v>
      </c>
      <c r="N17" s="152">
        <v>8</v>
      </c>
      <c r="O17" s="9">
        <f>RANK(J17,J10:J30,0)</f>
        <v>20</v>
      </c>
      <c r="P17" s="9">
        <f>RANK(J17,J10:J30,1)</f>
        <v>2</v>
      </c>
      <c r="Q17" s="152">
        <v>8</v>
      </c>
    </row>
    <row r="18" spans="2:17" x14ac:dyDescent="0.25">
      <c r="B18" s="208" t="s">
        <v>35</v>
      </c>
      <c r="C18" s="13">
        <v>2827</v>
      </c>
      <c r="D18" s="343">
        <v>1517</v>
      </c>
      <c r="E18" s="13">
        <v>2969</v>
      </c>
      <c r="F18" s="343">
        <v>1566</v>
      </c>
      <c r="G18" s="623">
        <v>2839</v>
      </c>
      <c r="H18" s="624">
        <v>1483</v>
      </c>
      <c r="I18" s="346">
        <f t="shared" si="1"/>
        <v>-130</v>
      </c>
      <c r="J18" s="330">
        <f t="shared" si="2"/>
        <v>-4.3785786460087568</v>
      </c>
      <c r="L18" s="9">
        <f>RANK(G18,G10:G30,0)</f>
        <v>7</v>
      </c>
      <c r="M18" s="9">
        <f>RANK(G18,G10:G30,1)</f>
        <v>15</v>
      </c>
      <c r="N18" s="152">
        <v>9</v>
      </c>
      <c r="O18" s="9">
        <f>RANK(J18,J10:J30,0)</f>
        <v>3</v>
      </c>
      <c r="P18" s="9">
        <f>RANK(J18,J10:J30,1)</f>
        <v>19</v>
      </c>
      <c r="Q18" s="152">
        <v>9</v>
      </c>
    </row>
    <row r="19" spans="2:17" x14ac:dyDescent="0.25">
      <c r="B19" s="208" t="s">
        <v>36</v>
      </c>
      <c r="C19" s="13">
        <v>1361</v>
      </c>
      <c r="D19" s="343">
        <v>630</v>
      </c>
      <c r="E19" s="13">
        <v>1517</v>
      </c>
      <c r="F19" s="343">
        <v>711</v>
      </c>
      <c r="G19" s="623">
        <v>1261</v>
      </c>
      <c r="H19" s="624">
        <v>621</v>
      </c>
      <c r="I19" s="346">
        <f t="shared" si="1"/>
        <v>-256</v>
      </c>
      <c r="J19" s="330">
        <f t="shared" si="2"/>
        <v>-16.875411997363216</v>
      </c>
      <c r="L19" s="9">
        <f>RANK(G19,G10:G30,0)</f>
        <v>19</v>
      </c>
      <c r="M19" s="9">
        <f>RANK(G19,G10:G30,1)</f>
        <v>3</v>
      </c>
      <c r="N19" s="152">
        <v>10</v>
      </c>
      <c r="O19" s="9">
        <f>RANK(J19,J10:J30,0)</f>
        <v>19</v>
      </c>
      <c r="P19" s="9">
        <f>RANK(J19,J10:J30,1)</f>
        <v>3</v>
      </c>
      <c r="Q19" s="152">
        <v>10</v>
      </c>
    </row>
    <row r="20" spans="2:17" x14ac:dyDescent="0.25">
      <c r="B20" s="208" t="s">
        <v>37</v>
      </c>
      <c r="C20" s="13">
        <v>2757</v>
      </c>
      <c r="D20" s="343">
        <v>1398</v>
      </c>
      <c r="E20" s="13">
        <v>2906</v>
      </c>
      <c r="F20" s="343">
        <v>1454</v>
      </c>
      <c r="G20" s="623">
        <v>2711</v>
      </c>
      <c r="H20" s="624">
        <v>1347</v>
      </c>
      <c r="I20" s="346">
        <f t="shared" si="1"/>
        <v>-195</v>
      </c>
      <c r="J20" s="330">
        <f t="shared" si="2"/>
        <v>-6.7102546455609087</v>
      </c>
      <c r="L20" s="9">
        <f>RANK(G20,G10:G30,0)</f>
        <v>9</v>
      </c>
      <c r="M20" s="9">
        <f>RANK(G20,G10:G30,1)</f>
        <v>13</v>
      </c>
      <c r="N20" s="152">
        <v>11</v>
      </c>
      <c r="O20" s="9">
        <f>RANK(J20,J10:J30,0)</f>
        <v>7</v>
      </c>
      <c r="P20" s="9">
        <f>RANK(J20,J10:J30,1)</f>
        <v>15</v>
      </c>
      <c r="Q20" s="152">
        <v>11</v>
      </c>
    </row>
    <row r="21" spans="2:17" x14ac:dyDescent="0.25">
      <c r="B21" s="208" t="s">
        <v>38</v>
      </c>
      <c r="C21" s="13">
        <v>1891</v>
      </c>
      <c r="D21" s="343">
        <v>1005</v>
      </c>
      <c r="E21" s="13">
        <v>1873</v>
      </c>
      <c r="F21" s="343">
        <v>1011</v>
      </c>
      <c r="G21" s="623">
        <v>1564</v>
      </c>
      <c r="H21" s="624">
        <v>889</v>
      </c>
      <c r="I21" s="346">
        <f t="shared" si="1"/>
        <v>-309</v>
      </c>
      <c r="J21" s="330">
        <f t="shared" si="2"/>
        <v>-16.497597437266418</v>
      </c>
      <c r="L21" s="9">
        <f>RANK(G21,G10:G30,0)</f>
        <v>15</v>
      </c>
      <c r="M21" s="9">
        <f>RANK(G21,G10:G30,1)</f>
        <v>7</v>
      </c>
      <c r="N21" s="152">
        <v>12</v>
      </c>
      <c r="O21" s="9">
        <f>RANK(J21,J10:J30,0)</f>
        <v>18</v>
      </c>
      <c r="P21" s="9">
        <f>RANK(J21,J10:J30,1)</f>
        <v>4</v>
      </c>
      <c r="Q21" s="152">
        <v>12</v>
      </c>
    </row>
    <row r="22" spans="2:17" x14ac:dyDescent="0.25">
      <c r="B22" s="208" t="s">
        <v>39</v>
      </c>
      <c r="C22" s="13">
        <v>2499</v>
      </c>
      <c r="D22" s="343">
        <v>1307</v>
      </c>
      <c r="E22" s="13">
        <v>2510</v>
      </c>
      <c r="F22" s="343">
        <v>1304</v>
      </c>
      <c r="G22" s="623">
        <v>2272</v>
      </c>
      <c r="H22" s="624">
        <v>1157</v>
      </c>
      <c r="I22" s="346">
        <f t="shared" si="1"/>
        <v>-238</v>
      </c>
      <c r="J22" s="330">
        <f t="shared" si="2"/>
        <v>-9.4820717131474108</v>
      </c>
      <c r="L22" s="9">
        <f>RANK(G22,G10:G30,0)</f>
        <v>10</v>
      </c>
      <c r="M22" s="9">
        <f>RANK(G22,G10:G30,1)</f>
        <v>12</v>
      </c>
      <c r="N22" s="152">
        <v>13</v>
      </c>
      <c r="O22" s="9">
        <f>RANK(J22,J10:J30,0)</f>
        <v>14</v>
      </c>
      <c r="P22" s="9">
        <f>RANK(J22,J10:J30,1)</f>
        <v>8</v>
      </c>
      <c r="Q22" s="152">
        <v>13</v>
      </c>
    </row>
    <row r="23" spans="2:17" x14ac:dyDescent="0.25">
      <c r="B23" s="209" t="s">
        <v>40</v>
      </c>
      <c r="C23" s="13">
        <v>3679</v>
      </c>
      <c r="D23" s="343">
        <v>1920</v>
      </c>
      <c r="E23" s="13">
        <v>3836</v>
      </c>
      <c r="F23" s="343">
        <v>2017</v>
      </c>
      <c r="G23" s="623">
        <v>3504</v>
      </c>
      <c r="H23" s="624">
        <v>1852</v>
      </c>
      <c r="I23" s="346">
        <f t="shared" si="1"/>
        <v>-332</v>
      </c>
      <c r="J23" s="330">
        <f t="shared" si="2"/>
        <v>-8.6548488008342019</v>
      </c>
      <c r="L23" s="9">
        <f>RANK(G23,G10:G30,0)</f>
        <v>5</v>
      </c>
      <c r="M23" s="9">
        <f>RANK(G23,G10:G30,1)</f>
        <v>17</v>
      </c>
      <c r="N23" s="152">
        <v>14</v>
      </c>
      <c r="O23" s="9">
        <f>RANK(J23,J10:J30,0)</f>
        <v>12</v>
      </c>
      <c r="P23" s="9">
        <f>RANK(J23,J10:J30,1)</f>
        <v>10</v>
      </c>
      <c r="Q23" s="152">
        <v>14</v>
      </c>
    </row>
    <row r="24" spans="2:17" x14ac:dyDescent="0.25">
      <c r="B24" s="209" t="s">
        <v>41</v>
      </c>
      <c r="C24" s="13">
        <v>3041</v>
      </c>
      <c r="D24" s="343">
        <v>1691</v>
      </c>
      <c r="E24" s="13">
        <v>3080</v>
      </c>
      <c r="F24" s="343">
        <v>1733</v>
      </c>
      <c r="G24" s="623">
        <v>2829</v>
      </c>
      <c r="H24" s="624">
        <v>1664</v>
      </c>
      <c r="I24" s="346">
        <f t="shared" si="1"/>
        <v>-251</v>
      </c>
      <c r="J24" s="330">
        <f t="shared" si="2"/>
        <v>-8.1493506493506498</v>
      </c>
      <c r="L24" s="9">
        <f>RANK(G24,G10:G30,0)</f>
        <v>8</v>
      </c>
      <c r="M24" s="9">
        <f>RANK(G24,G10:G30,1)</f>
        <v>14</v>
      </c>
      <c r="N24" s="152">
        <v>15</v>
      </c>
      <c r="O24" s="9">
        <f>RANK(J24,J10:J30,0)</f>
        <v>10</v>
      </c>
      <c r="P24" s="9">
        <f>RANK(J24,J10:J30,1)</f>
        <v>12</v>
      </c>
      <c r="Q24" s="152">
        <v>15</v>
      </c>
    </row>
    <row r="25" spans="2:17" x14ac:dyDescent="0.25">
      <c r="B25" s="209" t="s">
        <v>42</v>
      </c>
      <c r="C25" s="13">
        <v>2272</v>
      </c>
      <c r="D25" s="343">
        <v>1194</v>
      </c>
      <c r="E25" s="13">
        <v>2280</v>
      </c>
      <c r="F25" s="343">
        <v>1189</v>
      </c>
      <c r="G25" s="623">
        <v>2150</v>
      </c>
      <c r="H25" s="624">
        <v>1180</v>
      </c>
      <c r="I25" s="346">
        <f t="shared" si="1"/>
        <v>-130</v>
      </c>
      <c r="J25" s="330">
        <f t="shared" si="2"/>
        <v>-5.7017543859649118</v>
      </c>
      <c r="L25" s="9">
        <f>RANK(G25,G10:G30,0)</f>
        <v>11</v>
      </c>
      <c r="M25" s="9">
        <f>RANK(G25,G10:G30,1)</f>
        <v>11</v>
      </c>
      <c r="N25" s="152">
        <v>16</v>
      </c>
      <c r="O25" s="9">
        <f>RANK(J25,J10:J30,0)</f>
        <v>5</v>
      </c>
      <c r="P25" s="9">
        <f>RANK(J25,J10:J30,1)</f>
        <v>17</v>
      </c>
      <c r="Q25" s="152">
        <v>16</v>
      </c>
    </row>
    <row r="26" spans="2:17" x14ac:dyDescent="0.25">
      <c r="B26" s="209" t="s">
        <v>43</v>
      </c>
      <c r="C26" s="13">
        <v>5205</v>
      </c>
      <c r="D26" s="343">
        <v>2680</v>
      </c>
      <c r="E26" s="13">
        <v>5386</v>
      </c>
      <c r="F26" s="343">
        <v>2765</v>
      </c>
      <c r="G26" s="623">
        <v>5057</v>
      </c>
      <c r="H26" s="624">
        <v>2587</v>
      </c>
      <c r="I26" s="346">
        <f t="shared" si="1"/>
        <v>-329</v>
      </c>
      <c r="J26" s="330">
        <f t="shared" si="2"/>
        <v>-6.1084292610471591</v>
      </c>
      <c r="L26" s="9">
        <f>RANK(G26,G10:G30,0)</f>
        <v>1</v>
      </c>
      <c r="M26" s="9">
        <f>RANK(G26,G10:G30,1)</f>
        <v>21</v>
      </c>
      <c r="N26" s="152">
        <v>17</v>
      </c>
      <c r="O26" s="9">
        <f>RANK(J26,J10:J30,0)</f>
        <v>6</v>
      </c>
      <c r="P26" s="9">
        <f>RANK(J26,J10:J30,1)</f>
        <v>16</v>
      </c>
      <c r="Q26" s="152">
        <v>17</v>
      </c>
    </row>
    <row r="27" spans="2:17" x14ac:dyDescent="0.25">
      <c r="B27" s="209" t="s">
        <v>44</v>
      </c>
      <c r="C27" s="13">
        <v>1792</v>
      </c>
      <c r="D27" s="343">
        <v>897</v>
      </c>
      <c r="E27" s="13">
        <v>1673</v>
      </c>
      <c r="F27" s="343">
        <v>868</v>
      </c>
      <c r="G27" s="623">
        <v>1524</v>
      </c>
      <c r="H27" s="624">
        <v>806</v>
      </c>
      <c r="I27" s="346">
        <f t="shared" si="1"/>
        <v>-149</v>
      </c>
      <c r="J27" s="330">
        <f t="shared" si="2"/>
        <v>-8.9061566049013745</v>
      </c>
      <c r="L27" s="9">
        <f>RANK(G27,G10:G30,0)</f>
        <v>16</v>
      </c>
      <c r="M27" s="9">
        <f>RANK(G27,G10:G30,1)</f>
        <v>6</v>
      </c>
      <c r="N27" s="152">
        <v>18</v>
      </c>
      <c r="O27" s="9">
        <f>RANK(J27,J10:J30,0)</f>
        <v>13</v>
      </c>
      <c r="P27" s="9">
        <f>RANK(J27,J10:J30,1)</f>
        <v>9</v>
      </c>
      <c r="Q27" s="152">
        <v>18</v>
      </c>
    </row>
    <row r="28" spans="2:17" x14ac:dyDescent="0.25">
      <c r="B28" s="209" t="s">
        <v>45</v>
      </c>
      <c r="C28" s="13">
        <v>1023</v>
      </c>
      <c r="D28" s="343">
        <v>568</v>
      </c>
      <c r="E28" s="13">
        <v>1059</v>
      </c>
      <c r="F28" s="343">
        <v>551</v>
      </c>
      <c r="G28" s="623">
        <v>940</v>
      </c>
      <c r="H28" s="624">
        <v>526</v>
      </c>
      <c r="I28" s="346">
        <f t="shared" si="1"/>
        <v>-119</v>
      </c>
      <c r="J28" s="330">
        <f t="shared" si="2"/>
        <v>-11.237016052880074</v>
      </c>
      <c r="L28" s="9">
        <f>RANK(G28,G10:G30,0)</f>
        <v>20</v>
      </c>
      <c r="M28" s="9">
        <f>RANK(G28,G10:G30,1)</f>
        <v>2</v>
      </c>
      <c r="N28" s="152">
        <v>19</v>
      </c>
      <c r="O28" s="9">
        <f>RANK(J28,J10:J30,0)</f>
        <v>17</v>
      </c>
      <c r="P28" s="9">
        <f>RANK(J28,J10:J30,1)</f>
        <v>5</v>
      </c>
      <c r="Q28" s="152">
        <v>19</v>
      </c>
    </row>
    <row r="29" spans="2:17" x14ac:dyDescent="0.25">
      <c r="B29" s="209" t="s">
        <v>46</v>
      </c>
      <c r="C29" s="13">
        <v>3325</v>
      </c>
      <c r="D29" s="343">
        <v>1784</v>
      </c>
      <c r="E29" s="13">
        <v>3408</v>
      </c>
      <c r="F29" s="343">
        <v>1822</v>
      </c>
      <c r="G29" s="623">
        <v>3172</v>
      </c>
      <c r="H29" s="624">
        <v>1739</v>
      </c>
      <c r="I29" s="346">
        <f t="shared" si="1"/>
        <v>-236</v>
      </c>
      <c r="J29" s="330">
        <f t="shared" si="2"/>
        <v>-6.924882629107981</v>
      </c>
      <c r="L29" s="9">
        <f>RANK(G29,G10:G30,0)</f>
        <v>6</v>
      </c>
      <c r="M29" s="9">
        <f>RANK(G29,G10:G30,1)</f>
        <v>16</v>
      </c>
      <c r="N29" s="152">
        <v>20</v>
      </c>
      <c r="O29" s="9">
        <f>RANK(J29,J10:J30,0)</f>
        <v>9</v>
      </c>
      <c r="P29" s="9">
        <f>RANK(J29,J10:J30,1)</f>
        <v>13</v>
      </c>
      <c r="Q29" s="152">
        <v>20</v>
      </c>
    </row>
    <row r="30" spans="2:17" ht="15.75" thickBot="1" x14ac:dyDescent="0.3">
      <c r="B30" s="210" t="s">
        <v>47</v>
      </c>
      <c r="C30" s="20">
        <v>1486</v>
      </c>
      <c r="D30" s="344">
        <v>794</v>
      </c>
      <c r="E30" s="20">
        <v>1391</v>
      </c>
      <c r="F30" s="344">
        <v>750</v>
      </c>
      <c r="G30" s="625">
        <v>1327</v>
      </c>
      <c r="H30" s="626">
        <v>687</v>
      </c>
      <c r="I30" s="347">
        <f t="shared" si="1"/>
        <v>-64</v>
      </c>
      <c r="J30" s="155">
        <f t="shared" si="2"/>
        <v>-4.6010064701653492</v>
      </c>
      <c r="L30" s="9">
        <f>RANK(G30,G10:G30,0)</f>
        <v>17</v>
      </c>
      <c r="M30" s="9">
        <f>RANK(G30,G10:G30,1)</f>
        <v>5</v>
      </c>
      <c r="N30" s="152">
        <v>21</v>
      </c>
      <c r="O30" s="9">
        <f>RANK(J30,J10:J30,0)</f>
        <v>4</v>
      </c>
      <c r="P30" s="9">
        <f>RANK(J30,J10:J30,1)</f>
        <v>18</v>
      </c>
      <c r="Q30" s="152">
        <v>21</v>
      </c>
    </row>
  </sheetData>
  <mergeCells count="4">
    <mergeCell ref="C5:D5"/>
    <mergeCell ref="G5:H5"/>
    <mergeCell ref="E5:F5"/>
    <mergeCell ref="B5:B6"/>
  </mergeCells>
  <printOptions horizontalCentered="1"/>
  <pageMargins left="0" right="0" top="1.0236220472440944" bottom="0.31496062992125984" header="0.31496062992125984" footer="0.31496062992125984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1:P33"/>
  <sheetViews>
    <sheetView workbookViewId="0">
      <selection activeCell="B1" sqref="B1"/>
    </sheetView>
  </sheetViews>
  <sheetFormatPr defaultColWidth="9.140625" defaultRowHeight="15" x14ac:dyDescent="0.25"/>
  <cols>
    <col min="1" max="1" width="3.28515625" style="11" customWidth="1"/>
    <col min="2" max="2" width="49.28515625" style="11" customWidth="1"/>
    <col min="3" max="3" width="10.85546875" style="11" customWidth="1"/>
    <col min="4" max="4" width="7.85546875" style="11" customWidth="1"/>
    <col min="5" max="5" width="9.28515625" style="11" bestFit="1" customWidth="1"/>
    <col min="6" max="6" width="7.85546875" style="11" customWidth="1"/>
    <col min="7" max="7" width="10.5703125" style="11" bestFit="1" customWidth="1"/>
    <col min="8" max="8" width="8" style="11" customWidth="1"/>
    <col min="9" max="9" width="9.28515625" style="11" bestFit="1" customWidth="1"/>
    <col min="10" max="10" width="8.7109375" style="11" customWidth="1"/>
    <col min="11" max="11" width="10" style="11" bestFit="1" customWidth="1"/>
    <col min="12" max="12" width="7.28515625" style="11" customWidth="1"/>
    <col min="13" max="13" width="9.28515625" style="11" bestFit="1" customWidth="1"/>
    <col min="14" max="14" width="7" style="11" customWidth="1"/>
    <col min="15" max="15" width="2.85546875" style="11" customWidth="1"/>
    <col min="16" max="16" width="5.140625" style="153" customWidth="1"/>
    <col min="17" max="16384" width="9.140625" style="11"/>
  </cols>
  <sheetData>
    <row r="1" spans="2:16" ht="12.75" customHeight="1" x14ac:dyDescent="0.25"/>
    <row r="2" spans="2:16" x14ac:dyDescent="0.25">
      <c r="B2" s="893" t="s">
        <v>502</v>
      </c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893"/>
      <c r="N2" s="893"/>
      <c r="O2" s="632"/>
    </row>
    <row r="3" spans="2:16" ht="15.75" customHeight="1" thickBot="1" x14ac:dyDescent="0.3">
      <c r="B3" s="182" t="s">
        <v>479</v>
      </c>
      <c r="C3" s="180"/>
      <c r="D3" s="180"/>
      <c r="E3" s="180"/>
      <c r="F3" s="180"/>
      <c r="K3" s="161"/>
      <c r="L3" s="161"/>
      <c r="M3" s="161"/>
      <c r="N3" s="161"/>
      <c r="O3" s="161"/>
    </row>
    <row r="4" spans="2:16" x14ac:dyDescent="0.25">
      <c r="B4" s="889" t="s">
        <v>123</v>
      </c>
      <c r="C4" s="878" t="s">
        <v>460</v>
      </c>
      <c r="D4" s="879"/>
      <c r="E4" s="879"/>
      <c r="F4" s="880"/>
      <c r="G4" s="885" t="s">
        <v>461</v>
      </c>
      <c r="H4" s="886"/>
      <c r="I4" s="886"/>
      <c r="J4" s="887"/>
      <c r="K4" s="888" t="s">
        <v>130</v>
      </c>
      <c r="L4" s="879"/>
      <c r="M4" s="879"/>
      <c r="N4" s="880"/>
      <c r="O4" s="511"/>
    </row>
    <row r="5" spans="2:16" ht="27.75" customHeight="1" x14ac:dyDescent="0.25">
      <c r="B5" s="890"/>
      <c r="C5" s="881" t="s">
        <v>4</v>
      </c>
      <c r="D5" s="882"/>
      <c r="E5" s="883" t="s">
        <v>109</v>
      </c>
      <c r="F5" s="884"/>
      <c r="G5" s="881" t="s">
        <v>4</v>
      </c>
      <c r="H5" s="882"/>
      <c r="I5" s="883" t="s">
        <v>109</v>
      </c>
      <c r="J5" s="884"/>
      <c r="K5" s="892" t="s">
        <v>4</v>
      </c>
      <c r="L5" s="882"/>
      <c r="M5" s="883" t="s">
        <v>109</v>
      </c>
      <c r="N5" s="884"/>
      <c r="O5" s="646"/>
    </row>
    <row r="6" spans="2:16" ht="27.75" customHeight="1" thickBot="1" x14ac:dyDescent="0.3">
      <c r="B6" s="891"/>
      <c r="C6" s="203" t="s">
        <v>127</v>
      </c>
      <c r="D6" s="204" t="s">
        <v>128</v>
      </c>
      <c r="E6" s="206" t="s">
        <v>127</v>
      </c>
      <c r="F6" s="205" t="s">
        <v>128</v>
      </c>
      <c r="G6" s="203" t="s">
        <v>127</v>
      </c>
      <c r="H6" s="204" t="s">
        <v>128</v>
      </c>
      <c r="I6" s="206" t="s">
        <v>127</v>
      </c>
      <c r="J6" s="205" t="s">
        <v>128</v>
      </c>
      <c r="K6" s="206" t="s">
        <v>127</v>
      </c>
      <c r="L6" s="204" t="s">
        <v>128</v>
      </c>
      <c r="M6" s="206" t="s">
        <v>127</v>
      </c>
      <c r="N6" s="205" t="s">
        <v>128</v>
      </c>
      <c r="O6" s="647"/>
    </row>
    <row r="7" spans="2:16" ht="18.75" x14ac:dyDescent="0.3">
      <c r="B7" s="304" t="s">
        <v>126</v>
      </c>
      <c r="C7" s="305">
        <v>87326</v>
      </c>
      <c r="D7" s="110">
        <v>100</v>
      </c>
      <c r="E7" s="54">
        <v>46036</v>
      </c>
      <c r="F7" s="111">
        <v>100</v>
      </c>
      <c r="G7" s="305">
        <v>80944</v>
      </c>
      <c r="H7" s="110">
        <v>100</v>
      </c>
      <c r="I7" s="54">
        <v>43242</v>
      </c>
      <c r="J7" s="111">
        <v>100</v>
      </c>
      <c r="K7" s="306">
        <f>G7-C7</f>
        <v>-6382</v>
      </c>
      <c r="L7" s="307">
        <f>K7/C7*100</f>
        <v>-7.3082472574032931</v>
      </c>
      <c r="M7" s="308">
        <f>I7-E7</f>
        <v>-2794</v>
      </c>
      <c r="N7" s="309">
        <f>M7/E7*100</f>
        <v>-6.0691632635328876</v>
      </c>
      <c r="O7" s="643"/>
    </row>
    <row r="8" spans="2:16" ht="16.5" customHeight="1" thickBot="1" x14ac:dyDescent="0.3">
      <c r="B8" s="297" t="s">
        <v>255</v>
      </c>
      <c r="C8" s="3">
        <v>74588</v>
      </c>
      <c r="D8" s="294" t="s">
        <v>108</v>
      </c>
      <c r="E8" s="5">
        <v>40312</v>
      </c>
      <c r="F8" s="298" t="s">
        <v>108</v>
      </c>
      <c r="G8" s="3">
        <v>70396</v>
      </c>
      <c r="H8" s="294" t="s">
        <v>108</v>
      </c>
      <c r="I8" s="5">
        <v>38484</v>
      </c>
      <c r="J8" s="298" t="s">
        <v>108</v>
      </c>
      <c r="K8" s="124">
        <f>SUM(G8)-C8</f>
        <v>-4192</v>
      </c>
      <c r="L8" s="295">
        <f>K8/C8*100</f>
        <v>-5.6202070038075824</v>
      </c>
      <c r="M8" s="125">
        <f>SUM(I8)-E8</f>
        <v>-1828</v>
      </c>
      <c r="N8" s="296">
        <f>M8/E8*100</f>
        <v>-4.5346298868823176</v>
      </c>
      <c r="O8" s="644"/>
    </row>
    <row r="9" spans="2:16" ht="16.5" customHeight="1" thickBot="1" x14ac:dyDescent="0.3">
      <c r="B9" s="440" t="s">
        <v>61</v>
      </c>
      <c r="C9" s="441"/>
      <c r="D9" s="442"/>
      <c r="E9" s="441"/>
      <c r="F9" s="442"/>
      <c r="G9" s="441"/>
      <c r="H9" s="442"/>
      <c r="I9" s="441"/>
      <c r="J9" s="442"/>
      <c r="K9" s="443"/>
      <c r="L9" s="444"/>
      <c r="M9" s="443"/>
      <c r="N9" s="445"/>
      <c r="O9" s="648"/>
    </row>
    <row r="10" spans="2:16" x14ac:dyDescent="0.25">
      <c r="B10" s="281" t="s">
        <v>257</v>
      </c>
      <c r="C10" s="282">
        <v>24558</v>
      </c>
      <c r="D10" s="285">
        <f>SUM(C10*100/C7)</f>
        <v>28.122208735084627</v>
      </c>
      <c r="E10" s="284">
        <v>13754</v>
      </c>
      <c r="F10" s="287">
        <f>SUM(E10*100/E7)</f>
        <v>29.87661829872274</v>
      </c>
      <c r="G10" s="282">
        <v>21280</v>
      </c>
      <c r="H10" s="300">
        <f>SUM(G10*100/G7)</f>
        <v>26.289780589049219</v>
      </c>
      <c r="I10" s="284">
        <v>12108</v>
      </c>
      <c r="J10" s="300">
        <f>SUM(I10*100/I7)</f>
        <v>28.00055501595671</v>
      </c>
      <c r="K10" s="288">
        <f>G10-C10</f>
        <v>-3278</v>
      </c>
      <c r="L10" s="300">
        <f>K10/C10*100</f>
        <v>-13.347992507533188</v>
      </c>
      <c r="M10" s="283">
        <f t="shared" ref="M10:M17" si="0">I10-E10</f>
        <v>-1646</v>
      </c>
      <c r="N10" s="302">
        <f t="shared" ref="N10:N17" si="1">M10/E10*100</f>
        <v>-11.967427657408754</v>
      </c>
      <c r="O10" s="645"/>
      <c r="P10" s="530">
        <f>SUM(D10-H10)</f>
        <v>1.8324281460354079</v>
      </c>
    </row>
    <row r="11" spans="2:16" x14ac:dyDescent="0.25">
      <c r="B11" s="181" t="s">
        <v>256</v>
      </c>
      <c r="C11" s="167">
        <v>12015</v>
      </c>
      <c r="D11" s="163">
        <f>SUM(C11*100/C7)</f>
        <v>13.758788905938667</v>
      </c>
      <c r="E11" s="168">
        <v>6128</v>
      </c>
      <c r="F11" s="164">
        <f>SUM(E11*100/E7)</f>
        <v>13.311321574420019</v>
      </c>
      <c r="G11" s="167">
        <v>10067</v>
      </c>
      <c r="H11" s="163">
        <f>SUM(G11*100/G7)</f>
        <v>12.436993476971734</v>
      </c>
      <c r="I11" s="168">
        <v>5207</v>
      </c>
      <c r="J11" s="163">
        <f>SUM(I11*100/I7)</f>
        <v>12.041533694093705</v>
      </c>
      <c r="K11" s="121">
        <f t="shared" ref="K11:K17" si="2">G11-C11</f>
        <v>-1948</v>
      </c>
      <c r="L11" s="216">
        <f>K11/C11*100</f>
        <v>-16.213066999583852</v>
      </c>
      <c r="M11" s="122">
        <f t="shared" si="0"/>
        <v>-921</v>
      </c>
      <c r="N11" s="120">
        <f t="shared" si="1"/>
        <v>-15.029373368146215</v>
      </c>
      <c r="O11" s="636"/>
    </row>
    <row r="12" spans="2:16" x14ac:dyDescent="0.25">
      <c r="B12" s="166" t="s">
        <v>258</v>
      </c>
      <c r="C12" s="167">
        <v>48352</v>
      </c>
      <c r="D12" s="163">
        <f>SUM(C12*100/C7)</f>
        <v>55.369534846437489</v>
      </c>
      <c r="E12" s="168">
        <v>27389</v>
      </c>
      <c r="F12" s="164">
        <f>SUM(E12*100/E7)</f>
        <v>59.494743244417414</v>
      </c>
      <c r="G12" s="167">
        <v>48433</v>
      </c>
      <c r="H12" s="163">
        <f>SUM(G12*100/G7)</f>
        <v>59.835194702510378</v>
      </c>
      <c r="I12" s="168">
        <v>27427</v>
      </c>
      <c r="J12" s="163">
        <f>SUM(I12*100/I7)</f>
        <v>63.426761019379306</v>
      </c>
      <c r="K12" s="121">
        <f>G12-C12</f>
        <v>81</v>
      </c>
      <c r="L12" s="216">
        <f>K12/C12*100</f>
        <v>0.16752150893448048</v>
      </c>
      <c r="M12" s="122">
        <f t="shared" si="0"/>
        <v>38</v>
      </c>
      <c r="N12" s="120">
        <f t="shared" si="1"/>
        <v>0.13874183066194459</v>
      </c>
      <c r="O12" s="636"/>
      <c r="P12" s="530">
        <f>SUM(D12-H12)</f>
        <v>-4.4656598560728895</v>
      </c>
    </row>
    <row r="13" spans="2:16" x14ac:dyDescent="0.25">
      <c r="B13" s="166" t="s">
        <v>259</v>
      </c>
      <c r="C13" s="167">
        <v>20342</v>
      </c>
      <c r="D13" s="163">
        <f>SUM(C13*100/C7)</f>
        <v>23.294322424020336</v>
      </c>
      <c r="E13" s="168">
        <v>7719</v>
      </c>
      <c r="F13" s="164">
        <f>SUM(E13*100/E7)</f>
        <v>16.76731253801373</v>
      </c>
      <c r="G13" s="167">
        <v>19172</v>
      </c>
      <c r="H13" s="163">
        <f>SUM(G13*100/G7)</f>
        <v>23.68551097054754</v>
      </c>
      <c r="I13" s="168">
        <v>7304</v>
      </c>
      <c r="J13" s="163">
        <f>SUM(I13*100/I7)</f>
        <v>16.890985615836456</v>
      </c>
      <c r="K13" s="121">
        <f>G13-C13</f>
        <v>-1170</v>
      </c>
      <c r="L13" s="216">
        <f t="shared" ref="L13:L17" si="3">K13/C13*100</f>
        <v>-5.7516468390522073</v>
      </c>
      <c r="M13" s="122">
        <f t="shared" si="0"/>
        <v>-415</v>
      </c>
      <c r="N13" s="120">
        <f t="shared" si="1"/>
        <v>-5.376344086021505</v>
      </c>
      <c r="O13" s="636"/>
      <c r="P13" s="544">
        <f>SUM(D13-H13)</f>
        <v>-0.39118854652720358</v>
      </c>
    </row>
    <row r="14" spans="2:16" x14ac:dyDescent="0.25">
      <c r="B14" s="166" t="s">
        <v>260</v>
      </c>
      <c r="C14" s="167">
        <v>1161</v>
      </c>
      <c r="D14" s="163">
        <f>SUM(C14*100/C7)</f>
        <v>1.3295009504614892</v>
      </c>
      <c r="E14" s="168">
        <v>619</v>
      </c>
      <c r="F14" s="164">
        <f>SUM(E14*100/E7)</f>
        <v>1.3445998783560691</v>
      </c>
      <c r="G14" s="167">
        <v>951</v>
      </c>
      <c r="H14" s="301">
        <f>SUM(G14*100/G7)</f>
        <v>1.174886341174145</v>
      </c>
      <c r="I14" s="168">
        <v>522</v>
      </c>
      <c r="J14" s="301">
        <f>SUM(I14*100/I7)</f>
        <v>1.2071597058415429</v>
      </c>
      <c r="K14" s="165">
        <f t="shared" si="2"/>
        <v>-210</v>
      </c>
      <c r="L14" s="301">
        <f t="shared" si="3"/>
        <v>-18.087855297157624</v>
      </c>
      <c r="M14" s="162">
        <f t="shared" si="0"/>
        <v>-97</v>
      </c>
      <c r="N14" s="303">
        <f t="shared" si="1"/>
        <v>-15.670436187399032</v>
      </c>
      <c r="O14" s="645"/>
    </row>
    <row r="15" spans="2:16" ht="15.75" customHeight="1" x14ac:dyDescent="0.25">
      <c r="B15" s="166" t="s">
        <v>261</v>
      </c>
      <c r="C15" s="167">
        <v>16343</v>
      </c>
      <c r="D15" s="163">
        <f>SUM(C15*100/C7)</f>
        <v>18.714930261319651</v>
      </c>
      <c r="E15" s="168">
        <v>13702</v>
      </c>
      <c r="F15" s="164">
        <f>SUM(E15*100/E7)</f>
        <v>29.763663220088628</v>
      </c>
      <c r="G15" s="167">
        <v>15727</v>
      </c>
      <c r="H15" s="301">
        <f>SUM(G15*100/G7)</f>
        <v>19.429482111089147</v>
      </c>
      <c r="I15" s="168">
        <v>13290</v>
      </c>
      <c r="J15" s="301">
        <f>SUM(I15*100/I7)</f>
        <v>30.73400860274733</v>
      </c>
      <c r="K15" s="165">
        <f t="shared" si="2"/>
        <v>-616</v>
      </c>
      <c r="L15" s="301">
        <f t="shared" si="3"/>
        <v>-3.7691978216973627</v>
      </c>
      <c r="M15" s="162">
        <f t="shared" si="0"/>
        <v>-412</v>
      </c>
      <c r="N15" s="303">
        <f t="shared" si="1"/>
        <v>-3.0068603123631585</v>
      </c>
      <c r="O15" s="645"/>
    </row>
    <row r="16" spans="2:16" ht="30" x14ac:dyDescent="0.25">
      <c r="B16" s="166" t="s">
        <v>262</v>
      </c>
      <c r="C16" s="167">
        <v>153</v>
      </c>
      <c r="D16" s="163">
        <f>SUM(C16*100/C7)</f>
        <v>0.17520555161120399</v>
      </c>
      <c r="E16" s="168">
        <v>101</v>
      </c>
      <c r="F16" s="164">
        <f>SUM(E16*100/E7)</f>
        <v>0.21939351811625685</v>
      </c>
      <c r="G16" s="167">
        <v>129</v>
      </c>
      <c r="H16" s="301">
        <f>SUM(G16*100/G7)</f>
        <v>0.15936944060090927</v>
      </c>
      <c r="I16" s="168">
        <v>79</v>
      </c>
      <c r="J16" s="301">
        <f>SUM(I16*100/I7)</f>
        <v>0.18269275241663196</v>
      </c>
      <c r="K16" s="165">
        <f t="shared" si="2"/>
        <v>-24</v>
      </c>
      <c r="L16" s="301">
        <f t="shared" si="3"/>
        <v>-15.686274509803921</v>
      </c>
      <c r="M16" s="162">
        <f t="shared" si="0"/>
        <v>-22</v>
      </c>
      <c r="N16" s="303">
        <f t="shared" si="1"/>
        <v>-21.782178217821784</v>
      </c>
      <c r="O16" s="645"/>
    </row>
    <row r="17" spans="2:16" ht="15.75" thickBot="1" x14ac:dyDescent="0.3">
      <c r="B17" s="172" t="s">
        <v>263</v>
      </c>
      <c r="C17" s="173">
        <v>3611</v>
      </c>
      <c r="D17" s="174">
        <f>SUM(C17*100/C7)</f>
        <v>4.1350800448892659</v>
      </c>
      <c r="E17" s="175">
        <v>1653</v>
      </c>
      <c r="F17" s="299">
        <f>SUM(E17*100/E7)</f>
        <v>3.5906681727343819</v>
      </c>
      <c r="G17" s="173">
        <v>3377</v>
      </c>
      <c r="H17" s="174">
        <f>SUM(G17*100/G7)</f>
        <v>4.1720201620873691</v>
      </c>
      <c r="I17" s="175">
        <v>1570</v>
      </c>
      <c r="J17" s="174">
        <f>SUM(I17*100/I7)</f>
        <v>3.6307293834697747</v>
      </c>
      <c r="K17" s="123">
        <f t="shared" si="2"/>
        <v>-234</v>
      </c>
      <c r="L17" s="218">
        <f t="shared" si="3"/>
        <v>-6.4801993907504851</v>
      </c>
      <c r="M17" s="125">
        <f t="shared" si="0"/>
        <v>-83</v>
      </c>
      <c r="N17" s="126">
        <f t="shared" si="1"/>
        <v>-5.0211736237144589</v>
      </c>
      <c r="O17" s="636"/>
    </row>
    <row r="18" spans="2:16" x14ac:dyDescent="0.25">
      <c r="B18" s="772"/>
      <c r="C18" s="177"/>
      <c r="D18" s="178"/>
      <c r="E18" s="177"/>
      <c r="F18" s="178"/>
      <c r="G18" s="177"/>
      <c r="H18" s="178"/>
      <c r="I18" s="177"/>
      <c r="J18" s="178"/>
      <c r="K18" s="774"/>
      <c r="L18" s="636"/>
      <c r="M18" s="774"/>
      <c r="N18" s="636"/>
      <c r="O18" s="636"/>
    </row>
    <row r="19" spans="2:16" ht="21" customHeight="1" thickBot="1" x14ac:dyDescent="0.3">
      <c r="B19" s="691" t="s">
        <v>480</v>
      </c>
      <c r="C19" s="177"/>
      <c r="D19" s="178"/>
      <c r="E19" s="177"/>
      <c r="F19" s="178"/>
      <c r="G19" s="177"/>
      <c r="H19" s="179"/>
      <c r="I19" s="177"/>
      <c r="J19" s="179"/>
      <c r="K19" s="179"/>
      <c r="L19" s="179"/>
      <c r="M19" s="179"/>
      <c r="N19" s="179"/>
      <c r="O19" s="179"/>
    </row>
    <row r="20" spans="2:16" ht="30" customHeight="1" x14ac:dyDescent="0.25">
      <c r="B20" s="889" t="s">
        <v>123</v>
      </c>
      <c r="C20" s="878" t="s">
        <v>439</v>
      </c>
      <c r="D20" s="879"/>
      <c r="E20" s="879"/>
      <c r="F20" s="880"/>
      <c r="G20" s="885" t="s">
        <v>461</v>
      </c>
      <c r="H20" s="886"/>
      <c r="I20" s="886"/>
      <c r="J20" s="887"/>
      <c r="K20" s="888" t="s">
        <v>130</v>
      </c>
      <c r="L20" s="879"/>
      <c r="M20" s="879"/>
      <c r="N20" s="880"/>
      <c r="O20" s="511"/>
    </row>
    <row r="21" spans="2:16" x14ac:dyDescent="0.25">
      <c r="B21" s="890"/>
      <c r="C21" s="881" t="s">
        <v>4</v>
      </c>
      <c r="D21" s="882"/>
      <c r="E21" s="883" t="s">
        <v>109</v>
      </c>
      <c r="F21" s="884"/>
      <c r="G21" s="881" t="s">
        <v>4</v>
      </c>
      <c r="H21" s="882"/>
      <c r="I21" s="883" t="s">
        <v>109</v>
      </c>
      <c r="J21" s="884"/>
      <c r="K21" s="892" t="s">
        <v>4</v>
      </c>
      <c r="L21" s="882"/>
      <c r="M21" s="883" t="s">
        <v>109</v>
      </c>
      <c r="N21" s="884"/>
      <c r="O21" s="646"/>
    </row>
    <row r="22" spans="2:16" ht="15.75" thickBot="1" x14ac:dyDescent="0.3">
      <c r="B22" s="891"/>
      <c r="C22" s="203" t="s">
        <v>127</v>
      </c>
      <c r="D22" s="204" t="s">
        <v>128</v>
      </c>
      <c r="E22" s="206" t="s">
        <v>127</v>
      </c>
      <c r="F22" s="205" t="s">
        <v>128</v>
      </c>
      <c r="G22" s="203" t="s">
        <v>127</v>
      </c>
      <c r="H22" s="204" t="s">
        <v>128</v>
      </c>
      <c r="I22" s="206" t="s">
        <v>127</v>
      </c>
      <c r="J22" s="205" t="s">
        <v>128</v>
      </c>
      <c r="K22" s="206" t="s">
        <v>127</v>
      </c>
      <c r="L22" s="204" t="s">
        <v>128</v>
      </c>
      <c r="M22" s="206" t="s">
        <v>127</v>
      </c>
      <c r="N22" s="205" t="s">
        <v>128</v>
      </c>
      <c r="O22" s="647"/>
    </row>
    <row r="23" spans="2:16" ht="18.75" x14ac:dyDescent="0.3">
      <c r="B23" s="304" t="s">
        <v>126</v>
      </c>
      <c r="C23" s="305">
        <v>86159</v>
      </c>
      <c r="D23" s="110">
        <v>100</v>
      </c>
      <c r="E23" s="54">
        <v>45420</v>
      </c>
      <c r="F23" s="111">
        <v>100</v>
      </c>
      <c r="G23" s="305">
        <f>SUM(G7)</f>
        <v>80944</v>
      </c>
      <c r="H23" s="110">
        <v>100</v>
      </c>
      <c r="I23" s="54">
        <f>SUM(I7)</f>
        <v>43242</v>
      </c>
      <c r="J23" s="111">
        <v>100</v>
      </c>
      <c r="K23" s="306">
        <f>G23-C23</f>
        <v>-5215</v>
      </c>
      <c r="L23" s="307">
        <f>K23/C23*100</f>
        <v>-6.0527629150756157</v>
      </c>
      <c r="M23" s="308">
        <f>I23-E23</f>
        <v>-2178</v>
      </c>
      <c r="N23" s="309">
        <f>M23/E23*100</f>
        <v>-4.7952443857331568</v>
      </c>
      <c r="O23" s="643"/>
    </row>
    <row r="24" spans="2:16" ht="15.75" thickBot="1" x14ac:dyDescent="0.3">
      <c r="B24" s="297" t="s">
        <v>255</v>
      </c>
      <c r="C24" s="3">
        <v>72976</v>
      </c>
      <c r="D24" s="294" t="s">
        <v>108</v>
      </c>
      <c r="E24" s="5">
        <v>39551</v>
      </c>
      <c r="F24" s="298" t="s">
        <v>108</v>
      </c>
      <c r="G24" s="3">
        <f>SUM(G8)</f>
        <v>70396</v>
      </c>
      <c r="H24" s="294" t="s">
        <v>108</v>
      </c>
      <c r="I24" s="5">
        <f>SUM(I8)</f>
        <v>38484</v>
      </c>
      <c r="J24" s="298" t="s">
        <v>108</v>
      </c>
      <c r="K24" s="124">
        <f>SUM(G24)-C24</f>
        <v>-2580</v>
      </c>
      <c r="L24" s="295">
        <f>K24/C24*100</f>
        <v>-3.5354089015566763</v>
      </c>
      <c r="M24" s="125">
        <f>SUM(I24)-E24</f>
        <v>-1067</v>
      </c>
      <c r="N24" s="296">
        <f>M24/E24*100</f>
        <v>-2.697782609794948</v>
      </c>
      <c r="O24" s="644"/>
    </row>
    <row r="25" spans="2:16" ht="15.75" thickBot="1" x14ac:dyDescent="0.3">
      <c r="B25" s="440" t="s">
        <v>61</v>
      </c>
      <c r="C25" s="441"/>
      <c r="D25" s="442"/>
      <c r="E25" s="441"/>
      <c r="F25" s="442"/>
      <c r="G25" s="441"/>
      <c r="H25" s="442"/>
      <c r="I25" s="441"/>
      <c r="J25" s="442"/>
      <c r="K25" s="443"/>
      <c r="L25" s="444"/>
      <c r="M25" s="443"/>
      <c r="N25" s="445"/>
      <c r="O25" s="648"/>
    </row>
    <row r="26" spans="2:16" x14ac:dyDescent="0.25">
      <c r="B26" s="281" t="s">
        <v>257</v>
      </c>
      <c r="C26" s="282">
        <v>25081</v>
      </c>
      <c r="D26" s="285">
        <f>SUM(C26*100/C23)</f>
        <v>29.110133590222727</v>
      </c>
      <c r="E26" s="286">
        <v>13914</v>
      </c>
      <c r="F26" s="287">
        <f>SUM(E26*100/E23)</f>
        <v>30.634081902245708</v>
      </c>
      <c r="G26" s="282">
        <f t="shared" ref="G26:G33" si="4">SUM(G10)</f>
        <v>21280</v>
      </c>
      <c r="H26" s="300">
        <f>SUM(G26*100/G23)</f>
        <v>26.289780589049219</v>
      </c>
      <c r="I26" s="284">
        <f t="shared" ref="I26:I33" si="5">SUM(I10)</f>
        <v>12108</v>
      </c>
      <c r="J26" s="300">
        <f>SUM(I26*100/I23)</f>
        <v>28.00055501595671</v>
      </c>
      <c r="K26" s="288">
        <f>G26-C26</f>
        <v>-3801</v>
      </c>
      <c r="L26" s="300">
        <f>K26/C26*100</f>
        <v>-15.15489813005861</v>
      </c>
      <c r="M26" s="283">
        <f t="shared" ref="M26:M33" si="6">I26-E26</f>
        <v>-1806</v>
      </c>
      <c r="N26" s="302">
        <f t="shared" ref="N26:N33" si="7">M26/E26*100</f>
        <v>-12.979732643380768</v>
      </c>
      <c r="O26" s="645"/>
    </row>
    <row r="27" spans="2:16" x14ac:dyDescent="0.25">
      <c r="B27" s="181" t="s">
        <v>256</v>
      </c>
      <c r="C27" s="167">
        <v>11959</v>
      </c>
      <c r="D27" s="163">
        <f>SUM(C27*100/C23)</f>
        <v>13.88015181234694</v>
      </c>
      <c r="E27" s="169">
        <v>5999</v>
      </c>
      <c r="F27" s="164">
        <f>SUM(E27*100/E23)</f>
        <v>13.207837956847204</v>
      </c>
      <c r="G27" s="167">
        <f t="shared" si="4"/>
        <v>10067</v>
      </c>
      <c r="H27" s="163">
        <f>SUM(G27*100/G23)</f>
        <v>12.436993476971734</v>
      </c>
      <c r="I27" s="168">
        <f t="shared" si="5"/>
        <v>5207</v>
      </c>
      <c r="J27" s="163">
        <f>SUM(I27*100/I23)</f>
        <v>12.041533694093705</v>
      </c>
      <c r="K27" s="121">
        <f t="shared" ref="K27:K33" si="8">G27-C27</f>
        <v>-1892</v>
      </c>
      <c r="L27" s="216">
        <f>K27/C27*100</f>
        <v>-15.82072079605318</v>
      </c>
      <c r="M27" s="122">
        <f t="shared" si="6"/>
        <v>-792</v>
      </c>
      <c r="N27" s="120">
        <f t="shared" si="7"/>
        <v>-13.202200366727787</v>
      </c>
      <c r="O27" s="636"/>
    </row>
    <row r="28" spans="2:16" x14ac:dyDescent="0.25">
      <c r="B28" s="166" t="s">
        <v>258</v>
      </c>
      <c r="C28" s="167">
        <v>45019</v>
      </c>
      <c r="D28" s="163">
        <f>SUM(C28*100/C23)</f>
        <v>52.251070694878074</v>
      </c>
      <c r="E28" s="169">
        <v>26104</v>
      </c>
      <c r="F28" s="164">
        <f>SUM(E28*100/E23)</f>
        <v>57.472479084103917</v>
      </c>
      <c r="G28" s="167">
        <f t="shared" si="4"/>
        <v>48433</v>
      </c>
      <c r="H28" s="163">
        <f>SUM(G28*100/G23)</f>
        <v>59.835194702510378</v>
      </c>
      <c r="I28" s="168">
        <f t="shared" si="5"/>
        <v>27427</v>
      </c>
      <c r="J28" s="163">
        <f>SUM(I28*100/I23)</f>
        <v>63.426761019379306</v>
      </c>
      <c r="K28" s="121">
        <f>G28-C28</f>
        <v>3414</v>
      </c>
      <c r="L28" s="216">
        <f>K28/C28*100</f>
        <v>7.5834647593238405</v>
      </c>
      <c r="M28" s="122">
        <f t="shared" si="6"/>
        <v>1323</v>
      </c>
      <c r="N28" s="120">
        <f t="shared" si="7"/>
        <v>5.0681887833282255</v>
      </c>
      <c r="O28" s="636"/>
      <c r="P28" s="530">
        <f>SUM(D28-H28)</f>
        <v>-7.5841240076323047</v>
      </c>
    </row>
    <row r="29" spans="2:16" x14ac:dyDescent="0.25">
      <c r="B29" s="166" t="s">
        <v>259</v>
      </c>
      <c r="C29" s="167">
        <v>19584</v>
      </c>
      <c r="D29" s="163">
        <f>SUM(C29*100/C23)</f>
        <v>22.730068826239858</v>
      </c>
      <c r="E29" s="169">
        <v>7368</v>
      </c>
      <c r="F29" s="164">
        <f>SUM(E29*100/E23)</f>
        <v>16.221928665785999</v>
      </c>
      <c r="G29" s="167">
        <f t="shared" si="4"/>
        <v>19172</v>
      </c>
      <c r="H29" s="163">
        <f>SUM(G29*100/G23)</f>
        <v>23.68551097054754</v>
      </c>
      <c r="I29" s="168">
        <f t="shared" si="5"/>
        <v>7304</v>
      </c>
      <c r="J29" s="163">
        <f>SUM(I29*100/I23)</f>
        <v>16.890985615836456</v>
      </c>
      <c r="K29" s="121">
        <f>G29-C29</f>
        <v>-412</v>
      </c>
      <c r="L29" s="216">
        <f>K29/C29*100</f>
        <v>-2.1037581699346406</v>
      </c>
      <c r="M29" s="122">
        <f t="shared" si="6"/>
        <v>-64</v>
      </c>
      <c r="N29" s="120">
        <f t="shared" si="7"/>
        <v>-0.86862106406080353</v>
      </c>
      <c r="O29" s="636"/>
    </row>
    <row r="30" spans="2:16" x14ac:dyDescent="0.25">
      <c r="B30" s="166" t="s">
        <v>260</v>
      </c>
      <c r="C30" s="170">
        <v>1063</v>
      </c>
      <c r="D30" s="163">
        <f>SUM(C30*100/C23)</f>
        <v>1.233765480100744</v>
      </c>
      <c r="E30" s="171">
        <v>605</v>
      </c>
      <c r="F30" s="164">
        <f>SUM(E30*100/E23)</f>
        <v>1.3320123293703214</v>
      </c>
      <c r="G30" s="167">
        <f t="shared" si="4"/>
        <v>951</v>
      </c>
      <c r="H30" s="301">
        <f>SUM(G30*100/G23)</f>
        <v>1.174886341174145</v>
      </c>
      <c r="I30" s="168">
        <f t="shared" si="5"/>
        <v>522</v>
      </c>
      <c r="J30" s="301">
        <f>SUM(I30*100/I23)</f>
        <v>1.2071597058415429</v>
      </c>
      <c r="K30" s="165">
        <f t="shared" si="8"/>
        <v>-112</v>
      </c>
      <c r="L30" s="301">
        <f t="shared" ref="L30:L33" si="9">K30/C30*100</f>
        <v>-10.536218250235184</v>
      </c>
      <c r="M30" s="162">
        <f t="shared" si="6"/>
        <v>-83</v>
      </c>
      <c r="N30" s="303">
        <f t="shared" si="7"/>
        <v>-13.71900826446281</v>
      </c>
      <c r="O30" s="645"/>
    </row>
    <row r="31" spans="2:16" x14ac:dyDescent="0.25">
      <c r="B31" s="166" t="s">
        <v>261</v>
      </c>
      <c r="C31" s="167">
        <v>16669</v>
      </c>
      <c r="D31" s="163">
        <f>SUM(C31*100/C23)</f>
        <v>19.34678907601063</v>
      </c>
      <c r="E31" s="169">
        <v>13779</v>
      </c>
      <c r="F31" s="164">
        <f>SUM(E31*100/E23)</f>
        <v>30.336856010568031</v>
      </c>
      <c r="G31" s="167">
        <f t="shared" si="4"/>
        <v>15727</v>
      </c>
      <c r="H31" s="301">
        <f>SUM(G31*100/G23)</f>
        <v>19.429482111089147</v>
      </c>
      <c r="I31" s="168">
        <f t="shared" si="5"/>
        <v>13290</v>
      </c>
      <c r="J31" s="301">
        <f>SUM(I31*100/I23)</f>
        <v>30.73400860274733</v>
      </c>
      <c r="K31" s="165">
        <f t="shared" si="8"/>
        <v>-942</v>
      </c>
      <c r="L31" s="301">
        <f t="shared" si="9"/>
        <v>-5.651208830763693</v>
      </c>
      <c r="M31" s="162">
        <f t="shared" si="6"/>
        <v>-489</v>
      </c>
      <c r="N31" s="303">
        <f t="shared" si="7"/>
        <v>-3.5488787284998913</v>
      </c>
      <c r="O31" s="645"/>
    </row>
    <row r="32" spans="2:16" ht="30" x14ac:dyDescent="0.25">
      <c r="B32" s="166" t="s">
        <v>262</v>
      </c>
      <c r="C32" s="167">
        <v>167</v>
      </c>
      <c r="D32" s="163">
        <f>SUM(C32*100/C23)</f>
        <v>0.19382769066493344</v>
      </c>
      <c r="E32" s="169">
        <v>117</v>
      </c>
      <c r="F32" s="164">
        <f>SUM(E32*100/E23)</f>
        <v>0.25759577278731838</v>
      </c>
      <c r="G32" s="167">
        <f t="shared" si="4"/>
        <v>129</v>
      </c>
      <c r="H32" s="301">
        <f>SUM(G32*100/G23)</f>
        <v>0.15936944060090927</v>
      </c>
      <c r="I32" s="168">
        <f t="shared" si="5"/>
        <v>79</v>
      </c>
      <c r="J32" s="301">
        <f>SUM(I32*100/I23)</f>
        <v>0.18269275241663196</v>
      </c>
      <c r="K32" s="165">
        <f t="shared" si="8"/>
        <v>-38</v>
      </c>
      <c r="L32" s="301">
        <f t="shared" si="9"/>
        <v>-22.754491017964071</v>
      </c>
      <c r="M32" s="162">
        <f t="shared" si="6"/>
        <v>-38</v>
      </c>
      <c r="N32" s="303">
        <f t="shared" si="7"/>
        <v>-32.478632478632477</v>
      </c>
      <c r="O32" s="645"/>
    </row>
    <row r="33" spans="2:15" ht="15.75" thickBot="1" x14ac:dyDescent="0.3">
      <c r="B33" s="172" t="s">
        <v>263</v>
      </c>
      <c r="C33" s="173">
        <v>3853</v>
      </c>
      <c r="D33" s="174">
        <f>SUM(C33*100/C23)</f>
        <v>4.4719646235448414</v>
      </c>
      <c r="E33" s="176">
        <v>1783</v>
      </c>
      <c r="F33" s="299">
        <f>SUM(E33*100/E23)</f>
        <v>3.9255834434169969</v>
      </c>
      <c r="G33" s="173">
        <f t="shared" si="4"/>
        <v>3377</v>
      </c>
      <c r="H33" s="174">
        <f>SUM(G33*100/G23)</f>
        <v>4.1720201620873691</v>
      </c>
      <c r="I33" s="175">
        <f t="shared" si="5"/>
        <v>1570</v>
      </c>
      <c r="J33" s="174">
        <f>SUM(I33*100/I23)</f>
        <v>3.6307293834697747</v>
      </c>
      <c r="K33" s="123">
        <f t="shared" si="8"/>
        <v>-476</v>
      </c>
      <c r="L33" s="218">
        <f t="shared" si="9"/>
        <v>-12.354009862444848</v>
      </c>
      <c r="M33" s="125">
        <f t="shared" si="6"/>
        <v>-213</v>
      </c>
      <c r="N33" s="126">
        <f t="shared" si="7"/>
        <v>-11.946158160403813</v>
      </c>
      <c r="O33" s="636"/>
    </row>
  </sheetData>
  <mergeCells count="21">
    <mergeCell ref="B20:B22"/>
    <mergeCell ref="K5:L5"/>
    <mergeCell ref="M5:N5"/>
    <mergeCell ref="B2:N2"/>
    <mergeCell ref="B4:B6"/>
    <mergeCell ref="G4:J4"/>
    <mergeCell ref="C4:F4"/>
    <mergeCell ref="K4:N4"/>
    <mergeCell ref="G5:H5"/>
    <mergeCell ref="I5:J5"/>
    <mergeCell ref="C5:D5"/>
    <mergeCell ref="E5:F5"/>
    <mergeCell ref="G21:H21"/>
    <mergeCell ref="I21:J21"/>
    <mergeCell ref="K21:L21"/>
    <mergeCell ref="M21:N21"/>
    <mergeCell ref="C20:F20"/>
    <mergeCell ref="C21:D21"/>
    <mergeCell ref="E21:F21"/>
    <mergeCell ref="G20:J20"/>
    <mergeCell ref="K20:N20"/>
  </mergeCells>
  <pageMargins left="0.70866141732283472" right="0.70866141732283472" top="1.3779527559055118" bottom="0" header="0.31496062992125984" footer="0.31496062992125984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R37"/>
  <sheetViews>
    <sheetView workbookViewId="0">
      <selection activeCell="B1" sqref="B1"/>
    </sheetView>
  </sheetViews>
  <sheetFormatPr defaultColWidth="9.140625" defaultRowHeight="15" x14ac:dyDescent="0.25"/>
  <cols>
    <col min="1" max="1" width="3.28515625" style="86" customWidth="1"/>
    <col min="2" max="2" width="23.42578125" style="86" customWidth="1"/>
    <col min="3" max="3" width="10.85546875" style="86" customWidth="1"/>
    <col min="4" max="4" width="10.28515625" style="86" customWidth="1"/>
    <col min="5" max="5" width="8.85546875" style="86" customWidth="1"/>
    <col min="6" max="7" width="9.140625" style="86"/>
    <col min="8" max="8" width="8.28515625" style="86" customWidth="1"/>
    <col min="9" max="10" width="9.28515625" style="86" bestFit="1" customWidth="1"/>
    <col min="11" max="11" width="8" style="86" customWidth="1"/>
    <col min="12" max="13" width="9.140625" style="86"/>
    <col min="14" max="14" width="8.28515625" style="86" customWidth="1"/>
    <col min="15" max="16384" width="9.140625" style="86"/>
  </cols>
  <sheetData>
    <row r="1" spans="2:18" ht="12" customHeight="1" x14ac:dyDescent="0.25"/>
    <row r="2" spans="2:18" x14ac:dyDescent="0.25">
      <c r="B2" s="11" t="s">
        <v>503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8" x14ac:dyDescent="0.25">
      <c r="B3" s="11" t="s">
        <v>393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18" ht="14.25" customHeight="1" thickBo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18" ht="17.25" customHeight="1" thickBot="1" x14ac:dyDescent="0.3">
      <c r="B5" s="849" t="s">
        <v>123</v>
      </c>
      <c r="C5" s="812" t="s">
        <v>461</v>
      </c>
      <c r="D5" s="813"/>
      <c r="E5" s="813"/>
      <c r="F5" s="813"/>
      <c r="G5" s="813"/>
      <c r="H5" s="813"/>
      <c r="I5" s="813"/>
      <c r="J5" s="813"/>
      <c r="K5" s="813"/>
      <c r="L5" s="813"/>
      <c r="M5" s="813"/>
      <c r="N5" s="814"/>
    </row>
    <row r="6" spans="2:18" ht="21" customHeight="1" x14ac:dyDescent="0.25">
      <c r="B6" s="899"/>
      <c r="C6" s="819" t="s">
        <v>126</v>
      </c>
      <c r="D6" s="846"/>
      <c r="E6" s="820"/>
      <c r="F6" s="819" t="s">
        <v>264</v>
      </c>
      <c r="G6" s="846"/>
      <c r="H6" s="846"/>
      <c r="I6" s="846"/>
      <c r="J6" s="846"/>
      <c r="K6" s="846"/>
      <c r="L6" s="846"/>
      <c r="M6" s="846"/>
      <c r="N6" s="820"/>
    </row>
    <row r="7" spans="2:18" ht="17.25" customHeight="1" thickBot="1" x14ac:dyDescent="0.3">
      <c r="B7" s="899"/>
      <c r="C7" s="900"/>
      <c r="D7" s="901"/>
      <c r="E7" s="902"/>
      <c r="F7" s="903" t="s">
        <v>178</v>
      </c>
      <c r="G7" s="896"/>
      <c r="H7" s="896"/>
      <c r="I7" s="896" t="s">
        <v>110</v>
      </c>
      <c r="J7" s="896"/>
      <c r="K7" s="896"/>
      <c r="L7" s="896" t="s">
        <v>179</v>
      </c>
      <c r="M7" s="896"/>
      <c r="N7" s="904"/>
    </row>
    <row r="8" spans="2:18" ht="18" customHeight="1" x14ac:dyDescent="0.25">
      <c r="B8" s="899"/>
      <c r="C8" s="905" t="s">
        <v>4</v>
      </c>
      <c r="D8" s="906" t="s">
        <v>109</v>
      </c>
      <c r="E8" s="907"/>
      <c r="F8" s="829" t="s">
        <v>4</v>
      </c>
      <c r="G8" s="895" t="s">
        <v>109</v>
      </c>
      <c r="H8" s="895"/>
      <c r="I8" s="895" t="s">
        <v>4</v>
      </c>
      <c r="J8" s="895" t="s">
        <v>109</v>
      </c>
      <c r="K8" s="895"/>
      <c r="L8" s="895" t="s">
        <v>4</v>
      </c>
      <c r="M8" s="895" t="s">
        <v>109</v>
      </c>
      <c r="N8" s="897"/>
    </row>
    <row r="9" spans="2:18" ht="15.75" thickBot="1" x14ac:dyDescent="0.3">
      <c r="B9" s="862"/>
      <c r="C9" s="903"/>
      <c r="D9" s="289" t="s">
        <v>127</v>
      </c>
      <c r="E9" s="290" t="s">
        <v>128</v>
      </c>
      <c r="F9" s="848"/>
      <c r="G9" s="289" t="s">
        <v>127</v>
      </c>
      <c r="H9" s="289" t="s">
        <v>128</v>
      </c>
      <c r="I9" s="896"/>
      <c r="J9" s="289" t="s">
        <v>127</v>
      </c>
      <c r="K9" s="289" t="s">
        <v>128</v>
      </c>
      <c r="L9" s="896"/>
      <c r="M9" s="289" t="s">
        <v>127</v>
      </c>
      <c r="N9" s="290" t="s">
        <v>128</v>
      </c>
    </row>
    <row r="10" spans="2:18" ht="26.25" customHeight="1" thickBot="1" x14ac:dyDescent="0.3">
      <c r="B10" s="313" t="s">
        <v>26</v>
      </c>
      <c r="C10" s="314">
        <f>SUM(C11:C35)</f>
        <v>80944</v>
      </c>
      <c r="D10" s="315">
        <f>SUM(D11:D35)</f>
        <v>43242</v>
      </c>
      <c r="E10" s="316">
        <f>D10/C10*100</f>
        <v>53.422118995848976</v>
      </c>
      <c r="F10" s="314">
        <f>SUM(F11:F35)</f>
        <v>21280</v>
      </c>
      <c r="G10" s="315">
        <f>SUM(G11:G35)</f>
        <v>12108</v>
      </c>
      <c r="H10" s="348">
        <f>G10/F10*100</f>
        <v>56.898496240601503</v>
      </c>
      <c r="I10" s="315">
        <f>SUM(I11:I35)</f>
        <v>40492</v>
      </c>
      <c r="J10" s="315">
        <f>SUM(J11:J35)</f>
        <v>23830</v>
      </c>
      <c r="K10" s="348">
        <f>J10/I10*100</f>
        <v>58.851131087622242</v>
      </c>
      <c r="L10" s="315">
        <f>SUM(L11:L35)</f>
        <v>19172</v>
      </c>
      <c r="M10" s="315">
        <f>SUM(M11:M35)</f>
        <v>7304</v>
      </c>
      <c r="N10" s="316">
        <f>M10/L10*100</f>
        <v>38.097225119966616</v>
      </c>
      <c r="P10" s="692" t="s">
        <v>494</v>
      </c>
      <c r="Q10" s="692"/>
      <c r="R10" s="692"/>
    </row>
    <row r="11" spans="2:18" ht="15.75" thickTop="1" x14ac:dyDescent="0.25">
      <c r="B11" s="207" t="s">
        <v>27</v>
      </c>
      <c r="C11" s="211">
        <f>SUM(T.II!E8)</f>
        <v>1157</v>
      </c>
      <c r="D11" s="212">
        <v>606</v>
      </c>
      <c r="E11" s="62">
        <f>D11/C11*100</f>
        <v>52.376836646499569</v>
      </c>
      <c r="F11" s="211">
        <v>323</v>
      </c>
      <c r="G11" s="212">
        <v>197</v>
      </c>
      <c r="H11" s="310">
        <f>G11/F11*100</f>
        <v>60.99071207430341</v>
      </c>
      <c r="I11" s="212">
        <f>SUM(C11)-(F11+L11)</f>
        <v>568</v>
      </c>
      <c r="J11" s="212">
        <f>SUM(D11)-(G11+M11)</f>
        <v>309</v>
      </c>
      <c r="K11" s="310">
        <f>J11/I11*100</f>
        <v>54.401408450704224</v>
      </c>
      <c r="L11" s="212">
        <v>266</v>
      </c>
      <c r="M11" s="212">
        <v>100</v>
      </c>
      <c r="N11" s="62">
        <f t="shared" ref="N11:N35" si="0">M11/L11*100</f>
        <v>37.593984962406012</v>
      </c>
      <c r="P11" s="693" t="s">
        <v>407</v>
      </c>
      <c r="Q11" s="694">
        <f>SUM(F10)</f>
        <v>21280</v>
      </c>
      <c r="R11" s="695">
        <f>SUM(Q11/C10)*100</f>
        <v>26.289780589049215</v>
      </c>
    </row>
    <row r="12" spans="2:18" x14ac:dyDescent="0.25">
      <c r="B12" s="208" t="s">
        <v>28</v>
      </c>
      <c r="C12" s="58">
        <f>SUM(T.II!E9)</f>
        <v>4057</v>
      </c>
      <c r="D12" s="9">
        <v>2207</v>
      </c>
      <c r="E12" s="7">
        <f>D12/C12*100</f>
        <v>54.399802809958096</v>
      </c>
      <c r="F12" s="58">
        <v>1053</v>
      </c>
      <c r="G12" s="9">
        <v>562</v>
      </c>
      <c r="H12" s="10">
        <f>G12/F12*100</f>
        <v>53.371320037986706</v>
      </c>
      <c r="I12" s="9">
        <f t="shared" ref="I12:I35" si="1">SUM(C12)-(F12+L12)</f>
        <v>1993</v>
      </c>
      <c r="J12" s="9">
        <f t="shared" ref="J12:J35" si="2">SUM(D12)-(G12+M12)</f>
        <v>1202</v>
      </c>
      <c r="K12" s="10">
        <f t="shared" ref="K12:K35" si="3">J12/I12*100</f>
        <v>60.31108881083793</v>
      </c>
      <c r="L12" s="9">
        <v>1011</v>
      </c>
      <c r="M12" s="9">
        <v>443</v>
      </c>
      <c r="N12" s="7">
        <f t="shared" si="0"/>
        <v>43.818001978239366</v>
      </c>
      <c r="P12" s="696" t="s">
        <v>408</v>
      </c>
      <c r="Q12" s="697">
        <f>SUM(I10)</f>
        <v>40492</v>
      </c>
      <c r="R12" s="698">
        <f>SUM(Q12/C10)*100</f>
        <v>50.024708440403245</v>
      </c>
    </row>
    <row r="13" spans="2:18" x14ac:dyDescent="0.25">
      <c r="B13" s="208" t="s">
        <v>29</v>
      </c>
      <c r="C13" s="58">
        <f>SUM(T.II!E10)</f>
        <v>3035</v>
      </c>
      <c r="D13" s="9">
        <v>1879</v>
      </c>
      <c r="E13" s="7">
        <f t="shared" ref="E13:E35" si="4">D13/C13*100</f>
        <v>61.911037891268542</v>
      </c>
      <c r="F13" s="58">
        <v>905</v>
      </c>
      <c r="G13" s="9">
        <v>597</v>
      </c>
      <c r="H13" s="10">
        <f>G13/F13*100</f>
        <v>65.966850828729278</v>
      </c>
      <c r="I13" s="9">
        <f t="shared" si="1"/>
        <v>1423</v>
      </c>
      <c r="J13" s="9">
        <f t="shared" si="2"/>
        <v>981</v>
      </c>
      <c r="K13" s="10">
        <f t="shared" si="3"/>
        <v>68.938861560084334</v>
      </c>
      <c r="L13" s="9">
        <v>707</v>
      </c>
      <c r="M13" s="9">
        <v>301</v>
      </c>
      <c r="N13" s="7">
        <f t="shared" si="0"/>
        <v>42.574257425742573</v>
      </c>
      <c r="P13" s="693" t="s">
        <v>409</v>
      </c>
      <c r="Q13" s="694">
        <f>SUM(L10)</f>
        <v>19172</v>
      </c>
      <c r="R13" s="695">
        <f>SUM(Q13/C10)*100</f>
        <v>23.685510970547536</v>
      </c>
    </row>
    <row r="14" spans="2:18" x14ac:dyDescent="0.25">
      <c r="B14" s="208" t="s">
        <v>30</v>
      </c>
      <c r="C14" s="58">
        <f>SUM(T.II!E11)</f>
        <v>5829</v>
      </c>
      <c r="D14" s="9">
        <v>3085</v>
      </c>
      <c r="E14" s="7">
        <f t="shared" si="4"/>
        <v>52.92503002230228</v>
      </c>
      <c r="F14" s="58">
        <v>1618</v>
      </c>
      <c r="G14" s="9">
        <v>921</v>
      </c>
      <c r="H14" s="10">
        <f>G14/F14*100</f>
        <v>56.922126081582206</v>
      </c>
      <c r="I14" s="9">
        <f t="shared" si="1"/>
        <v>2895</v>
      </c>
      <c r="J14" s="9">
        <f t="shared" si="2"/>
        <v>1689</v>
      </c>
      <c r="K14" s="10">
        <f t="shared" si="3"/>
        <v>58.3419689119171</v>
      </c>
      <c r="L14" s="9">
        <v>1316</v>
      </c>
      <c r="M14" s="9">
        <v>475</v>
      </c>
      <c r="N14" s="7">
        <f t="shared" si="0"/>
        <v>36.09422492401216</v>
      </c>
      <c r="P14" s="693"/>
      <c r="Q14" s="694">
        <f>SUM(Q11:Q13)</f>
        <v>80944</v>
      </c>
      <c r="R14" s="695">
        <f>SUM(R11:R13)</f>
        <v>100</v>
      </c>
    </row>
    <row r="15" spans="2:18" x14ac:dyDescent="0.25">
      <c r="B15" s="208" t="s">
        <v>31</v>
      </c>
      <c r="C15" s="58">
        <f>SUM(T.II!E12)</f>
        <v>5581</v>
      </c>
      <c r="D15" s="9">
        <v>3207</v>
      </c>
      <c r="E15" s="7">
        <f t="shared" si="4"/>
        <v>57.46282028310339</v>
      </c>
      <c r="F15" s="58">
        <v>1402</v>
      </c>
      <c r="G15" s="9">
        <v>804</v>
      </c>
      <c r="H15" s="10">
        <f t="shared" ref="H15:H33" si="5">G15/F15*100</f>
        <v>57.346647646219687</v>
      </c>
      <c r="I15" s="9">
        <f t="shared" si="1"/>
        <v>2973</v>
      </c>
      <c r="J15" s="9">
        <f t="shared" si="2"/>
        <v>1860</v>
      </c>
      <c r="K15" s="10">
        <f t="shared" si="3"/>
        <v>62.563067608476288</v>
      </c>
      <c r="L15" s="9">
        <v>1206</v>
      </c>
      <c r="M15" s="9">
        <v>543</v>
      </c>
      <c r="N15" s="7">
        <f>M15/L15*100</f>
        <v>45.024875621890544</v>
      </c>
    </row>
    <row r="16" spans="2:18" x14ac:dyDescent="0.25">
      <c r="B16" s="208" t="s">
        <v>32</v>
      </c>
      <c r="C16" s="58">
        <f>SUM(T.II!E13)</f>
        <v>1850</v>
      </c>
      <c r="D16" s="9">
        <v>1008</v>
      </c>
      <c r="E16" s="7">
        <f t="shared" si="4"/>
        <v>54.486486486486484</v>
      </c>
      <c r="F16" s="58">
        <v>503</v>
      </c>
      <c r="G16" s="9">
        <v>312</v>
      </c>
      <c r="H16" s="10">
        <f t="shared" si="5"/>
        <v>62.027833001988078</v>
      </c>
      <c r="I16" s="9">
        <f t="shared" si="1"/>
        <v>855</v>
      </c>
      <c r="J16" s="9">
        <f t="shared" si="2"/>
        <v>515</v>
      </c>
      <c r="K16" s="10">
        <f>J16/I16*100</f>
        <v>60.23391812865497</v>
      </c>
      <c r="L16" s="9">
        <v>492</v>
      </c>
      <c r="M16" s="9">
        <v>181</v>
      </c>
      <c r="N16" s="7">
        <f t="shared" si="0"/>
        <v>36.788617886178862</v>
      </c>
    </row>
    <row r="17" spans="2:14" x14ac:dyDescent="0.25">
      <c r="B17" s="208" t="s">
        <v>33</v>
      </c>
      <c r="C17" s="58">
        <f>SUM(T.II!E14)</f>
        <v>2267</v>
      </c>
      <c r="D17" s="9">
        <v>1300</v>
      </c>
      <c r="E17" s="7">
        <f>D17/C17*100</f>
        <v>57.344508160564622</v>
      </c>
      <c r="F17" s="58">
        <v>592</v>
      </c>
      <c r="G17" s="9">
        <v>379</v>
      </c>
      <c r="H17" s="10">
        <f t="shared" si="5"/>
        <v>64.020270270270274</v>
      </c>
      <c r="I17" s="9">
        <f t="shared" si="1"/>
        <v>1087</v>
      </c>
      <c r="J17" s="9">
        <f t="shared" si="2"/>
        <v>680</v>
      </c>
      <c r="K17" s="10">
        <f t="shared" si="3"/>
        <v>62.557497700092</v>
      </c>
      <c r="L17" s="9">
        <v>588</v>
      </c>
      <c r="M17" s="9">
        <v>241</v>
      </c>
      <c r="N17" s="7">
        <f>M17/L17*100</f>
        <v>40.986394557823132</v>
      </c>
    </row>
    <row r="18" spans="2:14" x14ac:dyDescent="0.25">
      <c r="B18" s="208" t="s">
        <v>34</v>
      </c>
      <c r="C18" s="58">
        <f>SUM(T.II!E15)</f>
        <v>1602</v>
      </c>
      <c r="D18" s="9">
        <v>737</v>
      </c>
      <c r="E18" s="7">
        <f t="shared" si="4"/>
        <v>46.004993757802751</v>
      </c>
      <c r="F18" s="58">
        <v>429</v>
      </c>
      <c r="G18" s="9">
        <v>205</v>
      </c>
      <c r="H18" s="10">
        <f>G18/F18*100</f>
        <v>47.785547785547784</v>
      </c>
      <c r="I18" s="9">
        <f t="shared" si="1"/>
        <v>793</v>
      </c>
      <c r="J18" s="9">
        <f t="shared" si="2"/>
        <v>396</v>
      </c>
      <c r="K18" s="10">
        <f t="shared" si="3"/>
        <v>49.936948297604033</v>
      </c>
      <c r="L18" s="9">
        <v>380</v>
      </c>
      <c r="M18" s="9">
        <v>136</v>
      </c>
      <c r="N18" s="7">
        <f>M18/L18*100</f>
        <v>35.789473684210527</v>
      </c>
    </row>
    <row r="19" spans="2:14" x14ac:dyDescent="0.25">
      <c r="B19" s="208" t="s">
        <v>35</v>
      </c>
      <c r="C19" s="58">
        <f>SUM(T.II!E16)</f>
        <v>3722</v>
      </c>
      <c r="D19" s="9">
        <v>1925</v>
      </c>
      <c r="E19" s="7">
        <f t="shared" si="4"/>
        <v>51.719505642127885</v>
      </c>
      <c r="F19" s="58">
        <v>1087</v>
      </c>
      <c r="G19" s="9">
        <v>549</v>
      </c>
      <c r="H19" s="10">
        <f t="shared" si="5"/>
        <v>50.505979760809574</v>
      </c>
      <c r="I19" s="9">
        <f t="shared" si="1"/>
        <v>1835</v>
      </c>
      <c r="J19" s="9">
        <f t="shared" si="2"/>
        <v>1063</v>
      </c>
      <c r="K19" s="10">
        <f>J19/I19*100</f>
        <v>57.929155313351501</v>
      </c>
      <c r="L19" s="9">
        <v>800</v>
      </c>
      <c r="M19" s="9">
        <v>313</v>
      </c>
      <c r="N19" s="7">
        <f>M19/L19*100</f>
        <v>39.125</v>
      </c>
    </row>
    <row r="20" spans="2:14" x14ac:dyDescent="0.25">
      <c r="B20" s="208" t="s">
        <v>36</v>
      </c>
      <c r="C20" s="58">
        <f>SUM(T.II!E17)</f>
        <v>1965</v>
      </c>
      <c r="D20" s="9">
        <v>939</v>
      </c>
      <c r="E20" s="7">
        <f t="shared" si="4"/>
        <v>47.786259541984734</v>
      </c>
      <c r="F20" s="58">
        <v>502</v>
      </c>
      <c r="G20" s="9">
        <v>269</v>
      </c>
      <c r="H20" s="10">
        <f t="shared" si="5"/>
        <v>53.585657370517922</v>
      </c>
      <c r="I20" s="9">
        <f t="shared" si="1"/>
        <v>949</v>
      </c>
      <c r="J20" s="9">
        <f t="shared" si="2"/>
        <v>495</v>
      </c>
      <c r="K20" s="10">
        <f t="shared" si="3"/>
        <v>52.160168598524756</v>
      </c>
      <c r="L20" s="9">
        <v>514</v>
      </c>
      <c r="M20" s="9">
        <v>175</v>
      </c>
      <c r="N20" s="7">
        <f>M20/L20*100</f>
        <v>34.046692607003891</v>
      </c>
    </row>
    <row r="21" spans="2:14" x14ac:dyDescent="0.25">
      <c r="B21" s="208" t="s">
        <v>37</v>
      </c>
      <c r="C21" s="58">
        <f>SUM(T.II!E18)</f>
        <v>3419</v>
      </c>
      <c r="D21" s="9">
        <v>1708</v>
      </c>
      <c r="E21" s="7">
        <f t="shared" si="4"/>
        <v>49.956127522667451</v>
      </c>
      <c r="F21" s="58">
        <v>959</v>
      </c>
      <c r="G21" s="9">
        <v>504</v>
      </c>
      <c r="H21" s="10">
        <f>G21/F21*100</f>
        <v>52.554744525547449</v>
      </c>
      <c r="I21" s="9">
        <f t="shared" si="1"/>
        <v>1694</v>
      </c>
      <c r="J21" s="9">
        <f t="shared" si="2"/>
        <v>928</v>
      </c>
      <c r="K21" s="10">
        <f t="shared" si="3"/>
        <v>54.781582054309332</v>
      </c>
      <c r="L21" s="9">
        <v>766</v>
      </c>
      <c r="M21" s="9">
        <v>276</v>
      </c>
      <c r="N21" s="7">
        <f t="shared" si="0"/>
        <v>36.031331592689298</v>
      </c>
    </row>
    <row r="22" spans="2:14" x14ac:dyDescent="0.25">
      <c r="B22" s="208" t="s">
        <v>38</v>
      </c>
      <c r="C22" s="58">
        <f>SUM(T.II!E19)</f>
        <v>3173</v>
      </c>
      <c r="D22" s="9">
        <v>1723</v>
      </c>
      <c r="E22" s="7">
        <f t="shared" si="4"/>
        <v>54.301922470847771</v>
      </c>
      <c r="F22" s="58">
        <v>795</v>
      </c>
      <c r="G22" s="9">
        <v>477</v>
      </c>
      <c r="H22" s="10">
        <f t="shared" si="5"/>
        <v>60</v>
      </c>
      <c r="I22" s="9">
        <f t="shared" si="1"/>
        <v>1580</v>
      </c>
      <c r="J22" s="9">
        <f t="shared" si="2"/>
        <v>932</v>
      </c>
      <c r="K22" s="10">
        <f t="shared" si="3"/>
        <v>58.9873417721519</v>
      </c>
      <c r="L22" s="9">
        <v>798</v>
      </c>
      <c r="M22" s="9">
        <v>314</v>
      </c>
      <c r="N22" s="7">
        <f t="shared" si="0"/>
        <v>39.348370927318292</v>
      </c>
    </row>
    <row r="23" spans="2:14" x14ac:dyDescent="0.25">
      <c r="B23" s="208" t="s">
        <v>39</v>
      </c>
      <c r="C23" s="58">
        <f>SUM(T.II!E20)</f>
        <v>3484</v>
      </c>
      <c r="D23" s="9">
        <v>1825</v>
      </c>
      <c r="E23" s="7">
        <f t="shared" si="4"/>
        <v>52.382319173363946</v>
      </c>
      <c r="F23" s="58">
        <v>1024</v>
      </c>
      <c r="G23" s="9">
        <v>577</v>
      </c>
      <c r="H23" s="10">
        <f t="shared" si="5"/>
        <v>56.34765625</v>
      </c>
      <c r="I23" s="9">
        <f t="shared" si="1"/>
        <v>1647</v>
      </c>
      <c r="J23" s="9">
        <f t="shared" si="2"/>
        <v>951</v>
      </c>
      <c r="K23" s="10">
        <f t="shared" si="3"/>
        <v>57.741347905282339</v>
      </c>
      <c r="L23" s="9">
        <v>813</v>
      </c>
      <c r="M23" s="9">
        <v>297</v>
      </c>
      <c r="N23" s="7">
        <f t="shared" si="0"/>
        <v>36.531365313653133</v>
      </c>
    </row>
    <row r="24" spans="2:14" x14ac:dyDescent="0.25">
      <c r="B24" s="209" t="s">
        <v>40</v>
      </c>
      <c r="C24" s="121">
        <f>SUM(T.II!E21)</f>
        <v>3536</v>
      </c>
      <c r="D24" s="122">
        <v>1866</v>
      </c>
      <c r="E24" s="7">
        <f t="shared" si="4"/>
        <v>52.771493212669682</v>
      </c>
      <c r="F24" s="121">
        <v>1032</v>
      </c>
      <c r="G24" s="122">
        <v>590</v>
      </c>
      <c r="H24" s="10">
        <f t="shared" si="5"/>
        <v>57.170542635658919</v>
      </c>
      <c r="I24" s="122">
        <f t="shared" si="1"/>
        <v>1692</v>
      </c>
      <c r="J24" s="122">
        <f t="shared" si="2"/>
        <v>974</v>
      </c>
      <c r="K24" s="10">
        <f t="shared" si="3"/>
        <v>57.565011820330966</v>
      </c>
      <c r="L24" s="122">
        <v>812</v>
      </c>
      <c r="M24" s="122">
        <v>302</v>
      </c>
      <c r="N24" s="7">
        <f t="shared" si="0"/>
        <v>37.192118226600982</v>
      </c>
    </row>
    <row r="25" spans="2:14" x14ac:dyDescent="0.25">
      <c r="B25" s="209" t="s">
        <v>41</v>
      </c>
      <c r="C25" s="121">
        <f>SUM(T.II!E22)</f>
        <v>3789</v>
      </c>
      <c r="D25" s="122">
        <v>2203</v>
      </c>
      <c r="E25" s="7">
        <f t="shared" si="4"/>
        <v>58.141989970968588</v>
      </c>
      <c r="F25" s="121">
        <v>1068</v>
      </c>
      <c r="G25" s="122">
        <v>650</v>
      </c>
      <c r="H25" s="10">
        <f>G25/F25*100</f>
        <v>60.861423220973791</v>
      </c>
      <c r="I25" s="122">
        <f t="shared" si="1"/>
        <v>1950</v>
      </c>
      <c r="J25" s="122">
        <f t="shared" si="2"/>
        <v>1252</v>
      </c>
      <c r="K25" s="10">
        <f t="shared" si="3"/>
        <v>64.205128205128204</v>
      </c>
      <c r="L25" s="122">
        <v>771</v>
      </c>
      <c r="M25" s="122">
        <v>301</v>
      </c>
      <c r="N25" s="7">
        <f t="shared" si="0"/>
        <v>39.040207522697798</v>
      </c>
    </row>
    <row r="26" spans="2:14" x14ac:dyDescent="0.25">
      <c r="B26" s="209" t="s">
        <v>42</v>
      </c>
      <c r="C26" s="121">
        <f>SUM(T.II!E23)</f>
        <v>3413</v>
      </c>
      <c r="D26" s="122">
        <v>1855</v>
      </c>
      <c r="E26" s="7">
        <f t="shared" si="4"/>
        <v>54.351010840902433</v>
      </c>
      <c r="F26" s="121">
        <v>1003</v>
      </c>
      <c r="G26" s="122">
        <v>595</v>
      </c>
      <c r="H26" s="10">
        <f t="shared" si="5"/>
        <v>59.322033898305079</v>
      </c>
      <c r="I26" s="122">
        <f t="shared" si="1"/>
        <v>1705</v>
      </c>
      <c r="J26" s="122">
        <f t="shared" si="2"/>
        <v>992</v>
      </c>
      <c r="K26" s="10">
        <f t="shared" si="3"/>
        <v>58.18181818181818</v>
      </c>
      <c r="L26" s="122">
        <v>705</v>
      </c>
      <c r="M26" s="122">
        <v>268</v>
      </c>
      <c r="N26" s="7">
        <f t="shared" si="0"/>
        <v>38.01418439716312</v>
      </c>
    </row>
    <row r="27" spans="2:14" x14ac:dyDescent="0.25">
      <c r="B27" s="209" t="s">
        <v>43</v>
      </c>
      <c r="C27" s="121">
        <f>SUM(T.II!E24)</f>
        <v>6285</v>
      </c>
      <c r="D27" s="122">
        <v>3231</v>
      </c>
      <c r="E27" s="7">
        <f t="shared" si="4"/>
        <v>51.408114558472548</v>
      </c>
      <c r="F27" s="121">
        <v>1830</v>
      </c>
      <c r="G27" s="122">
        <v>980</v>
      </c>
      <c r="H27" s="10">
        <f t="shared" si="5"/>
        <v>53.551912568306015</v>
      </c>
      <c r="I27" s="122">
        <f t="shared" si="1"/>
        <v>3050</v>
      </c>
      <c r="J27" s="122">
        <f t="shared" si="2"/>
        <v>1783</v>
      </c>
      <c r="K27" s="10">
        <f t="shared" si="3"/>
        <v>58.459016393442617</v>
      </c>
      <c r="L27" s="122">
        <v>1405</v>
      </c>
      <c r="M27" s="122">
        <v>468</v>
      </c>
      <c r="N27" s="7">
        <f t="shared" si="0"/>
        <v>33.309608540925268</v>
      </c>
    </row>
    <row r="28" spans="2:14" x14ac:dyDescent="0.25">
      <c r="B28" s="209" t="s">
        <v>44</v>
      </c>
      <c r="C28" s="121">
        <f>SUM(T.II!E25)</f>
        <v>2679</v>
      </c>
      <c r="D28" s="122">
        <v>1388</v>
      </c>
      <c r="E28" s="7">
        <f t="shared" si="4"/>
        <v>51.810377006345654</v>
      </c>
      <c r="F28" s="121">
        <v>639</v>
      </c>
      <c r="G28" s="122">
        <v>399</v>
      </c>
      <c r="H28" s="10">
        <f>G28/F28*100</f>
        <v>62.441314553990615</v>
      </c>
      <c r="I28" s="122">
        <f t="shared" si="1"/>
        <v>1377</v>
      </c>
      <c r="J28" s="122">
        <f t="shared" si="2"/>
        <v>759</v>
      </c>
      <c r="K28" s="10">
        <f t="shared" si="3"/>
        <v>55.119825708061001</v>
      </c>
      <c r="L28" s="122">
        <v>663</v>
      </c>
      <c r="M28" s="122">
        <v>230</v>
      </c>
      <c r="N28" s="7">
        <f t="shared" si="0"/>
        <v>34.690799396681747</v>
      </c>
    </row>
    <row r="29" spans="2:14" x14ac:dyDescent="0.25">
      <c r="B29" s="209" t="s">
        <v>45</v>
      </c>
      <c r="C29" s="121">
        <f>SUM(T.II!E26)</f>
        <v>2398</v>
      </c>
      <c r="D29" s="122">
        <v>1333</v>
      </c>
      <c r="E29" s="7">
        <f t="shared" si="4"/>
        <v>55.587989991659711</v>
      </c>
      <c r="F29" s="121">
        <v>641</v>
      </c>
      <c r="G29" s="122">
        <v>418</v>
      </c>
      <c r="H29" s="10">
        <f t="shared" si="5"/>
        <v>65.210608424336968</v>
      </c>
      <c r="I29" s="122">
        <f t="shared" si="1"/>
        <v>1109</v>
      </c>
      <c r="J29" s="122">
        <f t="shared" si="2"/>
        <v>690</v>
      </c>
      <c r="K29" s="10">
        <f t="shared" si="3"/>
        <v>62.218214607754732</v>
      </c>
      <c r="L29" s="122">
        <v>648</v>
      </c>
      <c r="M29" s="122">
        <v>225</v>
      </c>
      <c r="N29" s="7">
        <f t="shared" si="0"/>
        <v>34.722222222222221</v>
      </c>
    </row>
    <row r="30" spans="2:14" x14ac:dyDescent="0.25">
      <c r="B30" s="209" t="s">
        <v>46</v>
      </c>
      <c r="C30" s="121">
        <f>SUM(T.II!E27)</f>
        <v>3573</v>
      </c>
      <c r="D30" s="122">
        <v>1955</v>
      </c>
      <c r="E30" s="7">
        <f t="shared" si="4"/>
        <v>54.715924993003071</v>
      </c>
      <c r="F30" s="121">
        <v>1002</v>
      </c>
      <c r="G30" s="122">
        <v>541</v>
      </c>
      <c r="H30" s="10">
        <f t="shared" si="5"/>
        <v>53.992015968063868</v>
      </c>
      <c r="I30" s="122">
        <f t="shared" si="1"/>
        <v>1757</v>
      </c>
      <c r="J30" s="122">
        <f t="shared" si="2"/>
        <v>1098</v>
      </c>
      <c r="K30" s="10">
        <f t="shared" si="3"/>
        <v>62.492885600455317</v>
      </c>
      <c r="L30" s="122">
        <v>814</v>
      </c>
      <c r="M30" s="122">
        <v>316</v>
      </c>
      <c r="N30" s="7">
        <f t="shared" si="0"/>
        <v>38.82063882063882</v>
      </c>
    </row>
    <row r="31" spans="2:14" x14ac:dyDescent="0.25">
      <c r="B31" s="209" t="s">
        <v>47</v>
      </c>
      <c r="C31" s="121">
        <f>SUM(T.II!E28)</f>
        <v>1643</v>
      </c>
      <c r="D31" s="122">
        <v>859</v>
      </c>
      <c r="E31" s="7">
        <f t="shared" si="4"/>
        <v>52.282410225197808</v>
      </c>
      <c r="F31" s="121">
        <v>423</v>
      </c>
      <c r="G31" s="122">
        <v>253</v>
      </c>
      <c r="H31" s="10">
        <f t="shared" si="5"/>
        <v>59.810874704491724</v>
      </c>
      <c r="I31" s="122">
        <f t="shared" si="1"/>
        <v>788</v>
      </c>
      <c r="J31" s="122">
        <f t="shared" si="2"/>
        <v>454</v>
      </c>
      <c r="K31" s="10">
        <f t="shared" si="3"/>
        <v>57.614213197969541</v>
      </c>
      <c r="L31" s="122">
        <v>432</v>
      </c>
      <c r="M31" s="122">
        <v>152</v>
      </c>
      <c r="N31" s="7">
        <f t="shared" si="0"/>
        <v>35.185185185185183</v>
      </c>
    </row>
    <row r="32" spans="2:14" x14ac:dyDescent="0.25">
      <c r="B32" s="209" t="s">
        <v>48</v>
      </c>
      <c r="C32" s="121">
        <f>SUM(T.II!E29)</f>
        <v>846</v>
      </c>
      <c r="D32" s="122">
        <v>438</v>
      </c>
      <c r="E32" s="7">
        <f t="shared" si="4"/>
        <v>51.773049645390067</v>
      </c>
      <c r="F32" s="121">
        <v>141</v>
      </c>
      <c r="G32" s="122">
        <v>71</v>
      </c>
      <c r="H32" s="10">
        <f>G32/F32*100</f>
        <v>50.354609929078009</v>
      </c>
      <c r="I32" s="122">
        <f t="shared" si="1"/>
        <v>468</v>
      </c>
      <c r="J32" s="122">
        <f t="shared" si="2"/>
        <v>279</v>
      </c>
      <c r="K32" s="10">
        <f t="shared" si="3"/>
        <v>59.615384615384613</v>
      </c>
      <c r="L32" s="122">
        <v>237</v>
      </c>
      <c r="M32" s="122">
        <v>88</v>
      </c>
      <c r="N32" s="7">
        <f t="shared" si="0"/>
        <v>37.130801687763714</v>
      </c>
    </row>
    <row r="33" spans="2:14" x14ac:dyDescent="0.25">
      <c r="B33" s="209" t="s">
        <v>49</v>
      </c>
      <c r="C33" s="121">
        <f>SUM(T.II!E30)</f>
        <v>2986</v>
      </c>
      <c r="D33" s="122">
        <v>1514</v>
      </c>
      <c r="E33" s="7">
        <f t="shared" si="4"/>
        <v>50.703281982585402</v>
      </c>
      <c r="F33" s="121">
        <v>545</v>
      </c>
      <c r="G33" s="122">
        <v>299</v>
      </c>
      <c r="H33" s="10">
        <f t="shared" si="5"/>
        <v>54.862385321100916</v>
      </c>
      <c r="I33" s="122">
        <f t="shared" si="1"/>
        <v>1627</v>
      </c>
      <c r="J33" s="122">
        <f t="shared" si="2"/>
        <v>883</v>
      </c>
      <c r="K33" s="10">
        <f t="shared" si="3"/>
        <v>54.271665642286415</v>
      </c>
      <c r="L33" s="122">
        <v>814</v>
      </c>
      <c r="M33" s="122">
        <v>332</v>
      </c>
      <c r="N33" s="7">
        <f t="shared" si="0"/>
        <v>40.786240786240782</v>
      </c>
    </row>
    <row r="34" spans="2:14" x14ac:dyDescent="0.25">
      <c r="B34" s="209" t="s">
        <v>50</v>
      </c>
      <c r="C34" s="121">
        <f>SUM(T.II!E31)</f>
        <v>7175</v>
      </c>
      <c r="D34" s="122">
        <v>3681</v>
      </c>
      <c r="E34" s="7">
        <f t="shared" si="4"/>
        <v>51.303135888501735</v>
      </c>
      <c r="F34" s="121">
        <v>1479</v>
      </c>
      <c r="G34" s="122">
        <v>795</v>
      </c>
      <c r="H34" s="10">
        <f>G34/F34*100</f>
        <v>53.7525354969574</v>
      </c>
      <c r="I34" s="122">
        <f t="shared" si="1"/>
        <v>3902</v>
      </c>
      <c r="J34" s="122">
        <f t="shared" si="2"/>
        <v>2225</v>
      </c>
      <c r="K34" s="10">
        <f t="shared" si="3"/>
        <v>57.022039979497698</v>
      </c>
      <c r="L34" s="122">
        <v>1794</v>
      </c>
      <c r="M34" s="122">
        <v>661</v>
      </c>
      <c r="N34" s="7">
        <f t="shared" si="0"/>
        <v>36.845039018952065</v>
      </c>
    </row>
    <row r="35" spans="2:14" ht="15.75" thickBot="1" x14ac:dyDescent="0.3">
      <c r="B35" s="210" t="s">
        <v>51</v>
      </c>
      <c r="C35" s="123">
        <f>SUM(T.II!E32)</f>
        <v>1480</v>
      </c>
      <c r="D35" s="125">
        <v>770</v>
      </c>
      <c r="E35" s="8">
        <f t="shared" si="4"/>
        <v>52.027027027027032</v>
      </c>
      <c r="F35" s="123">
        <v>285</v>
      </c>
      <c r="G35" s="125">
        <v>164</v>
      </c>
      <c r="H35" s="55">
        <f>G35/F35*100</f>
        <v>57.543859649122808</v>
      </c>
      <c r="I35" s="125">
        <f t="shared" si="1"/>
        <v>775</v>
      </c>
      <c r="J35" s="125">
        <f t="shared" si="2"/>
        <v>440</v>
      </c>
      <c r="K35" s="55">
        <f t="shared" si="3"/>
        <v>56.774193548387096</v>
      </c>
      <c r="L35" s="125">
        <v>420</v>
      </c>
      <c r="M35" s="125">
        <v>166</v>
      </c>
      <c r="N35" s="8">
        <f t="shared" si="0"/>
        <v>39.523809523809526</v>
      </c>
    </row>
    <row r="36" spans="2:14" ht="13.5" customHeight="1" x14ac:dyDescent="0.25">
      <c r="B36" s="898" t="s">
        <v>180</v>
      </c>
      <c r="C36" s="898"/>
      <c r="D36" s="898"/>
      <c r="E36" s="898"/>
      <c r="F36" s="898"/>
      <c r="G36" s="898"/>
      <c r="H36" s="898"/>
      <c r="I36" s="898"/>
      <c r="J36" s="898"/>
      <c r="K36" s="898"/>
      <c r="L36" s="898"/>
      <c r="M36" s="898"/>
      <c r="N36" s="898"/>
    </row>
    <row r="37" spans="2:14" ht="14.25" customHeight="1" x14ac:dyDescent="0.25">
      <c r="B37" s="894" t="s">
        <v>181</v>
      </c>
      <c r="C37" s="894"/>
      <c r="D37" s="894"/>
      <c r="E37" s="894"/>
      <c r="F37" s="894"/>
      <c r="G37" s="894"/>
      <c r="H37" s="894"/>
      <c r="I37" s="894"/>
      <c r="J37" s="894"/>
      <c r="K37" s="894"/>
      <c r="L37" s="894"/>
      <c r="M37" s="894"/>
      <c r="N37" s="894"/>
    </row>
  </sheetData>
  <mergeCells count="17">
    <mergeCell ref="F8:F9"/>
    <mergeCell ref="B37:N37"/>
    <mergeCell ref="G8:H8"/>
    <mergeCell ref="I8:I9"/>
    <mergeCell ref="J8:K8"/>
    <mergeCell ref="L8:L9"/>
    <mergeCell ref="M8:N8"/>
    <mergeCell ref="B36:N36"/>
    <mergeCell ref="B5:B9"/>
    <mergeCell ref="C5:N5"/>
    <mergeCell ref="C6:E7"/>
    <mergeCell ref="F6:N6"/>
    <mergeCell ref="F7:H7"/>
    <mergeCell ref="I7:K7"/>
    <mergeCell ref="L7:N7"/>
    <mergeCell ref="C8:C9"/>
    <mergeCell ref="D8:E8"/>
  </mergeCells>
  <printOptions horizontalCentered="1" verticalCentered="1"/>
  <pageMargins left="0" right="0" top="1.0236220472440944" bottom="0" header="0" footer="0"/>
  <pageSetup paperSize="9" scale="85" fitToWidth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1:T69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28515625" style="86" customWidth="1"/>
    <col min="2" max="2" width="23.42578125" style="86" customWidth="1"/>
    <col min="3" max="3" width="15.42578125" style="86" customWidth="1"/>
    <col min="4" max="4" width="17" style="86" customWidth="1"/>
    <col min="5" max="5" width="14.7109375" style="86" customWidth="1"/>
    <col min="6" max="6" width="15.42578125" style="86" customWidth="1"/>
    <col min="7" max="7" width="15.85546875" style="86" customWidth="1"/>
    <col min="8" max="8" width="16.7109375" style="86" customWidth="1"/>
    <col min="9" max="9" width="15.28515625" style="86" customWidth="1"/>
    <col min="10" max="10" width="15.42578125" style="86" customWidth="1"/>
    <col min="11" max="11" width="9.140625" style="86"/>
    <col min="12" max="12" width="10.85546875" style="86" customWidth="1"/>
    <col min="13" max="13" width="11.5703125" style="86" customWidth="1"/>
    <col min="14" max="14" width="10.140625" style="86" customWidth="1"/>
    <col min="15" max="15" width="11.5703125" style="86" customWidth="1"/>
    <col min="16" max="16" width="11.28515625" style="86" customWidth="1"/>
    <col min="17" max="17" width="9.140625" style="86"/>
    <col min="18" max="18" width="11.28515625" style="86" customWidth="1"/>
    <col min="19" max="19" width="10.5703125" style="86" customWidth="1"/>
    <col min="20" max="20" width="9.140625" style="86"/>
    <col min="21" max="21" width="15.28515625" style="86" customWidth="1"/>
    <col min="22" max="22" width="16" style="86" customWidth="1"/>
    <col min="23" max="23" width="14.42578125" style="86" customWidth="1"/>
    <col min="24" max="24" width="15.140625" style="86" customWidth="1"/>
    <col min="25" max="25" width="15.5703125" style="86" customWidth="1"/>
    <col min="26" max="26" width="15.28515625" style="86" customWidth="1"/>
    <col min="27" max="27" width="15.5703125" style="86" customWidth="1"/>
    <col min="28" max="28" width="15.28515625" style="86" customWidth="1"/>
    <col min="29" max="16384" width="9.140625" style="86"/>
  </cols>
  <sheetData>
    <row r="1" spans="2:20" x14ac:dyDescent="0.25">
      <c r="B1" s="11" t="s">
        <v>504</v>
      </c>
      <c r="C1" s="11"/>
      <c r="D1" s="11"/>
      <c r="E1" s="11"/>
      <c r="F1" s="11"/>
      <c r="G1" s="11"/>
      <c r="H1" s="11"/>
    </row>
    <row r="2" spans="2:20" ht="15.75" thickBot="1" x14ac:dyDescent="0.3">
      <c r="B2" s="11" t="s">
        <v>393</v>
      </c>
      <c r="C2" s="11"/>
      <c r="D2" s="11"/>
      <c r="E2" s="11"/>
      <c r="F2" s="11"/>
      <c r="G2" s="11"/>
      <c r="H2" s="11"/>
    </row>
    <row r="3" spans="2:20" ht="17.25" customHeight="1" x14ac:dyDescent="0.25">
      <c r="B3" s="849" t="s">
        <v>123</v>
      </c>
      <c r="C3" s="536"/>
      <c r="D3" s="537"/>
      <c r="E3" s="537" t="s">
        <v>439</v>
      </c>
      <c r="F3" s="537"/>
      <c r="G3" s="537"/>
      <c r="H3" s="538"/>
      <c r="I3" s="536"/>
      <c r="J3" s="537"/>
      <c r="K3" s="537" t="s">
        <v>460</v>
      </c>
      <c r="L3" s="537"/>
      <c r="M3" s="537"/>
      <c r="N3" s="538"/>
      <c r="O3" s="537"/>
      <c r="P3" s="537"/>
      <c r="Q3" s="537" t="s">
        <v>461</v>
      </c>
      <c r="R3" s="537"/>
      <c r="S3" s="537"/>
      <c r="T3" s="538"/>
    </row>
    <row r="4" spans="2:20" ht="21" customHeight="1" thickBot="1" x14ac:dyDescent="0.3">
      <c r="B4" s="899"/>
      <c r="C4" s="908" t="s">
        <v>264</v>
      </c>
      <c r="D4" s="909"/>
      <c r="E4" s="909"/>
      <c r="F4" s="909"/>
      <c r="G4" s="909"/>
      <c r="H4" s="910"/>
      <c r="I4" s="908" t="s">
        <v>264</v>
      </c>
      <c r="J4" s="909"/>
      <c r="K4" s="909"/>
      <c r="L4" s="909"/>
      <c r="M4" s="909"/>
      <c r="N4" s="910"/>
      <c r="O4" s="908" t="s">
        <v>264</v>
      </c>
      <c r="P4" s="909"/>
      <c r="Q4" s="909"/>
      <c r="R4" s="909"/>
      <c r="S4" s="909"/>
      <c r="T4" s="910"/>
    </row>
    <row r="5" spans="2:20" ht="17.25" customHeight="1" x14ac:dyDescent="0.25">
      <c r="B5" s="899"/>
      <c r="C5" s="828" t="s">
        <v>178</v>
      </c>
      <c r="D5" s="826"/>
      <c r="E5" s="836"/>
      <c r="F5" s="828" t="s">
        <v>179</v>
      </c>
      <c r="G5" s="826"/>
      <c r="H5" s="836"/>
      <c r="I5" s="828" t="s">
        <v>178</v>
      </c>
      <c r="J5" s="826"/>
      <c r="K5" s="836"/>
      <c r="L5" s="828" t="s">
        <v>179</v>
      </c>
      <c r="M5" s="826"/>
      <c r="N5" s="836"/>
      <c r="O5" s="828" t="s">
        <v>178</v>
      </c>
      <c r="P5" s="826"/>
      <c r="Q5" s="836"/>
      <c r="R5" s="828" t="s">
        <v>179</v>
      </c>
      <c r="S5" s="826"/>
      <c r="T5" s="836"/>
    </row>
    <row r="6" spans="2:20" ht="18" customHeight="1" x14ac:dyDescent="0.25">
      <c r="B6" s="899"/>
      <c r="C6" s="847" t="s">
        <v>4</v>
      </c>
      <c r="D6" s="911" t="s">
        <v>109</v>
      </c>
      <c r="E6" s="912"/>
      <c r="F6" s="913" t="s">
        <v>4</v>
      </c>
      <c r="G6" s="911" t="s">
        <v>109</v>
      </c>
      <c r="H6" s="912"/>
      <c r="I6" s="847" t="s">
        <v>4</v>
      </c>
      <c r="J6" s="911" t="s">
        <v>109</v>
      </c>
      <c r="K6" s="912"/>
      <c r="L6" s="913" t="s">
        <v>4</v>
      </c>
      <c r="M6" s="911" t="s">
        <v>109</v>
      </c>
      <c r="N6" s="912"/>
      <c r="O6" s="847" t="s">
        <v>4</v>
      </c>
      <c r="P6" s="911" t="s">
        <v>109</v>
      </c>
      <c r="Q6" s="912"/>
      <c r="R6" s="913" t="s">
        <v>4</v>
      </c>
      <c r="S6" s="911" t="s">
        <v>109</v>
      </c>
      <c r="T6" s="912"/>
    </row>
    <row r="7" spans="2:20" ht="15.75" thickBot="1" x14ac:dyDescent="0.3">
      <c r="B7" s="862"/>
      <c r="C7" s="848"/>
      <c r="D7" s="540" t="s">
        <v>127</v>
      </c>
      <c r="E7" s="541" t="s">
        <v>128</v>
      </c>
      <c r="F7" s="903"/>
      <c r="G7" s="540" t="s">
        <v>127</v>
      </c>
      <c r="H7" s="541" t="s">
        <v>128</v>
      </c>
      <c r="I7" s="848"/>
      <c r="J7" s="540" t="s">
        <v>127</v>
      </c>
      <c r="K7" s="541" t="s">
        <v>128</v>
      </c>
      <c r="L7" s="903"/>
      <c r="M7" s="540" t="s">
        <v>127</v>
      </c>
      <c r="N7" s="541" t="s">
        <v>128</v>
      </c>
      <c r="O7" s="848"/>
      <c r="P7" s="540" t="s">
        <v>127</v>
      </c>
      <c r="Q7" s="541" t="s">
        <v>128</v>
      </c>
      <c r="R7" s="903"/>
      <c r="S7" s="540" t="s">
        <v>127</v>
      </c>
      <c r="T7" s="541" t="s">
        <v>128</v>
      </c>
    </row>
    <row r="8" spans="2:20" ht="26.25" customHeight="1" thickBot="1" x14ac:dyDescent="0.3">
      <c r="B8" s="313" t="s">
        <v>26</v>
      </c>
      <c r="C8" s="314">
        <f>SUM(C9:C33)</f>
        <v>25081</v>
      </c>
      <c r="D8" s="315">
        <f>SUM(D9:D33)</f>
        <v>13914</v>
      </c>
      <c r="E8" s="316">
        <f>D8/C8*100</f>
        <v>55.476256927554722</v>
      </c>
      <c r="F8" s="314">
        <f>SUM(F9:F33)</f>
        <v>19584</v>
      </c>
      <c r="G8" s="315">
        <f>SUM(G9:G33)</f>
        <v>7368</v>
      </c>
      <c r="H8" s="316">
        <f>G8/F8*100</f>
        <v>37.622549019607845</v>
      </c>
      <c r="I8" s="314">
        <f>SUM(I9:I33)</f>
        <v>24558</v>
      </c>
      <c r="J8" s="315">
        <f>SUM(J9:J33)</f>
        <v>13754</v>
      </c>
      <c r="K8" s="316">
        <f>J8/I8*100</f>
        <v>56.006189429106598</v>
      </c>
      <c r="L8" s="314">
        <f>SUM(L9:L33)</f>
        <v>20342</v>
      </c>
      <c r="M8" s="315">
        <f>SUM(M9:M33)</f>
        <v>7719</v>
      </c>
      <c r="N8" s="316">
        <f>M8/L8*100</f>
        <v>37.94612132533674</v>
      </c>
      <c r="O8" s="314">
        <f>SUM(O9:O33)</f>
        <v>21280</v>
      </c>
      <c r="P8" s="315">
        <f>SUM(P9:P33)</f>
        <v>12108</v>
      </c>
      <c r="Q8" s="316">
        <f>P8/O8*100</f>
        <v>56.898496240601503</v>
      </c>
      <c r="R8" s="314">
        <f>SUM(R9:R33)</f>
        <v>19172</v>
      </c>
      <c r="S8" s="315">
        <f>SUM(S9:S33)</f>
        <v>7304</v>
      </c>
      <c r="T8" s="316">
        <f>S8/R8*100</f>
        <v>38.097225119966616</v>
      </c>
    </row>
    <row r="9" spans="2:20" ht="15.75" thickTop="1" x14ac:dyDescent="0.25">
      <c r="B9" s="207" t="s">
        <v>27</v>
      </c>
      <c r="C9" s="211">
        <v>383</v>
      </c>
      <c r="D9" s="212">
        <v>225</v>
      </c>
      <c r="E9" s="62">
        <f>D9/C9*100</f>
        <v>58.746736292428203</v>
      </c>
      <c r="F9" s="211">
        <v>267</v>
      </c>
      <c r="G9" s="212">
        <v>99</v>
      </c>
      <c r="H9" s="62">
        <f t="shared" ref="H9:H33" si="0">G9/F9*100</f>
        <v>37.078651685393261</v>
      </c>
      <c r="I9" s="211">
        <v>387</v>
      </c>
      <c r="J9" s="212">
        <v>236</v>
      </c>
      <c r="K9" s="62">
        <f>J9/I9*100</f>
        <v>60.981912144702846</v>
      </c>
      <c r="L9" s="211">
        <v>288</v>
      </c>
      <c r="M9" s="212">
        <v>105</v>
      </c>
      <c r="N9" s="62">
        <f t="shared" ref="N9:N12" si="1">M9/L9*100</f>
        <v>36.458333333333329</v>
      </c>
      <c r="O9" s="211">
        <f>SUM(T.XIV!F11)</f>
        <v>323</v>
      </c>
      <c r="P9" s="212">
        <f>SUM(T.XIV!G11)</f>
        <v>197</v>
      </c>
      <c r="Q9" s="62">
        <f>P9/O9*100</f>
        <v>60.99071207430341</v>
      </c>
      <c r="R9" s="211">
        <f>SUM(T.XIV!L11)</f>
        <v>266</v>
      </c>
      <c r="S9" s="212">
        <f>SUM(T.XIV!M11)</f>
        <v>100</v>
      </c>
      <c r="T9" s="62">
        <f t="shared" ref="T9:T12" si="2">S9/R9*100</f>
        <v>37.593984962406012</v>
      </c>
    </row>
    <row r="10" spans="2:20" x14ac:dyDescent="0.25">
      <c r="B10" s="208" t="s">
        <v>28</v>
      </c>
      <c r="C10" s="58">
        <v>1240</v>
      </c>
      <c r="D10" s="9">
        <v>669</v>
      </c>
      <c r="E10" s="7">
        <f>D10/C10*100</f>
        <v>53.951612903225808</v>
      </c>
      <c r="F10" s="58">
        <v>1054</v>
      </c>
      <c r="G10" s="9">
        <v>463</v>
      </c>
      <c r="H10" s="7">
        <f t="shared" si="0"/>
        <v>43.927893738140419</v>
      </c>
      <c r="I10" s="58">
        <v>1227</v>
      </c>
      <c r="J10" s="9">
        <v>666</v>
      </c>
      <c r="K10" s="7">
        <f>J10/I10*100</f>
        <v>54.278728606356964</v>
      </c>
      <c r="L10" s="58">
        <v>1088</v>
      </c>
      <c r="M10" s="9">
        <v>464</v>
      </c>
      <c r="N10" s="7">
        <f t="shared" si="1"/>
        <v>42.647058823529413</v>
      </c>
      <c r="O10" s="58">
        <f>SUM(T.XIV!F12)</f>
        <v>1053</v>
      </c>
      <c r="P10" s="9">
        <f>SUM(T.XIV!G12)</f>
        <v>562</v>
      </c>
      <c r="Q10" s="7">
        <f>P10/O10*100</f>
        <v>53.371320037986706</v>
      </c>
      <c r="R10" s="58">
        <f>SUM(T.XIV!L12)</f>
        <v>1011</v>
      </c>
      <c r="S10" s="9">
        <f>SUM(T.XIV!M12)</f>
        <v>443</v>
      </c>
      <c r="T10" s="7">
        <f t="shared" si="2"/>
        <v>43.818001978239366</v>
      </c>
    </row>
    <row r="11" spans="2:20" x14ac:dyDescent="0.25">
      <c r="B11" s="208" t="s">
        <v>29</v>
      </c>
      <c r="C11" s="58">
        <v>1196</v>
      </c>
      <c r="D11" s="9">
        <v>731</v>
      </c>
      <c r="E11" s="7">
        <f>D11/C11*100</f>
        <v>61.120401337792643</v>
      </c>
      <c r="F11" s="58">
        <v>724</v>
      </c>
      <c r="G11" s="9">
        <v>312</v>
      </c>
      <c r="H11" s="7">
        <f t="shared" si="0"/>
        <v>43.093922651933703</v>
      </c>
      <c r="I11" s="58">
        <v>1154</v>
      </c>
      <c r="J11" s="9">
        <v>717</v>
      </c>
      <c r="K11" s="7">
        <f>J11/I11*100</f>
        <v>62.131715771230503</v>
      </c>
      <c r="L11" s="58">
        <v>797</v>
      </c>
      <c r="M11" s="9">
        <v>347</v>
      </c>
      <c r="N11" s="7">
        <f t="shared" si="1"/>
        <v>43.538268506900877</v>
      </c>
      <c r="O11" s="58">
        <f>SUM(T.XIV!F13)</f>
        <v>905</v>
      </c>
      <c r="P11" s="9">
        <f>SUM(T.XIV!G13)</f>
        <v>597</v>
      </c>
      <c r="Q11" s="7">
        <f>P11/O11*100</f>
        <v>65.966850828729278</v>
      </c>
      <c r="R11" s="58">
        <f>SUM(T.XIV!L13)</f>
        <v>707</v>
      </c>
      <c r="S11" s="9">
        <f>SUM(T.XIV!M13)</f>
        <v>301</v>
      </c>
      <c r="T11" s="7">
        <f t="shared" si="2"/>
        <v>42.574257425742573</v>
      </c>
    </row>
    <row r="12" spans="2:20" x14ac:dyDescent="0.25">
      <c r="B12" s="208" t="s">
        <v>30</v>
      </c>
      <c r="C12" s="58">
        <v>1768</v>
      </c>
      <c r="D12" s="9">
        <v>965</v>
      </c>
      <c r="E12" s="7">
        <f>D12/C12*100</f>
        <v>54.581447963800898</v>
      </c>
      <c r="F12" s="58">
        <v>1331</v>
      </c>
      <c r="G12" s="9">
        <v>469</v>
      </c>
      <c r="H12" s="7">
        <f t="shared" si="0"/>
        <v>35.236664162284001</v>
      </c>
      <c r="I12" s="58">
        <v>1767</v>
      </c>
      <c r="J12" s="9">
        <v>986</v>
      </c>
      <c r="K12" s="7">
        <f>J12/I12*100</f>
        <v>55.800792303338994</v>
      </c>
      <c r="L12" s="58">
        <v>1344</v>
      </c>
      <c r="M12" s="9">
        <v>496</v>
      </c>
      <c r="N12" s="7">
        <f t="shared" si="1"/>
        <v>36.904761904761905</v>
      </c>
      <c r="O12" s="58">
        <f>SUM(T.XIV!F14)</f>
        <v>1618</v>
      </c>
      <c r="P12" s="9">
        <f>SUM(T.XIV!G14)</f>
        <v>921</v>
      </c>
      <c r="Q12" s="7">
        <f>P12/O12*100</f>
        <v>56.922126081582206</v>
      </c>
      <c r="R12" s="58">
        <f>SUM(T.XIV!L14)</f>
        <v>1316</v>
      </c>
      <c r="S12" s="9">
        <f>SUM(T.XIV!M14)</f>
        <v>475</v>
      </c>
      <c r="T12" s="7">
        <f t="shared" si="2"/>
        <v>36.09422492401216</v>
      </c>
    </row>
    <row r="13" spans="2:20" x14ac:dyDescent="0.25">
      <c r="B13" s="208" t="s">
        <v>31</v>
      </c>
      <c r="C13" s="58">
        <v>1479</v>
      </c>
      <c r="D13" s="9">
        <v>846</v>
      </c>
      <c r="E13" s="7">
        <f t="shared" ref="E13:E31" si="3">D13/C13*100</f>
        <v>57.200811359026375</v>
      </c>
      <c r="F13" s="58">
        <v>1198</v>
      </c>
      <c r="G13" s="9">
        <v>542</v>
      </c>
      <c r="H13" s="7">
        <f>G13/F13*100</f>
        <v>45.242070116861441</v>
      </c>
      <c r="I13" s="58">
        <v>1419</v>
      </c>
      <c r="J13" s="9">
        <v>836</v>
      </c>
      <c r="K13" s="7">
        <f t="shared" ref="K13:K15" si="4">J13/I13*100</f>
        <v>58.914728682170548</v>
      </c>
      <c r="L13" s="58">
        <v>1243</v>
      </c>
      <c r="M13" s="9">
        <v>552</v>
      </c>
      <c r="N13" s="7">
        <f>M13/L13*100</f>
        <v>44.408688656476272</v>
      </c>
      <c r="O13" s="58">
        <f>SUM(T.XIV!F15)</f>
        <v>1402</v>
      </c>
      <c r="P13" s="9">
        <f>SUM(T.XIV!G15)</f>
        <v>804</v>
      </c>
      <c r="Q13" s="7">
        <f t="shared" ref="Q13:Q15" si="5">P13/O13*100</f>
        <v>57.346647646219687</v>
      </c>
      <c r="R13" s="58">
        <f>SUM(T.XIV!L15)</f>
        <v>1206</v>
      </c>
      <c r="S13" s="9">
        <f>SUM(T.XIV!M15)</f>
        <v>543</v>
      </c>
      <c r="T13" s="7">
        <f>S13/R13*100</f>
        <v>45.024875621890544</v>
      </c>
    </row>
    <row r="14" spans="2:20" x14ac:dyDescent="0.25">
      <c r="B14" s="208" t="s">
        <v>32</v>
      </c>
      <c r="C14" s="58">
        <v>678</v>
      </c>
      <c r="D14" s="9">
        <v>384</v>
      </c>
      <c r="E14" s="7">
        <f t="shared" si="3"/>
        <v>56.637168141592923</v>
      </c>
      <c r="F14" s="58">
        <v>535</v>
      </c>
      <c r="G14" s="9">
        <v>203</v>
      </c>
      <c r="H14" s="7">
        <f t="shared" si="0"/>
        <v>37.943925233644862</v>
      </c>
      <c r="I14" s="58">
        <v>617</v>
      </c>
      <c r="J14" s="9">
        <v>346</v>
      </c>
      <c r="K14" s="7">
        <f t="shared" si="4"/>
        <v>56.077795786061593</v>
      </c>
      <c r="L14" s="58">
        <v>517</v>
      </c>
      <c r="M14" s="9">
        <v>200</v>
      </c>
      <c r="N14" s="7">
        <f t="shared" ref="N14" si="6">M14/L14*100</f>
        <v>38.684719535783366</v>
      </c>
      <c r="O14" s="58">
        <f>SUM(T.XIV!F16)</f>
        <v>503</v>
      </c>
      <c r="P14" s="9">
        <f>SUM(T.XIV!G16)</f>
        <v>312</v>
      </c>
      <c r="Q14" s="7">
        <f t="shared" si="5"/>
        <v>62.027833001988078</v>
      </c>
      <c r="R14" s="58">
        <f>SUM(T.XIV!L16)</f>
        <v>492</v>
      </c>
      <c r="S14" s="9">
        <f>SUM(T.XIV!M16)</f>
        <v>181</v>
      </c>
      <c r="T14" s="7">
        <f t="shared" ref="T14" si="7">S14/R14*100</f>
        <v>36.788617886178862</v>
      </c>
    </row>
    <row r="15" spans="2:20" x14ac:dyDescent="0.25">
      <c r="B15" s="208" t="s">
        <v>33</v>
      </c>
      <c r="C15" s="58">
        <v>676</v>
      </c>
      <c r="D15" s="9">
        <v>406</v>
      </c>
      <c r="E15" s="7">
        <f t="shared" si="3"/>
        <v>60.059171597633132</v>
      </c>
      <c r="F15" s="58">
        <v>602</v>
      </c>
      <c r="G15" s="9">
        <v>225</v>
      </c>
      <c r="H15" s="7">
        <f>G15/F15*100</f>
        <v>37.375415282392026</v>
      </c>
      <c r="I15" s="58">
        <v>675</v>
      </c>
      <c r="J15" s="9">
        <v>415</v>
      </c>
      <c r="K15" s="7">
        <f t="shared" si="4"/>
        <v>61.481481481481481</v>
      </c>
      <c r="L15" s="58">
        <v>600</v>
      </c>
      <c r="M15" s="9">
        <v>238</v>
      </c>
      <c r="N15" s="7">
        <f>M15/L15*100</f>
        <v>39.666666666666664</v>
      </c>
      <c r="O15" s="58">
        <f>SUM(T.XIV!F17)</f>
        <v>592</v>
      </c>
      <c r="P15" s="9">
        <f>SUM(T.XIV!G17)</f>
        <v>379</v>
      </c>
      <c r="Q15" s="7">
        <f t="shared" si="5"/>
        <v>64.020270270270274</v>
      </c>
      <c r="R15" s="58">
        <f>SUM(T.XIV!L17)</f>
        <v>588</v>
      </c>
      <c r="S15" s="9">
        <f>SUM(T.XIV!M17)</f>
        <v>241</v>
      </c>
      <c r="T15" s="7">
        <f>S15/R15*100</f>
        <v>40.986394557823132</v>
      </c>
    </row>
    <row r="16" spans="2:20" x14ac:dyDescent="0.25">
      <c r="B16" s="208" t="s">
        <v>34</v>
      </c>
      <c r="C16" s="58">
        <v>535</v>
      </c>
      <c r="D16" s="9">
        <v>256</v>
      </c>
      <c r="E16" s="7">
        <f>D16/C16*100</f>
        <v>47.850467289719631</v>
      </c>
      <c r="F16" s="58">
        <v>428</v>
      </c>
      <c r="G16" s="9">
        <v>156</v>
      </c>
      <c r="H16" s="7">
        <f>G16/F16*100</f>
        <v>36.44859813084112</v>
      </c>
      <c r="I16" s="58">
        <v>563</v>
      </c>
      <c r="J16" s="9">
        <v>262</v>
      </c>
      <c r="K16" s="7">
        <f>J16/I16*100</f>
        <v>46.536412078152757</v>
      </c>
      <c r="L16" s="58">
        <v>456</v>
      </c>
      <c r="M16" s="9">
        <v>187</v>
      </c>
      <c r="N16" s="7">
        <f>M16/L16*100</f>
        <v>41.008771929824562</v>
      </c>
      <c r="O16" s="58">
        <f>SUM(T.XIV!F18)</f>
        <v>429</v>
      </c>
      <c r="P16" s="9">
        <f>SUM(T.XIV!G18)</f>
        <v>205</v>
      </c>
      <c r="Q16" s="7">
        <f>P16/O16*100</f>
        <v>47.785547785547784</v>
      </c>
      <c r="R16" s="58">
        <f>SUM(T.XIV!L18)</f>
        <v>380</v>
      </c>
      <c r="S16" s="9">
        <f>SUM(T.XIV!M18)</f>
        <v>136</v>
      </c>
      <c r="T16" s="7">
        <f>S16/R16*100</f>
        <v>35.789473684210527</v>
      </c>
    </row>
    <row r="17" spans="2:20" x14ac:dyDescent="0.25">
      <c r="B17" s="208" t="s">
        <v>35</v>
      </c>
      <c r="C17" s="58">
        <v>1228</v>
      </c>
      <c r="D17" s="9">
        <v>660</v>
      </c>
      <c r="E17" s="7">
        <f t="shared" si="3"/>
        <v>53.745928338762219</v>
      </c>
      <c r="F17" s="58">
        <v>816</v>
      </c>
      <c r="G17" s="9">
        <v>306</v>
      </c>
      <c r="H17" s="7">
        <f>G17/F17*100</f>
        <v>37.5</v>
      </c>
      <c r="I17" s="58">
        <v>1248</v>
      </c>
      <c r="J17" s="9">
        <v>641</v>
      </c>
      <c r="K17" s="7">
        <f t="shared" ref="K17:K18" si="8">J17/I17*100</f>
        <v>51.362179487179482</v>
      </c>
      <c r="L17" s="58">
        <v>834</v>
      </c>
      <c r="M17" s="9">
        <v>313</v>
      </c>
      <c r="N17" s="7">
        <f>M17/L17*100</f>
        <v>37.529976019184652</v>
      </c>
      <c r="O17" s="58">
        <f>SUM(T.XIV!F19)</f>
        <v>1087</v>
      </c>
      <c r="P17" s="9">
        <f>SUM(T.XIV!G19)</f>
        <v>549</v>
      </c>
      <c r="Q17" s="7">
        <f t="shared" ref="Q17:Q18" si="9">P17/O17*100</f>
        <v>50.505979760809574</v>
      </c>
      <c r="R17" s="58">
        <f>SUM(T.XIV!L19)</f>
        <v>800</v>
      </c>
      <c r="S17" s="9">
        <f>SUM(T.XIV!M19)</f>
        <v>313</v>
      </c>
      <c r="T17" s="7">
        <f>S17/R17*100</f>
        <v>39.125</v>
      </c>
    </row>
    <row r="18" spans="2:20" x14ac:dyDescent="0.25">
      <c r="B18" s="208" t="s">
        <v>36</v>
      </c>
      <c r="C18" s="58">
        <v>626</v>
      </c>
      <c r="D18" s="9">
        <v>330</v>
      </c>
      <c r="E18" s="7">
        <f t="shared" si="3"/>
        <v>52.715654952076676</v>
      </c>
      <c r="F18" s="58">
        <v>550</v>
      </c>
      <c r="G18" s="9">
        <v>163</v>
      </c>
      <c r="H18" s="7">
        <f>G18/F18*100</f>
        <v>29.63636363636364</v>
      </c>
      <c r="I18" s="58">
        <v>673</v>
      </c>
      <c r="J18" s="9">
        <v>357</v>
      </c>
      <c r="K18" s="7">
        <f t="shared" si="8"/>
        <v>53.046062407132247</v>
      </c>
      <c r="L18" s="58">
        <v>606</v>
      </c>
      <c r="M18" s="9">
        <v>192</v>
      </c>
      <c r="N18" s="7">
        <f>M18/L18*100</f>
        <v>31.683168316831683</v>
      </c>
      <c r="O18" s="58">
        <f>SUM(T.XIV!F20)</f>
        <v>502</v>
      </c>
      <c r="P18" s="9">
        <f>SUM(T.XIV!G20)</f>
        <v>269</v>
      </c>
      <c r="Q18" s="7">
        <f t="shared" si="9"/>
        <v>53.585657370517922</v>
      </c>
      <c r="R18" s="58">
        <f>SUM(T.XIV!L20)</f>
        <v>514</v>
      </c>
      <c r="S18" s="9">
        <f>SUM(T.XIV!M20)</f>
        <v>175</v>
      </c>
      <c r="T18" s="7">
        <f>S18/R18*100</f>
        <v>34.046692607003891</v>
      </c>
    </row>
    <row r="19" spans="2:20" x14ac:dyDescent="0.25">
      <c r="B19" s="208" t="s">
        <v>37</v>
      </c>
      <c r="C19" s="58">
        <v>1095</v>
      </c>
      <c r="D19" s="9">
        <v>582</v>
      </c>
      <c r="E19" s="7">
        <f>D19/C19*100</f>
        <v>53.150684931506852</v>
      </c>
      <c r="F19" s="58">
        <v>712</v>
      </c>
      <c r="G19" s="9">
        <v>253</v>
      </c>
      <c r="H19" s="7">
        <f t="shared" si="0"/>
        <v>35.533707865168537</v>
      </c>
      <c r="I19" s="58">
        <v>1100</v>
      </c>
      <c r="J19" s="9">
        <v>589</v>
      </c>
      <c r="K19" s="7">
        <f>J19/I19*100</f>
        <v>53.54545454545454</v>
      </c>
      <c r="L19" s="58">
        <v>797</v>
      </c>
      <c r="M19" s="9">
        <v>283</v>
      </c>
      <c r="N19" s="7">
        <f t="shared" ref="N19:N33" si="10">M19/L19*100</f>
        <v>35.508155583437897</v>
      </c>
      <c r="O19" s="58">
        <f>SUM(T.XIV!F21)</f>
        <v>959</v>
      </c>
      <c r="P19" s="9">
        <f>SUM(T.XIV!G21)</f>
        <v>504</v>
      </c>
      <c r="Q19" s="7">
        <f>P19/O19*100</f>
        <v>52.554744525547449</v>
      </c>
      <c r="R19" s="58">
        <f>SUM(T.XIV!L21)</f>
        <v>766</v>
      </c>
      <c r="S19" s="9">
        <f>SUM(T.XIV!M21)</f>
        <v>276</v>
      </c>
      <c r="T19" s="7">
        <f t="shared" ref="T19:T33" si="11">S19/R19*100</f>
        <v>36.031331592689298</v>
      </c>
    </row>
    <row r="20" spans="2:20" x14ac:dyDescent="0.25">
      <c r="B20" s="208" t="s">
        <v>38</v>
      </c>
      <c r="C20" s="58">
        <v>1084</v>
      </c>
      <c r="D20" s="9">
        <v>604</v>
      </c>
      <c r="E20" s="7">
        <f t="shared" si="3"/>
        <v>55.719557195571959</v>
      </c>
      <c r="F20" s="58">
        <v>913</v>
      </c>
      <c r="G20" s="9">
        <v>353</v>
      </c>
      <c r="H20" s="7">
        <f t="shared" si="0"/>
        <v>38.663745892661552</v>
      </c>
      <c r="I20" s="58">
        <v>1013</v>
      </c>
      <c r="J20" s="9">
        <v>551</v>
      </c>
      <c r="K20" s="7">
        <f t="shared" ref="K20:K22" si="12">J20/I20*100</f>
        <v>54.392892398815398</v>
      </c>
      <c r="L20" s="58">
        <v>930</v>
      </c>
      <c r="M20" s="9">
        <v>377</v>
      </c>
      <c r="N20" s="7">
        <f t="shared" si="10"/>
        <v>40.537634408602152</v>
      </c>
      <c r="O20" s="58">
        <f>SUM(T.XIV!F22)</f>
        <v>795</v>
      </c>
      <c r="P20" s="9">
        <f>SUM(T.XIV!G22)</f>
        <v>477</v>
      </c>
      <c r="Q20" s="7">
        <f t="shared" ref="Q20:Q22" si="13">P20/O20*100</f>
        <v>60</v>
      </c>
      <c r="R20" s="58">
        <f>SUM(T.XIV!L22)</f>
        <v>798</v>
      </c>
      <c r="S20" s="9">
        <f>SUM(T.XIV!M22)</f>
        <v>314</v>
      </c>
      <c r="T20" s="7">
        <f t="shared" si="11"/>
        <v>39.348370927318292</v>
      </c>
    </row>
    <row r="21" spans="2:20" x14ac:dyDescent="0.25">
      <c r="B21" s="208" t="s">
        <v>39</v>
      </c>
      <c r="C21" s="58">
        <v>1190</v>
      </c>
      <c r="D21" s="9">
        <v>671</v>
      </c>
      <c r="E21" s="7">
        <f t="shared" si="3"/>
        <v>56.386554621848738</v>
      </c>
      <c r="F21" s="58">
        <v>872</v>
      </c>
      <c r="G21" s="9">
        <v>331</v>
      </c>
      <c r="H21" s="7">
        <f t="shared" si="0"/>
        <v>37.958715596330272</v>
      </c>
      <c r="I21" s="58">
        <v>1183</v>
      </c>
      <c r="J21" s="9">
        <v>676</v>
      </c>
      <c r="K21" s="7">
        <f t="shared" si="12"/>
        <v>57.142857142857139</v>
      </c>
      <c r="L21" s="58">
        <v>887</v>
      </c>
      <c r="M21" s="9">
        <v>328</v>
      </c>
      <c r="N21" s="7">
        <f t="shared" si="10"/>
        <v>36.978579481397972</v>
      </c>
      <c r="O21" s="58">
        <f>SUM(T.XIV!F23)</f>
        <v>1024</v>
      </c>
      <c r="P21" s="9">
        <f>SUM(T.XIV!G23)</f>
        <v>577</v>
      </c>
      <c r="Q21" s="7">
        <f t="shared" si="13"/>
        <v>56.34765625</v>
      </c>
      <c r="R21" s="58">
        <f>SUM(T.XIV!L23)</f>
        <v>813</v>
      </c>
      <c r="S21" s="9">
        <f>SUM(T.XIV!M23)</f>
        <v>297</v>
      </c>
      <c r="T21" s="7">
        <f t="shared" si="11"/>
        <v>36.531365313653133</v>
      </c>
    </row>
    <row r="22" spans="2:20" x14ac:dyDescent="0.25">
      <c r="B22" s="209" t="s">
        <v>40</v>
      </c>
      <c r="C22" s="121">
        <v>1177</v>
      </c>
      <c r="D22" s="122">
        <v>639</v>
      </c>
      <c r="E22" s="7">
        <f t="shared" si="3"/>
        <v>54.290569243840267</v>
      </c>
      <c r="F22" s="121">
        <v>808</v>
      </c>
      <c r="G22" s="122">
        <v>284</v>
      </c>
      <c r="H22" s="7">
        <f t="shared" si="0"/>
        <v>35.148514851485146</v>
      </c>
      <c r="I22" s="121">
        <v>1208</v>
      </c>
      <c r="J22" s="122">
        <v>668</v>
      </c>
      <c r="K22" s="7">
        <f t="shared" si="12"/>
        <v>55.298013245033118</v>
      </c>
      <c r="L22" s="121">
        <v>860</v>
      </c>
      <c r="M22" s="122">
        <v>308</v>
      </c>
      <c r="N22" s="7">
        <f t="shared" si="10"/>
        <v>35.813953488372093</v>
      </c>
      <c r="O22" s="121">
        <f>SUM(T.XIV!F24)</f>
        <v>1032</v>
      </c>
      <c r="P22" s="122">
        <f>SUM(T.XIV!G24)</f>
        <v>590</v>
      </c>
      <c r="Q22" s="7">
        <f t="shared" si="13"/>
        <v>57.170542635658919</v>
      </c>
      <c r="R22" s="121">
        <f>SUM(T.XIV!L24)</f>
        <v>812</v>
      </c>
      <c r="S22" s="122">
        <f>SUM(T.XIV!M24)</f>
        <v>302</v>
      </c>
      <c r="T22" s="7">
        <f t="shared" si="11"/>
        <v>37.192118226600982</v>
      </c>
    </row>
    <row r="23" spans="2:20" x14ac:dyDescent="0.25">
      <c r="B23" s="209" t="s">
        <v>41</v>
      </c>
      <c r="C23" s="121">
        <v>1251</v>
      </c>
      <c r="D23" s="122">
        <v>724</v>
      </c>
      <c r="E23" s="7">
        <f>D23/C23*100</f>
        <v>57.873701039168665</v>
      </c>
      <c r="F23" s="121">
        <v>828</v>
      </c>
      <c r="G23" s="122">
        <v>305</v>
      </c>
      <c r="H23" s="7">
        <f t="shared" si="0"/>
        <v>36.835748792270536</v>
      </c>
      <c r="I23" s="121">
        <v>1218</v>
      </c>
      <c r="J23" s="122">
        <v>729</v>
      </c>
      <c r="K23" s="7">
        <f>J23/I23*100</f>
        <v>59.85221674876847</v>
      </c>
      <c r="L23" s="121">
        <v>847</v>
      </c>
      <c r="M23" s="122">
        <v>316</v>
      </c>
      <c r="N23" s="7">
        <f t="shared" si="10"/>
        <v>37.308146399055495</v>
      </c>
      <c r="O23" s="121">
        <f>SUM(T.XIV!F25)</f>
        <v>1068</v>
      </c>
      <c r="P23" s="122">
        <f>SUM(T.XIV!G25)</f>
        <v>650</v>
      </c>
      <c r="Q23" s="7">
        <f>P23/O23*100</f>
        <v>60.861423220973791</v>
      </c>
      <c r="R23" s="121">
        <f>SUM(T.XIV!L25)</f>
        <v>771</v>
      </c>
      <c r="S23" s="122">
        <f>SUM(T.XIV!M25)</f>
        <v>301</v>
      </c>
      <c r="T23" s="7">
        <f t="shared" si="11"/>
        <v>39.040207522697798</v>
      </c>
    </row>
    <row r="24" spans="2:20" x14ac:dyDescent="0.25">
      <c r="B24" s="209" t="s">
        <v>42</v>
      </c>
      <c r="C24" s="121">
        <v>1197</v>
      </c>
      <c r="D24" s="122">
        <v>654</v>
      </c>
      <c r="E24" s="7">
        <f t="shared" si="3"/>
        <v>54.636591478696737</v>
      </c>
      <c r="F24" s="121">
        <v>686</v>
      </c>
      <c r="G24" s="122">
        <v>263</v>
      </c>
      <c r="H24" s="7">
        <f t="shared" si="0"/>
        <v>38.33819241982507</v>
      </c>
      <c r="I24" s="121">
        <v>1124</v>
      </c>
      <c r="J24" s="122">
        <v>609</v>
      </c>
      <c r="K24" s="7">
        <f t="shared" ref="K24:K25" si="14">J24/I24*100</f>
        <v>54.181494661921704</v>
      </c>
      <c r="L24" s="121">
        <v>730</v>
      </c>
      <c r="M24" s="122">
        <v>273</v>
      </c>
      <c r="N24" s="7">
        <f t="shared" si="10"/>
        <v>37.397260273972606</v>
      </c>
      <c r="O24" s="121">
        <f>SUM(T.XIV!F26)</f>
        <v>1003</v>
      </c>
      <c r="P24" s="122">
        <f>SUM(T.XIV!G26)</f>
        <v>595</v>
      </c>
      <c r="Q24" s="7">
        <f t="shared" ref="Q24:Q25" si="15">P24/O24*100</f>
        <v>59.322033898305079</v>
      </c>
      <c r="R24" s="121">
        <f>SUM(T.XIV!L26)</f>
        <v>705</v>
      </c>
      <c r="S24" s="122">
        <f>SUM(T.XIV!M26)</f>
        <v>268</v>
      </c>
      <c r="T24" s="7">
        <f t="shared" si="11"/>
        <v>38.01418439716312</v>
      </c>
    </row>
    <row r="25" spans="2:20" x14ac:dyDescent="0.25">
      <c r="B25" s="209" t="s">
        <v>43</v>
      </c>
      <c r="C25" s="121">
        <v>2037</v>
      </c>
      <c r="D25" s="122">
        <v>1093</v>
      </c>
      <c r="E25" s="7">
        <f t="shared" si="3"/>
        <v>53.657339224349535</v>
      </c>
      <c r="F25" s="121">
        <v>1359</v>
      </c>
      <c r="G25" s="122">
        <v>442</v>
      </c>
      <c r="H25" s="7">
        <f t="shared" si="0"/>
        <v>32.523914643119937</v>
      </c>
      <c r="I25" s="121">
        <v>2120</v>
      </c>
      <c r="J25" s="122">
        <v>1146</v>
      </c>
      <c r="K25" s="7">
        <f t="shared" si="14"/>
        <v>54.056603773584911</v>
      </c>
      <c r="L25" s="121">
        <v>1446</v>
      </c>
      <c r="M25" s="122">
        <v>491</v>
      </c>
      <c r="N25" s="7">
        <f t="shared" si="10"/>
        <v>33.955739972337483</v>
      </c>
      <c r="O25" s="121">
        <f>SUM(T.XIV!F27)</f>
        <v>1830</v>
      </c>
      <c r="P25" s="122">
        <f>SUM(T.XIV!G27)</f>
        <v>980</v>
      </c>
      <c r="Q25" s="7">
        <f t="shared" si="15"/>
        <v>53.551912568306015</v>
      </c>
      <c r="R25" s="121">
        <f>SUM(T.XIV!L27)</f>
        <v>1405</v>
      </c>
      <c r="S25" s="122">
        <f>SUM(T.XIV!M27)</f>
        <v>468</v>
      </c>
      <c r="T25" s="7">
        <f t="shared" si="11"/>
        <v>33.309608540925268</v>
      </c>
    </row>
    <row r="26" spans="2:20" x14ac:dyDescent="0.25">
      <c r="B26" s="209" t="s">
        <v>44</v>
      </c>
      <c r="C26" s="121">
        <v>927</v>
      </c>
      <c r="D26" s="122">
        <v>518</v>
      </c>
      <c r="E26" s="7">
        <f>D26/C26*100</f>
        <v>55.879180151024812</v>
      </c>
      <c r="F26" s="121">
        <v>702</v>
      </c>
      <c r="G26" s="122">
        <v>240</v>
      </c>
      <c r="H26" s="7">
        <f t="shared" si="0"/>
        <v>34.188034188034187</v>
      </c>
      <c r="I26" s="121">
        <v>782</v>
      </c>
      <c r="J26" s="122">
        <v>460</v>
      </c>
      <c r="K26" s="7">
        <f>J26/I26*100</f>
        <v>58.82352941176471</v>
      </c>
      <c r="L26" s="121">
        <v>727</v>
      </c>
      <c r="M26" s="122">
        <v>244</v>
      </c>
      <c r="N26" s="7">
        <f t="shared" si="10"/>
        <v>33.562585969738649</v>
      </c>
      <c r="O26" s="121">
        <f>SUM(T.XIV!F28)</f>
        <v>639</v>
      </c>
      <c r="P26" s="122">
        <f>SUM(T.XIV!G28)</f>
        <v>399</v>
      </c>
      <c r="Q26" s="7">
        <f>P26/O26*100</f>
        <v>62.441314553990615</v>
      </c>
      <c r="R26" s="121">
        <f>SUM(T.XIV!L28)</f>
        <v>663</v>
      </c>
      <c r="S26" s="122">
        <f>SUM(T.XIV!M28)</f>
        <v>230</v>
      </c>
      <c r="T26" s="7">
        <f t="shared" si="11"/>
        <v>34.690799396681747</v>
      </c>
    </row>
    <row r="27" spans="2:20" x14ac:dyDescent="0.25">
      <c r="B27" s="209" t="s">
        <v>45</v>
      </c>
      <c r="C27" s="121">
        <v>816</v>
      </c>
      <c r="D27" s="122">
        <v>487</v>
      </c>
      <c r="E27" s="7">
        <f t="shared" si="3"/>
        <v>59.681372549019606</v>
      </c>
      <c r="F27" s="121">
        <v>648</v>
      </c>
      <c r="G27" s="122">
        <v>216</v>
      </c>
      <c r="H27" s="7">
        <f t="shared" si="0"/>
        <v>33.333333333333329</v>
      </c>
      <c r="I27" s="121">
        <v>793</v>
      </c>
      <c r="J27" s="122">
        <v>494</v>
      </c>
      <c r="K27" s="7">
        <f t="shared" ref="K27:K29" si="16">J27/I27*100</f>
        <v>62.295081967213115</v>
      </c>
      <c r="L27" s="121">
        <v>699</v>
      </c>
      <c r="M27" s="122">
        <v>235</v>
      </c>
      <c r="N27" s="7">
        <f t="shared" si="10"/>
        <v>33.619456366237479</v>
      </c>
      <c r="O27" s="121">
        <f>SUM(T.XIV!F29)</f>
        <v>641</v>
      </c>
      <c r="P27" s="122">
        <f>SUM(T.XIV!G29)</f>
        <v>418</v>
      </c>
      <c r="Q27" s="7">
        <f t="shared" ref="Q27:Q29" si="17">P27/O27*100</f>
        <v>65.210608424336968</v>
      </c>
      <c r="R27" s="121">
        <f>SUM(T.XIV!L29)</f>
        <v>648</v>
      </c>
      <c r="S27" s="122">
        <f>SUM(T.XIV!M29)</f>
        <v>225</v>
      </c>
      <c r="T27" s="7">
        <f t="shared" si="11"/>
        <v>34.722222222222221</v>
      </c>
    </row>
    <row r="28" spans="2:20" x14ac:dyDescent="0.25">
      <c r="B28" s="209" t="s">
        <v>46</v>
      </c>
      <c r="C28" s="121">
        <v>1118</v>
      </c>
      <c r="D28" s="122">
        <v>594</v>
      </c>
      <c r="E28" s="7">
        <f t="shared" si="3"/>
        <v>53.13059033989267</v>
      </c>
      <c r="F28" s="121">
        <v>849</v>
      </c>
      <c r="G28" s="122">
        <v>320</v>
      </c>
      <c r="H28" s="7">
        <f t="shared" si="0"/>
        <v>37.69140164899882</v>
      </c>
      <c r="I28" s="121">
        <v>1119</v>
      </c>
      <c r="J28" s="122">
        <v>610</v>
      </c>
      <c r="K28" s="7">
        <f t="shared" si="16"/>
        <v>54.512957998212684</v>
      </c>
      <c r="L28" s="121">
        <v>873</v>
      </c>
      <c r="M28" s="122">
        <v>332</v>
      </c>
      <c r="N28" s="7">
        <f t="shared" si="10"/>
        <v>38.029782359679267</v>
      </c>
      <c r="O28" s="121">
        <f>SUM(T.XIV!F30)</f>
        <v>1002</v>
      </c>
      <c r="P28" s="122">
        <f>SUM(T.XIV!G30)</f>
        <v>541</v>
      </c>
      <c r="Q28" s="7">
        <f t="shared" si="17"/>
        <v>53.992015968063868</v>
      </c>
      <c r="R28" s="121">
        <f>SUM(T.XIV!L30)</f>
        <v>814</v>
      </c>
      <c r="S28" s="122">
        <f>SUM(T.XIV!M30)</f>
        <v>316</v>
      </c>
      <c r="T28" s="7">
        <f t="shared" si="11"/>
        <v>38.82063882063882</v>
      </c>
    </row>
    <row r="29" spans="2:20" x14ac:dyDescent="0.25">
      <c r="B29" s="209" t="s">
        <v>47</v>
      </c>
      <c r="C29" s="121">
        <v>541</v>
      </c>
      <c r="D29" s="122">
        <v>319</v>
      </c>
      <c r="E29" s="7">
        <f t="shared" si="3"/>
        <v>58.964879852125698</v>
      </c>
      <c r="F29" s="121">
        <v>427</v>
      </c>
      <c r="G29" s="122">
        <v>151</v>
      </c>
      <c r="H29" s="7">
        <f t="shared" si="0"/>
        <v>35.362997658079628</v>
      </c>
      <c r="I29" s="121">
        <v>474</v>
      </c>
      <c r="J29" s="122">
        <v>292</v>
      </c>
      <c r="K29" s="7">
        <f t="shared" si="16"/>
        <v>61.603375527426167</v>
      </c>
      <c r="L29" s="121">
        <v>423</v>
      </c>
      <c r="M29" s="122">
        <v>144</v>
      </c>
      <c r="N29" s="7">
        <f t="shared" si="10"/>
        <v>34.042553191489361</v>
      </c>
      <c r="O29" s="121">
        <f>SUM(T.XIV!F31)</f>
        <v>423</v>
      </c>
      <c r="P29" s="122">
        <f>SUM(T.XIV!G31)</f>
        <v>253</v>
      </c>
      <c r="Q29" s="7">
        <f t="shared" si="17"/>
        <v>59.810874704491724</v>
      </c>
      <c r="R29" s="121">
        <f>SUM(T.XIV!L31)</f>
        <v>432</v>
      </c>
      <c r="S29" s="122">
        <f>SUM(T.XIV!M31)</f>
        <v>152</v>
      </c>
      <c r="T29" s="7">
        <f t="shared" si="11"/>
        <v>35.185185185185183</v>
      </c>
    </row>
    <row r="30" spans="2:20" x14ac:dyDescent="0.25">
      <c r="B30" s="209" t="s">
        <v>48</v>
      </c>
      <c r="C30" s="121">
        <v>210</v>
      </c>
      <c r="D30" s="122">
        <v>105</v>
      </c>
      <c r="E30" s="7">
        <f>D30/C30*100</f>
        <v>50</v>
      </c>
      <c r="F30" s="121">
        <v>245</v>
      </c>
      <c r="G30" s="122">
        <v>95</v>
      </c>
      <c r="H30" s="7">
        <f t="shared" si="0"/>
        <v>38.775510204081634</v>
      </c>
      <c r="I30" s="121">
        <v>174</v>
      </c>
      <c r="J30" s="122">
        <v>88</v>
      </c>
      <c r="K30" s="7">
        <f>J30/I30*100</f>
        <v>50.574712643678168</v>
      </c>
      <c r="L30" s="121">
        <v>262</v>
      </c>
      <c r="M30" s="122">
        <v>101</v>
      </c>
      <c r="N30" s="7">
        <f t="shared" si="10"/>
        <v>38.549618320610683</v>
      </c>
      <c r="O30" s="121">
        <f>SUM(T.XIV!F32)</f>
        <v>141</v>
      </c>
      <c r="P30" s="122">
        <f>SUM(T.XIV!G32)</f>
        <v>71</v>
      </c>
      <c r="Q30" s="7">
        <f>P30/O30*100</f>
        <v>50.354609929078009</v>
      </c>
      <c r="R30" s="121">
        <f>SUM(T.XIV!L32)</f>
        <v>237</v>
      </c>
      <c r="S30" s="122">
        <f>SUM(T.XIV!M32)</f>
        <v>88</v>
      </c>
      <c r="T30" s="7">
        <f t="shared" si="11"/>
        <v>37.130801687763714</v>
      </c>
    </row>
    <row r="31" spans="2:20" x14ac:dyDescent="0.25">
      <c r="B31" s="209" t="s">
        <v>49</v>
      </c>
      <c r="C31" s="121">
        <v>630</v>
      </c>
      <c r="D31" s="122">
        <v>342</v>
      </c>
      <c r="E31" s="7">
        <f t="shared" si="3"/>
        <v>54.285714285714285</v>
      </c>
      <c r="F31" s="121">
        <v>845</v>
      </c>
      <c r="G31" s="122">
        <v>341</v>
      </c>
      <c r="H31" s="7">
        <f t="shared" si="0"/>
        <v>40.355029585798817</v>
      </c>
      <c r="I31" s="121">
        <v>588</v>
      </c>
      <c r="J31" s="122">
        <v>337</v>
      </c>
      <c r="K31" s="7">
        <f t="shared" ref="K31" si="18">J31/I31*100</f>
        <v>57.312925170068027</v>
      </c>
      <c r="L31" s="121">
        <v>837</v>
      </c>
      <c r="M31" s="122">
        <v>350</v>
      </c>
      <c r="N31" s="7">
        <f t="shared" si="10"/>
        <v>41.816009557945044</v>
      </c>
      <c r="O31" s="121">
        <f>SUM(T.XIV!F33)</f>
        <v>545</v>
      </c>
      <c r="P31" s="122">
        <f>SUM(T.XIV!G33)</f>
        <v>299</v>
      </c>
      <c r="Q31" s="7">
        <f t="shared" ref="Q31" si="19">P31/O31*100</f>
        <v>54.862385321100916</v>
      </c>
      <c r="R31" s="121">
        <f>SUM(T.XIV!L33)</f>
        <v>814</v>
      </c>
      <c r="S31" s="122">
        <f>SUM(T.XIV!M33)</f>
        <v>332</v>
      </c>
      <c r="T31" s="7">
        <f t="shared" si="11"/>
        <v>40.786240786240782</v>
      </c>
    </row>
    <row r="32" spans="2:20" x14ac:dyDescent="0.25">
      <c r="B32" s="209" t="s">
        <v>50</v>
      </c>
      <c r="C32" s="121">
        <v>1651</v>
      </c>
      <c r="D32" s="122">
        <v>910</v>
      </c>
      <c r="E32" s="7">
        <f>D32/C32*100</f>
        <v>55.118110236220474</v>
      </c>
      <c r="F32" s="121">
        <v>1796</v>
      </c>
      <c r="G32" s="122">
        <v>677</v>
      </c>
      <c r="H32" s="7">
        <f t="shared" si="0"/>
        <v>37.694877505567931</v>
      </c>
      <c r="I32" s="121">
        <v>1646</v>
      </c>
      <c r="J32" s="122">
        <v>869</v>
      </c>
      <c r="K32" s="7">
        <f>J32/I32*100</f>
        <v>52.794653705953834</v>
      </c>
      <c r="L32" s="121">
        <v>1853</v>
      </c>
      <c r="M32" s="122">
        <v>694</v>
      </c>
      <c r="N32" s="7">
        <f t="shared" si="10"/>
        <v>37.452779276848354</v>
      </c>
      <c r="O32" s="121">
        <f>SUM(T.XIV!F34)</f>
        <v>1479</v>
      </c>
      <c r="P32" s="122">
        <f>SUM(T.XIV!G34)</f>
        <v>795</v>
      </c>
      <c r="Q32" s="7">
        <f>P32/O32*100</f>
        <v>53.7525354969574</v>
      </c>
      <c r="R32" s="121">
        <f>SUM(T.XIV!L34)</f>
        <v>1794</v>
      </c>
      <c r="S32" s="122">
        <f>SUM(T.XIV!M34)</f>
        <v>661</v>
      </c>
      <c r="T32" s="7">
        <f t="shared" si="11"/>
        <v>36.845039018952065</v>
      </c>
    </row>
    <row r="33" spans="2:20" ht="15.75" thickBot="1" x14ac:dyDescent="0.3">
      <c r="B33" s="210" t="s">
        <v>51</v>
      </c>
      <c r="C33" s="123">
        <v>348</v>
      </c>
      <c r="D33" s="125">
        <v>200</v>
      </c>
      <c r="E33" s="8">
        <f>D33/C33*100</f>
        <v>57.47126436781609</v>
      </c>
      <c r="F33" s="123">
        <v>389</v>
      </c>
      <c r="G33" s="125">
        <v>159</v>
      </c>
      <c r="H33" s="8">
        <f t="shared" si="0"/>
        <v>40.874035989717221</v>
      </c>
      <c r="I33" s="123">
        <v>286</v>
      </c>
      <c r="J33" s="125">
        <v>174</v>
      </c>
      <c r="K33" s="8">
        <f>J33/I33*100</f>
        <v>60.839160839160847</v>
      </c>
      <c r="L33" s="123">
        <v>398</v>
      </c>
      <c r="M33" s="125">
        <v>149</v>
      </c>
      <c r="N33" s="8">
        <f t="shared" si="10"/>
        <v>37.437185929648244</v>
      </c>
      <c r="O33" s="123">
        <f>SUM(T.XIV!F35)</f>
        <v>285</v>
      </c>
      <c r="P33" s="125">
        <f>SUM(T.XIV!G35)</f>
        <v>164</v>
      </c>
      <c r="Q33" s="8">
        <f>P33/O33*100</f>
        <v>57.543859649122808</v>
      </c>
      <c r="R33" s="123">
        <f>SUM(T.XIV!L35)</f>
        <v>420</v>
      </c>
      <c r="S33" s="125">
        <f>SUM(T.XIV!M35)</f>
        <v>166</v>
      </c>
      <c r="T33" s="8">
        <f t="shared" si="11"/>
        <v>39.523809523809526</v>
      </c>
    </row>
    <row r="34" spans="2:20" ht="13.5" customHeight="1" x14ac:dyDescent="0.25">
      <c r="B34" s="898" t="s">
        <v>180</v>
      </c>
      <c r="C34" s="898"/>
      <c r="D34" s="898"/>
      <c r="E34" s="898"/>
      <c r="F34" s="898"/>
      <c r="G34" s="898"/>
      <c r="H34" s="898"/>
    </row>
    <row r="35" spans="2:20" ht="14.25" customHeight="1" x14ac:dyDescent="0.25">
      <c r="B35" s="894" t="s">
        <v>181</v>
      </c>
      <c r="C35" s="894"/>
      <c r="D35" s="894"/>
      <c r="E35" s="894"/>
      <c r="F35" s="894"/>
      <c r="G35" s="894"/>
      <c r="H35" s="894"/>
    </row>
    <row r="36" spans="2:20" ht="14.25" customHeight="1" x14ac:dyDescent="0.25">
      <c r="B36" s="659"/>
      <c r="C36" s="659"/>
      <c r="D36" s="659"/>
      <c r="E36" s="659"/>
      <c r="F36" s="659"/>
      <c r="G36" s="659"/>
      <c r="H36" s="659"/>
    </row>
    <row r="37" spans="2:20" ht="14.25" customHeight="1" x14ac:dyDescent="0.25">
      <c r="B37" s="11" t="s">
        <v>507</v>
      </c>
      <c r="C37" s="659"/>
      <c r="D37" s="659"/>
      <c r="E37" s="659"/>
      <c r="F37" s="659"/>
      <c r="G37" s="659"/>
      <c r="H37" s="659"/>
    </row>
    <row r="38" spans="2:20" ht="15.75" thickBot="1" x14ac:dyDescent="0.3">
      <c r="B38" s="11" t="s">
        <v>459</v>
      </c>
    </row>
    <row r="39" spans="2:20" ht="15.75" thickBot="1" x14ac:dyDescent="0.3">
      <c r="B39" s="849" t="s">
        <v>123</v>
      </c>
      <c r="C39" s="539"/>
      <c r="D39" s="537" t="s">
        <v>412</v>
      </c>
      <c r="E39" s="537"/>
      <c r="F39" s="538"/>
      <c r="G39" s="539"/>
      <c r="H39" s="537" t="s">
        <v>413</v>
      </c>
      <c r="I39" s="537"/>
      <c r="J39" s="538"/>
    </row>
    <row r="40" spans="2:20" x14ac:dyDescent="0.25">
      <c r="B40" s="899"/>
      <c r="C40" s="534" t="s">
        <v>410</v>
      </c>
      <c r="D40" s="615" t="s">
        <v>130</v>
      </c>
      <c r="E40" s="534" t="s">
        <v>130</v>
      </c>
      <c r="F40" s="615" t="s">
        <v>130</v>
      </c>
      <c r="G40" s="534" t="s">
        <v>410</v>
      </c>
      <c r="H40" s="615" t="s">
        <v>130</v>
      </c>
      <c r="I40" s="534" t="s">
        <v>130</v>
      </c>
      <c r="J40" s="615" t="s">
        <v>130</v>
      </c>
    </row>
    <row r="41" spans="2:20" ht="21.75" customHeight="1" x14ac:dyDescent="0.25">
      <c r="B41" s="899"/>
      <c r="C41" s="543" t="s">
        <v>447</v>
      </c>
      <c r="D41" s="657" t="s">
        <v>447</v>
      </c>
      <c r="E41" s="543" t="s">
        <v>448</v>
      </c>
      <c r="F41" s="657" t="s">
        <v>449</v>
      </c>
      <c r="G41" s="543" t="s">
        <v>447</v>
      </c>
      <c r="H41" s="657" t="s">
        <v>447</v>
      </c>
      <c r="I41" s="543" t="s">
        <v>448</v>
      </c>
      <c r="J41" s="657" t="s">
        <v>449</v>
      </c>
    </row>
    <row r="42" spans="2:20" ht="21.75" customHeight="1" x14ac:dyDescent="0.25">
      <c r="B42" s="899"/>
      <c r="C42" s="543" t="s">
        <v>127</v>
      </c>
      <c r="D42" s="657" t="s">
        <v>411</v>
      </c>
      <c r="E42" s="543" t="s">
        <v>127</v>
      </c>
      <c r="F42" s="657" t="s">
        <v>411</v>
      </c>
      <c r="G42" s="543" t="s">
        <v>127</v>
      </c>
      <c r="H42" s="657" t="s">
        <v>411</v>
      </c>
      <c r="I42" s="543" t="s">
        <v>127</v>
      </c>
      <c r="J42" s="657" t="s">
        <v>411</v>
      </c>
    </row>
    <row r="43" spans="2:20" ht="14.25" customHeight="1" thickBot="1" x14ac:dyDescent="0.3">
      <c r="B43" s="862"/>
      <c r="C43" s="535"/>
      <c r="D43" s="651"/>
      <c r="E43" s="535"/>
      <c r="F43" s="651"/>
      <c r="G43" s="535"/>
      <c r="H43" s="651"/>
      <c r="I43" s="535"/>
      <c r="J43" s="651"/>
    </row>
    <row r="44" spans="2:20" ht="19.5" thickBot="1" x14ac:dyDescent="0.3">
      <c r="B44" s="313" t="s">
        <v>26</v>
      </c>
      <c r="C44" s="545">
        <f t="shared" ref="C44:C69" si="20">O8-I8</f>
        <v>-3278</v>
      </c>
      <c r="D44" s="546">
        <f t="shared" ref="D44:D69" si="21">C44*100/I8</f>
        <v>-13.347992507533187</v>
      </c>
      <c r="E44" s="545">
        <f t="shared" ref="E44:E69" si="22">O8-C8</f>
        <v>-3801</v>
      </c>
      <c r="F44" s="546">
        <f t="shared" ref="F44:F69" si="23">E44*100/C8</f>
        <v>-15.15489813005861</v>
      </c>
      <c r="G44" s="545">
        <f t="shared" ref="G44:G69" si="24">R8-L8</f>
        <v>-1170</v>
      </c>
      <c r="H44" s="546">
        <f t="shared" ref="H44:H69" si="25">G44*100/L8</f>
        <v>-5.7516468390522073</v>
      </c>
      <c r="I44" s="545">
        <f t="shared" ref="I44:I69" si="26">R8-F8</f>
        <v>-412</v>
      </c>
      <c r="J44" s="546">
        <f t="shared" ref="J44:J69" si="27">I44*100/F8</f>
        <v>-2.1037581699346406</v>
      </c>
    </row>
    <row r="45" spans="2:20" ht="15.75" thickTop="1" x14ac:dyDescent="0.25">
      <c r="B45" s="207" t="s">
        <v>27</v>
      </c>
      <c r="C45" s="211">
        <f t="shared" si="20"/>
        <v>-64</v>
      </c>
      <c r="D45" s="62">
        <f t="shared" si="21"/>
        <v>-16.537467700258397</v>
      </c>
      <c r="E45" s="211">
        <f t="shared" si="22"/>
        <v>-60</v>
      </c>
      <c r="F45" s="62">
        <f t="shared" si="23"/>
        <v>-15.66579634464752</v>
      </c>
      <c r="G45" s="211">
        <f t="shared" si="24"/>
        <v>-22</v>
      </c>
      <c r="H45" s="62">
        <f t="shared" si="25"/>
        <v>-7.6388888888888893</v>
      </c>
      <c r="I45" s="211">
        <f t="shared" si="26"/>
        <v>-1</v>
      </c>
      <c r="J45" s="62">
        <f t="shared" si="27"/>
        <v>-0.37453183520599254</v>
      </c>
    </row>
    <row r="46" spans="2:20" x14ac:dyDescent="0.25">
      <c r="B46" s="208" t="s">
        <v>28</v>
      </c>
      <c r="C46" s="58">
        <f t="shared" si="20"/>
        <v>-174</v>
      </c>
      <c r="D46" s="7">
        <f t="shared" si="21"/>
        <v>-14.180929095354523</v>
      </c>
      <c r="E46" s="58">
        <f t="shared" si="22"/>
        <v>-187</v>
      </c>
      <c r="F46" s="7">
        <f t="shared" si="23"/>
        <v>-15.080645161290322</v>
      </c>
      <c r="G46" s="58">
        <f t="shared" si="24"/>
        <v>-77</v>
      </c>
      <c r="H46" s="7">
        <f t="shared" si="25"/>
        <v>-7.0772058823529411</v>
      </c>
      <c r="I46" s="58">
        <f t="shared" si="26"/>
        <v>-43</v>
      </c>
      <c r="J46" s="7">
        <f t="shared" si="27"/>
        <v>-4.0796963946869074</v>
      </c>
    </row>
    <row r="47" spans="2:20" x14ac:dyDescent="0.25">
      <c r="B47" s="208" t="s">
        <v>29</v>
      </c>
      <c r="C47" s="58">
        <f t="shared" si="20"/>
        <v>-249</v>
      </c>
      <c r="D47" s="7">
        <f t="shared" si="21"/>
        <v>-21.577123050259964</v>
      </c>
      <c r="E47" s="58">
        <f t="shared" si="22"/>
        <v>-291</v>
      </c>
      <c r="F47" s="7">
        <f t="shared" si="23"/>
        <v>-24.331103678929765</v>
      </c>
      <c r="G47" s="58">
        <f t="shared" si="24"/>
        <v>-90</v>
      </c>
      <c r="H47" s="7">
        <f t="shared" si="25"/>
        <v>-11.292346298619824</v>
      </c>
      <c r="I47" s="58">
        <f t="shared" si="26"/>
        <v>-17</v>
      </c>
      <c r="J47" s="7">
        <f t="shared" si="27"/>
        <v>-2.3480662983425415</v>
      </c>
    </row>
    <row r="48" spans="2:20" x14ac:dyDescent="0.25">
      <c r="B48" s="208" t="s">
        <v>30</v>
      </c>
      <c r="C48" s="58">
        <f t="shared" si="20"/>
        <v>-149</v>
      </c>
      <c r="D48" s="7">
        <f t="shared" si="21"/>
        <v>-8.4323712507074138</v>
      </c>
      <c r="E48" s="58">
        <f t="shared" si="22"/>
        <v>-150</v>
      </c>
      <c r="F48" s="7">
        <f t="shared" si="23"/>
        <v>-8.4841628959276019</v>
      </c>
      <c r="G48" s="58">
        <f t="shared" si="24"/>
        <v>-28</v>
      </c>
      <c r="H48" s="7">
        <f t="shared" si="25"/>
        <v>-2.0833333333333335</v>
      </c>
      <c r="I48" s="58">
        <f t="shared" si="26"/>
        <v>-15</v>
      </c>
      <c r="J48" s="7">
        <f t="shared" si="27"/>
        <v>-1.1269722013523666</v>
      </c>
    </row>
    <row r="49" spans="2:10" x14ac:dyDescent="0.25">
      <c r="B49" s="208" t="s">
        <v>31</v>
      </c>
      <c r="C49" s="58">
        <f t="shared" si="20"/>
        <v>-17</v>
      </c>
      <c r="D49" s="7">
        <f t="shared" si="21"/>
        <v>-1.1980267794221282</v>
      </c>
      <c r="E49" s="58">
        <f t="shared" si="22"/>
        <v>-77</v>
      </c>
      <c r="F49" s="7">
        <f t="shared" si="23"/>
        <v>-5.2062204192021637</v>
      </c>
      <c r="G49" s="58">
        <f t="shared" si="24"/>
        <v>-37</v>
      </c>
      <c r="H49" s="7">
        <f t="shared" si="25"/>
        <v>-2.9766693483507645</v>
      </c>
      <c r="I49" s="58">
        <f t="shared" si="26"/>
        <v>8</v>
      </c>
      <c r="J49" s="7">
        <f t="shared" si="27"/>
        <v>0.667779632721202</v>
      </c>
    </row>
    <row r="50" spans="2:10" x14ac:dyDescent="0.25">
      <c r="B50" s="208" t="s">
        <v>32</v>
      </c>
      <c r="C50" s="58">
        <f t="shared" si="20"/>
        <v>-114</v>
      </c>
      <c r="D50" s="7">
        <f t="shared" si="21"/>
        <v>-18.47649918962723</v>
      </c>
      <c r="E50" s="58">
        <f t="shared" si="22"/>
        <v>-175</v>
      </c>
      <c r="F50" s="7">
        <f t="shared" si="23"/>
        <v>-25.811209439528024</v>
      </c>
      <c r="G50" s="58">
        <f t="shared" si="24"/>
        <v>-25</v>
      </c>
      <c r="H50" s="7">
        <f t="shared" si="25"/>
        <v>-4.8355899419729207</v>
      </c>
      <c r="I50" s="58">
        <f t="shared" si="26"/>
        <v>-43</v>
      </c>
      <c r="J50" s="7">
        <f t="shared" si="27"/>
        <v>-8.0373831775700939</v>
      </c>
    </row>
    <row r="51" spans="2:10" x14ac:dyDescent="0.25">
      <c r="B51" s="208" t="s">
        <v>33</v>
      </c>
      <c r="C51" s="58">
        <f t="shared" si="20"/>
        <v>-83</v>
      </c>
      <c r="D51" s="7">
        <f t="shared" si="21"/>
        <v>-12.296296296296296</v>
      </c>
      <c r="E51" s="58">
        <f t="shared" si="22"/>
        <v>-84</v>
      </c>
      <c r="F51" s="7">
        <f t="shared" si="23"/>
        <v>-12.42603550295858</v>
      </c>
      <c r="G51" s="58">
        <f t="shared" si="24"/>
        <v>-12</v>
      </c>
      <c r="H51" s="7">
        <f t="shared" si="25"/>
        <v>-2</v>
      </c>
      <c r="I51" s="58">
        <f t="shared" si="26"/>
        <v>-14</v>
      </c>
      <c r="J51" s="7">
        <f t="shared" si="27"/>
        <v>-2.3255813953488373</v>
      </c>
    </row>
    <row r="52" spans="2:10" x14ac:dyDescent="0.25">
      <c r="B52" s="208" t="s">
        <v>34</v>
      </c>
      <c r="C52" s="58">
        <f t="shared" si="20"/>
        <v>-134</v>
      </c>
      <c r="D52" s="7">
        <f t="shared" si="21"/>
        <v>-23.801065719360569</v>
      </c>
      <c r="E52" s="58">
        <f t="shared" si="22"/>
        <v>-106</v>
      </c>
      <c r="F52" s="7">
        <f t="shared" si="23"/>
        <v>-19.813084112149532</v>
      </c>
      <c r="G52" s="58">
        <f t="shared" si="24"/>
        <v>-76</v>
      </c>
      <c r="H52" s="7">
        <f t="shared" si="25"/>
        <v>-16.666666666666668</v>
      </c>
      <c r="I52" s="58">
        <f t="shared" si="26"/>
        <v>-48</v>
      </c>
      <c r="J52" s="7">
        <f t="shared" si="27"/>
        <v>-11.214953271028037</v>
      </c>
    </row>
    <row r="53" spans="2:10" x14ac:dyDescent="0.25">
      <c r="B53" s="208" t="s">
        <v>35</v>
      </c>
      <c r="C53" s="58">
        <f t="shared" si="20"/>
        <v>-161</v>
      </c>
      <c r="D53" s="7">
        <f t="shared" si="21"/>
        <v>-12.900641025641026</v>
      </c>
      <c r="E53" s="58">
        <f t="shared" si="22"/>
        <v>-141</v>
      </c>
      <c r="F53" s="7">
        <f t="shared" si="23"/>
        <v>-11.482084690553746</v>
      </c>
      <c r="G53" s="58">
        <f t="shared" si="24"/>
        <v>-34</v>
      </c>
      <c r="H53" s="7">
        <f t="shared" si="25"/>
        <v>-4.0767386091127102</v>
      </c>
      <c r="I53" s="58">
        <f t="shared" si="26"/>
        <v>-16</v>
      </c>
      <c r="J53" s="7">
        <f t="shared" si="27"/>
        <v>-1.9607843137254901</v>
      </c>
    </row>
    <row r="54" spans="2:10" x14ac:dyDescent="0.25">
      <c r="B54" s="208" t="s">
        <v>36</v>
      </c>
      <c r="C54" s="58">
        <f t="shared" si="20"/>
        <v>-171</v>
      </c>
      <c r="D54" s="7">
        <f t="shared" si="21"/>
        <v>-25.408618127786031</v>
      </c>
      <c r="E54" s="58">
        <f t="shared" si="22"/>
        <v>-124</v>
      </c>
      <c r="F54" s="7">
        <f t="shared" si="23"/>
        <v>-19.808306709265175</v>
      </c>
      <c r="G54" s="58">
        <f t="shared" si="24"/>
        <v>-92</v>
      </c>
      <c r="H54" s="7">
        <f t="shared" si="25"/>
        <v>-15.181518151815181</v>
      </c>
      <c r="I54" s="58">
        <f t="shared" si="26"/>
        <v>-36</v>
      </c>
      <c r="J54" s="7">
        <f t="shared" si="27"/>
        <v>-6.5454545454545459</v>
      </c>
    </row>
    <row r="55" spans="2:10" x14ac:dyDescent="0.25">
      <c r="B55" s="208" t="s">
        <v>37</v>
      </c>
      <c r="C55" s="58">
        <f t="shared" si="20"/>
        <v>-141</v>
      </c>
      <c r="D55" s="7">
        <f t="shared" si="21"/>
        <v>-12.818181818181818</v>
      </c>
      <c r="E55" s="58">
        <f t="shared" si="22"/>
        <v>-136</v>
      </c>
      <c r="F55" s="7">
        <f t="shared" si="23"/>
        <v>-12.420091324200913</v>
      </c>
      <c r="G55" s="58">
        <f t="shared" si="24"/>
        <v>-31</v>
      </c>
      <c r="H55" s="7">
        <f t="shared" si="25"/>
        <v>-3.8895859473023839</v>
      </c>
      <c r="I55" s="58">
        <f t="shared" si="26"/>
        <v>54</v>
      </c>
      <c r="J55" s="7">
        <f t="shared" si="27"/>
        <v>7.584269662921348</v>
      </c>
    </row>
    <row r="56" spans="2:10" x14ac:dyDescent="0.25">
      <c r="B56" s="208" t="s">
        <v>38</v>
      </c>
      <c r="C56" s="58">
        <f t="shared" si="20"/>
        <v>-218</v>
      </c>
      <c r="D56" s="7">
        <f t="shared" si="21"/>
        <v>-21.520236920039487</v>
      </c>
      <c r="E56" s="58">
        <f t="shared" si="22"/>
        <v>-289</v>
      </c>
      <c r="F56" s="7">
        <f t="shared" si="23"/>
        <v>-26.660516605166052</v>
      </c>
      <c r="G56" s="58">
        <f t="shared" si="24"/>
        <v>-132</v>
      </c>
      <c r="H56" s="7">
        <f t="shared" si="25"/>
        <v>-14.193548387096774</v>
      </c>
      <c r="I56" s="58">
        <f t="shared" si="26"/>
        <v>-115</v>
      </c>
      <c r="J56" s="7">
        <f t="shared" si="27"/>
        <v>-12.595837897042717</v>
      </c>
    </row>
    <row r="57" spans="2:10" x14ac:dyDescent="0.25">
      <c r="B57" s="208" t="s">
        <v>39</v>
      </c>
      <c r="C57" s="58">
        <f t="shared" si="20"/>
        <v>-159</v>
      </c>
      <c r="D57" s="7">
        <f t="shared" si="21"/>
        <v>-13.440405748098057</v>
      </c>
      <c r="E57" s="58">
        <f t="shared" si="22"/>
        <v>-166</v>
      </c>
      <c r="F57" s="7">
        <f t="shared" si="23"/>
        <v>-13.949579831932773</v>
      </c>
      <c r="G57" s="58">
        <f t="shared" si="24"/>
        <v>-74</v>
      </c>
      <c r="H57" s="7">
        <f t="shared" si="25"/>
        <v>-8.342728297632469</v>
      </c>
      <c r="I57" s="58">
        <f t="shared" si="26"/>
        <v>-59</v>
      </c>
      <c r="J57" s="7">
        <f t="shared" si="27"/>
        <v>-6.7660550458715596</v>
      </c>
    </row>
    <row r="58" spans="2:10" x14ac:dyDescent="0.25">
      <c r="B58" s="209" t="s">
        <v>40</v>
      </c>
      <c r="C58" s="58">
        <f t="shared" si="20"/>
        <v>-176</v>
      </c>
      <c r="D58" s="7">
        <f t="shared" si="21"/>
        <v>-14.569536423841059</v>
      </c>
      <c r="E58" s="58">
        <f t="shared" si="22"/>
        <v>-145</v>
      </c>
      <c r="F58" s="7">
        <f t="shared" si="23"/>
        <v>-12.31945624468989</v>
      </c>
      <c r="G58" s="58">
        <f t="shared" si="24"/>
        <v>-48</v>
      </c>
      <c r="H58" s="7">
        <f t="shared" si="25"/>
        <v>-5.5813953488372094</v>
      </c>
      <c r="I58" s="58">
        <f t="shared" si="26"/>
        <v>4</v>
      </c>
      <c r="J58" s="7">
        <f t="shared" si="27"/>
        <v>0.49504950495049505</v>
      </c>
    </row>
    <row r="59" spans="2:10" x14ac:dyDescent="0.25">
      <c r="B59" s="209" t="s">
        <v>41</v>
      </c>
      <c r="C59" s="58">
        <f t="shared" si="20"/>
        <v>-150</v>
      </c>
      <c r="D59" s="7">
        <f t="shared" si="21"/>
        <v>-12.315270935960591</v>
      </c>
      <c r="E59" s="58">
        <f t="shared" si="22"/>
        <v>-183</v>
      </c>
      <c r="F59" s="7">
        <f t="shared" si="23"/>
        <v>-14.628297362110311</v>
      </c>
      <c r="G59" s="58">
        <f t="shared" si="24"/>
        <v>-76</v>
      </c>
      <c r="H59" s="7">
        <f t="shared" si="25"/>
        <v>-8.9728453364817007</v>
      </c>
      <c r="I59" s="58">
        <f t="shared" si="26"/>
        <v>-57</v>
      </c>
      <c r="J59" s="7">
        <f t="shared" si="27"/>
        <v>-6.8840579710144931</v>
      </c>
    </row>
    <row r="60" spans="2:10" x14ac:dyDescent="0.25">
      <c r="B60" s="209" t="s">
        <v>42</v>
      </c>
      <c r="C60" s="58">
        <f t="shared" si="20"/>
        <v>-121</v>
      </c>
      <c r="D60" s="7">
        <f t="shared" si="21"/>
        <v>-10.765124555160142</v>
      </c>
      <c r="E60" s="58">
        <f t="shared" si="22"/>
        <v>-194</v>
      </c>
      <c r="F60" s="7">
        <f t="shared" si="23"/>
        <v>-16.207184628237261</v>
      </c>
      <c r="G60" s="58">
        <f t="shared" si="24"/>
        <v>-25</v>
      </c>
      <c r="H60" s="7">
        <f t="shared" si="25"/>
        <v>-3.4246575342465753</v>
      </c>
      <c r="I60" s="58">
        <f t="shared" si="26"/>
        <v>19</v>
      </c>
      <c r="J60" s="7">
        <f t="shared" si="27"/>
        <v>2.7696793002915454</v>
      </c>
    </row>
    <row r="61" spans="2:10" x14ac:dyDescent="0.25">
      <c r="B61" s="209" t="s">
        <v>43</v>
      </c>
      <c r="C61" s="58">
        <f t="shared" si="20"/>
        <v>-290</v>
      </c>
      <c r="D61" s="7">
        <f t="shared" si="21"/>
        <v>-13.679245283018869</v>
      </c>
      <c r="E61" s="58">
        <f t="shared" si="22"/>
        <v>-207</v>
      </c>
      <c r="F61" s="7">
        <f t="shared" si="23"/>
        <v>-10.1620029455081</v>
      </c>
      <c r="G61" s="58">
        <f t="shared" si="24"/>
        <v>-41</v>
      </c>
      <c r="H61" s="7">
        <f t="shared" si="25"/>
        <v>-2.835408022130014</v>
      </c>
      <c r="I61" s="58">
        <f t="shared" si="26"/>
        <v>46</v>
      </c>
      <c r="J61" s="7">
        <f t="shared" si="27"/>
        <v>3.384841795437822</v>
      </c>
    </row>
    <row r="62" spans="2:10" x14ac:dyDescent="0.25">
      <c r="B62" s="209" t="s">
        <v>44</v>
      </c>
      <c r="C62" s="58">
        <f t="shared" si="20"/>
        <v>-143</v>
      </c>
      <c r="D62" s="7">
        <f t="shared" si="21"/>
        <v>-18.286445012787723</v>
      </c>
      <c r="E62" s="58">
        <f t="shared" si="22"/>
        <v>-288</v>
      </c>
      <c r="F62" s="7">
        <f t="shared" si="23"/>
        <v>-31.067961165048544</v>
      </c>
      <c r="G62" s="58">
        <f t="shared" si="24"/>
        <v>-64</v>
      </c>
      <c r="H62" s="7">
        <f t="shared" si="25"/>
        <v>-8.8033012379642361</v>
      </c>
      <c r="I62" s="58">
        <f t="shared" si="26"/>
        <v>-39</v>
      </c>
      <c r="J62" s="7">
        <f t="shared" si="27"/>
        <v>-5.5555555555555554</v>
      </c>
    </row>
    <row r="63" spans="2:10" x14ac:dyDescent="0.25">
      <c r="B63" s="209" t="s">
        <v>45</v>
      </c>
      <c r="C63" s="58">
        <f t="shared" si="20"/>
        <v>-152</v>
      </c>
      <c r="D63" s="7">
        <f t="shared" si="21"/>
        <v>-19.167717528373267</v>
      </c>
      <c r="E63" s="58">
        <f t="shared" si="22"/>
        <v>-175</v>
      </c>
      <c r="F63" s="7">
        <f t="shared" si="23"/>
        <v>-21.446078431372548</v>
      </c>
      <c r="G63" s="58">
        <f t="shared" si="24"/>
        <v>-51</v>
      </c>
      <c r="H63" s="7">
        <f t="shared" si="25"/>
        <v>-7.296137339055794</v>
      </c>
      <c r="I63" s="58">
        <f t="shared" si="26"/>
        <v>0</v>
      </c>
      <c r="J63" s="7">
        <f t="shared" si="27"/>
        <v>0</v>
      </c>
    </row>
    <row r="64" spans="2:10" x14ac:dyDescent="0.25">
      <c r="B64" s="209" t="s">
        <v>46</v>
      </c>
      <c r="C64" s="58">
        <f t="shared" si="20"/>
        <v>-117</v>
      </c>
      <c r="D64" s="7">
        <f t="shared" si="21"/>
        <v>-10.455764075067025</v>
      </c>
      <c r="E64" s="58">
        <f t="shared" si="22"/>
        <v>-116</v>
      </c>
      <c r="F64" s="7">
        <f t="shared" si="23"/>
        <v>-10.375670840787119</v>
      </c>
      <c r="G64" s="58">
        <f t="shared" si="24"/>
        <v>-59</v>
      </c>
      <c r="H64" s="7">
        <f t="shared" si="25"/>
        <v>-6.7583046964490263</v>
      </c>
      <c r="I64" s="58">
        <f t="shared" si="26"/>
        <v>-35</v>
      </c>
      <c r="J64" s="7">
        <f t="shared" si="27"/>
        <v>-4.1224970553592462</v>
      </c>
    </row>
    <row r="65" spans="2:10" x14ac:dyDescent="0.25">
      <c r="B65" s="209" t="s">
        <v>47</v>
      </c>
      <c r="C65" s="58">
        <f t="shared" si="20"/>
        <v>-51</v>
      </c>
      <c r="D65" s="7">
        <f t="shared" si="21"/>
        <v>-10.759493670886076</v>
      </c>
      <c r="E65" s="58">
        <f t="shared" si="22"/>
        <v>-118</v>
      </c>
      <c r="F65" s="7">
        <f t="shared" si="23"/>
        <v>-21.811460258780038</v>
      </c>
      <c r="G65" s="58">
        <f t="shared" si="24"/>
        <v>9</v>
      </c>
      <c r="H65" s="7">
        <f t="shared" si="25"/>
        <v>2.1276595744680851</v>
      </c>
      <c r="I65" s="58">
        <f t="shared" si="26"/>
        <v>5</v>
      </c>
      <c r="J65" s="7">
        <f t="shared" si="27"/>
        <v>1.1709601873536299</v>
      </c>
    </row>
    <row r="66" spans="2:10" x14ac:dyDescent="0.25">
      <c r="B66" s="209" t="s">
        <v>48</v>
      </c>
      <c r="C66" s="58">
        <f t="shared" si="20"/>
        <v>-33</v>
      </c>
      <c r="D66" s="7">
        <f t="shared" si="21"/>
        <v>-18.96551724137931</v>
      </c>
      <c r="E66" s="58">
        <f t="shared" si="22"/>
        <v>-69</v>
      </c>
      <c r="F66" s="7">
        <f t="shared" si="23"/>
        <v>-32.857142857142854</v>
      </c>
      <c r="G66" s="58">
        <f t="shared" si="24"/>
        <v>-25</v>
      </c>
      <c r="H66" s="7">
        <f t="shared" si="25"/>
        <v>-9.5419847328244281</v>
      </c>
      <c r="I66" s="58">
        <f t="shared" si="26"/>
        <v>-8</v>
      </c>
      <c r="J66" s="7">
        <f t="shared" si="27"/>
        <v>-3.2653061224489797</v>
      </c>
    </row>
    <row r="67" spans="2:10" x14ac:dyDescent="0.25">
      <c r="B67" s="209" t="s">
        <v>49</v>
      </c>
      <c r="C67" s="58">
        <f t="shared" si="20"/>
        <v>-43</v>
      </c>
      <c r="D67" s="7">
        <f t="shared" si="21"/>
        <v>-7.3129251700680271</v>
      </c>
      <c r="E67" s="58">
        <f t="shared" si="22"/>
        <v>-85</v>
      </c>
      <c r="F67" s="7">
        <f t="shared" si="23"/>
        <v>-13.492063492063492</v>
      </c>
      <c r="G67" s="58">
        <f t="shared" si="24"/>
        <v>-23</v>
      </c>
      <c r="H67" s="7">
        <f t="shared" si="25"/>
        <v>-2.7479091995221028</v>
      </c>
      <c r="I67" s="58">
        <f t="shared" si="26"/>
        <v>-31</v>
      </c>
      <c r="J67" s="7">
        <f t="shared" si="27"/>
        <v>-3.668639053254438</v>
      </c>
    </row>
    <row r="68" spans="2:10" x14ac:dyDescent="0.25">
      <c r="B68" s="209" t="s">
        <v>50</v>
      </c>
      <c r="C68" s="58">
        <f t="shared" si="20"/>
        <v>-167</v>
      </c>
      <c r="D68" s="7">
        <f t="shared" si="21"/>
        <v>-10.14580801944107</v>
      </c>
      <c r="E68" s="58">
        <f t="shared" si="22"/>
        <v>-172</v>
      </c>
      <c r="F68" s="7">
        <f t="shared" si="23"/>
        <v>-10.417928528164749</v>
      </c>
      <c r="G68" s="58">
        <f t="shared" si="24"/>
        <v>-59</v>
      </c>
      <c r="H68" s="7">
        <f t="shared" si="25"/>
        <v>-3.1840259039395575</v>
      </c>
      <c r="I68" s="58">
        <f t="shared" si="26"/>
        <v>-2</v>
      </c>
      <c r="J68" s="7">
        <f t="shared" si="27"/>
        <v>-0.111358574610245</v>
      </c>
    </row>
    <row r="69" spans="2:10" ht="15.75" thickBot="1" x14ac:dyDescent="0.3">
      <c r="B69" s="210" t="s">
        <v>51</v>
      </c>
      <c r="C69" s="3">
        <f t="shared" si="20"/>
        <v>-1</v>
      </c>
      <c r="D69" s="8">
        <f t="shared" si="21"/>
        <v>-0.34965034965034963</v>
      </c>
      <c r="E69" s="3">
        <f t="shared" si="22"/>
        <v>-63</v>
      </c>
      <c r="F69" s="8">
        <f t="shared" si="23"/>
        <v>-18.103448275862068</v>
      </c>
      <c r="G69" s="3">
        <f t="shared" si="24"/>
        <v>22</v>
      </c>
      <c r="H69" s="8">
        <f t="shared" si="25"/>
        <v>5.5276381909547743</v>
      </c>
      <c r="I69" s="3">
        <f t="shared" si="26"/>
        <v>31</v>
      </c>
      <c r="J69" s="8">
        <f t="shared" si="27"/>
        <v>7.969151670951157</v>
      </c>
    </row>
  </sheetData>
  <mergeCells count="25">
    <mergeCell ref="B39:B43"/>
    <mergeCell ref="B35:H35"/>
    <mergeCell ref="I4:N4"/>
    <mergeCell ref="I5:K5"/>
    <mergeCell ref="L5:N5"/>
    <mergeCell ref="I6:I7"/>
    <mergeCell ref="J6:K6"/>
    <mergeCell ref="D6:E6"/>
    <mergeCell ref="F6:F7"/>
    <mergeCell ref="G6:H6"/>
    <mergeCell ref="B34:H34"/>
    <mergeCell ref="B3:B7"/>
    <mergeCell ref="C4:H4"/>
    <mergeCell ref="L6:L7"/>
    <mergeCell ref="M6:N6"/>
    <mergeCell ref="C5:E5"/>
    <mergeCell ref="F5:H5"/>
    <mergeCell ref="C6:C7"/>
    <mergeCell ref="O4:T4"/>
    <mergeCell ref="O5:Q5"/>
    <mergeCell ref="R5:T5"/>
    <mergeCell ref="O6:O7"/>
    <mergeCell ref="P6:Q6"/>
    <mergeCell ref="R6:R7"/>
    <mergeCell ref="S6:T6"/>
  </mergeCells>
  <printOptions horizontalCentered="1"/>
  <pageMargins left="0.31496062992125984" right="3.937007874015748E-2" top="0.6692913385826772" bottom="3.937007874015748E-2" header="3.937007874015748E-2" footer="0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N70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85546875" style="86" customWidth="1"/>
    <col min="2" max="2" width="30.28515625" style="86" customWidth="1"/>
    <col min="3" max="3" width="13.85546875" style="86" customWidth="1"/>
    <col min="4" max="4" width="14.28515625" style="86" customWidth="1"/>
    <col min="5" max="5" width="14.7109375" style="86" customWidth="1"/>
    <col min="6" max="6" width="14" style="86" customWidth="1"/>
    <col min="7" max="7" width="12" style="86" customWidth="1"/>
    <col min="8" max="8" width="10.42578125" style="86" customWidth="1"/>
    <col min="9" max="9" width="9.140625" style="86" customWidth="1"/>
    <col min="10" max="10" width="10.7109375" style="86" customWidth="1"/>
    <col min="11" max="11" width="8.85546875" style="86" customWidth="1"/>
    <col min="12" max="12" width="13" style="86" customWidth="1"/>
    <col min="13" max="13" width="14.140625" style="86" customWidth="1"/>
    <col min="14" max="14" width="13.28515625" style="86" customWidth="1"/>
    <col min="15" max="15" width="14.28515625" style="86" customWidth="1"/>
    <col min="16" max="16384" width="9.140625" style="86"/>
  </cols>
  <sheetData>
    <row r="1" spans="2:14" x14ac:dyDescent="0.25">
      <c r="B1" s="11" t="s">
        <v>505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4" ht="16.5" customHeight="1" x14ac:dyDescent="0.25">
      <c r="B2" s="11" t="s">
        <v>302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56"/>
      <c r="N2" s="389"/>
    </row>
    <row r="3" spans="2:14" ht="15.75" customHeight="1" thickBot="1" x14ac:dyDescent="0.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4" x14ac:dyDescent="0.25">
      <c r="B4" s="849" t="s">
        <v>123</v>
      </c>
      <c r="C4" s="819" t="s">
        <v>439</v>
      </c>
      <c r="D4" s="846"/>
      <c r="E4" s="822"/>
      <c r="F4" s="819" t="s">
        <v>460</v>
      </c>
      <c r="G4" s="846"/>
      <c r="H4" s="822"/>
      <c r="I4" s="819" t="s">
        <v>461</v>
      </c>
      <c r="J4" s="846"/>
      <c r="K4" s="820"/>
    </row>
    <row r="5" spans="2:14" ht="19.5" customHeight="1" x14ac:dyDescent="0.25">
      <c r="B5" s="899"/>
      <c r="C5" s="921" t="s">
        <v>177</v>
      </c>
      <c r="D5" s="925"/>
      <c r="E5" s="855"/>
      <c r="F5" s="921" t="s">
        <v>177</v>
      </c>
      <c r="G5" s="925"/>
      <c r="H5" s="855"/>
      <c r="I5" s="921" t="s">
        <v>177</v>
      </c>
      <c r="J5" s="925"/>
      <c r="K5" s="811"/>
    </row>
    <row r="6" spans="2:14" ht="17.25" customHeight="1" x14ac:dyDescent="0.25">
      <c r="B6" s="899"/>
      <c r="C6" s="913" t="s">
        <v>4</v>
      </c>
      <c r="D6" s="911" t="s">
        <v>109</v>
      </c>
      <c r="E6" s="914"/>
      <c r="F6" s="913" t="s">
        <v>4</v>
      </c>
      <c r="G6" s="911" t="s">
        <v>109</v>
      </c>
      <c r="H6" s="914"/>
      <c r="I6" s="913" t="s">
        <v>4</v>
      </c>
      <c r="J6" s="911" t="s">
        <v>109</v>
      </c>
      <c r="K6" s="912"/>
    </row>
    <row r="7" spans="2:14" ht="23.25" customHeight="1" thickBot="1" x14ac:dyDescent="0.3">
      <c r="B7" s="862"/>
      <c r="C7" s="903"/>
      <c r="D7" s="649" t="s">
        <v>127</v>
      </c>
      <c r="E7" s="652" t="s">
        <v>128</v>
      </c>
      <c r="F7" s="903"/>
      <c r="G7" s="649" t="s">
        <v>127</v>
      </c>
      <c r="H7" s="652" t="s">
        <v>128</v>
      </c>
      <c r="I7" s="903"/>
      <c r="J7" s="649" t="s">
        <v>127</v>
      </c>
      <c r="K7" s="650" t="s">
        <v>128</v>
      </c>
    </row>
    <row r="8" spans="2:14" ht="27" customHeight="1" thickBot="1" x14ac:dyDescent="0.3">
      <c r="B8" s="313" t="s">
        <v>26</v>
      </c>
      <c r="C8" s="314">
        <f>SUM(C9:C33)</f>
        <v>45019</v>
      </c>
      <c r="D8" s="315">
        <f>SUM(D9:D33)</f>
        <v>26104</v>
      </c>
      <c r="E8" s="317">
        <f>D8*100/C8</f>
        <v>57.984406583886802</v>
      </c>
      <c r="F8" s="314">
        <f>SUM(F9:F33)</f>
        <v>48352</v>
      </c>
      <c r="G8" s="315">
        <f>SUM(G9:G33)</f>
        <v>27389</v>
      </c>
      <c r="H8" s="317">
        <f>G8*100/F8</f>
        <v>56.645019854401056</v>
      </c>
      <c r="I8" s="314">
        <f>SUM(I9:I33)</f>
        <v>48433</v>
      </c>
      <c r="J8" s="315">
        <f>SUM(J9:J33)</f>
        <v>27427</v>
      </c>
      <c r="K8" s="316">
        <f>J8*100/I8</f>
        <v>56.628744864038978</v>
      </c>
    </row>
    <row r="9" spans="2:14" ht="15.75" thickTop="1" x14ac:dyDescent="0.25">
      <c r="B9" s="207" t="s">
        <v>27</v>
      </c>
      <c r="C9" s="211">
        <v>710</v>
      </c>
      <c r="D9" s="212">
        <v>410</v>
      </c>
      <c r="E9" s="318">
        <f t="shared" ref="E9:E32" si="0">D9*100/C9</f>
        <v>57.74647887323944</v>
      </c>
      <c r="F9" s="211">
        <v>786</v>
      </c>
      <c r="G9" s="212">
        <v>437</v>
      </c>
      <c r="H9" s="318">
        <f t="shared" ref="H9:H32" si="1">G9*100/F9</f>
        <v>55.597964376590333</v>
      </c>
      <c r="I9" s="211">
        <v>771</v>
      </c>
      <c r="J9" s="212">
        <v>430</v>
      </c>
      <c r="K9" s="62">
        <f t="shared" ref="K9:K33" si="2">J9*100/I9</f>
        <v>55.771725032425422</v>
      </c>
    </row>
    <row r="10" spans="2:14" x14ac:dyDescent="0.25">
      <c r="B10" s="208" t="s">
        <v>28</v>
      </c>
      <c r="C10" s="58">
        <v>2647</v>
      </c>
      <c r="D10" s="9">
        <v>1605</v>
      </c>
      <c r="E10" s="318">
        <f t="shared" si="0"/>
        <v>60.634680770683794</v>
      </c>
      <c r="F10" s="58">
        <v>2792</v>
      </c>
      <c r="G10" s="9">
        <v>1621</v>
      </c>
      <c r="H10" s="318">
        <f t="shared" si="1"/>
        <v>58.058739255014324</v>
      </c>
      <c r="I10" s="58">
        <v>2703</v>
      </c>
      <c r="J10" s="9">
        <v>1601</v>
      </c>
      <c r="K10" s="62">
        <f t="shared" si="2"/>
        <v>59.230484646688865</v>
      </c>
    </row>
    <row r="11" spans="2:14" x14ac:dyDescent="0.25">
      <c r="B11" s="208" t="s">
        <v>29</v>
      </c>
      <c r="C11" s="58">
        <v>1327</v>
      </c>
      <c r="D11" s="9">
        <v>948</v>
      </c>
      <c r="E11" s="318">
        <f t="shared" si="0"/>
        <v>71.439336850037677</v>
      </c>
      <c r="F11" s="58">
        <v>1532</v>
      </c>
      <c r="G11" s="9">
        <v>1049</v>
      </c>
      <c r="H11" s="318">
        <f t="shared" si="1"/>
        <v>68.472584856396864</v>
      </c>
      <c r="I11" s="58">
        <v>1515</v>
      </c>
      <c r="J11" s="9">
        <v>1036</v>
      </c>
      <c r="K11" s="62">
        <f t="shared" si="2"/>
        <v>68.382838283828377</v>
      </c>
    </row>
    <row r="12" spans="2:14" x14ac:dyDescent="0.25">
      <c r="B12" s="208" t="s">
        <v>30</v>
      </c>
      <c r="C12" s="58">
        <v>3464</v>
      </c>
      <c r="D12" s="9">
        <v>1972</v>
      </c>
      <c r="E12" s="318">
        <f t="shared" si="0"/>
        <v>56.928406466512705</v>
      </c>
      <c r="F12" s="58">
        <v>3624</v>
      </c>
      <c r="G12" s="9">
        <v>2014</v>
      </c>
      <c r="H12" s="318">
        <f t="shared" si="1"/>
        <v>55.573951434878587</v>
      </c>
      <c r="I12" s="58">
        <v>3598</v>
      </c>
      <c r="J12" s="9">
        <v>1997</v>
      </c>
      <c r="K12" s="62">
        <f t="shared" si="2"/>
        <v>55.503057254030018</v>
      </c>
    </row>
    <row r="13" spans="2:14" x14ac:dyDescent="0.25">
      <c r="B13" s="208" t="s">
        <v>31</v>
      </c>
      <c r="C13" s="58">
        <v>3176</v>
      </c>
      <c r="D13" s="9">
        <v>2068</v>
      </c>
      <c r="E13" s="318">
        <f t="shared" si="0"/>
        <v>65.113350125944578</v>
      </c>
      <c r="F13" s="58">
        <v>3494</v>
      </c>
      <c r="G13" s="9">
        <v>2231</v>
      </c>
      <c r="H13" s="318">
        <f t="shared" si="1"/>
        <v>63.852318259874068</v>
      </c>
      <c r="I13" s="58">
        <v>3687</v>
      </c>
      <c r="J13" s="9">
        <v>2331</v>
      </c>
      <c r="K13" s="62">
        <f t="shared" si="2"/>
        <v>63.222131814483319</v>
      </c>
    </row>
    <row r="14" spans="2:14" x14ac:dyDescent="0.25">
      <c r="B14" s="208" t="s">
        <v>32</v>
      </c>
      <c r="C14" s="58">
        <v>967</v>
      </c>
      <c r="D14" s="9">
        <v>577</v>
      </c>
      <c r="E14" s="318">
        <f t="shared" si="0"/>
        <v>59.669079627714581</v>
      </c>
      <c r="F14" s="58">
        <v>994</v>
      </c>
      <c r="G14" s="9">
        <v>577</v>
      </c>
      <c r="H14" s="318">
        <f t="shared" si="1"/>
        <v>58.048289738430583</v>
      </c>
      <c r="I14" s="58">
        <v>965</v>
      </c>
      <c r="J14" s="9">
        <v>562</v>
      </c>
      <c r="K14" s="62">
        <f t="shared" si="2"/>
        <v>58.238341968911918</v>
      </c>
    </row>
    <row r="15" spans="2:14" x14ac:dyDescent="0.25">
      <c r="B15" s="208" t="s">
        <v>33</v>
      </c>
      <c r="C15" s="58">
        <v>848</v>
      </c>
      <c r="D15" s="9">
        <v>498</v>
      </c>
      <c r="E15" s="318">
        <f t="shared" si="0"/>
        <v>58.726415094339622</v>
      </c>
      <c r="F15" s="58">
        <v>938</v>
      </c>
      <c r="G15" s="9">
        <v>551</v>
      </c>
      <c r="H15" s="318">
        <f t="shared" si="1"/>
        <v>58.742004264392321</v>
      </c>
      <c r="I15" s="58">
        <v>1026</v>
      </c>
      <c r="J15" s="9">
        <v>610</v>
      </c>
      <c r="K15" s="62">
        <f t="shared" si="2"/>
        <v>59.4541910331384</v>
      </c>
    </row>
    <row r="16" spans="2:14" x14ac:dyDescent="0.25">
      <c r="B16" s="208" t="s">
        <v>34</v>
      </c>
      <c r="C16" s="58">
        <v>1115</v>
      </c>
      <c r="D16" s="9">
        <v>542</v>
      </c>
      <c r="E16" s="318">
        <f t="shared" si="0"/>
        <v>48.609865470852021</v>
      </c>
      <c r="F16" s="58">
        <v>1188</v>
      </c>
      <c r="G16" s="9">
        <v>575</v>
      </c>
      <c r="H16" s="318">
        <f t="shared" si="1"/>
        <v>48.400673400673398</v>
      </c>
      <c r="I16" s="58">
        <v>1046</v>
      </c>
      <c r="J16" s="9">
        <v>503</v>
      </c>
      <c r="K16" s="62">
        <f t="shared" si="2"/>
        <v>48.087954110898664</v>
      </c>
    </row>
    <row r="17" spans="2:11" x14ac:dyDescent="0.25">
      <c r="B17" s="208" t="s">
        <v>35</v>
      </c>
      <c r="C17" s="58">
        <v>2081</v>
      </c>
      <c r="D17" s="9">
        <v>1200</v>
      </c>
      <c r="E17" s="318">
        <f t="shared" si="0"/>
        <v>57.664584334454588</v>
      </c>
      <c r="F17" s="58">
        <v>2275</v>
      </c>
      <c r="G17" s="9">
        <v>1293</v>
      </c>
      <c r="H17" s="318">
        <f t="shared" si="1"/>
        <v>56.835164835164832</v>
      </c>
      <c r="I17" s="58">
        <v>2242</v>
      </c>
      <c r="J17" s="9">
        <v>1277</v>
      </c>
      <c r="K17" s="62">
        <f>J17*100/I17</f>
        <v>56.95807314897413</v>
      </c>
    </row>
    <row r="18" spans="2:11" x14ac:dyDescent="0.25">
      <c r="B18" s="208" t="s">
        <v>36</v>
      </c>
      <c r="C18" s="58">
        <v>936</v>
      </c>
      <c r="D18" s="9">
        <v>468</v>
      </c>
      <c r="E18" s="318">
        <f t="shared" si="0"/>
        <v>50</v>
      </c>
      <c r="F18" s="58">
        <v>1129</v>
      </c>
      <c r="G18" s="9">
        <v>545</v>
      </c>
      <c r="H18" s="318">
        <f t="shared" si="1"/>
        <v>48.272807794508417</v>
      </c>
      <c r="I18" s="58">
        <v>1077</v>
      </c>
      <c r="J18" s="9">
        <v>532</v>
      </c>
      <c r="K18" s="62">
        <f t="shared" si="2"/>
        <v>49.396471680594246</v>
      </c>
    </row>
    <row r="19" spans="2:11" x14ac:dyDescent="0.25">
      <c r="B19" s="208" t="s">
        <v>37</v>
      </c>
      <c r="C19" s="58">
        <v>1709</v>
      </c>
      <c r="D19" s="9">
        <v>931</v>
      </c>
      <c r="E19" s="318">
        <f t="shared" si="0"/>
        <v>54.476301930953774</v>
      </c>
      <c r="F19" s="58">
        <v>1967</v>
      </c>
      <c r="G19" s="9">
        <v>1030</v>
      </c>
      <c r="H19" s="318">
        <f t="shared" si="1"/>
        <v>52.364006100660902</v>
      </c>
      <c r="I19" s="58">
        <v>2023</v>
      </c>
      <c r="J19" s="9">
        <v>1078</v>
      </c>
      <c r="K19" s="62">
        <f t="shared" si="2"/>
        <v>53.287197231833908</v>
      </c>
    </row>
    <row r="20" spans="2:11" x14ac:dyDescent="0.25">
      <c r="B20" s="208" t="s">
        <v>38</v>
      </c>
      <c r="C20" s="58">
        <v>1361</v>
      </c>
      <c r="D20" s="9">
        <v>794</v>
      </c>
      <c r="E20" s="318">
        <f t="shared" si="0"/>
        <v>58.339456282145484</v>
      </c>
      <c r="F20" s="58">
        <v>1493</v>
      </c>
      <c r="G20" s="9">
        <v>833</v>
      </c>
      <c r="H20" s="318">
        <f t="shared" si="1"/>
        <v>55.793703951774951</v>
      </c>
      <c r="I20" s="58">
        <v>1516</v>
      </c>
      <c r="J20" s="9">
        <v>837</v>
      </c>
      <c r="K20" s="62">
        <f t="shared" si="2"/>
        <v>55.211081794195252</v>
      </c>
    </row>
    <row r="21" spans="2:11" x14ac:dyDescent="0.25">
      <c r="B21" s="208" t="s">
        <v>39</v>
      </c>
      <c r="C21" s="58">
        <v>2182</v>
      </c>
      <c r="D21" s="9">
        <v>1288</v>
      </c>
      <c r="E21" s="318">
        <f t="shared" si="0"/>
        <v>59.028414298808435</v>
      </c>
      <c r="F21" s="58">
        <v>2249</v>
      </c>
      <c r="G21" s="9">
        <v>1275</v>
      </c>
      <c r="H21" s="318">
        <f t="shared" si="1"/>
        <v>56.691863050244557</v>
      </c>
      <c r="I21" s="58">
        <v>2174</v>
      </c>
      <c r="J21" s="9">
        <v>1216</v>
      </c>
      <c r="K21" s="62">
        <f t="shared" si="2"/>
        <v>55.933762649494021</v>
      </c>
    </row>
    <row r="22" spans="2:11" x14ac:dyDescent="0.25">
      <c r="B22" s="209" t="s">
        <v>40</v>
      </c>
      <c r="C22" s="121">
        <v>2123</v>
      </c>
      <c r="D22" s="122">
        <v>1217</v>
      </c>
      <c r="E22" s="318">
        <f t="shared" si="0"/>
        <v>57.324540744229864</v>
      </c>
      <c r="F22" s="121">
        <v>2291</v>
      </c>
      <c r="G22" s="122">
        <v>1303</v>
      </c>
      <c r="H22" s="318">
        <f t="shared" si="1"/>
        <v>56.874727193365345</v>
      </c>
      <c r="I22" s="121">
        <v>2218</v>
      </c>
      <c r="J22" s="122">
        <v>1261</v>
      </c>
      <c r="K22" s="62">
        <f t="shared" si="2"/>
        <v>56.853020739404869</v>
      </c>
    </row>
    <row r="23" spans="2:11" x14ac:dyDescent="0.25">
      <c r="B23" s="209" t="s">
        <v>41</v>
      </c>
      <c r="C23" s="121">
        <v>2376</v>
      </c>
      <c r="D23" s="122">
        <v>1482</v>
      </c>
      <c r="E23" s="318">
        <f t="shared" si="0"/>
        <v>62.373737373737377</v>
      </c>
      <c r="F23" s="121">
        <v>2536</v>
      </c>
      <c r="G23" s="122">
        <v>1574</v>
      </c>
      <c r="H23" s="318">
        <f t="shared" si="1"/>
        <v>62.066246056782333</v>
      </c>
      <c r="I23" s="121">
        <v>2444</v>
      </c>
      <c r="J23" s="122">
        <v>1508</v>
      </c>
      <c r="K23" s="62">
        <f t="shared" si="2"/>
        <v>61.702127659574465</v>
      </c>
    </row>
    <row r="24" spans="2:11" x14ac:dyDescent="0.25">
      <c r="B24" s="209" t="s">
        <v>42</v>
      </c>
      <c r="C24" s="121">
        <v>1745</v>
      </c>
      <c r="D24" s="122">
        <v>1062</v>
      </c>
      <c r="E24" s="318">
        <f t="shared" si="0"/>
        <v>60.859598853868192</v>
      </c>
      <c r="F24" s="121">
        <v>1881</v>
      </c>
      <c r="G24" s="122">
        <v>1078</v>
      </c>
      <c r="H24" s="318">
        <f t="shared" si="1"/>
        <v>57.309941520467838</v>
      </c>
      <c r="I24" s="121">
        <v>1975</v>
      </c>
      <c r="J24" s="122">
        <v>1141</v>
      </c>
      <c r="K24" s="62">
        <f t="shared" si="2"/>
        <v>57.77215189873418</v>
      </c>
    </row>
    <row r="25" spans="2:11" x14ac:dyDescent="0.25">
      <c r="B25" s="209" t="s">
        <v>43</v>
      </c>
      <c r="C25" s="121">
        <v>3557</v>
      </c>
      <c r="D25" s="122">
        <v>1906</v>
      </c>
      <c r="E25" s="318">
        <f t="shared" si="0"/>
        <v>53.58448130447006</v>
      </c>
      <c r="F25" s="121">
        <v>3850</v>
      </c>
      <c r="G25" s="122">
        <v>2038</v>
      </c>
      <c r="H25" s="318">
        <f t="shared" si="1"/>
        <v>52.935064935064936</v>
      </c>
      <c r="I25" s="121">
        <v>3919</v>
      </c>
      <c r="J25" s="122">
        <v>2068</v>
      </c>
      <c r="K25" s="62">
        <f t="shared" si="2"/>
        <v>52.768563409032915</v>
      </c>
    </row>
    <row r="26" spans="2:11" x14ac:dyDescent="0.25">
      <c r="B26" s="209" t="s">
        <v>44</v>
      </c>
      <c r="C26" s="121">
        <v>1524</v>
      </c>
      <c r="D26" s="122">
        <v>848</v>
      </c>
      <c r="E26" s="318">
        <f t="shared" si="0"/>
        <v>55.643044619422575</v>
      </c>
      <c r="F26" s="121">
        <v>1526</v>
      </c>
      <c r="G26" s="122">
        <v>847</v>
      </c>
      <c r="H26" s="318">
        <f t="shared" si="1"/>
        <v>55.5045871559633</v>
      </c>
      <c r="I26" s="121">
        <v>1493</v>
      </c>
      <c r="J26" s="122">
        <v>822</v>
      </c>
      <c r="K26" s="62">
        <f t="shared" si="2"/>
        <v>55.056932350971202</v>
      </c>
    </row>
    <row r="27" spans="2:11" x14ac:dyDescent="0.25">
      <c r="B27" s="209" t="s">
        <v>45</v>
      </c>
      <c r="C27" s="121">
        <v>993</v>
      </c>
      <c r="D27" s="122">
        <v>604</v>
      </c>
      <c r="E27" s="318">
        <f t="shared" si="0"/>
        <v>60.825780463242701</v>
      </c>
      <c r="F27" s="121">
        <v>1127</v>
      </c>
      <c r="G27" s="122">
        <v>666</v>
      </c>
      <c r="H27" s="318">
        <f t="shared" si="1"/>
        <v>59.094942324755991</v>
      </c>
      <c r="I27" s="121">
        <v>1119</v>
      </c>
      <c r="J27" s="122">
        <v>671</v>
      </c>
      <c r="K27" s="62">
        <f t="shared" si="2"/>
        <v>59.964253798033958</v>
      </c>
    </row>
    <row r="28" spans="2:11" x14ac:dyDescent="0.25">
      <c r="B28" s="209" t="s">
        <v>46</v>
      </c>
      <c r="C28" s="121">
        <v>2221</v>
      </c>
      <c r="D28" s="122">
        <v>1340</v>
      </c>
      <c r="E28" s="318">
        <f t="shared" si="0"/>
        <v>60.333183250787933</v>
      </c>
      <c r="F28" s="121">
        <v>2372</v>
      </c>
      <c r="G28" s="122">
        <v>1397</v>
      </c>
      <c r="H28" s="318">
        <f t="shared" si="1"/>
        <v>58.895446880269816</v>
      </c>
      <c r="I28" s="121">
        <v>2367</v>
      </c>
      <c r="J28" s="122">
        <v>1408</v>
      </c>
      <c r="K28" s="62">
        <f t="shared" si="2"/>
        <v>59.484579636670894</v>
      </c>
    </row>
    <row r="29" spans="2:11" x14ac:dyDescent="0.25">
      <c r="B29" s="209" t="s">
        <v>47</v>
      </c>
      <c r="C29" s="121">
        <v>801</v>
      </c>
      <c r="D29" s="122">
        <v>488</v>
      </c>
      <c r="E29" s="318">
        <f t="shared" si="0"/>
        <v>60.923845193508114</v>
      </c>
      <c r="F29" s="121">
        <v>834</v>
      </c>
      <c r="G29" s="122">
        <v>492</v>
      </c>
      <c r="H29" s="318">
        <f t="shared" si="1"/>
        <v>58.992805755395686</v>
      </c>
      <c r="I29" s="121">
        <v>880</v>
      </c>
      <c r="J29" s="122">
        <v>486</v>
      </c>
      <c r="K29" s="62">
        <f t="shared" si="2"/>
        <v>55.227272727272727</v>
      </c>
    </row>
    <row r="30" spans="2:11" x14ac:dyDescent="0.25">
      <c r="B30" s="209" t="s">
        <v>48</v>
      </c>
      <c r="C30" s="121">
        <v>338</v>
      </c>
      <c r="D30" s="122">
        <v>172</v>
      </c>
      <c r="E30" s="318">
        <f t="shared" si="0"/>
        <v>50.887573964497044</v>
      </c>
      <c r="F30" s="121">
        <v>373</v>
      </c>
      <c r="G30" s="122">
        <v>195</v>
      </c>
      <c r="H30" s="318">
        <f t="shared" si="1"/>
        <v>52.278820375335123</v>
      </c>
      <c r="I30" s="121">
        <v>385</v>
      </c>
      <c r="J30" s="122">
        <v>196</v>
      </c>
      <c r="K30" s="62">
        <f t="shared" si="2"/>
        <v>50.909090909090907</v>
      </c>
    </row>
    <row r="31" spans="2:11" x14ac:dyDescent="0.25">
      <c r="B31" s="209" t="s">
        <v>49</v>
      </c>
      <c r="C31" s="121">
        <v>1946</v>
      </c>
      <c r="D31" s="122">
        <v>1070</v>
      </c>
      <c r="E31" s="318">
        <f t="shared" si="0"/>
        <v>54.984583761562178</v>
      </c>
      <c r="F31" s="121">
        <v>1976</v>
      </c>
      <c r="G31" s="122">
        <v>1081</v>
      </c>
      <c r="H31" s="318">
        <f t="shared" si="1"/>
        <v>54.706477732793523</v>
      </c>
      <c r="I31" s="121">
        <v>2005</v>
      </c>
      <c r="J31" s="122">
        <v>1077</v>
      </c>
      <c r="K31" s="62">
        <f t="shared" si="2"/>
        <v>53.715710723192018</v>
      </c>
    </row>
    <row r="32" spans="2:11" x14ac:dyDescent="0.25">
      <c r="B32" s="209" t="s">
        <v>50</v>
      </c>
      <c r="C32" s="121">
        <v>4115</v>
      </c>
      <c r="D32" s="122">
        <v>2175</v>
      </c>
      <c r="E32" s="318">
        <f t="shared" si="0"/>
        <v>52.855407047387608</v>
      </c>
      <c r="F32" s="121">
        <v>4371</v>
      </c>
      <c r="G32" s="122">
        <v>2276</v>
      </c>
      <c r="H32" s="318">
        <f t="shared" si="1"/>
        <v>52.070464424616794</v>
      </c>
      <c r="I32" s="121">
        <v>4499</v>
      </c>
      <c r="J32" s="122">
        <v>2340</v>
      </c>
      <c r="K32" s="62">
        <f t="shared" si="2"/>
        <v>52.011558124027559</v>
      </c>
    </row>
    <row r="33" spans="2:13" ht="15.75" thickBot="1" x14ac:dyDescent="0.3">
      <c r="B33" s="210" t="s">
        <v>51</v>
      </c>
      <c r="C33" s="123">
        <v>757</v>
      </c>
      <c r="D33" s="125">
        <v>439</v>
      </c>
      <c r="E33" s="319">
        <f>D33*100/C33</f>
        <v>57.992073976221931</v>
      </c>
      <c r="F33" s="123">
        <v>754</v>
      </c>
      <c r="G33" s="125">
        <v>411</v>
      </c>
      <c r="H33" s="319">
        <f>G33*100/F33</f>
        <v>54.509283819628649</v>
      </c>
      <c r="I33" s="123">
        <v>786</v>
      </c>
      <c r="J33" s="125">
        <v>439</v>
      </c>
      <c r="K33" s="103">
        <f t="shared" si="2"/>
        <v>55.852417302798983</v>
      </c>
    </row>
    <row r="34" spans="2:13" x14ac:dyDescent="0.25">
      <c r="B34" s="405" t="s">
        <v>265</v>
      </c>
      <c r="C34" s="542"/>
      <c r="D34" s="542"/>
      <c r="E34" s="542"/>
      <c r="F34" s="11"/>
      <c r="G34" s="11"/>
      <c r="H34" s="11"/>
      <c r="I34" s="11"/>
      <c r="J34" s="11"/>
      <c r="K34" s="11"/>
      <c r="L34" s="11"/>
      <c r="M34" s="11"/>
    </row>
    <row r="35" spans="2:13" x14ac:dyDescent="0.25">
      <c r="B35" s="11" t="s">
        <v>267</v>
      </c>
      <c r="C35" s="11"/>
      <c r="D35" s="11"/>
      <c r="E35" s="11"/>
      <c r="F35" s="405"/>
      <c r="G35" s="405"/>
      <c r="H35" s="405"/>
      <c r="I35" s="279"/>
      <c r="J35" s="279"/>
      <c r="K35" s="279"/>
      <c r="L35" s="279"/>
      <c r="M35" s="279"/>
    </row>
    <row r="36" spans="2:13" x14ac:dyDescent="0.25">
      <c r="B36" s="11" t="s">
        <v>268</v>
      </c>
      <c r="C36" s="11"/>
      <c r="D36" s="11"/>
      <c r="E36" s="11"/>
      <c r="F36" s="11"/>
      <c r="G36" s="11"/>
      <c r="H36" s="11"/>
    </row>
    <row r="38" spans="2:13" x14ac:dyDescent="0.25">
      <c r="B38" s="11" t="s">
        <v>506</v>
      </c>
    </row>
    <row r="39" spans="2:13" x14ac:dyDescent="0.25">
      <c r="B39" s="11" t="s">
        <v>302</v>
      </c>
    </row>
    <row r="40" spans="2:13" ht="15.75" thickBot="1" x14ac:dyDescent="0.3"/>
    <row r="41" spans="2:13" x14ac:dyDescent="0.25">
      <c r="B41" s="849" t="s">
        <v>123</v>
      </c>
      <c r="C41" s="819" t="s">
        <v>450</v>
      </c>
      <c r="D41" s="922" t="s">
        <v>451</v>
      </c>
      <c r="E41" s="915" t="s">
        <v>452</v>
      </c>
      <c r="F41" s="918" t="s">
        <v>457</v>
      </c>
    </row>
    <row r="42" spans="2:13" x14ac:dyDescent="0.25">
      <c r="B42" s="899"/>
      <c r="C42" s="921"/>
      <c r="D42" s="923"/>
      <c r="E42" s="916"/>
      <c r="F42" s="919"/>
    </row>
    <row r="43" spans="2:13" x14ac:dyDescent="0.25">
      <c r="B43" s="899"/>
      <c r="C43" s="921"/>
      <c r="D43" s="923"/>
      <c r="E43" s="916"/>
      <c r="F43" s="919"/>
    </row>
    <row r="44" spans="2:13" ht="15.75" thickBot="1" x14ac:dyDescent="0.3">
      <c r="B44" s="862"/>
      <c r="C44" s="808"/>
      <c r="D44" s="924"/>
      <c r="E44" s="917"/>
      <c r="F44" s="920"/>
    </row>
    <row r="45" spans="2:13" ht="19.5" thickBot="1" x14ac:dyDescent="0.3">
      <c r="B45" s="313" t="s">
        <v>26</v>
      </c>
      <c r="C45" s="314">
        <f t="shared" ref="C45:C70" si="3">I8-F8</f>
        <v>81</v>
      </c>
      <c r="D45" s="316">
        <f t="shared" ref="D45:D70" si="4">C45*100/F8</f>
        <v>0.16752150893448048</v>
      </c>
      <c r="E45" s="314">
        <f t="shared" ref="E45:E70" si="5">I8-C8</f>
        <v>3414</v>
      </c>
      <c r="F45" s="316">
        <f t="shared" ref="F45:F70" si="6">E45*100/C8</f>
        <v>7.5834647593238413</v>
      </c>
    </row>
    <row r="46" spans="2:13" ht="15.75" thickTop="1" x14ac:dyDescent="0.25">
      <c r="B46" s="207" t="s">
        <v>27</v>
      </c>
      <c r="C46" s="211">
        <f t="shared" si="3"/>
        <v>-15</v>
      </c>
      <c r="D46" s="62">
        <f t="shared" si="4"/>
        <v>-1.9083969465648856</v>
      </c>
      <c r="E46" s="211">
        <f t="shared" si="5"/>
        <v>61</v>
      </c>
      <c r="F46" s="62">
        <f t="shared" si="6"/>
        <v>8.591549295774648</v>
      </c>
    </row>
    <row r="47" spans="2:13" x14ac:dyDescent="0.25">
      <c r="B47" s="208" t="s">
        <v>28</v>
      </c>
      <c r="C47" s="58">
        <f t="shared" si="3"/>
        <v>-89</v>
      </c>
      <c r="D47" s="7">
        <f t="shared" si="4"/>
        <v>-3.1876790830945558</v>
      </c>
      <c r="E47" s="58">
        <f t="shared" si="5"/>
        <v>56</v>
      </c>
      <c r="F47" s="7">
        <f t="shared" si="6"/>
        <v>2.1156025689459765</v>
      </c>
    </row>
    <row r="48" spans="2:13" x14ac:dyDescent="0.25">
      <c r="B48" s="208" t="s">
        <v>29</v>
      </c>
      <c r="C48" s="58">
        <f t="shared" si="3"/>
        <v>-17</v>
      </c>
      <c r="D48" s="7">
        <f t="shared" si="4"/>
        <v>-1.1096605744125327</v>
      </c>
      <c r="E48" s="58">
        <f t="shared" si="5"/>
        <v>188</v>
      </c>
      <c r="F48" s="7">
        <f t="shared" si="6"/>
        <v>14.167294649585532</v>
      </c>
    </row>
    <row r="49" spans="2:6" x14ac:dyDescent="0.25">
      <c r="B49" s="208" t="s">
        <v>30</v>
      </c>
      <c r="C49" s="58">
        <f t="shared" si="3"/>
        <v>-26</v>
      </c>
      <c r="D49" s="7">
        <f t="shared" si="4"/>
        <v>-0.717439293598234</v>
      </c>
      <c r="E49" s="58">
        <f t="shared" si="5"/>
        <v>134</v>
      </c>
      <c r="F49" s="7">
        <f t="shared" si="6"/>
        <v>3.8683602771362589</v>
      </c>
    </row>
    <row r="50" spans="2:6" x14ac:dyDescent="0.25">
      <c r="B50" s="208" t="s">
        <v>31</v>
      </c>
      <c r="C50" s="58">
        <f t="shared" si="3"/>
        <v>193</v>
      </c>
      <c r="D50" s="7">
        <f t="shared" si="4"/>
        <v>5.5237550085861473</v>
      </c>
      <c r="E50" s="58">
        <f t="shared" si="5"/>
        <v>511</v>
      </c>
      <c r="F50" s="7">
        <f t="shared" si="6"/>
        <v>16.089420654911837</v>
      </c>
    </row>
    <row r="51" spans="2:6" x14ac:dyDescent="0.25">
      <c r="B51" s="208" t="s">
        <v>32</v>
      </c>
      <c r="C51" s="58">
        <f t="shared" si="3"/>
        <v>-29</v>
      </c>
      <c r="D51" s="7">
        <f t="shared" si="4"/>
        <v>-2.9175050301810863</v>
      </c>
      <c r="E51" s="58">
        <f t="shared" si="5"/>
        <v>-2</v>
      </c>
      <c r="F51" s="7">
        <f t="shared" si="6"/>
        <v>-0.20682523267838676</v>
      </c>
    </row>
    <row r="52" spans="2:6" x14ac:dyDescent="0.25">
      <c r="B52" s="208" t="s">
        <v>33</v>
      </c>
      <c r="C52" s="58">
        <f t="shared" si="3"/>
        <v>88</v>
      </c>
      <c r="D52" s="7">
        <f t="shared" si="4"/>
        <v>9.3816631130063968</v>
      </c>
      <c r="E52" s="58">
        <f t="shared" si="5"/>
        <v>178</v>
      </c>
      <c r="F52" s="7">
        <f t="shared" si="6"/>
        <v>20.990566037735849</v>
      </c>
    </row>
    <row r="53" spans="2:6" x14ac:dyDescent="0.25">
      <c r="B53" s="208" t="s">
        <v>34</v>
      </c>
      <c r="C53" s="58">
        <f t="shared" si="3"/>
        <v>-142</v>
      </c>
      <c r="D53" s="7">
        <f t="shared" si="4"/>
        <v>-11.952861952861953</v>
      </c>
      <c r="E53" s="58">
        <f t="shared" si="5"/>
        <v>-69</v>
      </c>
      <c r="F53" s="7">
        <f t="shared" si="6"/>
        <v>-6.188340807174888</v>
      </c>
    </row>
    <row r="54" spans="2:6" x14ac:dyDescent="0.25">
      <c r="B54" s="208" t="s">
        <v>35</v>
      </c>
      <c r="C54" s="58">
        <f t="shared" si="3"/>
        <v>-33</v>
      </c>
      <c r="D54" s="7">
        <f t="shared" si="4"/>
        <v>-1.4505494505494505</v>
      </c>
      <c r="E54" s="58">
        <f t="shared" si="5"/>
        <v>161</v>
      </c>
      <c r="F54" s="7">
        <f t="shared" si="6"/>
        <v>7.7366650648726578</v>
      </c>
    </row>
    <row r="55" spans="2:6" x14ac:dyDescent="0.25">
      <c r="B55" s="208" t="s">
        <v>36</v>
      </c>
      <c r="C55" s="58">
        <f t="shared" si="3"/>
        <v>-52</v>
      </c>
      <c r="D55" s="7">
        <f t="shared" si="4"/>
        <v>-4.6058458813108949</v>
      </c>
      <c r="E55" s="58">
        <f t="shared" si="5"/>
        <v>141</v>
      </c>
      <c r="F55" s="7">
        <f t="shared" si="6"/>
        <v>15.064102564102564</v>
      </c>
    </row>
    <row r="56" spans="2:6" x14ac:dyDescent="0.25">
      <c r="B56" s="208" t="s">
        <v>37</v>
      </c>
      <c r="C56" s="58">
        <f t="shared" si="3"/>
        <v>56</v>
      </c>
      <c r="D56" s="7">
        <f t="shared" si="4"/>
        <v>2.8469750889679717</v>
      </c>
      <c r="E56" s="58">
        <f t="shared" si="5"/>
        <v>314</v>
      </c>
      <c r="F56" s="7">
        <f t="shared" si="6"/>
        <v>18.373317729666471</v>
      </c>
    </row>
    <row r="57" spans="2:6" x14ac:dyDescent="0.25">
      <c r="B57" s="208" t="s">
        <v>38</v>
      </c>
      <c r="C57" s="58">
        <f t="shared" si="3"/>
        <v>23</v>
      </c>
      <c r="D57" s="7">
        <f t="shared" si="4"/>
        <v>1.5405224380442062</v>
      </c>
      <c r="E57" s="58">
        <f t="shared" si="5"/>
        <v>155</v>
      </c>
      <c r="F57" s="7">
        <f t="shared" si="6"/>
        <v>11.38868479059515</v>
      </c>
    </row>
    <row r="58" spans="2:6" x14ac:dyDescent="0.25">
      <c r="B58" s="208" t="s">
        <v>39</v>
      </c>
      <c r="C58" s="58">
        <f t="shared" si="3"/>
        <v>-75</v>
      </c>
      <c r="D58" s="7">
        <f t="shared" si="4"/>
        <v>-3.3348154735437974</v>
      </c>
      <c r="E58" s="58">
        <f t="shared" si="5"/>
        <v>-8</v>
      </c>
      <c r="F58" s="7">
        <f t="shared" si="6"/>
        <v>-0.36663611365719523</v>
      </c>
    </row>
    <row r="59" spans="2:6" x14ac:dyDescent="0.25">
      <c r="B59" s="209" t="s">
        <v>40</v>
      </c>
      <c r="C59" s="58">
        <f t="shared" si="3"/>
        <v>-73</v>
      </c>
      <c r="D59" s="7">
        <f t="shared" si="4"/>
        <v>-3.1863814927979051</v>
      </c>
      <c r="E59" s="58">
        <f t="shared" si="5"/>
        <v>95</v>
      </c>
      <c r="F59" s="7">
        <f t="shared" si="6"/>
        <v>4.4747998115873759</v>
      </c>
    </row>
    <row r="60" spans="2:6" x14ac:dyDescent="0.25">
      <c r="B60" s="209" t="s">
        <v>41</v>
      </c>
      <c r="C60" s="58">
        <f t="shared" si="3"/>
        <v>-92</v>
      </c>
      <c r="D60" s="7">
        <f t="shared" si="4"/>
        <v>-3.6277602523659307</v>
      </c>
      <c r="E60" s="58">
        <f t="shared" si="5"/>
        <v>68</v>
      </c>
      <c r="F60" s="7">
        <f t="shared" si="6"/>
        <v>2.861952861952862</v>
      </c>
    </row>
    <row r="61" spans="2:6" x14ac:dyDescent="0.25">
      <c r="B61" s="209" t="s">
        <v>42</v>
      </c>
      <c r="C61" s="58">
        <f t="shared" si="3"/>
        <v>94</v>
      </c>
      <c r="D61" s="7">
        <f t="shared" si="4"/>
        <v>4.9973418394471025</v>
      </c>
      <c r="E61" s="58">
        <f t="shared" si="5"/>
        <v>230</v>
      </c>
      <c r="F61" s="7">
        <f t="shared" si="6"/>
        <v>13.180515759312321</v>
      </c>
    </row>
    <row r="62" spans="2:6" x14ac:dyDescent="0.25">
      <c r="B62" s="209" t="s">
        <v>43</v>
      </c>
      <c r="C62" s="58">
        <f t="shared" si="3"/>
        <v>69</v>
      </c>
      <c r="D62" s="7">
        <f t="shared" si="4"/>
        <v>1.7922077922077921</v>
      </c>
      <c r="E62" s="58">
        <f t="shared" si="5"/>
        <v>362</v>
      </c>
      <c r="F62" s="7">
        <f t="shared" si="6"/>
        <v>10.177115546809109</v>
      </c>
    </row>
    <row r="63" spans="2:6" x14ac:dyDescent="0.25">
      <c r="B63" s="209" t="s">
        <v>44</v>
      </c>
      <c r="C63" s="58">
        <f t="shared" si="3"/>
        <v>-33</v>
      </c>
      <c r="D63" s="7">
        <f t="shared" si="4"/>
        <v>-2.1625163826998688</v>
      </c>
      <c r="E63" s="58">
        <f t="shared" si="5"/>
        <v>-31</v>
      </c>
      <c r="F63" s="7">
        <f t="shared" si="6"/>
        <v>-2.0341207349081363</v>
      </c>
    </row>
    <row r="64" spans="2:6" x14ac:dyDescent="0.25">
      <c r="B64" s="209" t="s">
        <v>45</v>
      </c>
      <c r="C64" s="58">
        <f t="shared" si="3"/>
        <v>-8</v>
      </c>
      <c r="D64" s="7">
        <f t="shared" si="4"/>
        <v>-0.70984915705412599</v>
      </c>
      <c r="E64" s="58">
        <f t="shared" si="5"/>
        <v>126</v>
      </c>
      <c r="F64" s="7">
        <f t="shared" si="6"/>
        <v>12.688821752265861</v>
      </c>
    </row>
    <row r="65" spans="2:6" x14ac:dyDescent="0.25">
      <c r="B65" s="209" t="s">
        <v>46</v>
      </c>
      <c r="C65" s="58">
        <f t="shared" si="3"/>
        <v>-5</v>
      </c>
      <c r="D65" s="7">
        <f t="shared" si="4"/>
        <v>-0.21079258010118043</v>
      </c>
      <c r="E65" s="58">
        <f t="shared" si="5"/>
        <v>146</v>
      </c>
      <c r="F65" s="7">
        <f t="shared" si="6"/>
        <v>6.5736154885186853</v>
      </c>
    </row>
    <row r="66" spans="2:6" x14ac:dyDescent="0.25">
      <c r="B66" s="209" t="s">
        <v>47</v>
      </c>
      <c r="C66" s="58">
        <f t="shared" si="3"/>
        <v>46</v>
      </c>
      <c r="D66" s="7">
        <f t="shared" si="4"/>
        <v>5.5155875299760195</v>
      </c>
      <c r="E66" s="58">
        <f t="shared" si="5"/>
        <v>79</v>
      </c>
      <c r="F66" s="7">
        <f t="shared" si="6"/>
        <v>9.8626716604244695</v>
      </c>
    </row>
    <row r="67" spans="2:6" x14ac:dyDescent="0.25">
      <c r="B67" s="209" t="s">
        <v>48</v>
      </c>
      <c r="C67" s="58">
        <f t="shared" si="3"/>
        <v>12</v>
      </c>
      <c r="D67" s="7">
        <f t="shared" si="4"/>
        <v>3.2171581769436997</v>
      </c>
      <c r="E67" s="58">
        <f t="shared" si="5"/>
        <v>47</v>
      </c>
      <c r="F67" s="7">
        <f t="shared" si="6"/>
        <v>13.905325443786982</v>
      </c>
    </row>
    <row r="68" spans="2:6" x14ac:dyDescent="0.25">
      <c r="B68" s="209" t="s">
        <v>49</v>
      </c>
      <c r="C68" s="58">
        <f t="shared" si="3"/>
        <v>29</v>
      </c>
      <c r="D68" s="7">
        <f t="shared" si="4"/>
        <v>1.4676113360323886</v>
      </c>
      <c r="E68" s="58">
        <f t="shared" si="5"/>
        <v>59</v>
      </c>
      <c r="F68" s="7">
        <f t="shared" si="6"/>
        <v>3.0318602261048304</v>
      </c>
    </row>
    <row r="69" spans="2:6" x14ac:dyDescent="0.25">
      <c r="B69" s="209" t="s">
        <v>50</v>
      </c>
      <c r="C69" s="58">
        <f t="shared" si="3"/>
        <v>128</v>
      </c>
      <c r="D69" s="7">
        <f t="shared" si="4"/>
        <v>2.9283916723861818</v>
      </c>
      <c r="E69" s="58">
        <f t="shared" si="5"/>
        <v>384</v>
      </c>
      <c r="F69" s="7">
        <f t="shared" si="6"/>
        <v>9.3317132442284318</v>
      </c>
    </row>
    <row r="70" spans="2:6" ht="15.75" thickBot="1" x14ac:dyDescent="0.3">
      <c r="B70" s="210" t="s">
        <v>51</v>
      </c>
      <c r="C70" s="3">
        <f t="shared" si="3"/>
        <v>32</v>
      </c>
      <c r="D70" s="8">
        <f t="shared" si="4"/>
        <v>4.2440318302387272</v>
      </c>
      <c r="E70" s="3">
        <f t="shared" si="5"/>
        <v>29</v>
      </c>
      <c r="F70" s="8">
        <f t="shared" si="6"/>
        <v>3.8309114927344781</v>
      </c>
    </row>
  </sheetData>
  <mergeCells count="18">
    <mergeCell ref="I4:K4"/>
    <mergeCell ref="F4:H4"/>
    <mergeCell ref="C41:C44"/>
    <mergeCell ref="D41:D44"/>
    <mergeCell ref="I5:K5"/>
    <mergeCell ref="F5:H5"/>
    <mergeCell ref="I6:I7"/>
    <mergeCell ref="J6:K6"/>
    <mergeCell ref="F6:F7"/>
    <mergeCell ref="G6:H6"/>
    <mergeCell ref="C4:E4"/>
    <mergeCell ref="C5:E5"/>
    <mergeCell ref="C6:C7"/>
    <mergeCell ref="D6:E6"/>
    <mergeCell ref="B41:B44"/>
    <mergeCell ref="E41:E44"/>
    <mergeCell ref="F41:F44"/>
    <mergeCell ref="B4:B7"/>
  </mergeCells>
  <printOptions horizontalCentered="1" verticalCentered="1"/>
  <pageMargins left="0.31496062992125984" right="0.31496062992125984" top="0" bottom="0" header="0" footer="0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K38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1.85546875" style="11" customWidth="1"/>
    <col min="2" max="2" width="7.28515625" style="11" customWidth="1"/>
    <col min="3" max="3" width="74.7109375" style="11" customWidth="1"/>
    <col min="4" max="4" width="7.85546875" style="11" customWidth="1"/>
    <col min="5" max="5" width="12.42578125" style="11" customWidth="1"/>
    <col min="6" max="6" width="12.7109375" style="11" customWidth="1"/>
    <col min="7" max="7" width="6.42578125" style="11" customWidth="1"/>
    <col min="8" max="8" width="6.7109375" style="11" customWidth="1"/>
    <col min="9" max="9" width="5.42578125" style="11" customWidth="1"/>
    <col min="10" max="10" width="119.28515625" style="11" customWidth="1"/>
    <col min="11" max="11" width="10.28515625" style="11" customWidth="1"/>
    <col min="12" max="16384" width="9.140625" style="11"/>
  </cols>
  <sheetData>
    <row r="1" spans="2:11" ht="12" customHeight="1" x14ac:dyDescent="0.25"/>
    <row r="2" spans="2:11" ht="16.5" customHeight="1" x14ac:dyDescent="0.25">
      <c r="C2" s="929" t="s">
        <v>523</v>
      </c>
      <c r="D2" s="929"/>
      <c r="E2" s="929"/>
    </row>
    <row r="3" spans="2:11" ht="16.5" customHeight="1" x14ac:dyDescent="0.25">
      <c r="C3" s="927" t="s">
        <v>522</v>
      </c>
      <c r="D3" s="927"/>
      <c r="E3" s="927"/>
    </row>
    <row r="4" spans="2:11" ht="14.25" customHeight="1" x14ac:dyDescent="0.25">
      <c r="C4" s="928" t="s">
        <v>547</v>
      </c>
      <c r="D4" s="928"/>
      <c r="E4" s="928"/>
    </row>
    <row r="5" spans="2:11" ht="12" customHeight="1" thickBot="1" x14ac:dyDescent="0.3"/>
    <row r="6" spans="2:11" ht="45" customHeight="1" x14ac:dyDescent="0.25">
      <c r="B6" s="327"/>
      <c r="C6" s="327" t="s">
        <v>123</v>
      </c>
      <c r="D6" s="930" t="s">
        <v>548</v>
      </c>
      <c r="E6" s="718" t="s">
        <v>524</v>
      </c>
      <c r="F6" s="932" t="s">
        <v>496</v>
      </c>
      <c r="I6" s="926"/>
      <c r="J6" s="926"/>
      <c r="K6" s="926"/>
    </row>
    <row r="7" spans="2:11" ht="30" customHeight="1" thickBot="1" x14ac:dyDescent="0.3">
      <c r="B7" s="773" t="s">
        <v>526</v>
      </c>
      <c r="C7" s="349"/>
      <c r="D7" s="931"/>
      <c r="E7" s="700" t="s">
        <v>493</v>
      </c>
      <c r="F7" s="933"/>
      <c r="I7" s="926"/>
      <c r="J7" s="926"/>
      <c r="K7" s="926"/>
    </row>
    <row r="8" spans="2:11" ht="30" customHeight="1" thickBot="1" x14ac:dyDescent="0.3">
      <c r="B8" s="786" t="s">
        <v>108</v>
      </c>
      <c r="C8" s="320" t="s">
        <v>62</v>
      </c>
      <c r="D8" s="728"/>
      <c r="E8" s="719">
        <f>SUM(E10,E11,E12,E13,E14,E15,E16,E17,E18,E19,E20,E21,E22,E23,E24,E25,E26,E27,E28,E29,E30)</f>
        <v>25115</v>
      </c>
      <c r="F8" s="710">
        <f>SUM(F10,F11,F12,F13,F14,F15,F16,F17,F18,F19,F20,F21,F22,F23,F24,F25,F26,F27,F28,F29,F30)</f>
        <v>99.999999999999986</v>
      </c>
      <c r="I8" s="744"/>
      <c r="J8" s="744"/>
      <c r="K8" s="744"/>
    </row>
    <row r="9" spans="2:11" ht="25.5" customHeight="1" thickBot="1" x14ac:dyDescent="0.3">
      <c r="B9" s="795" t="s">
        <v>422</v>
      </c>
      <c r="C9" s="489" t="s">
        <v>336</v>
      </c>
      <c r="D9" s="729"/>
      <c r="E9" s="490"/>
      <c r="F9" s="711"/>
      <c r="I9" s="745"/>
      <c r="J9" s="745"/>
      <c r="K9" s="745"/>
    </row>
    <row r="10" spans="2:11" ht="18" customHeight="1" x14ac:dyDescent="0.25">
      <c r="B10" s="787" t="s">
        <v>183</v>
      </c>
      <c r="C10" s="702" t="s">
        <v>315</v>
      </c>
      <c r="D10" s="730" t="s">
        <v>335</v>
      </c>
      <c r="E10" s="701">
        <v>226</v>
      </c>
      <c r="F10" s="268">
        <f>SUM(E10/E31)*100</f>
        <v>0.8998606410511647</v>
      </c>
      <c r="H10" s="153">
        <v>1</v>
      </c>
      <c r="I10" s="734">
        <f>RANK(E10,$E$10:$E$30,1)+COUNTIF($E$10:E10,E10)-1</f>
        <v>8</v>
      </c>
      <c r="J10" s="753" t="str">
        <f>INDEX(C10:F30,MATCH(21,I10:I30,0),1)</f>
        <v>Przetwórstwo przemysłowe</v>
      </c>
      <c r="K10" s="754">
        <f>INDEX(C10:F30,MATCH(21,I10:I30,0),4)</f>
        <v>22.930519609794946</v>
      </c>
    </row>
    <row r="11" spans="2:11" ht="16.5" customHeight="1" x14ac:dyDescent="0.25">
      <c r="B11" s="788" t="s">
        <v>184</v>
      </c>
      <c r="C11" s="703" t="s">
        <v>316</v>
      </c>
      <c r="D11" s="731" t="s">
        <v>335</v>
      </c>
      <c r="E11" s="720">
        <v>33</v>
      </c>
      <c r="F11" s="269">
        <f>SUM(E11/E31)*100</f>
        <v>0.13139558033047979</v>
      </c>
      <c r="H11" s="153">
        <v>2</v>
      </c>
      <c r="I11" s="735">
        <f>RANK(E11,$E$10:$E$30,1)+COUNTIF($E$10:E11,E11)-1</f>
        <v>4</v>
      </c>
      <c r="J11" s="739" t="str">
        <f>INDEX(C10:F30,MATCH(20,I10:I30,0),1)</f>
        <v>Budownictwo</v>
      </c>
      <c r="K11" s="749">
        <f>INDEX(C10:F30,MATCH(20,I10:I30,0),4)</f>
        <v>15.636074059327095</v>
      </c>
    </row>
    <row r="12" spans="2:11" ht="17.25" customHeight="1" x14ac:dyDescent="0.25">
      <c r="B12" s="789" t="s">
        <v>527</v>
      </c>
      <c r="C12" s="708" t="s">
        <v>317</v>
      </c>
      <c r="D12" s="732" t="s">
        <v>335</v>
      </c>
      <c r="E12" s="721">
        <v>5759</v>
      </c>
      <c r="F12" s="712">
        <f>SUM(E12/E31)*100</f>
        <v>22.930519609794946</v>
      </c>
      <c r="H12" s="153">
        <v>3</v>
      </c>
      <c r="I12" s="735">
        <f>RANK(E12,$E$10:$E$30,1)+COUNTIF($E$10:E12,E12)-1</f>
        <v>21</v>
      </c>
      <c r="J12" s="739" t="str">
        <f>INDEX(C10:F30,MATCH(19,I10:I30,0),1)</f>
        <v>Handel hurtowy i detaliczny; naprawa pojazdów samochodowych, włączając motocykle</v>
      </c>
      <c r="K12" s="749">
        <f>INDEX(C10:F30,MATCH(19,I10:I30,0),4)</f>
        <v>14.389806888313759</v>
      </c>
    </row>
    <row r="13" spans="2:11" ht="26.25" customHeight="1" x14ac:dyDescent="0.25">
      <c r="B13" s="790" t="s">
        <v>528</v>
      </c>
      <c r="C13" s="705" t="s">
        <v>318</v>
      </c>
      <c r="D13" s="731" t="s">
        <v>335</v>
      </c>
      <c r="E13" s="720">
        <v>26</v>
      </c>
      <c r="F13" s="269">
        <f>SUM(E13/E31)*100</f>
        <v>0.10352379056340832</v>
      </c>
      <c r="H13" s="153">
        <v>4</v>
      </c>
      <c r="I13" s="735">
        <f>RANK(E13,$E$10:$E$30,1)+COUNTIF($E$10:E13,E13)-1</f>
        <v>3</v>
      </c>
      <c r="J13" s="739" t="str">
        <f>INDEX(C10:F30,MATCH(18,I10:I30,0),1)</f>
        <v>Działalność w zakresie usług administrowania i działalność wspierająca</v>
      </c>
      <c r="K13" s="749">
        <f>INDEX(C10:F30,MATCH(18,I10:I30,0),4)</f>
        <v>9.3330678877165028</v>
      </c>
    </row>
    <row r="14" spans="2:11" ht="18" customHeight="1" x14ac:dyDescent="0.25">
      <c r="B14" s="790" t="s">
        <v>529</v>
      </c>
      <c r="C14" s="705" t="s">
        <v>319</v>
      </c>
      <c r="D14" s="731" t="s">
        <v>335</v>
      </c>
      <c r="E14" s="720">
        <v>331</v>
      </c>
      <c r="F14" s="269">
        <f>SUM(E14/E31)*100</f>
        <v>1.3179374875572367</v>
      </c>
      <c r="H14" s="153">
        <v>5</v>
      </c>
      <c r="I14" s="735">
        <f>RANK(E14,$E$10:$E$30,1)+COUNTIF($E$10:E14,E14)-1</f>
        <v>10</v>
      </c>
      <c r="J14" s="739" t="str">
        <f>INDEX(C10:F30,MATCH(17,I10:I30,0),1)</f>
        <v>Administracja publiczna i obrona narodowa; obowiązkowe zabezpieczenia społeczne</v>
      </c>
      <c r="K14" s="749">
        <f>INDEX(C10:F30,MATCH(17,I10:I30,0),4)</f>
        <v>7.7284491339836752</v>
      </c>
    </row>
    <row r="15" spans="2:11" ht="17.25" customHeight="1" x14ac:dyDescent="0.25">
      <c r="B15" s="789" t="s">
        <v>530</v>
      </c>
      <c r="C15" s="708" t="s">
        <v>320</v>
      </c>
      <c r="D15" s="732" t="s">
        <v>335</v>
      </c>
      <c r="E15" s="722">
        <v>3927</v>
      </c>
      <c r="F15" s="713">
        <f>SUM(E15/E31)*100</f>
        <v>15.636074059327095</v>
      </c>
      <c r="H15" s="153">
        <v>6</v>
      </c>
      <c r="I15" s="738">
        <f>RANK(E15,$E$10:$E$30,1)+COUNTIF($E$10:E15,E15)-1</f>
        <v>20</v>
      </c>
      <c r="J15" s="740" t="str">
        <f>INDEX(C10:F30,MATCH(16,I10:I30,0),1)</f>
        <v>Opieka zdrowotna i pomoc społeczna</v>
      </c>
      <c r="K15" s="750">
        <f>INDEX(C10:F30,MATCH(16,I10:I30,0),4)</f>
        <v>5.0965558431216405</v>
      </c>
    </row>
    <row r="16" spans="2:11" ht="21" customHeight="1" x14ac:dyDescent="0.25">
      <c r="B16" s="789" t="s">
        <v>531</v>
      </c>
      <c r="C16" s="708" t="s">
        <v>321</v>
      </c>
      <c r="D16" s="732" t="s">
        <v>335</v>
      </c>
      <c r="E16" s="722">
        <v>3614</v>
      </c>
      <c r="F16" s="713">
        <f>SUM(E16/E31)*100</f>
        <v>14.389806888313759</v>
      </c>
      <c r="H16" s="153">
        <v>7</v>
      </c>
      <c r="I16" s="738">
        <f>RANK(E16,$E$10:$E$30,1)+COUNTIF($E$10:E16,E16)-1</f>
        <v>19</v>
      </c>
      <c r="J16" s="740" t="str">
        <f>INDEX(C10:F30,MATCH(15,I10:I30,0),1)</f>
        <v>Transport i gospodarka magazynowa</v>
      </c>
      <c r="K16" s="750">
        <f>INDEX(C10:F30,MATCH(15,I10:I30,0),4)</f>
        <v>4.5192116265180173</v>
      </c>
    </row>
    <row r="17" spans="2:11" ht="17.25" customHeight="1" x14ac:dyDescent="0.25">
      <c r="B17" s="788" t="s">
        <v>533</v>
      </c>
      <c r="C17" s="703" t="s">
        <v>322</v>
      </c>
      <c r="D17" s="731" t="s">
        <v>335</v>
      </c>
      <c r="E17" s="723">
        <v>1080</v>
      </c>
      <c r="F17" s="271">
        <f>SUM(E17/E31)*100</f>
        <v>4.3002189926338845</v>
      </c>
      <c r="H17" s="153">
        <v>8</v>
      </c>
      <c r="I17" s="736">
        <f>RANK(E17,$E$10:$E$30,1)+COUNTIF($E$10:E17,E17)-1</f>
        <v>14</v>
      </c>
      <c r="J17" s="755" t="str">
        <f>INDEX(C10:F30,MATCH(14,I10:I30,0),1)</f>
        <v>Działalność związana z zakwaterowaniem i usługami gastronomicznymi</v>
      </c>
      <c r="K17" s="756">
        <f>INDEX(C10:F30,MATCH(14,I10:I30,0),4)</f>
        <v>4.3002189926338845</v>
      </c>
    </row>
    <row r="18" spans="2:11" ht="18" customHeight="1" x14ac:dyDescent="0.25">
      <c r="B18" s="788" t="s">
        <v>532</v>
      </c>
      <c r="C18" s="703" t="s">
        <v>323</v>
      </c>
      <c r="D18" s="731" t="s">
        <v>335</v>
      </c>
      <c r="E18" s="724">
        <v>1135</v>
      </c>
      <c r="F18" s="717">
        <f>SUM(E18/E31)*100</f>
        <v>4.5192116265180173</v>
      </c>
      <c r="H18" s="153">
        <v>9</v>
      </c>
      <c r="I18" s="737">
        <f>RANK(E18,$E$10:$E$30,1)+COUNTIF($E$10:E18,E18)-1</f>
        <v>15</v>
      </c>
      <c r="J18" s="743" t="str">
        <f>INDEX(C10:F30,MATCH(13,I10:I30,0),1)</f>
        <v>Działalność profesjonalna, naukowa i techniczna</v>
      </c>
      <c r="K18" s="752">
        <f>INDEX(C10:F30,MATCH(13,I10:I30,0),4)</f>
        <v>4.2166036233326691</v>
      </c>
    </row>
    <row r="19" spans="2:11" ht="15.75" customHeight="1" x14ac:dyDescent="0.25">
      <c r="B19" s="791" t="s">
        <v>534</v>
      </c>
      <c r="C19" s="704" t="s">
        <v>324</v>
      </c>
      <c r="D19" s="731" t="s">
        <v>335</v>
      </c>
      <c r="E19" s="724">
        <v>210</v>
      </c>
      <c r="F19" s="717">
        <f>SUM(E19/E31)*100</f>
        <v>0.83615369301214404</v>
      </c>
      <c r="H19" s="153">
        <v>10</v>
      </c>
      <c r="I19" s="737">
        <f>RANK(E19,$E$10:$E$30,1)+COUNTIF($E$10:E19,E19)-1</f>
        <v>6</v>
      </c>
      <c r="J19" s="741" t="str">
        <f>INDEX(C10:F30,MATCH(12,I10:I30,0),1)</f>
        <v>Edukacja</v>
      </c>
      <c r="K19" s="751">
        <f>INDEX(C10:F30,MATCH(12,I10:I30,0),4)</f>
        <v>3.0141349790961574</v>
      </c>
    </row>
    <row r="20" spans="2:11" ht="17.25" customHeight="1" x14ac:dyDescent="0.25">
      <c r="B20" s="791" t="s">
        <v>535</v>
      </c>
      <c r="C20" s="704" t="s">
        <v>337</v>
      </c>
      <c r="D20" s="731" t="s">
        <v>335</v>
      </c>
      <c r="E20" s="724">
        <v>213</v>
      </c>
      <c r="F20" s="717">
        <f>SUM(E20/E31)*100</f>
        <v>0.84809874576946054</v>
      </c>
      <c r="H20" s="153">
        <v>11</v>
      </c>
      <c r="I20" s="737">
        <f>RANK(E20,$E$10:$E$30,1)+COUNTIF($E$10:E20,E20)-1</f>
        <v>7</v>
      </c>
      <c r="J20" s="741" t="str">
        <f>INDEX(C10:F30,MATCH(11,I10:I30,0),1)</f>
        <v>Pozostała działalność usługowa</v>
      </c>
      <c r="K20" s="751">
        <f>INDEX(C10:F30,MATCH(11,I10:I30,0),4)</f>
        <v>2.8309775034839739</v>
      </c>
    </row>
    <row r="21" spans="2:11" ht="16.5" customHeight="1" x14ac:dyDescent="0.25">
      <c r="B21" s="792" t="s">
        <v>536</v>
      </c>
      <c r="C21" s="707" t="s">
        <v>325</v>
      </c>
      <c r="D21" s="731" t="s">
        <v>335</v>
      </c>
      <c r="E21" s="725">
        <v>157</v>
      </c>
      <c r="F21" s="716">
        <f>SUM(E21/E31)*100</f>
        <v>0.62512442763288878</v>
      </c>
      <c r="H21" s="153">
        <v>12</v>
      </c>
      <c r="I21" s="738">
        <f>RANK(E21,$E$10:$E$30,1)+COUNTIF($E$10:E21,E21)-1</f>
        <v>5</v>
      </c>
      <c r="J21" s="742" t="str">
        <f>INDEX(C10:F30,MATCH(10,I10:I30,0),1)</f>
        <v>Dostawa wody, gospodarowanie ściekami i odpadami oraz działalność związana z rekultywacją</v>
      </c>
      <c r="K21" s="355">
        <f>INDEX(C10:F30,MATCH(10,I10:I30,0),4)</f>
        <v>1.3179374875572367</v>
      </c>
    </row>
    <row r="22" spans="2:11" x14ac:dyDescent="0.25">
      <c r="B22" s="788" t="s">
        <v>537</v>
      </c>
      <c r="C22" s="703" t="s">
        <v>326</v>
      </c>
      <c r="D22" s="731" t="s">
        <v>335</v>
      </c>
      <c r="E22" s="724">
        <v>1059</v>
      </c>
      <c r="F22" s="717">
        <f>SUM(E22/E31)*100</f>
        <v>4.2166036233326691</v>
      </c>
      <c r="H22" s="153">
        <v>13</v>
      </c>
      <c r="I22" s="737">
        <f>RANK(E22,$E$10:$E$30,1)+COUNTIF($E$10:E22,E22)-1</f>
        <v>13</v>
      </c>
      <c r="J22" s="741" t="str">
        <f>INDEX(C10:F30,MATCH(9,I10:I30,0),1)</f>
        <v>Działalność związana z kulturą, rozrywką i rekreacją</v>
      </c>
      <c r="K22" s="751">
        <f>INDEX(C10:F30,MATCH(9,I10:I30,0),4)</f>
        <v>1.2383038025084609</v>
      </c>
    </row>
    <row r="23" spans="2:11" ht="18" customHeight="1" x14ac:dyDescent="0.25">
      <c r="B23" s="789" t="s">
        <v>538</v>
      </c>
      <c r="C23" s="708" t="s">
        <v>327</v>
      </c>
      <c r="D23" s="732" t="s">
        <v>335</v>
      </c>
      <c r="E23" s="726">
        <v>2344</v>
      </c>
      <c r="F23" s="714">
        <f>SUM(E23/E31)*100</f>
        <v>9.3330678877165028</v>
      </c>
      <c r="H23" s="153">
        <v>14</v>
      </c>
      <c r="I23" s="737">
        <f>RANK(E23,$E$10:$E$30,1)+COUNTIF($E$10:E23,E23)-1</f>
        <v>18</v>
      </c>
      <c r="J23" s="741" t="str">
        <f>INDEX(C10:F30,MATCH(8,I10:I30,0),1)</f>
        <v>Rolnictwo, leśnictwo, łowiectwo i rybactwo</v>
      </c>
      <c r="K23" s="751">
        <f>INDEX(C10:F30,MATCH(8,I10:I30,0),4)</f>
        <v>0.8998606410511647</v>
      </c>
    </row>
    <row r="24" spans="2:11" ht="17.25" customHeight="1" x14ac:dyDescent="0.25">
      <c r="B24" s="789" t="s">
        <v>335</v>
      </c>
      <c r="C24" s="708" t="s">
        <v>328</v>
      </c>
      <c r="D24" s="732" t="s">
        <v>335</v>
      </c>
      <c r="E24" s="726">
        <v>1941</v>
      </c>
      <c r="F24" s="714">
        <f>SUM(E24/E31)*100</f>
        <v>7.7284491339836752</v>
      </c>
      <c r="H24" s="153">
        <v>15</v>
      </c>
      <c r="I24" s="737">
        <f>RANK(E24,$E$10:$E$30,1)+COUNTIF($E$10:E24,E24)-1</f>
        <v>17</v>
      </c>
      <c r="J24" s="741" t="str">
        <f>INDEX(C10:F30,MATCH(7,I10:I30,0),1)</f>
        <v>Działalność finansowa i ubezpieczeniowa</v>
      </c>
      <c r="K24" s="751">
        <f>INDEX(C10:F30,MATCH(7,I10:I30,0),4)</f>
        <v>0.84809874576946054</v>
      </c>
    </row>
    <row r="25" spans="2:11" ht="19.5" customHeight="1" x14ac:dyDescent="0.25">
      <c r="B25" s="788" t="s">
        <v>539</v>
      </c>
      <c r="C25" s="703" t="s">
        <v>329</v>
      </c>
      <c r="D25" s="731" t="s">
        <v>335</v>
      </c>
      <c r="E25" s="724">
        <v>757</v>
      </c>
      <c r="F25" s="717">
        <f>SUM(E25/E31)*100</f>
        <v>3.0141349790961574</v>
      </c>
      <c r="H25" s="153">
        <v>16</v>
      </c>
      <c r="I25" s="737">
        <f>RANK(E25,$E$10:$E$30,1)+COUNTIF($E$10:E25,E25)-1</f>
        <v>12</v>
      </c>
      <c r="J25" s="741" t="str">
        <f>INDEX(C10:F30,MATCH(6,I10:I30,0),1)</f>
        <v>Informacja i komunikacja</v>
      </c>
      <c r="K25" s="751">
        <f>INDEX(C10:F30,MATCH(6,I10:I30,0),4)</f>
        <v>0.83615369301214404</v>
      </c>
    </row>
    <row r="26" spans="2:11" ht="17.25" customHeight="1" x14ac:dyDescent="0.25">
      <c r="B26" s="789" t="s">
        <v>540</v>
      </c>
      <c r="C26" s="708" t="s">
        <v>330</v>
      </c>
      <c r="D26" s="732" t="s">
        <v>335</v>
      </c>
      <c r="E26" s="726">
        <v>1280</v>
      </c>
      <c r="F26" s="714">
        <f>SUM(E26/E31)*100</f>
        <v>5.0965558431216405</v>
      </c>
      <c r="H26" s="153">
        <v>17</v>
      </c>
      <c r="I26" s="737">
        <f>RANK(E26,$E$10:$E$30,1)+COUNTIF($E$10:E26,E26)-1</f>
        <v>16</v>
      </c>
      <c r="J26" s="741" t="str">
        <f>INDEX(C10:F30,MATCH(5,I10:I30,0),1)</f>
        <v>Działalność związana z obsługą rynku nieruchomości</v>
      </c>
      <c r="K26" s="751">
        <f>INDEX(C10:F30,MATCH(5,I10:I30,0),4)</f>
        <v>0.62512442763288878</v>
      </c>
    </row>
    <row r="27" spans="2:11" ht="17.25" customHeight="1" x14ac:dyDescent="0.25">
      <c r="B27" s="788" t="s">
        <v>541</v>
      </c>
      <c r="C27" s="703" t="s">
        <v>331</v>
      </c>
      <c r="D27" s="731" t="s">
        <v>335</v>
      </c>
      <c r="E27" s="725">
        <v>311</v>
      </c>
      <c r="F27" s="716">
        <f>SUM(E27/E31)*100</f>
        <v>1.2383038025084609</v>
      </c>
      <c r="H27" s="153">
        <v>18</v>
      </c>
      <c r="I27" s="738">
        <f>RANK(E27,$E$10:$E$30,1)+COUNTIF($E$10:E27,E27)-1</f>
        <v>9</v>
      </c>
      <c r="J27" s="742" t="str">
        <f>INDEX(C10:F30,MATCH(4,I10:I30,0),1)</f>
        <v>Górnictwo i wydobywanie</v>
      </c>
      <c r="K27" s="355">
        <f>INDEX(C10:F30,MATCH(4,I10:I30,0),4)</f>
        <v>0.13139558033047979</v>
      </c>
    </row>
    <row r="28" spans="2:11" ht="19.5" customHeight="1" x14ac:dyDescent="0.25">
      <c r="B28" s="788" t="s">
        <v>542</v>
      </c>
      <c r="C28" s="703" t="s">
        <v>332</v>
      </c>
      <c r="D28" s="731" t="s">
        <v>335</v>
      </c>
      <c r="E28" s="724">
        <v>711</v>
      </c>
      <c r="F28" s="717">
        <f>SUM(E28/E31)*100</f>
        <v>2.8309775034839739</v>
      </c>
      <c r="H28" s="153">
        <v>19</v>
      </c>
      <c r="I28" s="737">
        <f>RANK(E28,$E$10:$E$30,1)+COUNTIF($E$10:E28,E28)-1</f>
        <v>11</v>
      </c>
      <c r="J28" s="741" t="str">
        <f>INDEX(C10:F30,MATCH(3,I10:I30,0),1)</f>
        <v>Wytwarzanie i zaopatrywanie w energię elektryczną, gaz, parę wodną, gorącą wodę i powietrze do układów klimatyzacyjnych</v>
      </c>
      <c r="K28" s="751">
        <f>INDEX(C10:F30,MATCH(3,I10:I30,0),4)</f>
        <v>0.10352379056340832</v>
      </c>
    </row>
    <row r="29" spans="2:11" ht="26.25" customHeight="1" x14ac:dyDescent="0.25">
      <c r="B29" s="788" t="s">
        <v>543</v>
      </c>
      <c r="C29" s="703" t="s">
        <v>333</v>
      </c>
      <c r="D29" s="731" t="s">
        <v>335</v>
      </c>
      <c r="E29" s="724">
        <v>1</v>
      </c>
      <c r="F29" s="717">
        <f>SUM(E29/E31)*100</f>
        <v>3.9816842524387818E-3</v>
      </c>
      <c r="H29" s="153">
        <v>20</v>
      </c>
      <c r="I29" s="737">
        <f>RANK(E29,$E$10:$E$30,1)+COUNTIF($E$10:E29,E29)-1</f>
        <v>2</v>
      </c>
      <c r="J29" s="741" t="str">
        <f>INDEX(C10:F30,MATCH(2,I10:I30,0),1)</f>
        <v>Gospodarstwa domowe zatrudniające pracowników; gospodarstwa domowe produkujące wyroby i świadczące usługi na własne potrzeby</v>
      </c>
      <c r="K29" s="751">
        <f>INDEX(C10:F30,MATCH(2,I10:I30,0),4)</f>
        <v>3.9816842524387818E-3</v>
      </c>
    </row>
    <row r="30" spans="2:11" ht="18.75" customHeight="1" x14ac:dyDescent="0.25">
      <c r="B30" s="793" t="s">
        <v>544</v>
      </c>
      <c r="C30" s="706" t="s">
        <v>334</v>
      </c>
      <c r="D30" s="731" t="s">
        <v>335</v>
      </c>
      <c r="E30" s="724">
        <v>0</v>
      </c>
      <c r="F30" s="717">
        <f>SUM(E30/E31)*100</f>
        <v>0</v>
      </c>
      <c r="H30" s="153">
        <v>21</v>
      </c>
      <c r="I30" s="737">
        <f>RANK(E30,$E$10:$E$30,1)+COUNTIF($E$10:E30,E30)-1</f>
        <v>1</v>
      </c>
      <c r="J30" s="741" t="str">
        <f>INDEX(C10:F30,MATCH(1,I10:I30,0),1)</f>
        <v>Działalność niezidentyfikowana</v>
      </c>
      <c r="K30" s="751">
        <f>INDEX(C10:F30,MATCH(1,I10:I30,0),4)</f>
        <v>0</v>
      </c>
    </row>
    <row r="31" spans="2:11" ht="16.5" customHeight="1" thickBot="1" x14ac:dyDescent="0.3">
      <c r="B31" s="794" t="s">
        <v>108</v>
      </c>
      <c r="C31" s="709" t="s">
        <v>62</v>
      </c>
      <c r="D31" s="733" t="s">
        <v>335</v>
      </c>
      <c r="E31" s="727">
        <f>SUM(E10:E30)</f>
        <v>25115</v>
      </c>
      <c r="F31" s="715">
        <f>SUM(E31/E31)*100</f>
        <v>100</v>
      </c>
      <c r="I31" s="746"/>
      <c r="J31" s="747"/>
      <c r="K31" s="748"/>
    </row>
    <row r="32" spans="2:11" x14ac:dyDescent="0.25">
      <c r="C32" s="11" t="s">
        <v>495</v>
      </c>
      <c r="E32" s="521"/>
    </row>
    <row r="33" spans="3:8" x14ac:dyDescent="0.25">
      <c r="C33" s="11" t="s">
        <v>525</v>
      </c>
      <c r="E33" s="521"/>
    </row>
    <row r="34" spans="3:8" x14ac:dyDescent="0.25">
      <c r="F34" s="11" t="s">
        <v>183</v>
      </c>
      <c r="G34" s="521">
        <f>SUM(E10)</f>
        <v>226</v>
      </c>
      <c r="H34" s="388">
        <f>SUM(G34/G38)*100</f>
        <v>0.8998606410511647</v>
      </c>
    </row>
    <row r="35" spans="3:8" x14ac:dyDescent="0.25">
      <c r="F35" s="11" t="s">
        <v>545</v>
      </c>
      <c r="G35" s="521">
        <f>SUM(E11:E15)</f>
        <v>10076</v>
      </c>
      <c r="H35" s="796">
        <f>SUM(G35/G38)*100</f>
        <v>40.119450527573164</v>
      </c>
    </row>
    <row r="36" spans="3:8" x14ac:dyDescent="0.25">
      <c r="F36" s="11" t="s">
        <v>531</v>
      </c>
      <c r="G36" s="521">
        <f>SUM(E16)</f>
        <v>3614</v>
      </c>
      <c r="H36" s="388">
        <f>SUM(G36/G38)*100</f>
        <v>14.389806888313759</v>
      </c>
    </row>
    <row r="37" spans="3:8" x14ac:dyDescent="0.25">
      <c r="F37" s="11" t="s">
        <v>546</v>
      </c>
      <c r="G37" s="521">
        <f>SUM(E17:E30)</f>
        <v>11199</v>
      </c>
      <c r="H37" s="388">
        <f>SUM(G37/G38)*100</f>
        <v>44.590881943061916</v>
      </c>
    </row>
    <row r="38" spans="3:8" x14ac:dyDescent="0.25">
      <c r="G38" s="521">
        <f>SUM(G34:G37)</f>
        <v>25115</v>
      </c>
      <c r="H38" s="388">
        <f>SUM(H34:H37)</f>
        <v>100</v>
      </c>
    </row>
  </sheetData>
  <mergeCells count="8">
    <mergeCell ref="K6:K7"/>
    <mergeCell ref="C3:E3"/>
    <mergeCell ref="C4:E4"/>
    <mergeCell ref="C2:E2"/>
    <mergeCell ref="D6:D7"/>
    <mergeCell ref="F6:F7"/>
    <mergeCell ref="I6:I7"/>
    <mergeCell ref="J6:J7"/>
  </mergeCells>
  <printOptions horizontalCentered="1"/>
  <pageMargins left="0.31496062992125984" right="0" top="1.7322834645669292" bottom="0" header="0" footer="0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1:J20"/>
  <sheetViews>
    <sheetView workbookViewId="0">
      <selection activeCell="B1" sqref="B1"/>
    </sheetView>
  </sheetViews>
  <sheetFormatPr defaultColWidth="9.140625" defaultRowHeight="15" x14ac:dyDescent="0.25"/>
  <cols>
    <col min="1" max="1" width="4.42578125" style="11" customWidth="1"/>
    <col min="2" max="2" width="53.7109375" style="11" customWidth="1"/>
    <col min="3" max="3" width="10.5703125" style="11" customWidth="1"/>
    <col min="4" max="4" width="9.42578125" style="11" customWidth="1"/>
    <col min="5" max="5" width="10" style="11" customWidth="1"/>
    <col min="6" max="6" width="8.85546875" style="11" customWidth="1"/>
    <col min="7" max="7" width="13.28515625" style="11" customWidth="1"/>
    <col min="8" max="8" width="13.85546875" style="11" customWidth="1"/>
    <col min="9" max="9" width="2.7109375" style="11" customWidth="1"/>
    <col min="10" max="10" width="5.85546875" style="11" customWidth="1"/>
    <col min="11" max="16384" width="9.140625" style="11"/>
  </cols>
  <sheetData>
    <row r="1" spans="2:9" ht="12.75" customHeight="1" x14ac:dyDescent="0.25"/>
    <row r="2" spans="2:9" x14ac:dyDescent="0.25">
      <c r="B2" s="11" t="s">
        <v>508</v>
      </c>
    </row>
    <row r="3" spans="2:9" x14ac:dyDescent="0.25">
      <c r="B3" s="11" t="s">
        <v>395</v>
      </c>
    </row>
    <row r="4" spans="2:9" ht="12.75" customHeight="1" thickBot="1" x14ac:dyDescent="0.3"/>
    <row r="5" spans="2:9" ht="31.5" customHeight="1" x14ac:dyDescent="0.25">
      <c r="B5" s="934" t="s">
        <v>182</v>
      </c>
      <c r="C5" s="936" t="s">
        <v>202</v>
      </c>
      <c r="D5" s="938" t="s">
        <v>126</v>
      </c>
      <c r="E5" s="939"/>
      <c r="F5" s="940"/>
      <c r="G5" s="941" t="s">
        <v>481</v>
      </c>
      <c r="H5" s="942"/>
      <c r="I5" s="642"/>
    </row>
    <row r="6" spans="2:9" ht="48" customHeight="1" thickBot="1" x14ac:dyDescent="0.3">
      <c r="B6" s="935"/>
      <c r="C6" s="937"/>
      <c r="D6" s="499" t="s">
        <v>439</v>
      </c>
      <c r="E6" s="655" t="s">
        <v>460</v>
      </c>
      <c r="F6" s="500" t="s">
        <v>461</v>
      </c>
      <c r="G6" s="507" t="s">
        <v>133</v>
      </c>
      <c r="H6" s="508" t="s">
        <v>338</v>
      </c>
      <c r="I6" s="642"/>
    </row>
    <row r="7" spans="2:9" ht="36" customHeight="1" x14ac:dyDescent="0.25">
      <c r="B7" s="265" t="s">
        <v>191</v>
      </c>
      <c r="C7" s="493">
        <v>1</v>
      </c>
      <c r="D7" s="501">
        <v>587</v>
      </c>
      <c r="E7" s="221">
        <v>635</v>
      </c>
      <c r="F7" s="222">
        <v>605</v>
      </c>
      <c r="G7" s="504">
        <f>SUM(F7)-E7</f>
        <v>-30</v>
      </c>
      <c r="H7" s="510">
        <f>SUM(F7-E7)/E7*100</f>
        <v>-4.7244094488188972</v>
      </c>
      <c r="I7" s="640"/>
    </row>
    <row r="8" spans="2:9" ht="24" customHeight="1" x14ac:dyDescent="0.25">
      <c r="B8" s="223" t="s">
        <v>192</v>
      </c>
      <c r="C8" s="494">
        <v>2</v>
      </c>
      <c r="D8" s="502">
        <v>10738</v>
      </c>
      <c r="E8" s="148">
        <v>10759</v>
      </c>
      <c r="F8" s="149">
        <v>9665</v>
      </c>
      <c r="G8" s="502">
        <f t="shared" ref="G8:G19" si="0">SUM(F8)-E8</f>
        <v>-1094</v>
      </c>
      <c r="H8" s="247">
        <f t="shared" ref="H8:H19" si="1">SUM(F8-E8)/E8*100</f>
        <v>-10.168231248257273</v>
      </c>
      <c r="I8" s="640"/>
    </row>
    <row r="9" spans="2:9" ht="23.25" customHeight="1" x14ac:dyDescent="0.25">
      <c r="B9" s="223" t="s">
        <v>193</v>
      </c>
      <c r="C9" s="494">
        <v>3</v>
      </c>
      <c r="D9" s="502">
        <v>12624</v>
      </c>
      <c r="E9" s="148">
        <v>12690</v>
      </c>
      <c r="F9" s="149">
        <v>11555</v>
      </c>
      <c r="G9" s="502">
        <f t="shared" si="0"/>
        <v>-1135</v>
      </c>
      <c r="H9" s="247">
        <f t="shared" si="1"/>
        <v>-8.9440504334121353</v>
      </c>
      <c r="I9" s="640"/>
    </row>
    <row r="10" spans="2:9" ht="22.5" customHeight="1" x14ac:dyDescent="0.25">
      <c r="B10" s="223" t="s">
        <v>194</v>
      </c>
      <c r="C10" s="494">
        <v>4</v>
      </c>
      <c r="D10" s="502">
        <v>3596</v>
      </c>
      <c r="E10" s="148">
        <v>3620</v>
      </c>
      <c r="F10" s="149">
        <v>3493</v>
      </c>
      <c r="G10" s="502">
        <f t="shared" si="0"/>
        <v>-127</v>
      </c>
      <c r="H10" s="247">
        <f t="shared" si="1"/>
        <v>-3.5082872928176791</v>
      </c>
      <c r="I10" s="640"/>
    </row>
    <row r="11" spans="2:9" ht="24.75" customHeight="1" x14ac:dyDescent="0.25">
      <c r="B11" s="223" t="s">
        <v>195</v>
      </c>
      <c r="C11" s="494">
        <v>5</v>
      </c>
      <c r="D11" s="502">
        <v>16051</v>
      </c>
      <c r="E11" s="148">
        <v>16185</v>
      </c>
      <c r="F11" s="149">
        <v>15342</v>
      </c>
      <c r="G11" s="502">
        <f t="shared" si="0"/>
        <v>-843</v>
      </c>
      <c r="H11" s="247">
        <f>SUM(F11-E11)/E11*100</f>
        <v>-5.2085264133456901</v>
      </c>
      <c r="I11" s="640"/>
    </row>
    <row r="12" spans="2:9" ht="24" customHeight="1" x14ac:dyDescent="0.25">
      <c r="B12" s="223" t="s">
        <v>196</v>
      </c>
      <c r="C12" s="494">
        <v>6</v>
      </c>
      <c r="D12" s="502">
        <v>1298</v>
      </c>
      <c r="E12" s="148">
        <v>1362</v>
      </c>
      <c r="F12" s="149">
        <v>1195</v>
      </c>
      <c r="G12" s="502">
        <f t="shared" si="0"/>
        <v>-167</v>
      </c>
      <c r="H12" s="247">
        <f t="shared" si="1"/>
        <v>-12.261380323054331</v>
      </c>
      <c r="I12" s="640"/>
    </row>
    <row r="13" spans="2:9" ht="21.75" customHeight="1" x14ac:dyDescent="0.25">
      <c r="B13" s="223" t="s">
        <v>197</v>
      </c>
      <c r="C13" s="494">
        <v>7</v>
      </c>
      <c r="D13" s="502">
        <v>19227</v>
      </c>
      <c r="E13" s="148">
        <v>19433</v>
      </c>
      <c r="F13" s="149">
        <v>17718</v>
      </c>
      <c r="G13" s="502">
        <f t="shared" si="0"/>
        <v>-1715</v>
      </c>
      <c r="H13" s="247">
        <f t="shared" si="1"/>
        <v>-8.8251942571913755</v>
      </c>
      <c r="I13" s="640"/>
    </row>
    <row r="14" spans="2:9" ht="25.5" customHeight="1" x14ac:dyDescent="0.25">
      <c r="B14" s="223" t="s">
        <v>198</v>
      </c>
      <c r="C14" s="494">
        <v>8</v>
      </c>
      <c r="D14" s="502">
        <v>4710</v>
      </c>
      <c r="E14" s="148">
        <v>4816</v>
      </c>
      <c r="F14" s="149">
        <v>4311</v>
      </c>
      <c r="G14" s="502">
        <f t="shared" si="0"/>
        <v>-505</v>
      </c>
      <c r="H14" s="247">
        <f t="shared" si="1"/>
        <v>-10.485880398671096</v>
      </c>
      <c r="I14" s="640"/>
    </row>
    <row r="15" spans="2:9" ht="21" customHeight="1" x14ac:dyDescent="0.25">
      <c r="B15" s="223" t="s">
        <v>199</v>
      </c>
      <c r="C15" s="494">
        <v>9</v>
      </c>
      <c r="D15" s="502">
        <v>6570</v>
      </c>
      <c r="E15" s="148">
        <v>6828</v>
      </c>
      <c r="F15" s="149">
        <v>6384</v>
      </c>
      <c r="G15" s="502">
        <f t="shared" si="0"/>
        <v>-444</v>
      </c>
      <c r="H15" s="247">
        <f t="shared" si="1"/>
        <v>-6.5026362038664329</v>
      </c>
      <c r="I15" s="640"/>
    </row>
    <row r="16" spans="2:9" ht="22.5" customHeight="1" thickBot="1" x14ac:dyDescent="0.3">
      <c r="B16" s="226" t="s">
        <v>206</v>
      </c>
      <c r="C16" s="495">
        <v>0</v>
      </c>
      <c r="D16" s="503">
        <v>35</v>
      </c>
      <c r="E16" s="227">
        <v>37</v>
      </c>
      <c r="F16" s="228">
        <v>36</v>
      </c>
      <c r="G16" s="548">
        <f t="shared" si="0"/>
        <v>-1</v>
      </c>
      <c r="H16" s="248">
        <f t="shared" si="1"/>
        <v>-2.7027027027027026</v>
      </c>
      <c r="I16" s="640"/>
    </row>
    <row r="17" spans="2:10" ht="24" customHeight="1" x14ac:dyDescent="0.25">
      <c r="B17" s="265" t="s">
        <v>200</v>
      </c>
      <c r="C17" s="496" t="s">
        <v>183</v>
      </c>
      <c r="D17" s="504">
        <v>10723</v>
      </c>
      <c r="E17" s="266">
        <v>10961</v>
      </c>
      <c r="F17" s="267">
        <v>10640</v>
      </c>
      <c r="G17" s="504">
        <f t="shared" si="0"/>
        <v>-321</v>
      </c>
      <c r="H17" s="510">
        <f>SUM(F17-E17)/E17*100</f>
        <v>-2.9285649119605872</v>
      </c>
      <c r="I17" s="640"/>
      <c r="J17" s="388">
        <f>SUM(F17/F19*100)</f>
        <v>13.144890294524608</v>
      </c>
    </row>
    <row r="18" spans="2:10" ht="26.25" customHeight="1" thickBot="1" x14ac:dyDescent="0.3">
      <c r="B18" s="225" t="s">
        <v>201</v>
      </c>
      <c r="C18" s="497" t="s">
        <v>184</v>
      </c>
      <c r="D18" s="505">
        <f>SUM(D7:D16)</f>
        <v>75436</v>
      </c>
      <c r="E18" s="150">
        <f>SUM(E7:E16)</f>
        <v>76365</v>
      </c>
      <c r="F18" s="150">
        <f>SUM(F7:F16)</f>
        <v>70304</v>
      </c>
      <c r="G18" s="505">
        <f t="shared" si="0"/>
        <v>-6061</v>
      </c>
      <c r="H18" s="270">
        <f t="shared" si="1"/>
        <v>-7.9368820794866766</v>
      </c>
      <c r="I18" s="640"/>
      <c r="J18" s="388">
        <f>SUM(D17/D19*100)</f>
        <v>12.445594772455577</v>
      </c>
    </row>
    <row r="19" spans="2:10" ht="23.25" customHeight="1" thickBot="1" x14ac:dyDescent="0.3">
      <c r="B19" s="250" t="s">
        <v>62</v>
      </c>
      <c r="C19" s="498" t="s">
        <v>185</v>
      </c>
      <c r="D19" s="506">
        <f>SUM(D17:D18)</f>
        <v>86159</v>
      </c>
      <c r="E19" s="251">
        <f>SUM(E17:E18)</f>
        <v>87326</v>
      </c>
      <c r="F19" s="264">
        <f>SUM(F17:F18)</f>
        <v>80944</v>
      </c>
      <c r="G19" s="506">
        <f t="shared" si="0"/>
        <v>-6382</v>
      </c>
      <c r="H19" s="509">
        <f t="shared" si="1"/>
        <v>-7.3082472574032931</v>
      </c>
      <c r="I19" s="641"/>
    </row>
    <row r="20" spans="2:10" x14ac:dyDescent="0.25">
      <c r="D20" s="153">
        <f>SUM(D7:D17)</f>
        <v>86159</v>
      </c>
      <c r="E20" s="153">
        <f>SUM(E7:E17)</f>
        <v>87326</v>
      </c>
      <c r="F20" s="153">
        <f>SUM(F7:F17)</f>
        <v>80944</v>
      </c>
      <c r="G20" s="521">
        <f>SUM(G7:G17)</f>
        <v>-6382</v>
      </c>
      <c r="H20" s="388"/>
    </row>
  </sheetData>
  <mergeCells count="4">
    <mergeCell ref="B5:B6"/>
    <mergeCell ref="C5:C6"/>
    <mergeCell ref="D5:F5"/>
    <mergeCell ref="G5:H5"/>
  </mergeCells>
  <printOptions horizontalCentered="1"/>
  <pageMargins left="0.6692913385826772" right="0.6692913385826772" top="1.3779527559055118" bottom="0" header="0.31496062992125984" footer="0.31496062992125984"/>
  <pageSetup paperSize="9" scale="9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G66"/>
  <sheetViews>
    <sheetView workbookViewId="0">
      <selection activeCell="B1" sqref="B1"/>
    </sheetView>
  </sheetViews>
  <sheetFormatPr defaultColWidth="9.140625" defaultRowHeight="15" x14ac:dyDescent="0.25"/>
  <cols>
    <col min="1" max="1" width="2.140625" style="11" customWidth="1"/>
    <col min="2" max="2" width="62.5703125" style="11" customWidth="1"/>
    <col min="3" max="3" width="10.85546875" style="11" customWidth="1"/>
    <col min="4" max="4" width="12.42578125" style="11" customWidth="1"/>
    <col min="5" max="5" width="7.85546875" style="11" customWidth="1"/>
    <col min="6" max="6" width="12" style="11" customWidth="1"/>
    <col min="7" max="16384" width="9.140625" style="11"/>
  </cols>
  <sheetData>
    <row r="1" spans="2:7" ht="11.25" customHeight="1" x14ac:dyDescent="0.25"/>
    <row r="2" spans="2:7" x14ac:dyDescent="0.25">
      <c r="B2" s="11" t="s">
        <v>509</v>
      </c>
    </row>
    <row r="3" spans="2:7" x14ac:dyDescent="0.25">
      <c r="B3" s="11" t="s">
        <v>394</v>
      </c>
    </row>
    <row r="4" spans="2:7" ht="13.5" customHeight="1" thickBot="1" x14ac:dyDescent="0.3"/>
    <row r="5" spans="2:7" ht="45.75" thickBot="1" x14ac:dyDescent="0.3">
      <c r="B5" s="656" t="s">
        <v>182</v>
      </c>
      <c r="C5" s="653" t="s">
        <v>202</v>
      </c>
      <c r="D5" s="233" t="s">
        <v>453</v>
      </c>
      <c r="E5" s="234" t="s">
        <v>252</v>
      </c>
      <c r="F5" s="653" t="s">
        <v>492</v>
      </c>
      <c r="G5" s="654" t="s">
        <v>252</v>
      </c>
    </row>
    <row r="6" spans="2:7" ht="28.5" x14ac:dyDescent="0.25">
      <c r="B6" s="254" t="s">
        <v>247</v>
      </c>
      <c r="C6" s="255">
        <v>1</v>
      </c>
      <c r="D6" s="255">
        <f>SUM(D7:D10)</f>
        <v>587</v>
      </c>
      <c r="E6" s="268">
        <f>SUM(D6/D60)*100</f>
        <v>0.77814306166816904</v>
      </c>
      <c r="F6" s="255">
        <f>SUM(F7:F10)</f>
        <v>605</v>
      </c>
      <c r="G6" s="268">
        <f>SUM(F6/F60)*100</f>
        <v>0.86054847519344557</v>
      </c>
    </row>
    <row r="7" spans="2:7" ht="30" x14ac:dyDescent="0.25">
      <c r="B7" s="223" t="s">
        <v>248</v>
      </c>
      <c r="C7" s="224">
        <v>11</v>
      </c>
      <c r="D7" s="224">
        <v>63</v>
      </c>
      <c r="E7" s="247">
        <f>SUM(D7)/D6*100</f>
        <v>10.732538330494037</v>
      </c>
      <c r="F7" s="224">
        <v>62</v>
      </c>
      <c r="G7" s="247">
        <f>SUM(F7)/F6*100</f>
        <v>10.24793388429752</v>
      </c>
    </row>
    <row r="8" spans="2:7" x14ac:dyDescent="0.25">
      <c r="B8" s="223" t="s">
        <v>203</v>
      </c>
      <c r="C8" s="224">
        <v>12</v>
      </c>
      <c r="D8" s="224">
        <v>155</v>
      </c>
      <c r="E8" s="247">
        <f>SUM(D8)/D6*100</f>
        <v>26.405451448040886</v>
      </c>
      <c r="F8" s="224">
        <v>148</v>
      </c>
      <c r="G8" s="247">
        <f>SUM(F8)/F6*100</f>
        <v>24.462809917355372</v>
      </c>
    </row>
    <row r="9" spans="2:7" x14ac:dyDescent="0.25">
      <c r="B9" s="223" t="s">
        <v>204</v>
      </c>
      <c r="C9" s="224">
        <v>13</v>
      </c>
      <c r="D9" s="224">
        <v>105</v>
      </c>
      <c r="E9" s="247">
        <f>SUM(D9)/D6*100</f>
        <v>17.88756388415673</v>
      </c>
      <c r="F9" s="224">
        <v>120</v>
      </c>
      <c r="G9" s="247">
        <f>SUM(F9)/F6*100</f>
        <v>19.834710743801654</v>
      </c>
    </row>
    <row r="10" spans="2:7" ht="30" x14ac:dyDescent="0.25">
      <c r="B10" s="223" t="s">
        <v>205</v>
      </c>
      <c r="C10" s="224">
        <v>14</v>
      </c>
      <c r="D10" s="224">
        <v>264</v>
      </c>
      <c r="E10" s="248">
        <f>SUM(D10)/D6*100</f>
        <v>44.974446337308351</v>
      </c>
      <c r="F10" s="224">
        <v>275</v>
      </c>
      <c r="G10" s="248">
        <f>SUM(F10)/F6*100</f>
        <v>45.454545454545453</v>
      </c>
    </row>
    <row r="11" spans="2:7" x14ac:dyDescent="0.25">
      <c r="B11" s="249" t="s">
        <v>192</v>
      </c>
      <c r="C11" s="252">
        <v>2</v>
      </c>
      <c r="D11" s="253">
        <f>SUM(D12:D17)</f>
        <v>10738</v>
      </c>
      <c r="E11" s="269">
        <f>SUM(D11/D60)*100</f>
        <v>14.234582957739011</v>
      </c>
      <c r="F11" s="253">
        <f>SUM(F12:F17)</f>
        <v>9665</v>
      </c>
      <c r="G11" s="269">
        <f>SUM(F11/F60)*100</f>
        <v>13.747439690487029</v>
      </c>
    </row>
    <row r="12" spans="2:7" x14ac:dyDescent="0.25">
      <c r="B12" s="223" t="s">
        <v>208</v>
      </c>
      <c r="C12" s="224">
        <v>21</v>
      </c>
      <c r="D12" s="148">
        <v>1979</v>
      </c>
      <c r="E12" s="247">
        <f>SUM(D12)/D11*100</f>
        <v>18.429875209536224</v>
      </c>
      <c r="F12" s="148">
        <v>1707</v>
      </c>
      <c r="G12" s="247">
        <f>SUM(F12)/F11*100</f>
        <v>17.661665804449044</v>
      </c>
    </row>
    <row r="13" spans="2:7" x14ac:dyDescent="0.25">
      <c r="B13" s="223" t="s">
        <v>209</v>
      </c>
      <c r="C13" s="224">
        <v>22</v>
      </c>
      <c r="D13" s="224">
        <v>631</v>
      </c>
      <c r="E13" s="247">
        <f>SUM(D13)/D11*100</f>
        <v>5.8763270627677411</v>
      </c>
      <c r="F13" s="224">
        <v>520</v>
      </c>
      <c r="G13" s="247">
        <f>SUM(F13)/F11*100</f>
        <v>5.3802379720641484</v>
      </c>
    </row>
    <row r="14" spans="2:7" x14ac:dyDescent="0.25">
      <c r="B14" s="223" t="s">
        <v>210</v>
      </c>
      <c r="C14" s="224">
        <v>23</v>
      </c>
      <c r="D14" s="148">
        <v>1641</v>
      </c>
      <c r="E14" s="247">
        <f>SUM(D14)/D11*100</f>
        <v>15.282175451666976</v>
      </c>
      <c r="F14" s="148">
        <v>1545</v>
      </c>
      <c r="G14" s="247">
        <f>SUM(F14)/F11*100</f>
        <v>15.985514743921367</v>
      </c>
    </row>
    <row r="15" spans="2:7" x14ac:dyDescent="0.25">
      <c r="B15" s="223" t="s">
        <v>211</v>
      </c>
      <c r="C15" s="224">
        <v>24</v>
      </c>
      <c r="D15" s="148">
        <v>3720</v>
      </c>
      <c r="E15" s="247">
        <f>SUM(D15)/D11*100</f>
        <v>34.643322778915994</v>
      </c>
      <c r="F15" s="148">
        <v>3376</v>
      </c>
      <c r="G15" s="247">
        <f>SUM(F15)/F11*100</f>
        <v>34.930160372478014</v>
      </c>
    </row>
    <row r="16" spans="2:7" x14ac:dyDescent="0.25">
      <c r="B16" s="223" t="s">
        <v>212</v>
      </c>
      <c r="C16" s="224">
        <v>25</v>
      </c>
      <c r="D16" s="224">
        <v>239</v>
      </c>
      <c r="E16" s="247">
        <f>SUM(D16)/D11*100</f>
        <v>2.2257403613335818</v>
      </c>
      <c r="F16" s="224">
        <v>230</v>
      </c>
      <c r="G16" s="247">
        <f>SUM(F16)/F11*100</f>
        <v>2.3797206414899121</v>
      </c>
    </row>
    <row r="17" spans="2:7" x14ac:dyDescent="0.25">
      <c r="B17" s="223" t="s">
        <v>213</v>
      </c>
      <c r="C17" s="224">
        <v>26</v>
      </c>
      <c r="D17" s="148">
        <v>2528</v>
      </c>
      <c r="E17" s="247">
        <f>SUM(D17)/D11*100</f>
        <v>23.542559135779477</v>
      </c>
      <c r="F17" s="148">
        <v>2287</v>
      </c>
      <c r="G17" s="247">
        <f>SUM(F17)/F11*100</f>
        <v>23.662700465597517</v>
      </c>
    </row>
    <row r="18" spans="2:7" x14ac:dyDescent="0.25">
      <c r="B18" s="249" t="s">
        <v>193</v>
      </c>
      <c r="C18" s="252">
        <v>3</v>
      </c>
      <c r="D18" s="253">
        <f>SUM(D19:D23)</f>
        <v>12624</v>
      </c>
      <c r="E18" s="269">
        <f>SUM(D18)/D60*100</f>
        <v>16.734715520441167</v>
      </c>
      <c r="F18" s="253">
        <f>SUM(F19:F23)</f>
        <v>11555</v>
      </c>
      <c r="G18" s="269">
        <f>SUM(F18)/F60*100</f>
        <v>16.435764679107876</v>
      </c>
    </row>
    <row r="19" spans="2:7" x14ac:dyDescent="0.25">
      <c r="B19" s="223" t="s">
        <v>214</v>
      </c>
      <c r="C19" s="224">
        <v>31</v>
      </c>
      <c r="D19" s="148">
        <v>5577</v>
      </c>
      <c r="E19" s="247">
        <f>SUM(D19)/D18*100</f>
        <v>44.177756653992397</v>
      </c>
      <c r="F19" s="148">
        <v>4966</v>
      </c>
      <c r="G19" s="247">
        <f>SUM(F19)/F18*100</f>
        <v>42.977066205106013</v>
      </c>
    </row>
    <row r="20" spans="2:7" x14ac:dyDescent="0.25">
      <c r="B20" s="223" t="s">
        <v>215</v>
      </c>
      <c r="C20" s="224">
        <v>32</v>
      </c>
      <c r="D20" s="148">
        <v>2048</v>
      </c>
      <c r="E20" s="247">
        <f>SUM(D20)/D18*100</f>
        <v>16.223067173637514</v>
      </c>
      <c r="F20" s="148">
        <v>1827</v>
      </c>
      <c r="G20" s="247">
        <f>SUM(F20)/F18*100</f>
        <v>15.81133708351363</v>
      </c>
    </row>
    <row r="21" spans="2:7" x14ac:dyDescent="0.25">
      <c r="B21" s="223" t="s">
        <v>216</v>
      </c>
      <c r="C21" s="224">
        <v>33</v>
      </c>
      <c r="D21" s="148">
        <v>3088</v>
      </c>
      <c r="E21" s="247">
        <f>SUM(D21)/D18*100</f>
        <v>24.461343472750315</v>
      </c>
      <c r="F21" s="148">
        <v>2942</v>
      </c>
      <c r="G21" s="247">
        <f>SUM(F21)/F18*100</f>
        <v>25.460839463435743</v>
      </c>
    </row>
    <row r="22" spans="2:7" ht="30" x14ac:dyDescent="0.25">
      <c r="B22" s="223" t="s">
        <v>217</v>
      </c>
      <c r="C22" s="224">
        <v>34</v>
      </c>
      <c r="D22" s="148">
        <v>1257</v>
      </c>
      <c r="E22" s="247">
        <f>SUM(D22)/D18*100</f>
        <v>9.9572243346007596</v>
      </c>
      <c r="F22" s="148">
        <v>1228</v>
      </c>
      <c r="G22" s="247">
        <f>SUM(F22)/F18*100</f>
        <v>10.627434011250541</v>
      </c>
    </row>
    <row r="23" spans="2:7" x14ac:dyDescent="0.25">
      <c r="B23" s="223" t="s">
        <v>218</v>
      </c>
      <c r="C23" s="224">
        <v>35</v>
      </c>
      <c r="D23" s="224">
        <v>654</v>
      </c>
      <c r="E23" s="247">
        <f>SUM(D23)/D18*100</f>
        <v>5.1806083650190109</v>
      </c>
      <c r="F23" s="224">
        <v>592</v>
      </c>
      <c r="G23" s="247">
        <f>SUM(F23)/F18*100</f>
        <v>5.1233232366940715</v>
      </c>
    </row>
    <row r="24" spans="2:7" x14ac:dyDescent="0.25">
      <c r="B24" s="249" t="s">
        <v>194</v>
      </c>
      <c r="C24" s="252">
        <v>4</v>
      </c>
      <c r="D24" s="253">
        <f>SUM(D25:D28)</f>
        <v>3596</v>
      </c>
      <c r="E24" s="269">
        <f>SUM(D24)/D60*100</f>
        <v>4.7669547696060235</v>
      </c>
      <c r="F24" s="253">
        <f>SUM(F25:F28)</f>
        <v>3493</v>
      </c>
      <c r="G24" s="269">
        <f>SUM(F24)/F60*100</f>
        <v>4.9684228493400084</v>
      </c>
    </row>
    <row r="25" spans="2:7" x14ac:dyDescent="0.25">
      <c r="B25" s="223" t="s">
        <v>219</v>
      </c>
      <c r="C25" s="224">
        <v>41</v>
      </c>
      <c r="D25" s="148">
        <v>1285</v>
      </c>
      <c r="E25" s="247">
        <f>SUM(D25)/D24*100</f>
        <v>35.734149054505004</v>
      </c>
      <c r="F25" s="148">
        <v>1254</v>
      </c>
      <c r="G25" s="247">
        <f>SUM(F25)/F24*100</f>
        <v>35.900372172917258</v>
      </c>
    </row>
    <row r="26" spans="2:7" x14ac:dyDescent="0.25">
      <c r="B26" s="223" t="s">
        <v>220</v>
      </c>
      <c r="C26" s="224">
        <v>42</v>
      </c>
      <c r="D26" s="224">
        <v>871</v>
      </c>
      <c r="E26" s="247">
        <f>SUM(D26)/D24*100</f>
        <v>24.221357063403779</v>
      </c>
      <c r="F26" s="224">
        <v>810</v>
      </c>
      <c r="G26" s="247">
        <f>SUM(F26)/F24*100</f>
        <v>23.189235614085312</v>
      </c>
    </row>
    <row r="27" spans="2:7" ht="30" x14ac:dyDescent="0.25">
      <c r="B27" s="223" t="s">
        <v>221</v>
      </c>
      <c r="C27" s="224">
        <v>43</v>
      </c>
      <c r="D27" s="148">
        <v>1277</v>
      </c>
      <c r="E27" s="247">
        <f>SUM(D27)/D24*100</f>
        <v>35.511679644048947</v>
      </c>
      <c r="F27" s="148">
        <v>1238</v>
      </c>
      <c r="G27" s="247">
        <f>SUM(F27)/F24*100</f>
        <v>35.44231319782422</v>
      </c>
    </row>
    <row r="28" spans="2:7" x14ac:dyDescent="0.25">
      <c r="B28" s="223" t="s">
        <v>222</v>
      </c>
      <c r="C28" s="224">
        <v>44</v>
      </c>
      <c r="D28" s="224">
        <v>163</v>
      </c>
      <c r="E28" s="247">
        <f>SUM(D28)/D24*100</f>
        <v>4.5328142380422696</v>
      </c>
      <c r="F28" s="224">
        <v>191</v>
      </c>
      <c r="G28" s="247">
        <f>SUM(F28)/F24*100</f>
        <v>5.4680790151732035</v>
      </c>
    </row>
    <row r="29" spans="2:7" x14ac:dyDescent="0.25">
      <c r="B29" s="249" t="s">
        <v>195</v>
      </c>
      <c r="C29" s="252">
        <v>5</v>
      </c>
      <c r="D29" s="253">
        <f>SUM(D30:D33)</f>
        <v>16051</v>
      </c>
      <c r="E29" s="269">
        <f>SUM(D29)/D60*100</f>
        <v>21.277639323399971</v>
      </c>
      <c r="F29" s="253">
        <f>SUM(F30:F33)</f>
        <v>15342</v>
      </c>
      <c r="G29" s="269">
        <f>SUM(F29)/F60*100</f>
        <v>21.822371415566682</v>
      </c>
    </row>
    <row r="30" spans="2:7" x14ac:dyDescent="0.25">
      <c r="B30" s="223" t="s">
        <v>223</v>
      </c>
      <c r="C30" s="224">
        <v>51</v>
      </c>
      <c r="D30" s="148">
        <v>7262</v>
      </c>
      <c r="E30" s="247">
        <f>SUM(D30)/D29*100</f>
        <v>45.243287022615412</v>
      </c>
      <c r="F30" s="148">
        <v>6800</v>
      </c>
      <c r="G30" s="247">
        <f>SUM(F30)/F29*100</f>
        <v>44.322774084213272</v>
      </c>
    </row>
    <row r="31" spans="2:7" x14ac:dyDescent="0.25">
      <c r="B31" s="223" t="s">
        <v>224</v>
      </c>
      <c r="C31" s="224">
        <v>52</v>
      </c>
      <c r="D31" s="148">
        <v>7996</v>
      </c>
      <c r="E31" s="247">
        <f>SUM(D31)/D29*100</f>
        <v>49.816210827985799</v>
      </c>
      <c r="F31" s="148">
        <v>7715</v>
      </c>
      <c r="G31" s="247">
        <f>SUM(F31)/F29*100</f>
        <v>50.286794420544908</v>
      </c>
    </row>
    <row r="32" spans="2:7" x14ac:dyDescent="0.25">
      <c r="B32" s="223" t="s">
        <v>225</v>
      </c>
      <c r="C32" s="224">
        <v>53</v>
      </c>
      <c r="D32" s="224">
        <v>408</v>
      </c>
      <c r="E32" s="247">
        <f>SUM(D32)/D29*100</f>
        <v>2.5418977010778145</v>
      </c>
      <c r="F32" s="224">
        <v>440</v>
      </c>
      <c r="G32" s="247">
        <f>SUM(F32)/F29*100</f>
        <v>2.8679442054490938</v>
      </c>
    </row>
    <row r="33" spans="2:7" x14ac:dyDescent="0.25">
      <c r="B33" s="223" t="s">
        <v>226</v>
      </c>
      <c r="C33" s="224">
        <v>54</v>
      </c>
      <c r="D33" s="224">
        <v>385</v>
      </c>
      <c r="E33" s="247">
        <f>SUM(D33)/D29*100</f>
        <v>2.398604448320977</v>
      </c>
      <c r="F33" s="224">
        <v>387</v>
      </c>
      <c r="G33" s="247">
        <f>SUM(F33)/F29*100</f>
        <v>2.5224872897927257</v>
      </c>
    </row>
    <row r="34" spans="2:7" x14ac:dyDescent="0.25">
      <c r="B34" s="249" t="s">
        <v>196</v>
      </c>
      <c r="C34" s="252">
        <v>6</v>
      </c>
      <c r="D34" s="253">
        <f>SUM(D35:D37)</f>
        <v>1298</v>
      </c>
      <c r="E34" s="269">
        <f>SUM(D34)/D60*100</f>
        <v>1.7206638740124081</v>
      </c>
      <c r="F34" s="253">
        <f>SUM(F35:F37)</f>
        <v>1195</v>
      </c>
      <c r="G34" s="269">
        <f>SUM(F34)/F60*100</f>
        <v>1.6997610377787891</v>
      </c>
    </row>
    <row r="35" spans="2:7" x14ac:dyDescent="0.25">
      <c r="B35" s="223" t="s">
        <v>227</v>
      </c>
      <c r="C35" s="224">
        <v>61</v>
      </c>
      <c r="D35" s="148">
        <v>907</v>
      </c>
      <c r="E35" s="247">
        <f>SUM(D35)/D34*100</f>
        <v>69.876733436055474</v>
      </c>
      <c r="F35" s="148">
        <v>799</v>
      </c>
      <c r="G35" s="247">
        <f>SUM(F35)/F34*100</f>
        <v>66.861924686192467</v>
      </c>
    </row>
    <row r="36" spans="2:7" x14ac:dyDescent="0.25">
      <c r="B36" s="223" t="s">
        <v>228</v>
      </c>
      <c r="C36" s="224">
        <v>62</v>
      </c>
      <c r="D36" s="224">
        <v>274</v>
      </c>
      <c r="E36" s="247">
        <f>SUM(D36)/D34*100</f>
        <v>21.109399075500772</v>
      </c>
      <c r="F36" s="224">
        <v>258</v>
      </c>
      <c r="G36" s="247">
        <f>SUM(F36)/F34*100</f>
        <v>21.589958158995817</v>
      </c>
    </row>
    <row r="37" spans="2:7" x14ac:dyDescent="0.25">
      <c r="B37" s="223" t="s">
        <v>229</v>
      </c>
      <c r="C37" s="224">
        <v>63</v>
      </c>
      <c r="D37" s="224">
        <v>117</v>
      </c>
      <c r="E37" s="247">
        <f>SUM(D37)/D34*100</f>
        <v>9.0138674884437595</v>
      </c>
      <c r="F37" s="224">
        <v>138</v>
      </c>
      <c r="G37" s="247">
        <f>SUM(F37)/F34*100</f>
        <v>11.548117154811715</v>
      </c>
    </row>
    <row r="38" spans="2:7" x14ac:dyDescent="0.25">
      <c r="B38" s="249" t="s">
        <v>197</v>
      </c>
      <c r="C38" s="252">
        <v>7</v>
      </c>
      <c r="D38" s="253">
        <f>SUM(D39:D43)</f>
        <v>19227</v>
      </c>
      <c r="E38" s="269">
        <f>SUM(D38)/D60*100</f>
        <v>25.487830743941885</v>
      </c>
      <c r="F38" s="253">
        <f>SUM(F39:F43)</f>
        <v>17718</v>
      </c>
      <c r="G38" s="269">
        <f>SUM(F38)/F60*100</f>
        <v>25.20197997269003</v>
      </c>
    </row>
    <row r="39" spans="2:7" x14ac:dyDescent="0.25">
      <c r="B39" s="223" t="s">
        <v>230</v>
      </c>
      <c r="C39" s="224">
        <v>71</v>
      </c>
      <c r="D39" s="148">
        <v>4904</v>
      </c>
      <c r="E39" s="247">
        <f>SUM(D39)/D38*100</f>
        <v>25.505799136630781</v>
      </c>
      <c r="F39" s="148">
        <v>4547</v>
      </c>
      <c r="G39" s="247">
        <f>SUM(F39)/F38*100</f>
        <v>25.663167400383792</v>
      </c>
    </row>
    <row r="40" spans="2:7" x14ac:dyDescent="0.25">
      <c r="B40" s="223" t="s">
        <v>231</v>
      </c>
      <c r="C40" s="224">
        <v>72</v>
      </c>
      <c r="D40" s="148">
        <v>6667</v>
      </c>
      <c r="E40" s="247">
        <f>SUM(D40)/D38*100</f>
        <v>34.675196338482344</v>
      </c>
      <c r="F40" s="148">
        <v>6140</v>
      </c>
      <c r="G40" s="247">
        <f>SUM(F40)/F38*100</f>
        <v>34.654024156225304</v>
      </c>
    </row>
    <row r="41" spans="2:7" x14ac:dyDescent="0.25">
      <c r="B41" s="223" t="s">
        <v>232</v>
      </c>
      <c r="C41" s="224">
        <v>73</v>
      </c>
      <c r="D41" s="148">
        <v>873</v>
      </c>
      <c r="E41" s="247">
        <f>SUM(D41)/D38*100</f>
        <v>4.5404899360274618</v>
      </c>
      <c r="F41" s="148">
        <v>805</v>
      </c>
      <c r="G41" s="247">
        <f>SUM(F41)/F38*100</f>
        <v>4.543402189863416</v>
      </c>
    </row>
    <row r="42" spans="2:7" x14ac:dyDescent="0.25">
      <c r="B42" s="223" t="s">
        <v>233</v>
      </c>
      <c r="C42" s="224">
        <v>74</v>
      </c>
      <c r="D42" s="148">
        <v>1377</v>
      </c>
      <c r="E42" s="247">
        <f>SUM(D42)/D38*100</f>
        <v>7.1618037135278518</v>
      </c>
      <c r="F42" s="148">
        <v>1236</v>
      </c>
      <c r="G42" s="247">
        <f>SUM(F42)/F38*100</f>
        <v>6.9759566542499147</v>
      </c>
    </row>
    <row r="43" spans="2:7" ht="30" x14ac:dyDescent="0.25">
      <c r="B43" s="223" t="s">
        <v>234</v>
      </c>
      <c r="C43" s="224">
        <v>75</v>
      </c>
      <c r="D43" s="148">
        <v>5406</v>
      </c>
      <c r="E43" s="247">
        <f>SUM(D43)/D38*100</f>
        <v>28.116710875331563</v>
      </c>
      <c r="F43" s="148">
        <v>4990</v>
      </c>
      <c r="G43" s="247">
        <f>SUM(F43)/F38*100</f>
        <v>28.163449599277573</v>
      </c>
    </row>
    <row r="44" spans="2:7" x14ac:dyDescent="0.25">
      <c r="B44" s="249" t="s">
        <v>198</v>
      </c>
      <c r="C44" s="252">
        <v>8</v>
      </c>
      <c r="D44" s="253">
        <f>SUM(D45:D47)</f>
        <v>4710</v>
      </c>
      <c r="E44" s="269">
        <f>SUM(D44)/D60*100</f>
        <v>6.2437032716474894</v>
      </c>
      <c r="F44" s="253">
        <f>SUM(F45:F47)</f>
        <v>4311</v>
      </c>
      <c r="G44" s="269">
        <f>SUM(F44)/F60*100</f>
        <v>6.1319412835685023</v>
      </c>
    </row>
    <row r="45" spans="2:7" x14ac:dyDescent="0.25">
      <c r="B45" s="223" t="s">
        <v>235</v>
      </c>
      <c r="C45" s="224">
        <v>81</v>
      </c>
      <c r="D45" s="148">
        <v>2320</v>
      </c>
      <c r="E45" s="247">
        <f>SUM(D45)/D44*100</f>
        <v>49.256900212314228</v>
      </c>
      <c r="F45" s="148">
        <v>2181</v>
      </c>
      <c r="G45" s="247">
        <f>SUM(F45)/F44*100</f>
        <v>50.591510090466251</v>
      </c>
    </row>
    <row r="46" spans="2:7" x14ac:dyDescent="0.25">
      <c r="B46" s="223" t="s">
        <v>236</v>
      </c>
      <c r="C46" s="224">
        <v>82</v>
      </c>
      <c r="D46" s="224">
        <v>490</v>
      </c>
      <c r="E46" s="247">
        <f>SUM(D46)/D44*100</f>
        <v>10.40339702760085</v>
      </c>
      <c r="F46" s="224">
        <v>452</v>
      </c>
      <c r="G46" s="247">
        <f>SUM(F46)/F44*100</f>
        <v>10.484806309440966</v>
      </c>
    </row>
    <row r="47" spans="2:7" x14ac:dyDescent="0.25">
      <c r="B47" s="223" t="s">
        <v>237</v>
      </c>
      <c r="C47" s="224">
        <v>83</v>
      </c>
      <c r="D47" s="148">
        <v>1900</v>
      </c>
      <c r="E47" s="247">
        <f>SUM(D47)/D44*100</f>
        <v>40.339702760084926</v>
      </c>
      <c r="F47" s="148">
        <v>1678</v>
      </c>
      <c r="G47" s="247">
        <f>SUM(F47)/F44*100</f>
        <v>38.923683600092787</v>
      </c>
    </row>
    <row r="48" spans="2:7" x14ac:dyDescent="0.25">
      <c r="B48" s="249" t="s">
        <v>199</v>
      </c>
      <c r="C48" s="252">
        <v>9</v>
      </c>
      <c r="D48" s="253">
        <f>SUM(D49:D54)</f>
        <v>6570</v>
      </c>
      <c r="E48" s="269">
        <f>SUM(D48)/D60*100</f>
        <v>8.7093695317885356</v>
      </c>
      <c r="F48" s="253">
        <f>SUM(F49:F54)</f>
        <v>6384</v>
      </c>
      <c r="G48" s="269">
        <f>SUM(F48)/F60*100</f>
        <v>9.0805644060081931</v>
      </c>
    </row>
    <row r="49" spans="2:7" x14ac:dyDescent="0.25">
      <c r="B49" s="223" t="s">
        <v>238</v>
      </c>
      <c r="C49" s="224">
        <v>91</v>
      </c>
      <c r="D49" s="148">
        <v>1252</v>
      </c>
      <c r="E49" s="247">
        <f>SUM(D49)/D48*100</f>
        <v>19.056316590563167</v>
      </c>
      <c r="F49" s="148">
        <v>1189</v>
      </c>
      <c r="G49" s="247">
        <f>SUM(F49)/F48*100</f>
        <v>18.624686716791981</v>
      </c>
    </row>
    <row r="50" spans="2:7" ht="30" x14ac:dyDescent="0.25">
      <c r="B50" s="223" t="s">
        <v>239</v>
      </c>
      <c r="C50" s="224">
        <v>92</v>
      </c>
      <c r="D50" s="224">
        <v>282</v>
      </c>
      <c r="E50" s="247">
        <f>SUM(D50)/D48*100</f>
        <v>4.2922374429223744</v>
      </c>
      <c r="F50" s="224">
        <v>309</v>
      </c>
      <c r="G50" s="247">
        <f>SUM(F50)/F48*100</f>
        <v>4.8402255639097742</v>
      </c>
    </row>
    <row r="51" spans="2:7" ht="30" x14ac:dyDescent="0.25">
      <c r="B51" s="223" t="s">
        <v>240</v>
      </c>
      <c r="C51" s="224">
        <v>93</v>
      </c>
      <c r="D51" s="148">
        <v>3678</v>
      </c>
      <c r="E51" s="247">
        <f>SUM(D51)/D48*100</f>
        <v>55.981735159817347</v>
      </c>
      <c r="F51" s="148">
        <v>3553</v>
      </c>
      <c r="G51" s="247">
        <f>SUM(F51)/F48*100</f>
        <v>55.654761904761905</v>
      </c>
    </row>
    <row r="52" spans="2:7" ht="30" x14ac:dyDescent="0.25">
      <c r="B52" s="223" t="s">
        <v>241</v>
      </c>
      <c r="C52" s="224">
        <v>94</v>
      </c>
      <c r="D52" s="224">
        <v>420</v>
      </c>
      <c r="E52" s="247">
        <f>SUM(D52)/D48*100</f>
        <v>6.3926940639269407</v>
      </c>
      <c r="F52" s="224">
        <v>403</v>
      </c>
      <c r="G52" s="247">
        <f>SUM(F52)/F48*100</f>
        <v>6.3126566416040104</v>
      </c>
    </row>
    <row r="53" spans="2:7" x14ac:dyDescent="0.25">
      <c r="B53" s="223" t="s">
        <v>242</v>
      </c>
      <c r="C53" s="224">
        <v>95</v>
      </c>
      <c r="D53" s="224">
        <v>18</v>
      </c>
      <c r="E53" s="247">
        <f>SUM(D53)/D48*100</f>
        <v>0.27397260273972601</v>
      </c>
      <c r="F53" s="224">
        <v>15</v>
      </c>
      <c r="G53" s="247">
        <f>SUM(F53)/F48*100</f>
        <v>0.23496240601503759</v>
      </c>
    </row>
    <row r="54" spans="2:7" x14ac:dyDescent="0.25">
      <c r="B54" s="223" t="s">
        <v>243</v>
      </c>
      <c r="C54" s="224">
        <v>96</v>
      </c>
      <c r="D54" s="148">
        <v>920</v>
      </c>
      <c r="E54" s="247">
        <f>SUM(D54)/D48*100</f>
        <v>14.00304414003044</v>
      </c>
      <c r="F54" s="148">
        <v>915</v>
      </c>
      <c r="G54" s="247">
        <f>SUM(F54)/F48*100</f>
        <v>14.332706766917294</v>
      </c>
    </row>
    <row r="55" spans="2:7" x14ac:dyDescent="0.25">
      <c r="B55" s="249" t="s">
        <v>206</v>
      </c>
      <c r="C55" s="252">
        <v>0</v>
      </c>
      <c r="D55" s="252">
        <f>SUM(D56:D58)</f>
        <v>35</v>
      </c>
      <c r="E55" s="446">
        <f>SUM(D55)/D60*100</f>
        <v>4.6396945755342277E-2</v>
      </c>
      <c r="F55" s="252">
        <f>SUM(F56:F58)</f>
        <v>36</v>
      </c>
      <c r="G55" s="446">
        <f>SUM(F55)/F60*100</f>
        <v>5.1206190259444694E-2</v>
      </c>
    </row>
    <row r="56" spans="2:7" x14ac:dyDescent="0.25">
      <c r="B56" s="223" t="s">
        <v>244</v>
      </c>
      <c r="C56" s="224">
        <v>1</v>
      </c>
      <c r="D56" s="224">
        <v>0</v>
      </c>
      <c r="E56" s="247">
        <f>SUM(D56)/D55*100</f>
        <v>0</v>
      </c>
      <c r="F56" s="224">
        <v>0</v>
      </c>
      <c r="G56" s="247">
        <f>SUM(F56)/F55*100</f>
        <v>0</v>
      </c>
    </row>
    <row r="57" spans="2:7" x14ac:dyDescent="0.25">
      <c r="B57" s="223" t="s">
        <v>245</v>
      </c>
      <c r="C57" s="224">
        <v>2</v>
      </c>
      <c r="D57" s="224">
        <v>1</v>
      </c>
      <c r="E57" s="247">
        <f>SUM(D57)/D55*100</f>
        <v>2.8571428571428572</v>
      </c>
      <c r="F57" s="224">
        <v>1</v>
      </c>
      <c r="G57" s="247">
        <f>SUM(F57)/F55*100</f>
        <v>2.7777777777777777</v>
      </c>
    </row>
    <row r="58" spans="2:7" ht="15.75" thickBot="1" x14ac:dyDescent="0.3">
      <c r="B58" s="225" t="s">
        <v>246</v>
      </c>
      <c r="C58" s="220">
        <v>3</v>
      </c>
      <c r="D58" s="220">
        <v>34</v>
      </c>
      <c r="E58" s="270">
        <f>SUM(D58)/D55*100</f>
        <v>97.142857142857139</v>
      </c>
      <c r="F58" s="220">
        <v>35</v>
      </c>
      <c r="G58" s="270">
        <f>SUM(F58)/F55*100</f>
        <v>97.222222222222214</v>
      </c>
    </row>
    <row r="59" spans="2:7" x14ac:dyDescent="0.25">
      <c r="B59" s="254" t="s">
        <v>249</v>
      </c>
      <c r="C59" s="255" t="s">
        <v>183</v>
      </c>
      <c r="D59" s="256">
        <v>10723</v>
      </c>
      <c r="E59" s="268">
        <f>SUM(D59)/D61*100</f>
        <v>12.445594772455577</v>
      </c>
      <c r="F59" s="256">
        <v>10640</v>
      </c>
      <c r="G59" s="268">
        <f>SUM(F59)/F61*100</f>
        <v>13.144890294524608</v>
      </c>
    </row>
    <row r="60" spans="2:7" ht="15.75" thickBot="1" x14ac:dyDescent="0.3">
      <c r="B60" s="257" t="s">
        <v>207</v>
      </c>
      <c r="C60" s="258" t="s">
        <v>184</v>
      </c>
      <c r="D60" s="259">
        <f>SUM(D6,D11,D18,D24,D29,D34,D38,D44,D48,D55)</f>
        <v>75436</v>
      </c>
      <c r="E60" s="271">
        <f>SUM(E6,E11,E18,E24,E29,E34,E38,E44,E48,E55)</f>
        <v>100</v>
      </c>
      <c r="F60" s="259">
        <f>SUM(F6,F11,F18,F24,F29,F34,F38,F44,F48,F55)</f>
        <v>70304</v>
      </c>
      <c r="G60" s="271">
        <f>SUM(G6,G11,G18,G24,G29,G34,G38,G44,G48,G55)</f>
        <v>100.00000000000001</v>
      </c>
    </row>
    <row r="61" spans="2:7" ht="19.5" thickBot="1" x14ac:dyDescent="0.3">
      <c r="B61" s="260" t="s">
        <v>62</v>
      </c>
      <c r="C61" s="261" t="s">
        <v>185</v>
      </c>
      <c r="D61" s="262">
        <f>SUM(D59:D60)</f>
        <v>86159</v>
      </c>
      <c r="E61" s="263" t="s">
        <v>108</v>
      </c>
      <c r="F61" s="262">
        <f>SUM(F59:F60)</f>
        <v>80944</v>
      </c>
      <c r="G61" s="263" t="s">
        <v>108</v>
      </c>
    </row>
    <row r="62" spans="2:7" x14ac:dyDescent="0.25">
      <c r="B62" s="229" t="s">
        <v>269</v>
      </c>
      <c r="C62" s="229"/>
      <c r="D62" s="229"/>
      <c r="E62" s="229"/>
    </row>
    <row r="63" spans="2:7" ht="14.25" customHeight="1" x14ac:dyDescent="0.25">
      <c r="B63" s="11" t="s">
        <v>250</v>
      </c>
    </row>
    <row r="64" spans="2:7" ht="13.5" customHeight="1" x14ac:dyDescent="0.25">
      <c r="B64" s="11" t="s">
        <v>251</v>
      </c>
    </row>
    <row r="65" spans="4:7" x14ac:dyDescent="0.25">
      <c r="D65" s="521">
        <f>SUM(D6,D11,D18,D24,D29,D34,D38,D44,D48,D55,D59)</f>
        <v>86159</v>
      </c>
      <c r="F65" s="521">
        <f>SUM(F6,F11,F18,F24,F29,F34,F38,F44,F48,F55,F59)</f>
        <v>80944</v>
      </c>
    </row>
    <row r="66" spans="4:7" x14ac:dyDescent="0.25">
      <c r="E66" s="521"/>
      <c r="G66" s="521"/>
    </row>
  </sheetData>
  <printOptions horizontalCentered="1" verticalCentered="1"/>
  <pageMargins left="1.0236220472440944" right="0.31496062992125984" top="0.31496062992125984" bottom="0" header="0" footer="0"/>
  <pageSetup paperSize="9" scale="7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2:AA46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3.85546875" style="11" customWidth="1"/>
    <col min="2" max="2" width="26" style="11" customWidth="1"/>
    <col min="3" max="3" width="16.140625" style="11" customWidth="1"/>
    <col min="4" max="4" width="16" style="11" customWidth="1"/>
    <col min="5" max="5" width="16.28515625" style="11" customWidth="1"/>
    <col min="6" max="6" width="3.85546875" style="11" customWidth="1"/>
    <col min="7" max="7" width="11.42578125" style="11" bestFit="1" customWidth="1"/>
    <col min="8" max="8" width="9.5703125" style="11" customWidth="1"/>
    <col min="9" max="9" width="11.140625" style="11" customWidth="1"/>
    <col min="10" max="10" width="4.42578125" style="11" customWidth="1"/>
    <col min="11" max="11" width="9.85546875" style="11" customWidth="1"/>
    <col min="12" max="12" width="9.140625" style="11"/>
    <col min="13" max="13" width="10.5703125" style="11" customWidth="1"/>
    <col min="14" max="14" width="11.28515625" style="11" customWidth="1"/>
    <col min="15" max="15" width="11.85546875" style="11" customWidth="1"/>
    <col min="16" max="16" width="10.42578125" style="11" customWidth="1"/>
    <col min="17" max="16384" width="9.140625" style="11"/>
  </cols>
  <sheetData>
    <row r="2" spans="2:16" x14ac:dyDescent="0.25">
      <c r="B2" s="11" t="s">
        <v>510</v>
      </c>
    </row>
    <row r="3" spans="2:16" x14ac:dyDescent="0.25">
      <c r="B3" s="11" t="s">
        <v>398</v>
      </c>
    </row>
    <row r="4" spans="2:16" x14ac:dyDescent="0.25">
      <c r="B4" s="11" t="s">
        <v>397</v>
      </c>
    </row>
    <row r="5" spans="2:16" ht="11.25" customHeight="1" thickBot="1" x14ac:dyDescent="0.3"/>
    <row r="6" spans="2:16" ht="22.5" customHeight="1" thickBot="1" x14ac:dyDescent="0.3">
      <c r="B6" s="194"/>
      <c r="C6" s="245"/>
      <c r="D6" s="198" t="s">
        <v>490</v>
      </c>
      <c r="E6" s="246"/>
    </row>
    <row r="7" spans="2:16" ht="21.75" customHeight="1" thickBot="1" x14ac:dyDescent="0.3">
      <c r="B7" s="197" t="s">
        <v>25</v>
      </c>
      <c r="C7" s="105"/>
      <c r="D7" s="812" t="s">
        <v>61</v>
      </c>
      <c r="E7" s="814"/>
    </row>
    <row r="8" spans="2:16" ht="34.5" customHeight="1" thickBot="1" x14ac:dyDescent="0.3">
      <c r="B8" s="134"/>
      <c r="C8" s="196" t="s">
        <v>58</v>
      </c>
      <c r="D8" s="192" t="s">
        <v>59</v>
      </c>
      <c r="E8" s="193" t="s">
        <v>60</v>
      </c>
    </row>
    <row r="9" spans="2:16" ht="23.25" customHeight="1" thickBot="1" x14ac:dyDescent="0.3">
      <c r="B9" s="135" t="s">
        <v>26</v>
      </c>
      <c r="C9" s="156">
        <f>SUM(C10:C34)</f>
        <v>24927</v>
      </c>
      <c r="D9" s="136">
        <f>SUM(D10:D34)</f>
        <v>9903</v>
      </c>
      <c r="E9" s="157">
        <f>SUM(E10:E34)</f>
        <v>3691</v>
      </c>
      <c r="F9" s="388"/>
    </row>
    <row r="10" spans="2:16" ht="14.25" customHeight="1" x14ac:dyDescent="0.25">
      <c r="B10" s="61" t="s">
        <v>27</v>
      </c>
      <c r="C10" s="41">
        <v>290</v>
      </c>
      <c r="D10" s="37">
        <v>174</v>
      </c>
      <c r="E10" s="158">
        <v>77</v>
      </c>
      <c r="G10" s="520" t="s">
        <v>384</v>
      </c>
      <c r="H10" s="520" t="s">
        <v>385</v>
      </c>
      <c r="I10" s="520" t="s">
        <v>386</v>
      </c>
      <c r="J10" s="527"/>
      <c r="K10" s="520" t="s">
        <v>361</v>
      </c>
      <c r="L10" s="520" t="s">
        <v>421</v>
      </c>
      <c r="M10" s="520" t="s">
        <v>339</v>
      </c>
      <c r="N10" s="520" t="s">
        <v>420</v>
      </c>
      <c r="O10" s="520" t="s">
        <v>340</v>
      </c>
    </row>
    <row r="11" spans="2:16" x14ac:dyDescent="0.25">
      <c r="B11" s="12" t="s">
        <v>28</v>
      </c>
      <c r="C11" s="39">
        <v>477</v>
      </c>
      <c r="D11" s="13">
        <v>404</v>
      </c>
      <c r="E11" s="15">
        <v>120</v>
      </c>
      <c r="G11" s="104">
        <v>1998</v>
      </c>
      <c r="H11" s="528" t="s">
        <v>108</v>
      </c>
      <c r="I11" s="528" t="s">
        <v>108</v>
      </c>
      <c r="J11" s="28"/>
      <c r="K11" s="14" t="s">
        <v>362</v>
      </c>
      <c r="L11" s="528" t="s">
        <v>108</v>
      </c>
      <c r="M11" s="528" t="s">
        <v>108</v>
      </c>
      <c r="N11" s="528" t="s">
        <v>108</v>
      </c>
      <c r="O11" s="528" t="s">
        <v>108</v>
      </c>
      <c r="P11" s="551" t="s">
        <v>108</v>
      </c>
    </row>
    <row r="12" spans="2:16" ht="14.25" customHeight="1" x14ac:dyDescent="0.25">
      <c r="B12" s="12" t="s">
        <v>29</v>
      </c>
      <c r="C12" s="39">
        <v>1958</v>
      </c>
      <c r="D12" s="13">
        <v>388</v>
      </c>
      <c r="E12" s="15">
        <v>110</v>
      </c>
      <c r="G12" s="104">
        <v>1999</v>
      </c>
      <c r="H12" s="14">
        <v>38322</v>
      </c>
      <c r="I12" s="550">
        <v>14842</v>
      </c>
      <c r="J12" s="28"/>
      <c r="K12" s="14" t="s">
        <v>363</v>
      </c>
      <c r="L12" s="14">
        <v>19411</v>
      </c>
      <c r="M12" s="528" t="s">
        <v>416</v>
      </c>
      <c r="N12" s="550"/>
      <c r="O12" s="14">
        <f t="shared" ref="O12:O31" si="0">SUM(I12-N12)</f>
        <v>14842</v>
      </c>
      <c r="P12" s="388">
        <f>SUM(N12/L12*100)</f>
        <v>0</v>
      </c>
    </row>
    <row r="13" spans="2:16" ht="18" customHeight="1" x14ac:dyDescent="0.25">
      <c r="B13" s="12" t="s">
        <v>30</v>
      </c>
      <c r="C13" s="39">
        <v>1326</v>
      </c>
      <c r="D13" s="13">
        <v>690</v>
      </c>
      <c r="E13" s="15">
        <v>211</v>
      </c>
      <c r="G13" s="104">
        <v>2000</v>
      </c>
      <c r="H13" s="14">
        <v>31625</v>
      </c>
      <c r="I13" s="14">
        <v>14996</v>
      </c>
      <c r="J13" s="28"/>
      <c r="K13" s="14" t="s">
        <v>364</v>
      </c>
      <c r="L13" s="14">
        <v>16479</v>
      </c>
      <c r="M13" s="517">
        <f>SUM(L13-L12)/L12*100</f>
        <v>-15.104837463294007</v>
      </c>
      <c r="N13" s="550"/>
      <c r="O13" s="14">
        <f t="shared" si="0"/>
        <v>14996</v>
      </c>
      <c r="P13" s="388">
        <f t="shared" ref="P13:P29" si="1">SUM(N13/L13*100)</f>
        <v>0</v>
      </c>
    </row>
    <row r="14" spans="2:16" x14ac:dyDescent="0.25">
      <c r="B14" s="12" t="s">
        <v>31</v>
      </c>
      <c r="C14" s="39">
        <v>701</v>
      </c>
      <c r="D14" s="13">
        <v>463</v>
      </c>
      <c r="E14" s="15">
        <v>143</v>
      </c>
      <c r="G14" s="104">
        <v>2001</v>
      </c>
      <c r="H14" s="14">
        <v>25129</v>
      </c>
      <c r="I14" s="14">
        <v>8521</v>
      </c>
      <c r="J14" s="549" t="s">
        <v>415</v>
      </c>
      <c r="K14" s="14" t="s">
        <v>365</v>
      </c>
      <c r="L14" s="547">
        <v>12461</v>
      </c>
      <c r="M14" s="517">
        <f>SUM(L14-L12)/L12*100</f>
        <v>-35.804440781000466</v>
      </c>
      <c r="N14" s="14">
        <v>4362</v>
      </c>
      <c r="O14" s="14">
        <f t="shared" si="0"/>
        <v>4159</v>
      </c>
      <c r="P14" s="388">
        <f t="shared" si="1"/>
        <v>35.005216274777304</v>
      </c>
    </row>
    <row r="15" spans="2:16" x14ac:dyDescent="0.25">
      <c r="B15" s="12" t="s">
        <v>32</v>
      </c>
      <c r="C15" s="39">
        <v>712</v>
      </c>
      <c r="D15" s="13">
        <v>376</v>
      </c>
      <c r="E15" s="15">
        <v>90</v>
      </c>
      <c r="G15" s="104">
        <v>2002</v>
      </c>
      <c r="H15" s="14">
        <v>28470</v>
      </c>
      <c r="I15" s="14">
        <v>12944</v>
      </c>
      <c r="J15" s="28"/>
      <c r="K15" s="14" t="s">
        <v>366</v>
      </c>
      <c r="L15" s="14">
        <v>12658</v>
      </c>
      <c r="M15" s="517">
        <f>SUM(L15-L12)/L12*100</f>
        <v>-34.789552315697286</v>
      </c>
      <c r="N15" s="14">
        <v>4639</v>
      </c>
      <c r="O15" s="14">
        <f t="shared" si="0"/>
        <v>8305</v>
      </c>
      <c r="P15" s="388">
        <f t="shared" si="1"/>
        <v>36.6487596776742</v>
      </c>
    </row>
    <row r="16" spans="2:16" ht="15.75" customHeight="1" x14ac:dyDescent="0.25">
      <c r="B16" s="12" t="s">
        <v>33</v>
      </c>
      <c r="C16" s="39">
        <v>508</v>
      </c>
      <c r="D16" s="13">
        <v>182</v>
      </c>
      <c r="E16" s="15">
        <v>50</v>
      </c>
      <c r="G16" s="104">
        <v>2003</v>
      </c>
      <c r="H16" s="14">
        <v>39334</v>
      </c>
      <c r="I16" s="14">
        <v>22556</v>
      </c>
      <c r="J16" s="28"/>
      <c r="K16" s="14" t="s">
        <v>367</v>
      </c>
      <c r="L16" s="14">
        <v>19490</v>
      </c>
      <c r="M16" s="517">
        <f>SUM(L16-L12)/L12*100</f>
        <v>0.40698572974086861</v>
      </c>
      <c r="N16" s="14">
        <v>11201</v>
      </c>
      <c r="O16" s="14">
        <f t="shared" si="0"/>
        <v>11355</v>
      </c>
      <c r="P16" s="388">
        <f t="shared" si="1"/>
        <v>57.470497691123654</v>
      </c>
    </row>
    <row r="17" spans="2:16" x14ac:dyDescent="0.25">
      <c r="B17" s="12" t="s">
        <v>34</v>
      </c>
      <c r="C17" s="39">
        <v>379</v>
      </c>
      <c r="D17" s="13">
        <v>125</v>
      </c>
      <c r="E17" s="15">
        <v>26</v>
      </c>
      <c r="G17" s="104">
        <v>2004</v>
      </c>
      <c r="H17" s="14">
        <v>40346</v>
      </c>
      <c r="I17" s="14">
        <v>20038</v>
      </c>
      <c r="J17" s="28"/>
      <c r="K17" s="14" t="s">
        <v>368</v>
      </c>
      <c r="L17" s="14">
        <v>21329</v>
      </c>
      <c r="M17" s="517">
        <f>SUM(L17-L12)/L12*100</f>
        <v>9.8809953119365321</v>
      </c>
      <c r="N17" s="550"/>
      <c r="O17" s="14">
        <f t="shared" si="0"/>
        <v>20038</v>
      </c>
      <c r="P17" s="388">
        <f t="shared" si="1"/>
        <v>0</v>
      </c>
    </row>
    <row r="18" spans="2:16" x14ac:dyDescent="0.25">
      <c r="B18" s="12" t="s">
        <v>35</v>
      </c>
      <c r="C18" s="39">
        <v>847</v>
      </c>
      <c r="D18" s="13">
        <v>412</v>
      </c>
      <c r="E18" s="15">
        <v>108</v>
      </c>
      <c r="G18" s="104">
        <v>2005</v>
      </c>
      <c r="H18" s="14">
        <v>41016</v>
      </c>
      <c r="I18" s="14">
        <v>18757</v>
      </c>
      <c r="J18" s="28"/>
      <c r="K18" s="14" t="s">
        <v>369</v>
      </c>
      <c r="L18" s="14">
        <v>21427</v>
      </c>
      <c r="M18" s="517">
        <f>SUM(L18-L12)/L12*100</f>
        <v>10.385863685539128</v>
      </c>
      <c r="N18" s="14">
        <v>10813</v>
      </c>
      <c r="O18" s="14">
        <f>SUM(I18-N18)</f>
        <v>7944</v>
      </c>
      <c r="P18" s="388">
        <f t="shared" si="1"/>
        <v>50.46436738694171</v>
      </c>
    </row>
    <row r="19" spans="2:16" x14ac:dyDescent="0.25">
      <c r="B19" s="12" t="s">
        <v>36</v>
      </c>
      <c r="C19" s="39">
        <v>538</v>
      </c>
      <c r="D19" s="13">
        <v>385</v>
      </c>
      <c r="E19" s="15">
        <v>153</v>
      </c>
      <c r="G19" s="104">
        <v>2006</v>
      </c>
      <c r="H19" s="14">
        <v>48932</v>
      </c>
      <c r="I19" s="14">
        <v>20054</v>
      </c>
      <c r="J19" s="28"/>
      <c r="K19" s="14" t="s">
        <v>370</v>
      </c>
      <c r="L19" s="14">
        <v>25517</v>
      </c>
      <c r="M19" s="517">
        <f>SUM(L19-L12)/L12*100</f>
        <v>31.456390706300553</v>
      </c>
      <c r="N19" s="14">
        <v>9779</v>
      </c>
      <c r="O19" s="14">
        <f t="shared" si="0"/>
        <v>10275</v>
      </c>
      <c r="P19" s="388">
        <f t="shared" si="1"/>
        <v>38.323470627424854</v>
      </c>
    </row>
    <row r="20" spans="2:16" x14ac:dyDescent="0.25">
      <c r="B20" s="12" t="s">
        <v>37</v>
      </c>
      <c r="C20" s="39">
        <v>768</v>
      </c>
      <c r="D20" s="13">
        <v>502</v>
      </c>
      <c r="E20" s="15">
        <v>180</v>
      </c>
      <c r="G20" s="104">
        <v>2007</v>
      </c>
      <c r="H20" s="14">
        <v>49327</v>
      </c>
      <c r="I20" s="14">
        <v>24494</v>
      </c>
      <c r="J20" s="28"/>
      <c r="K20" s="14" t="s">
        <v>371</v>
      </c>
      <c r="L20" s="14">
        <v>27392</v>
      </c>
      <c r="M20" s="517">
        <f>SUM(L20-L12)/L12*100</f>
        <v>41.115862140023694</v>
      </c>
      <c r="N20" s="14">
        <v>14414</v>
      </c>
      <c r="O20" s="14">
        <f t="shared" si="0"/>
        <v>10080</v>
      </c>
      <c r="P20" s="388">
        <f t="shared" si="1"/>
        <v>52.621203271028037</v>
      </c>
    </row>
    <row r="21" spans="2:16" x14ac:dyDescent="0.25">
      <c r="B21" s="12" t="s">
        <v>38</v>
      </c>
      <c r="C21" s="39">
        <v>3754</v>
      </c>
      <c r="D21" s="13">
        <v>827</v>
      </c>
      <c r="E21" s="15">
        <v>223</v>
      </c>
      <c r="G21" s="104">
        <v>2008</v>
      </c>
      <c r="H21" s="14">
        <v>51046</v>
      </c>
      <c r="I21" s="14">
        <v>28458</v>
      </c>
      <c r="J21" s="28"/>
      <c r="K21" s="14" t="s">
        <v>372</v>
      </c>
      <c r="L21" s="14">
        <v>28169</v>
      </c>
      <c r="M21" s="517">
        <f>SUM(L21-L12)/L12*100</f>
        <v>45.118747102158565</v>
      </c>
      <c r="N21" s="14">
        <v>15639</v>
      </c>
      <c r="O21" s="14">
        <f t="shared" si="0"/>
        <v>12819</v>
      </c>
      <c r="P21" s="388">
        <f t="shared" si="1"/>
        <v>55.518477759238884</v>
      </c>
    </row>
    <row r="22" spans="2:16" x14ac:dyDescent="0.25">
      <c r="B22" s="12" t="s">
        <v>39</v>
      </c>
      <c r="C22" s="39">
        <v>798</v>
      </c>
      <c r="D22" s="13">
        <v>514</v>
      </c>
      <c r="E22" s="15">
        <v>180</v>
      </c>
      <c r="G22" s="104">
        <v>2009</v>
      </c>
      <c r="H22" s="14">
        <v>47263</v>
      </c>
      <c r="I22" s="14">
        <v>28957</v>
      </c>
      <c r="J22" s="28"/>
      <c r="K22" s="14" t="s">
        <v>373</v>
      </c>
      <c r="L22" s="14">
        <v>25139</v>
      </c>
      <c r="M22" s="517">
        <f>SUM(L22-L12)/L12*100</f>
        <v>29.509041265261963</v>
      </c>
      <c r="N22" s="14">
        <v>16435</v>
      </c>
      <c r="O22" s="14">
        <f t="shared" si="0"/>
        <v>12522</v>
      </c>
      <c r="P22" s="388">
        <f t="shared" si="1"/>
        <v>65.376506623175146</v>
      </c>
    </row>
    <row r="23" spans="2:16" x14ac:dyDescent="0.25">
      <c r="B23" s="18" t="s">
        <v>40</v>
      </c>
      <c r="C23" s="243">
        <v>318</v>
      </c>
      <c r="D23" s="121">
        <v>265</v>
      </c>
      <c r="E23" s="15">
        <v>147</v>
      </c>
      <c r="G23" s="104">
        <v>2010</v>
      </c>
      <c r="H23" s="14">
        <v>57481</v>
      </c>
      <c r="I23" s="14">
        <v>35663</v>
      </c>
      <c r="J23" s="28"/>
      <c r="K23" s="14" t="s">
        <v>374</v>
      </c>
      <c r="L23" s="14">
        <v>30966</v>
      </c>
      <c r="M23" s="517">
        <f>SUM(L23-L12)/L12*100</f>
        <v>59.528102622224509</v>
      </c>
      <c r="N23" s="14">
        <v>21368</v>
      </c>
      <c r="O23" s="14">
        <f t="shared" si="0"/>
        <v>14295</v>
      </c>
      <c r="P23" s="388">
        <f t="shared" si="1"/>
        <v>69.004714848543571</v>
      </c>
    </row>
    <row r="24" spans="2:16" x14ac:dyDescent="0.25">
      <c r="B24" s="18" t="s">
        <v>41</v>
      </c>
      <c r="C24" s="243">
        <v>951</v>
      </c>
      <c r="D24" s="121">
        <v>682</v>
      </c>
      <c r="E24" s="15">
        <v>302</v>
      </c>
      <c r="G24" s="104">
        <v>2011</v>
      </c>
      <c r="H24" s="14">
        <v>42554</v>
      </c>
      <c r="I24" s="14">
        <v>16768</v>
      </c>
      <c r="J24" s="28"/>
      <c r="K24" s="14" t="s">
        <v>375</v>
      </c>
      <c r="L24" s="14">
        <v>24104</v>
      </c>
      <c r="M24" s="517">
        <f>SUM(L24-L12)/L12*100</f>
        <v>24.177013033846791</v>
      </c>
      <c r="N24" s="14">
        <v>10464</v>
      </c>
      <c r="O24" s="14">
        <f t="shared" si="0"/>
        <v>6304</v>
      </c>
      <c r="P24" s="388">
        <f t="shared" si="1"/>
        <v>43.411881845336872</v>
      </c>
    </row>
    <row r="25" spans="2:16" x14ac:dyDescent="0.25">
      <c r="B25" s="18" t="s">
        <v>42</v>
      </c>
      <c r="C25" s="243">
        <v>886</v>
      </c>
      <c r="D25" s="121">
        <v>424</v>
      </c>
      <c r="E25" s="15">
        <v>162</v>
      </c>
      <c r="G25" s="104">
        <v>2012</v>
      </c>
      <c r="H25" s="14">
        <v>48689</v>
      </c>
      <c r="I25" s="14">
        <v>25146</v>
      </c>
      <c r="J25" s="28"/>
      <c r="K25" s="14" t="s">
        <v>376</v>
      </c>
      <c r="L25" s="547">
        <v>24066</v>
      </c>
      <c r="M25" s="517">
        <f>SUM(L25-L12)/L12*100</f>
        <v>23.981247746123334</v>
      </c>
      <c r="N25" s="14">
        <v>12684</v>
      </c>
      <c r="O25" s="14">
        <f t="shared" si="0"/>
        <v>12462</v>
      </c>
      <c r="P25" s="388">
        <f t="shared" si="1"/>
        <v>52.705061082024429</v>
      </c>
    </row>
    <row r="26" spans="2:16" x14ac:dyDescent="0.25">
      <c r="B26" s="18" t="s">
        <v>43</v>
      </c>
      <c r="C26" s="243">
        <v>1097</v>
      </c>
      <c r="D26" s="121">
        <v>338</v>
      </c>
      <c r="E26" s="15">
        <v>124</v>
      </c>
      <c r="G26" s="104">
        <v>2013</v>
      </c>
      <c r="H26" s="14">
        <v>54304</v>
      </c>
      <c r="I26" s="14">
        <v>26050</v>
      </c>
      <c r="J26" s="28"/>
      <c r="K26" s="14" t="s">
        <v>377</v>
      </c>
      <c r="L26" s="14">
        <v>31113</v>
      </c>
      <c r="M26" s="464">
        <f>SUM(L26-L12)/L12*100</f>
        <v>60.285405182628402</v>
      </c>
      <c r="N26" s="14">
        <v>17521</v>
      </c>
      <c r="O26" s="14">
        <f t="shared" si="0"/>
        <v>8529</v>
      </c>
      <c r="P26" s="388">
        <f t="shared" si="1"/>
        <v>56.314080930800628</v>
      </c>
    </row>
    <row r="27" spans="2:16" x14ac:dyDescent="0.25">
      <c r="B27" s="18" t="s">
        <v>44</v>
      </c>
      <c r="C27" s="243">
        <v>828</v>
      </c>
      <c r="D27" s="121">
        <v>260</v>
      </c>
      <c r="E27" s="15">
        <v>87</v>
      </c>
      <c r="G27" s="104">
        <v>2014</v>
      </c>
      <c r="H27" s="14">
        <v>60555</v>
      </c>
      <c r="I27" s="14">
        <v>27292</v>
      </c>
      <c r="J27" s="28"/>
      <c r="K27" s="14" t="s">
        <v>378</v>
      </c>
      <c r="L27" s="14">
        <v>31924</v>
      </c>
      <c r="M27" s="464">
        <f>SUM(L27-L12)/L12*100</f>
        <v>64.46344856009479</v>
      </c>
      <c r="N27" s="14">
        <v>16121</v>
      </c>
      <c r="O27" s="14">
        <f t="shared" si="0"/>
        <v>11171</v>
      </c>
      <c r="P27" s="388">
        <f t="shared" si="1"/>
        <v>50.498057887482773</v>
      </c>
    </row>
    <row r="28" spans="2:16" x14ac:dyDescent="0.25">
      <c r="B28" s="18" t="s">
        <v>45</v>
      </c>
      <c r="C28" s="243">
        <v>739</v>
      </c>
      <c r="D28" s="121">
        <v>382</v>
      </c>
      <c r="E28" s="15">
        <v>133</v>
      </c>
      <c r="G28" s="104">
        <v>2015</v>
      </c>
      <c r="H28" s="14">
        <v>61276</v>
      </c>
      <c r="I28" s="14">
        <v>28848</v>
      </c>
      <c r="J28" s="28"/>
      <c r="K28" s="14" t="s">
        <v>379</v>
      </c>
      <c r="L28" s="14">
        <v>33364</v>
      </c>
      <c r="M28" s="464">
        <f>SUM(L28-L12)/L12*100</f>
        <v>71.881922621194178</v>
      </c>
      <c r="N28" s="14">
        <v>16952</v>
      </c>
      <c r="O28" s="14">
        <f t="shared" si="0"/>
        <v>11896</v>
      </c>
      <c r="P28" s="388">
        <f t="shared" si="1"/>
        <v>50.809255484953844</v>
      </c>
    </row>
    <row r="29" spans="2:16" x14ac:dyDescent="0.25">
      <c r="B29" s="18" t="s">
        <v>46</v>
      </c>
      <c r="C29" s="243">
        <v>1036</v>
      </c>
      <c r="D29" s="121">
        <v>550</v>
      </c>
      <c r="E29" s="15">
        <v>203</v>
      </c>
      <c r="G29" s="104">
        <v>2016</v>
      </c>
      <c r="H29" s="14">
        <v>72410</v>
      </c>
      <c r="I29" s="547">
        <v>31407</v>
      </c>
      <c r="J29" s="28"/>
      <c r="K29" s="14" t="s">
        <v>380</v>
      </c>
      <c r="L29" s="14">
        <v>38617</v>
      </c>
      <c r="M29" s="464">
        <f>SUM(L29-L12)/L12*100</f>
        <v>98.943897789912938</v>
      </c>
      <c r="N29" s="14">
        <v>19558</v>
      </c>
      <c r="O29" s="14">
        <f t="shared" si="0"/>
        <v>11849</v>
      </c>
      <c r="P29" s="388">
        <f t="shared" si="1"/>
        <v>50.646088510241604</v>
      </c>
    </row>
    <row r="30" spans="2:16" x14ac:dyDescent="0.25">
      <c r="B30" s="18" t="s">
        <v>47</v>
      </c>
      <c r="C30" s="243">
        <v>575</v>
      </c>
      <c r="D30" s="121">
        <v>274</v>
      </c>
      <c r="E30" s="15">
        <v>152</v>
      </c>
      <c r="G30" s="104">
        <v>2017</v>
      </c>
      <c r="H30" s="547">
        <v>75836</v>
      </c>
      <c r="I30" s="14">
        <v>30828</v>
      </c>
      <c r="J30" s="28"/>
      <c r="K30" s="14" t="s">
        <v>381</v>
      </c>
      <c r="L30" s="775">
        <v>41480</v>
      </c>
      <c r="M30" s="464">
        <f>SUM(L30-L12)/L12*100</f>
        <v>113.69326670444593</v>
      </c>
      <c r="N30" s="14">
        <v>17945</v>
      </c>
      <c r="O30" s="14">
        <f t="shared" si="0"/>
        <v>12883</v>
      </c>
      <c r="P30" s="388">
        <f>SUM(N30/L30*100)</f>
        <v>43.261812921890069</v>
      </c>
    </row>
    <row r="31" spans="2:16" x14ac:dyDescent="0.25">
      <c r="B31" s="18" t="s">
        <v>48</v>
      </c>
      <c r="C31" s="243">
        <v>485</v>
      </c>
      <c r="D31" s="121">
        <v>192</v>
      </c>
      <c r="E31" s="15">
        <v>62</v>
      </c>
      <c r="G31" s="104">
        <v>2018</v>
      </c>
      <c r="H31" s="14">
        <v>61438</v>
      </c>
      <c r="I31" s="14">
        <v>20784</v>
      </c>
      <c r="J31" s="28"/>
      <c r="K31" s="14" t="s">
        <v>382</v>
      </c>
      <c r="L31" s="14">
        <v>34404</v>
      </c>
      <c r="M31" s="464">
        <f>SUM(L31-L12)/L12*100</f>
        <v>77.239709443099272</v>
      </c>
      <c r="N31" s="14">
        <v>12024</v>
      </c>
      <c r="O31" s="14">
        <f t="shared" si="0"/>
        <v>8760</v>
      </c>
      <c r="P31" s="388">
        <f>SUM(N31/L31*100)</f>
        <v>34.949424485524936</v>
      </c>
    </row>
    <row r="32" spans="2:16" x14ac:dyDescent="0.25">
      <c r="B32" s="18" t="s">
        <v>49</v>
      </c>
      <c r="C32" s="243">
        <v>525</v>
      </c>
      <c r="D32" s="121">
        <v>344</v>
      </c>
      <c r="E32" s="15">
        <v>172</v>
      </c>
      <c r="G32" s="104">
        <v>2019</v>
      </c>
      <c r="H32" s="528">
        <v>53791</v>
      </c>
      <c r="I32" s="528">
        <v>20491</v>
      </c>
      <c r="J32" s="526"/>
      <c r="K32" s="14" t="s">
        <v>383</v>
      </c>
      <c r="L32" s="14">
        <v>31188</v>
      </c>
      <c r="M32" s="464">
        <f>SUM(L32-L12)/L12*100</f>
        <v>60.671784039977325</v>
      </c>
      <c r="N32" s="14">
        <v>12447</v>
      </c>
      <c r="O32" s="14">
        <f>SUM(I32-N32)</f>
        <v>8044</v>
      </c>
      <c r="P32" s="388">
        <f>SUM(N32/L32*100)</f>
        <v>39.909580607926124</v>
      </c>
    </row>
    <row r="33" spans="2:27" x14ac:dyDescent="0.25">
      <c r="B33" s="18" t="s">
        <v>50</v>
      </c>
      <c r="C33" s="243">
        <v>3761</v>
      </c>
      <c r="D33" s="121">
        <v>508</v>
      </c>
      <c r="E33" s="15">
        <v>316</v>
      </c>
      <c r="G33" s="104">
        <v>2020</v>
      </c>
      <c r="H33" s="14">
        <v>37090</v>
      </c>
      <c r="I33" s="14">
        <v>14301</v>
      </c>
      <c r="K33" s="104" t="s">
        <v>454</v>
      </c>
      <c r="L33" s="547">
        <v>15976</v>
      </c>
      <c r="M33" s="464">
        <f>SUM(L33-L12)/L12*100</f>
        <v>-17.696151666580807</v>
      </c>
      <c r="N33" s="14">
        <v>6536</v>
      </c>
      <c r="O33" s="14">
        <f>SUM(I33-N33)</f>
        <v>7765</v>
      </c>
      <c r="P33" s="388">
        <f>SUM(N33/L33*100)</f>
        <v>40.911367050575862</v>
      </c>
    </row>
    <row r="34" spans="2:27" ht="15.75" thickBot="1" x14ac:dyDescent="0.3">
      <c r="B34" s="19" t="s">
        <v>51</v>
      </c>
      <c r="C34" s="244">
        <v>670</v>
      </c>
      <c r="D34" s="123">
        <v>242</v>
      </c>
      <c r="E34" s="22">
        <v>160</v>
      </c>
      <c r="G34" s="104">
        <v>2021</v>
      </c>
      <c r="H34" s="699"/>
      <c r="I34" s="699"/>
      <c r="K34" s="104" t="s">
        <v>491</v>
      </c>
      <c r="L34" s="14">
        <v>24927</v>
      </c>
      <c r="M34" s="464">
        <f>SUM(L34-L12)/L12*100</f>
        <v>28.416877028489001</v>
      </c>
      <c r="N34" s="14">
        <v>9903</v>
      </c>
      <c r="O34" s="14">
        <f>SUM(I34-N34)</f>
        <v>-9903</v>
      </c>
      <c r="P34" s="388">
        <f>SUM(N34/L34*100)</f>
        <v>39.728005776868457</v>
      </c>
    </row>
    <row r="35" spans="2:27" x14ac:dyDescent="0.25">
      <c r="C35" s="521">
        <f>SUM(C10:C34)</f>
        <v>24927</v>
      </c>
      <c r="D35" s="388">
        <f>SUM(D9/C9)*100</f>
        <v>39.728005776868457</v>
      </c>
      <c r="E35" s="388">
        <f>SUM(E9/C9*100)</f>
        <v>14.807237132426687</v>
      </c>
      <c r="G35" s="11" t="s">
        <v>417</v>
      </c>
      <c r="L35" s="521">
        <f>SUM(L33-L34)</f>
        <v>-8951</v>
      </c>
    </row>
    <row r="41" spans="2:27" x14ac:dyDescent="0.25">
      <c r="AA41" s="11" t="s">
        <v>418</v>
      </c>
    </row>
    <row r="42" spans="2:27" x14ac:dyDescent="0.25">
      <c r="AA42" s="153">
        <v>2003</v>
      </c>
    </row>
    <row r="43" spans="2:27" x14ac:dyDescent="0.25">
      <c r="AA43" s="153">
        <v>2006</v>
      </c>
    </row>
    <row r="44" spans="2:27" x14ac:dyDescent="0.25">
      <c r="AA44" s="153">
        <v>2008</v>
      </c>
    </row>
    <row r="45" spans="2:27" x14ac:dyDescent="0.25">
      <c r="AA45" s="153">
        <v>2010</v>
      </c>
    </row>
    <row r="46" spans="2:27" x14ac:dyDescent="0.25">
      <c r="AA46" s="153" t="s">
        <v>419</v>
      </c>
    </row>
  </sheetData>
  <mergeCells count="1">
    <mergeCell ref="D7:E7"/>
  </mergeCells>
  <printOptions horizontalCentered="1"/>
  <pageMargins left="0.70866141732283472" right="0.70866141732283472" top="1.7716535433070868" bottom="0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2:AG37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4.140625" style="86" customWidth="1"/>
    <col min="2" max="2" width="22" style="86" customWidth="1"/>
    <col min="3" max="3" width="10.28515625" style="86" customWidth="1"/>
    <col min="4" max="4" width="13.85546875" style="86" customWidth="1"/>
    <col min="5" max="5" width="11.140625" style="86" customWidth="1"/>
    <col min="6" max="6" width="13.7109375" style="86" customWidth="1"/>
    <col min="7" max="7" width="10" style="86" customWidth="1"/>
    <col min="8" max="8" width="13.7109375" style="86" customWidth="1"/>
    <col min="9" max="9" width="12.140625" style="86" customWidth="1"/>
    <col min="10" max="10" width="12.28515625" style="86" customWidth="1"/>
    <col min="11" max="11" width="10.5703125" style="86" customWidth="1"/>
    <col min="12" max="12" width="14" style="86" customWidth="1"/>
    <col min="13" max="13" width="11.5703125" style="86" customWidth="1"/>
    <col min="14" max="14" width="13.42578125" style="86" customWidth="1"/>
    <col min="15" max="15" width="8.85546875" style="86" customWidth="1"/>
    <col min="16" max="16" width="14" style="86" customWidth="1"/>
    <col min="17" max="17" width="12" style="86" customWidth="1"/>
    <col min="18" max="18" width="14.28515625" style="86" customWidth="1"/>
    <col min="19" max="19" width="3.28515625" style="86" customWidth="1"/>
    <col min="20" max="20" width="8.28515625" style="86" customWidth="1"/>
    <col min="21" max="21" width="9.42578125" style="86" customWidth="1"/>
    <col min="22" max="26" width="9.140625" style="86"/>
    <col min="27" max="27" width="8" style="86" customWidth="1"/>
    <col min="28" max="16384" width="9.140625" style="86"/>
  </cols>
  <sheetData>
    <row r="2" spans="2:33" ht="14.45" x14ac:dyDescent="0.3">
      <c r="B2" s="11" t="s">
        <v>511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33" x14ac:dyDescent="0.25">
      <c r="B3" s="11" t="s">
        <v>414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33" x14ac:dyDescent="0.25">
      <c r="B4" s="11" t="s">
        <v>399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2:33" thickBot="1" x14ac:dyDescent="0.35">
      <c r="B5" s="11"/>
      <c r="C5" s="944"/>
      <c r="D5" s="944"/>
      <c r="E5" s="944"/>
      <c r="F5" s="944"/>
      <c r="G5" s="945"/>
      <c r="H5" s="945"/>
      <c r="I5" s="945"/>
      <c r="J5" s="229"/>
      <c r="K5" s="11"/>
      <c r="L5" s="11"/>
      <c r="M5" s="11"/>
      <c r="N5" s="11"/>
      <c r="O5" s="11"/>
      <c r="P5" s="11"/>
      <c r="Q5" s="11"/>
      <c r="R5" s="11"/>
    </row>
    <row r="6" spans="2:33" x14ac:dyDescent="0.25">
      <c r="B6" s="823" t="s">
        <v>129</v>
      </c>
      <c r="C6" s="878" t="s">
        <v>445</v>
      </c>
      <c r="D6" s="879"/>
      <c r="E6" s="879"/>
      <c r="F6" s="946"/>
      <c r="G6" s="852" t="s">
        <v>468</v>
      </c>
      <c r="H6" s="853"/>
      <c r="I6" s="853"/>
      <c r="J6" s="854"/>
      <c r="K6" s="852" t="s">
        <v>133</v>
      </c>
      <c r="L6" s="853"/>
      <c r="M6" s="853"/>
      <c r="N6" s="854"/>
      <c r="O6" s="852" t="s">
        <v>343</v>
      </c>
      <c r="P6" s="853"/>
      <c r="Q6" s="853"/>
      <c r="R6" s="854"/>
    </row>
    <row r="7" spans="2:33" x14ac:dyDescent="0.25">
      <c r="B7" s="824"/>
      <c r="C7" s="921" t="s">
        <v>4</v>
      </c>
      <c r="D7" s="911" t="s">
        <v>61</v>
      </c>
      <c r="E7" s="911"/>
      <c r="F7" s="855" t="s">
        <v>341</v>
      </c>
      <c r="G7" s="808" t="s">
        <v>4</v>
      </c>
      <c r="H7" s="914" t="s">
        <v>61</v>
      </c>
      <c r="I7" s="948"/>
      <c r="J7" s="949" t="s">
        <v>341</v>
      </c>
      <c r="K7" s="921" t="s">
        <v>186</v>
      </c>
      <c r="L7" s="911" t="s">
        <v>61</v>
      </c>
      <c r="M7" s="911"/>
      <c r="N7" s="855" t="s">
        <v>342</v>
      </c>
      <c r="O7" s="921" t="s">
        <v>186</v>
      </c>
      <c r="P7" s="911" t="s">
        <v>61</v>
      </c>
      <c r="Q7" s="911"/>
      <c r="R7" s="811" t="s">
        <v>342</v>
      </c>
    </row>
    <row r="8" spans="2:33" ht="75.75" customHeight="1" thickBot="1" x14ac:dyDescent="0.3">
      <c r="B8" s="825"/>
      <c r="C8" s="900"/>
      <c r="D8" s="106" t="s">
        <v>59</v>
      </c>
      <c r="E8" s="106" t="s">
        <v>60</v>
      </c>
      <c r="F8" s="943"/>
      <c r="G8" s="947"/>
      <c r="H8" s="199" t="s">
        <v>59</v>
      </c>
      <c r="I8" s="199" t="s">
        <v>60</v>
      </c>
      <c r="J8" s="950"/>
      <c r="K8" s="900"/>
      <c r="L8" s="106" t="s">
        <v>59</v>
      </c>
      <c r="M8" s="106" t="s">
        <v>60</v>
      </c>
      <c r="N8" s="943"/>
      <c r="O8" s="900"/>
      <c r="P8" s="106" t="s">
        <v>59</v>
      </c>
      <c r="Q8" s="106" t="s">
        <v>60</v>
      </c>
      <c r="R8" s="902"/>
      <c r="T8" s="104" t="s">
        <v>516</v>
      </c>
      <c r="U8" s="104">
        <v>1</v>
      </c>
      <c r="V8" s="104">
        <v>2</v>
      </c>
      <c r="W8" s="104">
        <v>3</v>
      </c>
      <c r="X8" s="104">
        <v>4</v>
      </c>
      <c r="Y8" s="104">
        <v>5</v>
      </c>
      <c r="Z8" s="104">
        <v>6</v>
      </c>
      <c r="AA8" s="104" t="s">
        <v>455</v>
      </c>
      <c r="AB8" s="104">
        <v>1</v>
      </c>
      <c r="AC8" s="104">
        <v>2</v>
      </c>
      <c r="AD8" s="104">
        <v>3</v>
      </c>
      <c r="AE8" s="104">
        <v>4</v>
      </c>
      <c r="AF8" s="104">
        <v>5</v>
      </c>
      <c r="AG8" s="104">
        <v>6</v>
      </c>
    </row>
    <row r="9" spans="2:33" ht="27" customHeight="1" thickBot="1" x14ac:dyDescent="0.3">
      <c r="B9" s="189" t="s">
        <v>26</v>
      </c>
      <c r="C9" s="30">
        <f>SUM(C10:C34)</f>
        <v>15976</v>
      </c>
      <c r="D9" s="31">
        <f>SUM(D10:D34)</f>
        <v>6536</v>
      </c>
      <c r="E9" s="31">
        <f>SUM(E10:E34)</f>
        <v>2797</v>
      </c>
      <c r="F9" s="484">
        <f>SUM(AA9/C9)</f>
        <v>30.816161742613922</v>
      </c>
      <c r="G9" s="274">
        <f>SUM(G10:G34)</f>
        <v>24927</v>
      </c>
      <c r="H9" s="275">
        <f>SUM(H10:H34)</f>
        <v>9903</v>
      </c>
      <c r="I9" s="275">
        <f>SUM(I10:I34)</f>
        <v>3691</v>
      </c>
      <c r="J9" s="487">
        <f>SUM(T9)/G9</f>
        <v>20.839571548922855</v>
      </c>
      <c r="K9" s="30">
        <f>SUM(K10:K34)</f>
        <v>8951</v>
      </c>
      <c r="L9" s="31">
        <f>SUM(L10:L34)</f>
        <v>3367</v>
      </c>
      <c r="M9" s="31">
        <f>SUM(M10:M34)</f>
        <v>894</v>
      </c>
      <c r="N9" s="484">
        <f>J9-F9</f>
        <v>-9.9765901936910666</v>
      </c>
      <c r="O9" s="276">
        <f>SUM(K9)/C9*100</f>
        <v>56.027791687531291</v>
      </c>
      <c r="P9" s="277">
        <f>SUM(L9)/D9*100</f>
        <v>51.514687882496936</v>
      </c>
      <c r="Q9" s="277">
        <f>SUM(M9)/E9*100</f>
        <v>31.96281730425456</v>
      </c>
      <c r="R9" s="278">
        <f>N9/F9*100</f>
        <v>-32.374538649617115</v>
      </c>
      <c r="T9" s="14">
        <f>SUM(U9:Z9)</f>
        <v>519468</v>
      </c>
      <c r="U9" s="14">
        <f t="shared" ref="U9:Z9" si="0">SUM(U10:U34)</f>
        <v>90385</v>
      </c>
      <c r="V9" s="14">
        <f t="shared" si="0"/>
        <v>90663</v>
      </c>
      <c r="W9" s="14">
        <f t="shared" si="0"/>
        <v>88423</v>
      </c>
      <c r="X9" s="14">
        <f t="shared" si="0"/>
        <v>85794</v>
      </c>
      <c r="Y9" s="14">
        <f t="shared" si="0"/>
        <v>83259</v>
      </c>
      <c r="Z9" s="14">
        <f t="shared" si="0"/>
        <v>80944</v>
      </c>
      <c r="AA9" s="14">
        <f>SUM(AB9:AG9)</f>
        <v>492319</v>
      </c>
      <c r="AB9" s="14">
        <f t="shared" ref="AB9:AG9" si="1">SUM(AB10:AB34)</f>
        <v>79320</v>
      </c>
      <c r="AC9" s="14">
        <f t="shared" si="1"/>
        <v>79358</v>
      </c>
      <c r="AD9" s="14">
        <f t="shared" si="1"/>
        <v>78934</v>
      </c>
      <c r="AE9" s="14">
        <f t="shared" si="1"/>
        <v>82898</v>
      </c>
      <c r="AF9" s="14">
        <f t="shared" si="1"/>
        <v>85650</v>
      </c>
      <c r="AG9" s="14">
        <f t="shared" si="1"/>
        <v>86159</v>
      </c>
    </row>
    <row r="10" spans="2:33" x14ac:dyDescent="0.25">
      <c r="B10" s="191" t="s">
        <v>27</v>
      </c>
      <c r="C10" s="43">
        <v>239</v>
      </c>
      <c r="D10" s="128">
        <v>141</v>
      </c>
      <c r="E10" s="128">
        <v>59</v>
      </c>
      <c r="F10" s="461">
        <f>SUM(AA10/C10)</f>
        <v>30.744769874476987</v>
      </c>
      <c r="G10" s="43">
        <f>SUM(T.XX!C10)</f>
        <v>290</v>
      </c>
      <c r="H10" s="128">
        <f>SUM(T.XX!D10)</f>
        <v>174</v>
      </c>
      <c r="I10" s="128">
        <f>SUM(T.XX!E10)</f>
        <v>77</v>
      </c>
      <c r="J10" s="461">
        <f t="shared" ref="J10:J34" si="2">SUM(T10)/G10</f>
        <v>26.075862068965517</v>
      </c>
      <c r="K10" s="43">
        <f>SUM(G10)-C10</f>
        <v>51</v>
      </c>
      <c r="L10" s="128">
        <f t="shared" ref="L10:L34" si="3">SUM(H10)-D10</f>
        <v>33</v>
      </c>
      <c r="M10" s="128">
        <f t="shared" ref="M10:M34" si="4">SUM(I10)-E10</f>
        <v>18</v>
      </c>
      <c r="N10" s="461">
        <f t="shared" ref="N10:N34" si="5">J10-F10</f>
        <v>-4.6689078055114699</v>
      </c>
      <c r="O10" s="272">
        <f>SUM(K10)/C10*100</f>
        <v>21.338912133891213</v>
      </c>
      <c r="P10" s="273">
        <f t="shared" ref="P10:P34" si="6">SUM(L10)/D10*100</f>
        <v>23.404255319148938</v>
      </c>
      <c r="Q10" s="273">
        <f t="shared" ref="Q10:Q34" si="7">SUM(M10)/E10*100</f>
        <v>30.508474576271187</v>
      </c>
      <c r="R10" s="44">
        <f>N10/F10*100</f>
        <v>-15.186022938449121</v>
      </c>
      <c r="T10" s="14">
        <f t="shared" ref="T10:T34" si="8">SUM(U10:Z10)</f>
        <v>7562</v>
      </c>
      <c r="U10" s="550">
        <v>1333</v>
      </c>
      <c r="V10" s="550">
        <v>1320</v>
      </c>
      <c r="W10" s="550">
        <v>1280</v>
      </c>
      <c r="X10" s="550">
        <v>1268</v>
      </c>
      <c r="Y10" s="550">
        <v>1204</v>
      </c>
      <c r="Z10" s="550">
        <v>1157</v>
      </c>
      <c r="AA10" s="14">
        <f t="shared" ref="AA10:AA34" si="9">SUM(AB10:AG10)</f>
        <v>7348</v>
      </c>
      <c r="AB10" s="550">
        <v>1205</v>
      </c>
      <c r="AC10" s="550">
        <v>1178</v>
      </c>
      <c r="AD10" s="550">
        <v>1189</v>
      </c>
      <c r="AE10" s="550">
        <v>1248</v>
      </c>
      <c r="AF10" s="550">
        <v>1272</v>
      </c>
      <c r="AG10" s="550">
        <v>1256</v>
      </c>
    </row>
    <row r="11" spans="2:33" x14ac:dyDescent="0.25">
      <c r="B11" s="208" t="s">
        <v>28</v>
      </c>
      <c r="C11" s="13">
        <v>336</v>
      </c>
      <c r="D11" s="14">
        <v>290</v>
      </c>
      <c r="E11" s="14">
        <v>95</v>
      </c>
      <c r="F11" s="464">
        <f t="shared" ref="F11:F34" si="10">SUM(AA11/C11)</f>
        <v>78.297619047619051</v>
      </c>
      <c r="G11" s="13">
        <f>SUM(T.XX!C11)</f>
        <v>477</v>
      </c>
      <c r="H11" s="14">
        <f>SUM(T.XX!D11)</f>
        <v>404</v>
      </c>
      <c r="I11" s="14">
        <f>SUM(T.XX!E11)</f>
        <v>120</v>
      </c>
      <c r="J11" s="464">
        <f t="shared" si="2"/>
        <v>54.886792452830186</v>
      </c>
      <c r="K11" s="13">
        <f t="shared" ref="K11:K34" si="11">SUM(G11)-C11</f>
        <v>141</v>
      </c>
      <c r="L11" s="14">
        <f t="shared" si="3"/>
        <v>114</v>
      </c>
      <c r="M11" s="14">
        <f t="shared" si="4"/>
        <v>25</v>
      </c>
      <c r="N11" s="465">
        <f t="shared" si="5"/>
        <v>-23.410826594788865</v>
      </c>
      <c r="O11" s="214">
        <f t="shared" ref="O11:O34" si="12">SUM(K11)/C11*100</f>
        <v>41.964285714285715</v>
      </c>
      <c r="P11" s="98">
        <f t="shared" si="6"/>
        <v>39.310344827586206</v>
      </c>
      <c r="Q11" s="98">
        <f t="shared" si="7"/>
        <v>26.315789473684209</v>
      </c>
      <c r="R11" s="38">
        <f t="shared" ref="R11:R34" si="13">N11/F11*100</f>
        <v>-29.899793735172032</v>
      </c>
      <c r="T11" s="14">
        <f t="shared" si="8"/>
        <v>26181</v>
      </c>
      <c r="U11" s="550">
        <v>4594</v>
      </c>
      <c r="V11" s="550">
        <v>4552</v>
      </c>
      <c r="W11" s="550">
        <v>4475</v>
      </c>
      <c r="X11" s="550">
        <v>4331</v>
      </c>
      <c r="Y11" s="550">
        <v>4172</v>
      </c>
      <c r="Z11" s="550">
        <v>4057</v>
      </c>
      <c r="AA11" s="14">
        <f t="shared" si="9"/>
        <v>26308</v>
      </c>
      <c r="AB11" s="550">
        <v>4415</v>
      </c>
      <c r="AC11" s="550">
        <v>4337</v>
      </c>
      <c r="AD11" s="550">
        <v>4328</v>
      </c>
      <c r="AE11" s="550">
        <v>4409</v>
      </c>
      <c r="AF11" s="550">
        <v>4413</v>
      </c>
      <c r="AG11" s="550">
        <v>4406</v>
      </c>
    </row>
    <row r="12" spans="2:33" x14ac:dyDescent="0.25">
      <c r="B12" s="208" t="s">
        <v>29</v>
      </c>
      <c r="C12" s="13">
        <v>1230</v>
      </c>
      <c r="D12" s="14">
        <v>215</v>
      </c>
      <c r="E12" s="14">
        <v>84</v>
      </c>
      <c r="F12" s="464">
        <f t="shared" si="10"/>
        <v>15.446341463414635</v>
      </c>
      <c r="G12" s="13">
        <f>SUM(T.XX!C12)</f>
        <v>1958</v>
      </c>
      <c r="H12" s="14">
        <f>SUM(T.XX!D12)</f>
        <v>388</v>
      </c>
      <c r="I12" s="14">
        <f>SUM(T.XX!E12)</f>
        <v>110</v>
      </c>
      <c r="J12" s="464">
        <f>SUM(T12)/G12</f>
        <v>10.441777323799796</v>
      </c>
      <c r="K12" s="13">
        <f t="shared" si="11"/>
        <v>728</v>
      </c>
      <c r="L12" s="14">
        <f t="shared" si="3"/>
        <v>173</v>
      </c>
      <c r="M12" s="14">
        <f t="shared" si="4"/>
        <v>26</v>
      </c>
      <c r="N12" s="465">
        <f t="shared" si="5"/>
        <v>-5.004564139614839</v>
      </c>
      <c r="O12" s="214">
        <f t="shared" si="12"/>
        <v>59.186991869918707</v>
      </c>
      <c r="P12" s="98">
        <f t="shared" si="6"/>
        <v>80.465116279069775</v>
      </c>
      <c r="Q12" s="98">
        <f t="shared" si="7"/>
        <v>30.952380952380953</v>
      </c>
      <c r="R12" s="38">
        <f t="shared" si="13"/>
        <v>-32.399673097143278</v>
      </c>
      <c r="T12" s="14">
        <f t="shared" si="8"/>
        <v>20445</v>
      </c>
      <c r="U12" s="550">
        <v>3719</v>
      </c>
      <c r="V12" s="550">
        <v>3665</v>
      </c>
      <c r="W12" s="550">
        <v>3513</v>
      </c>
      <c r="X12" s="550">
        <v>3341</v>
      </c>
      <c r="Y12" s="550">
        <v>3172</v>
      </c>
      <c r="Z12" s="550">
        <v>3035</v>
      </c>
      <c r="AA12" s="14">
        <f t="shared" si="9"/>
        <v>18999</v>
      </c>
      <c r="AB12" s="550">
        <v>2876</v>
      </c>
      <c r="AC12" s="550">
        <v>2907</v>
      </c>
      <c r="AD12" s="550">
        <v>2905</v>
      </c>
      <c r="AE12" s="550">
        <v>3281</v>
      </c>
      <c r="AF12" s="550">
        <v>3515</v>
      </c>
      <c r="AG12" s="550">
        <v>3515</v>
      </c>
    </row>
    <row r="13" spans="2:33" x14ac:dyDescent="0.25">
      <c r="B13" s="208" t="s">
        <v>30</v>
      </c>
      <c r="C13" s="13">
        <v>906</v>
      </c>
      <c r="D13" s="14">
        <v>437</v>
      </c>
      <c r="E13" s="14">
        <v>137</v>
      </c>
      <c r="F13" s="464">
        <f t="shared" si="10"/>
        <v>37.944812362030902</v>
      </c>
      <c r="G13" s="13">
        <f>SUM(T.XX!C13)</f>
        <v>1326</v>
      </c>
      <c r="H13" s="14">
        <f>SUM(T.XX!D13)</f>
        <v>690</v>
      </c>
      <c r="I13" s="14">
        <f>SUM(T.XX!E13)</f>
        <v>211</v>
      </c>
      <c r="J13" s="464">
        <f t="shared" si="2"/>
        <v>27.93815987933635</v>
      </c>
      <c r="K13" s="13">
        <f t="shared" si="11"/>
        <v>420</v>
      </c>
      <c r="L13" s="14">
        <f t="shared" si="3"/>
        <v>253</v>
      </c>
      <c r="M13" s="14">
        <f t="shared" si="4"/>
        <v>74</v>
      </c>
      <c r="N13" s="465">
        <f t="shared" si="5"/>
        <v>-10.006652482694552</v>
      </c>
      <c r="O13" s="214">
        <f t="shared" si="12"/>
        <v>46.357615894039732</v>
      </c>
      <c r="P13" s="98">
        <f t="shared" si="6"/>
        <v>57.894736842105267</v>
      </c>
      <c r="Q13" s="98">
        <f t="shared" si="7"/>
        <v>54.014598540145982</v>
      </c>
      <c r="R13" s="38">
        <f t="shared" si="13"/>
        <v>-26.371595640587774</v>
      </c>
      <c r="T13" s="14">
        <f t="shared" si="8"/>
        <v>37046</v>
      </c>
      <c r="U13" s="550">
        <v>6302</v>
      </c>
      <c r="V13" s="550">
        <v>6405</v>
      </c>
      <c r="W13" s="550">
        <v>6316</v>
      </c>
      <c r="X13" s="550">
        <v>6164</v>
      </c>
      <c r="Y13" s="550">
        <v>6030</v>
      </c>
      <c r="Z13" s="550">
        <v>5829</v>
      </c>
      <c r="AA13" s="14">
        <f t="shared" si="9"/>
        <v>34378</v>
      </c>
      <c r="AB13" s="550">
        <v>5548</v>
      </c>
      <c r="AC13" s="550">
        <v>5646</v>
      </c>
      <c r="AD13" s="550">
        <v>5570</v>
      </c>
      <c r="AE13" s="550">
        <v>5742</v>
      </c>
      <c r="AF13" s="550">
        <v>5912</v>
      </c>
      <c r="AG13" s="550">
        <v>5960</v>
      </c>
    </row>
    <row r="14" spans="2:33" x14ac:dyDescent="0.25">
      <c r="B14" s="208" t="s">
        <v>31</v>
      </c>
      <c r="C14" s="13">
        <v>273</v>
      </c>
      <c r="D14" s="14">
        <v>188</v>
      </c>
      <c r="E14" s="14">
        <v>88</v>
      </c>
      <c r="F14" s="464">
        <f t="shared" si="10"/>
        <v>117.07326007326007</v>
      </c>
      <c r="G14" s="13">
        <f>SUM(T.XX!C14)</f>
        <v>701</v>
      </c>
      <c r="H14" s="14">
        <f>SUM(T.XX!D14)</f>
        <v>463</v>
      </c>
      <c r="I14" s="14">
        <f>SUM(T.XX!E14)</f>
        <v>143</v>
      </c>
      <c r="J14" s="464">
        <f t="shared" si="2"/>
        <v>49.175463623395153</v>
      </c>
      <c r="K14" s="13">
        <f t="shared" si="11"/>
        <v>428</v>
      </c>
      <c r="L14" s="14">
        <f t="shared" si="3"/>
        <v>275</v>
      </c>
      <c r="M14" s="14">
        <f t="shared" si="4"/>
        <v>55</v>
      </c>
      <c r="N14" s="465">
        <f t="shared" si="5"/>
        <v>-67.897796449864927</v>
      </c>
      <c r="O14" s="214">
        <f t="shared" si="12"/>
        <v>156.77655677655679</v>
      </c>
      <c r="P14" s="98">
        <f t="shared" si="6"/>
        <v>146.27659574468086</v>
      </c>
      <c r="Q14" s="98">
        <f t="shared" si="7"/>
        <v>62.5</v>
      </c>
      <c r="R14" s="38">
        <f t="shared" si="13"/>
        <v>-57.995990209358673</v>
      </c>
      <c r="T14" s="14">
        <f t="shared" si="8"/>
        <v>34472</v>
      </c>
      <c r="U14" s="550">
        <v>5802</v>
      </c>
      <c r="V14" s="550">
        <v>5868</v>
      </c>
      <c r="W14" s="550">
        <v>5827</v>
      </c>
      <c r="X14" s="550">
        <v>5752</v>
      </c>
      <c r="Y14" s="550">
        <v>5642</v>
      </c>
      <c r="Z14" s="550">
        <v>5581</v>
      </c>
      <c r="AA14" s="14">
        <f t="shared" si="9"/>
        <v>31961</v>
      </c>
      <c r="AB14" s="550">
        <v>5151</v>
      </c>
      <c r="AC14" s="550">
        <v>5216</v>
      </c>
      <c r="AD14" s="550">
        <v>5148</v>
      </c>
      <c r="AE14" s="550">
        <v>5358</v>
      </c>
      <c r="AF14" s="550">
        <v>5535</v>
      </c>
      <c r="AG14" s="550">
        <v>5553</v>
      </c>
    </row>
    <row r="15" spans="2:33" x14ac:dyDescent="0.25">
      <c r="B15" s="208" t="s">
        <v>32</v>
      </c>
      <c r="C15" s="13">
        <v>475</v>
      </c>
      <c r="D15" s="14">
        <v>255</v>
      </c>
      <c r="E15" s="14">
        <v>100</v>
      </c>
      <c r="F15" s="464">
        <f t="shared" si="10"/>
        <v>25.168421052631579</v>
      </c>
      <c r="G15" s="13">
        <f>SUM(T.XX!C15)</f>
        <v>712</v>
      </c>
      <c r="H15" s="14">
        <f>SUM(T.XX!D15)</f>
        <v>376</v>
      </c>
      <c r="I15" s="14">
        <f>SUM(T.XX!E15)</f>
        <v>90</v>
      </c>
      <c r="J15" s="464">
        <f t="shared" si="2"/>
        <v>17.389044943820224</v>
      </c>
      <c r="K15" s="13">
        <f t="shared" si="11"/>
        <v>237</v>
      </c>
      <c r="L15" s="14">
        <f t="shared" si="3"/>
        <v>121</v>
      </c>
      <c r="M15" s="14">
        <f t="shared" si="4"/>
        <v>-10</v>
      </c>
      <c r="N15" s="465">
        <f t="shared" si="5"/>
        <v>-7.7793761088113556</v>
      </c>
      <c r="O15" s="214">
        <f t="shared" si="12"/>
        <v>49.894736842105267</v>
      </c>
      <c r="P15" s="98">
        <f t="shared" si="6"/>
        <v>47.450980392156858</v>
      </c>
      <c r="Q15" s="98">
        <f t="shared" si="7"/>
        <v>-10</v>
      </c>
      <c r="R15" s="38">
        <f t="shared" si="13"/>
        <v>-30.909273539819271</v>
      </c>
      <c r="T15" s="14">
        <f t="shared" si="8"/>
        <v>12381</v>
      </c>
      <c r="U15" s="550">
        <v>2222</v>
      </c>
      <c r="V15" s="550">
        <v>2201</v>
      </c>
      <c r="W15" s="550">
        <v>2111</v>
      </c>
      <c r="X15" s="550">
        <v>2030</v>
      </c>
      <c r="Y15" s="550">
        <v>1967</v>
      </c>
      <c r="Z15" s="550">
        <v>1850</v>
      </c>
      <c r="AA15" s="14">
        <f t="shared" si="9"/>
        <v>11955</v>
      </c>
      <c r="AB15" s="550">
        <v>1912</v>
      </c>
      <c r="AC15" s="550">
        <v>1908</v>
      </c>
      <c r="AD15" s="550">
        <v>1890</v>
      </c>
      <c r="AE15" s="550">
        <v>2015</v>
      </c>
      <c r="AF15" s="550">
        <v>2114</v>
      </c>
      <c r="AG15" s="550">
        <v>2116</v>
      </c>
    </row>
    <row r="16" spans="2:33" x14ac:dyDescent="0.25">
      <c r="B16" s="208" t="s">
        <v>33</v>
      </c>
      <c r="C16" s="13">
        <v>216</v>
      </c>
      <c r="D16" s="14">
        <v>94</v>
      </c>
      <c r="E16" s="14">
        <v>45</v>
      </c>
      <c r="F16" s="464">
        <f t="shared" si="10"/>
        <v>61.703703703703702</v>
      </c>
      <c r="G16" s="13">
        <f>SUM(T.XX!C16)</f>
        <v>508</v>
      </c>
      <c r="H16" s="14">
        <f>SUM(T.XX!D16)</f>
        <v>182</v>
      </c>
      <c r="I16" s="14">
        <f>SUM(T.XX!E16)</f>
        <v>50</v>
      </c>
      <c r="J16" s="464">
        <f t="shared" si="2"/>
        <v>29.165354330708663</v>
      </c>
      <c r="K16" s="13">
        <f t="shared" si="11"/>
        <v>292</v>
      </c>
      <c r="L16" s="14">
        <f t="shared" si="3"/>
        <v>88</v>
      </c>
      <c r="M16" s="14">
        <f t="shared" si="4"/>
        <v>5</v>
      </c>
      <c r="N16" s="465">
        <f t="shared" si="5"/>
        <v>-32.538349372995043</v>
      </c>
      <c r="O16" s="214">
        <f t="shared" si="12"/>
        <v>135.18518518518519</v>
      </c>
      <c r="P16" s="98">
        <f t="shared" si="6"/>
        <v>93.61702127659575</v>
      </c>
      <c r="Q16" s="98">
        <f t="shared" si="7"/>
        <v>11.111111111111111</v>
      </c>
      <c r="R16" s="38">
        <f t="shared" si="13"/>
        <v>-52.733219271960749</v>
      </c>
      <c r="T16" s="14">
        <f t="shared" si="8"/>
        <v>14816</v>
      </c>
      <c r="U16" s="550">
        <v>2512</v>
      </c>
      <c r="V16" s="550">
        <v>2577</v>
      </c>
      <c r="W16" s="550">
        <v>2529</v>
      </c>
      <c r="X16" s="550">
        <v>2502</v>
      </c>
      <c r="Y16" s="550">
        <v>2429</v>
      </c>
      <c r="Z16" s="550">
        <v>2267</v>
      </c>
      <c r="AA16" s="14">
        <f t="shared" si="9"/>
        <v>13328</v>
      </c>
      <c r="AB16" s="550">
        <v>2040</v>
      </c>
      <c r="AC16" s="550">
        <v>2030</v>
      </c>
      <c r="AD16" s="550">
        <v>2080</v>
      </c>
      <c r="AE16" s="550">
        <v>2303</v>
      </c>
      <c r="AF16" s="550">
        <v>2449</v>
      </c>
      <c r="AG16" s="550">
        <v>2426</v>
      </c>
    </row>
    <row r="17" spans="2:33" x14ac:dyDescent="0.25">
      <c r="B17" s="208" t="s">
        <v>34</v>
      </c>
      <c r="C17" s="13">
        <v>184</v>
      </c>
      <c r="D17" s="14">
        <v>83</v>
      </c>
      <c r="E17" s="14">
        <v>22</v>
      </c>
      <c r="F17" s="464">
        <f t="shared" si="10"/>
        <v>61.760869565217391</v>
      </c>
      <c r="G17" s="13">
        <f>SUM(T.XX!C17)</f>
        <v>379</v>
      </c>
      <c r="H17" s="14">
        <f>SUM(T.XX!D17)</f>
        <v>125</v>
      </c>
      <c r="I17" s="14">
        <f>SUM(T.XX!E17)</f>
        <v>26</v>
      </c>
      <c r="J17" s="464">
        <f t="shared" si="2"/>
        <v>28.75461741424802</v>
      </c>
      <c r="K17" s="13">
        <f t="shared" si="11"/>
        <v>195</v>
      </c>
      <c r="L17" s="14">
        <f t="shared" si="3"/>
        <v>42</v>
      </c>
      <c r="M17" s="14">
        <f t="shared" si="4"/>
        <v>4</v>
      </c>
      <c r="N17" s="465">
        <f t="shared" si="5"/>
        <v>-33.006252150969374</v>
      </c>
      <c r="O17" s="214">
        <f t="shared" si="12"/>
        <v>105.9782608695652</v>
      </c>
      <c r="P17" s="98">
        <f t="shared" si="6"/>
        <v>50.602409638554214</v>
      </c>
      <c r="Q17" s="98">
        <f t="shared" si="7"/>
        <v>18.181818181818183</v>
      </c>
      <c r="R17" s="38">
        <f t="shared" si="13"/>
        <v>-53.442013338422775</v>
      </c>
      <c r="T17" s="14">
        <f t="shared" si="8"/>
        <v>10898</v>
      </c>
      <c r="U17" s="550">
        <v>1970</v>
      </c>
      <c r="V17" s="550">
        <v>1937</v>
      </c>
      <c r="W17" s="550">
        <v>1880</v>
      </c>
      <c r="X17" s="550">
        <v>1809</v>
      </c>
      <c r="Y17" s="550">
        <v>1700</v>
      </c>
      <c r="Z17" s="550">
        <v>1602</v>
      </c>
      <c r="AA17" s="14">
        <f t="shared" si="9"/>
        <v>11364</v>
      </c>
      <c r="AB17" s="550">
        <v>1895</v>
      </c>
      <c r="AC17" s="550">
        <v>1902</v>
      </c>
      <c r="AD17" s="550">
        <v>1897</v>
      </c>
      <c r="AE17" s="550">
        <v>1957</v>
      </c>
      <c r="AF17" s="550">
        <v>1905</v>
      </c>
      <c r="AG17" s="550">
        <v>1808</v>
      </c>
    </row>
    <row r="18" spans="2:33" x14ac:dyDescent="0.25">
      <c r="B18" s="208" t="s">
        <v>35</v>
      </c>
      <c r="C18" s="13">
        <v>536</v>
      </c>
      <c r="D18" s="14">
        <v>171</v>
      </c>
      <c r="E18" s="14">
        <v>78</v>
      </c>
      <c r="F18" s="464">
        <f t="shared" si="10"/>
        <v>40.643656716417908</v>
      </c>
      <c r="G18" s="13">
        <f>SUM(T.XX!C18)</f>
        <v>847</v>
      </c>
      <c r="H18" s="14">
        <f>SUM(T.XX!D18)</f>
        <v>412</v>
      </c>
      <c r="I18" s="14">
        <f>SUM(T.XX!E18)</f>
        <v>108</v>
      </c>
      <c r="J18" s="464">
        <f t="shared" si="2"/>
        <v>27.5655253837072</v>
      </c>
      <c r="K18" s="13">
        <f t="shared" si="11"/>
        <v>311</v>
      </c>
      <c r="L18" s="14">
        <f t="shared" si="3"/>
        <v>241</v>
      </c>
      <c r="M18" s="14">
        <f t="shared" si="4"/>
        <v>30</v>
      </c>
      <c r="N18" s="465">
        <f t="shared" si="5"/>
        <v>-13.078131332710708</v>
      </c>
      <c r="O18" s="214">
        <f t="shared" si="12"/>
        <v>58.022388059701491</v>
      </c>
      <c r="P18" s="98">
        <f t="shared" si="6"/>
        <v>140.93567251461988</v>
      </c>
      <c r="Q18" s="98">
        <f t="shared" si="7"/>
        <v>38.461538461538467</v>
      </c>
      <c r="R18" s="38">
        <f t="shared" si="13"/>
        <v>-32.177545991888643</v>
      </c>
      <c r="T18" s="14">
        <f t="shared" si="8"/>
        <v>23348</v>
      </c>
      <c r="U18" s="550">
        <v>4046</v>
      </c>
      <c r="V18" s="550">
        <v>4058</v>
      </c>
      <c r="W18" s="550">
        <v>3933</v>
      </c>
      <c r="X18" s="550">
        <v>3823</v>
      </c>
      <c r="Y18" s="550">
        <v>3766</v>
      </c>
      <c r="Z18" s="550">
        <v>3722</v>
      </c>
      <c r="AA18" s="14">
        <f t="shared" si="9"/>
        <v>21785</v>
      </c>
      <c r="AB18" s="550">
        <v>3543</v>
      </c>
      <c r="AC18" s="550">
        <v>3600</v>
      </c>
      <c r="AD18" s="550">
        <v>3511</v>
      </c>
      <c r="AE18" s="550">
        <v>3601</v>
      </c>
      <c r="AF18" s="550">
        <v>3766</v>
      </c>
      <c r="AG18" s="550">
        <v>3764</v>
      </c>
    </row>
    <row r="19" spans="2:33" x14ac:dyDescent="0.25">
      <c r="B19" s="208" t="s">
        <v>36</v>
      </c>
      <c r="C19" s="13">
        <v>338</v>
      </c>
      <c r="D19" s="14">
        <v>223</v>
      </c>
      <c r="E19" s="14">
        <v>106</v>
      </c>
      <c r="F19" s="464">
        <f t="shared" si="10"/>
        <v>35.991124260355029</v>
      </c>
      <c r="G19" s="13">
        <f>SUM(T.XX!C19)</f>
        <v>538</v>
      </c>
      <c r="H19" s="14">
        <f>SUM(T.XX!D19)</f>
        <v>385</v>
      </c>
      <c r="I19" s="14">
        <f>SUM(T.XX!E19)</f>
        <v>153</v>
      </c>
      <c r="J19" s="464">
        <f t="shared" si="2"/>
        <v>24.815985130111525</v>
      </c>
      <c r="K19" s="13">
        <f t="shared" si="11"/>
        <v>200</v>
      </c>
      <c r="L19" s="14">
        <f t="shared" si="3"/>
        <v>162</v>
      </c>
      <c r="M19" s="14">
        <f t="shared" si="4"/>
        <v>47</v>
      </c>
      <c r="N19" s="465">
        <f t="shared" si="5"/>
        <v>-11.175139130243505</v>
      </c>
      <c r="O19" s="214">
        <f t="shared" si="12"/>
        <v>59.171597633136095</v>
      </c>
      <c r="P19" s="98">
        <f t="shared" si="6"/>
        <v>72.645739910313907</v>
      </c>
      <c r="Q19" s="98">
        <f t="shared" si="7"/>
        <v>44.339622641509436</v>
      </c>
      <c r="R19" s="38">
        <f t="shared" si="13"/>
        <v>-31.049708393113889</v>
      </c>
      <c r="T19" s="14">
        <f t="shared" si="8"/>
        <v>13351</v>
      </c>
      <c r="U19" s="550">
        <v>2429</v>
      </c>
      <c r="V19" s="550">
        <v>2418</v>
      </c>
      <c r="W19" s="550">
        <v>2253</v>
      </c>
      <c r="X19" s="550">
        <v>2208</v>
      </c>
      <c r="Y19" s="550">
        <v>2078</v>
      </c>
      <c r="Z19" s="550">
        <v>1965</v>
      </c>
      <c r="AA19" s="14">
        <f t="shared" si="9"/>
        <v>12165</v>
      </c>
      <c r="AB19" s="550">
        <v>2034</v>
      </c>
      <c r="AC19" s="550">
        <v>2002</v>
      </c>
      <c r="AD19" s="550">
        <v>1959</v>
      </c>
      <c r="AE19" s="550">
        <v>2024</v>
      </c>
      <c r="AF19" s="550">
        <v>2031</v>
      </c>
      <c r="AG19" s="550">
        <v>2115</v>
      </c>
    </row>
    <row r="20" spans="2:33" x14ac:dyDescent="0.25">
      <c r="B20" s="208" t="s">
        <v>37</v>
      </c>
      <c r="C20" s="13">
        <v>593</v>
      </c>
      <c r="D20" s="14">
        <v>356</v>
      </c>
      <c r="E20" s="14">
        <v>135</v>
      </c>
      <c r="F20" s="464">
        <f t="shared" si="10"/>
        <v>33.834738617200678</v>
      </c>
      <c r="G20" s="13">
        <f>SUM(T.XX!C20)</f>
        <v>768</v>
      </c>
      <c r="H20" s="14">
        <f>SUM(T.XX!D20)</f>
        <v>502</v>
      </c>
      <c r="I20" s="14">
        <f>SUM(T.XX!E20)</f>
        <v>180</v>
      </c>
      <c r="J20" s="464">
        <f t="shared" si="2"/>
        <v>28.41015625</v>
      </c>
      <c r="K20" s="13">
        <f t="shared" si="11"/>
        <v>175</v>
      </c>
      <c r="L20" s="14">
        <f t="shared" si="3"/>
        <v>146</v>
      </c>
      <c r="M20" s="14">
        <f t="shared" si="4"/>
        <v>45</v>
      </c>
      <c r="N20" s="465">
        <f t="shared" si="5"/>
        <v>-5.4245823672006779</v>
      </c>
      <c r="O20" s="214">
        <f t="shared" si="12"/>
        <v>29.51096121416526</v>
      </c>
      <c r="P20" s="98">
        <f t="shared" si="6"/>
        <v>41.011235955056179</v>
      </c>
      <c r="Q20" s="98">
        <f t="shared" si="7"/>
        <v>33.333333333333329</v>
      </c>
      <c r="R20" s="38">
        <f t="shared" si="13"/>
        <v>-16.032582454894346</v>
      </c>
      <c r="T20" s="14">
        <f t="shared" si="8"/>
        <v>21819</v>
      </c>
      <c r="U20" s="550">
        <v>3772</v>
      </c>
      <c r="V20" s="550">
        <v>3843</v>
      </c>
      <c r="W20" s="550">
        <v>3738</v>
      </c>
      <c r="X20" s="550">
        <v>3578</v>
      </c>
      <c r="Y20" s="550">
        <v>3469</v>
      </c>
      <c r="Z20" s="550">
        <v>3419</v>
      </c>
      <c r="AA20" s="14">
        <f t="shared" si="9"/>
        <v>20064</v>
      </c>
      <c r="AB20" s="550">
        <v>3241</v>
      </c>
      <c r="AC20" s="550">
        <v>3191</v>
      </c>
      <c r="AD20" s="550">
        <v>3237</v>
      </c>
      <c r="AE20" s="550">
        <v>3411</v>
      </c>
      <c r="AF20" s="550">
        <v>3522</v>
      </c>
      <c r="AG20" s="550">
        <v>3462</v>
      </c>
    </row>
    <row r="21" spans="2:33" x14ac:dyDescent="0.25">
      <c r="B21" s="208" t="s">
        <v>38</v>
      </c>
      <c r="C21" s="13">
        <v>1771</v>
      </c>
      <c r="D21" s="14">
        <v>457</v>
      </c>
      <c r="E21" s="14">
        <v>143</v>
      </c>
      <c r="F21" s="464">
        <f t="shared" si="10"/>
        <v>11.308865047995482</v>
      </c>
      <c r="G21" s="13">
        <f>SUM(T.XX!C21)</f>
        <v>3754</v>
      </c>
      <c r="H21" s="14">
        <f>SUM(T.XX!D21)</f>
        <v>827</v>
      </c>
      <c r="I21" s="14">
        <f>SUM(T.XX!E21)</f>
        <v>223</v>
      </c>
      <c r="J21" s="464">
        <f t="shared" si="2"/>
        <v>5.5135855087906229</v>
      </c>
      <c r="K21" s="13">
        <f t="shared" si="11"/>
        <v>1983</v>
      </c>
      <c r="L21" s="14">
        <f t="shared" si="3"/>
        <v>370</v>
      </c>
      <c r="M21" s="14">
        <f t="shared" si="4"/>
        <v>80</v>
      </c>
      <c r="N21" s="465">
        <f t="shared" si="5"/>
        <v>-5.7952795392048593</v>
      </c>
      <c r="O21" s="214">
        <f t="shared" si="12"/>
        <v>111.97063805759457</v>
      </c>
      <c r="P21" s="98">
        <f t="shared" si="6"/>
        <v>80.962800875273516</v>
      </c>
      <c r="Q21" s="98">
        <f t="shared" si="7"/>
        <v>55.944055944055947</v>
      </c>
      <c r="R21" s="38">
        <f t="shared" si="13"/>
        <v>-51.245456680306603</v>
      </c>
      <c r="T21" s="14">
        <f t="shared" si="8"/>
        <v>20698</v>
      </c>
      <c r="U21" s="550">
        <v>3789</v>
      </c>
      <c r="V21" s="550">
        <v>3748</v>
      </c>
      <c r="W21" s="550">
        <v>3463</v>
      </c>
      <c r="X21" s="550">
        <v>3319</v>
      </c>
      <c r="Y21" s="550">
        <v>3206</v>
      </c>
      <c r="Z21" s="550">
        <v>3173</v>
      </c>
      <c r="AA21" s="14">
        <f t="shared" si="9"/>
        <v>20028</v>
      </c>
      <c r="AB21" s="550">
        <v>2984</v>
      </c>
      <c r="AC21" s="550">
        <v>3053</v>
      </c>
      <c r="AD21" s="550">
        <v>3093</v>
      </c>
      <c r="AE21" s="550">
        <v>3423</v>
      </c>
      <c r="AF21" s="550">
        <v>3658</v>
      </c>
      <c r="AG21" s="550">
        <v>3817</v>
      </c>
    </row>
    <row r="22" spans="2:33" x14ac:dyDescent="0.25">
      <c r="B22" s="208" t="s">
        <v>39</v>
      </c>
      <c r="C22" s="13">
        <v>564</v>
      </c>
      <c r="D22" s="14">
        <v>368</v>
      </c>
      <c r="E22" s="14">
        <v>163</v>
      </c>
      <c r="F22" s="464">
        <f t="shared" si="10"/>
        <v>40.24290780141844</v>
      </c>
      <c r="G22" s="13">
        <f>SUM(T.XX!C22)</f>
        <v>798</v>
      </c>
      <c r="H22" s="14">
        <f>SUM(T.XX!D22)</f>
        <v>514</v>
      </c>
      <c r="I22" s="14">
        <f>SUM(T.XX!E22)</f>
        <v>180</v>
      </c>
      <c r="J22" s="464">
        <f t="shared" si="2"/>
        <v>28.421052631578949</v>
      </c>
      <c r="K22" s="13">
        <f t="shared" si="11"/>
        <v>234</v>
      </c>
      <c r="L22" s="14">
        <f t="shared" si="3"/>
        <v>146</v>
      </c>
      <c r="M22" s="14">
        <f t="shared" si="4"/>
        <v>17</v>
      </c>
      <c r="N22" s="465">
        <f t="shared" si="5"/>
        <v>-11.821855169839491</v>
      </c>
      <c r="O22" s="214">
        <f t="shared" si="12"/>
        <v>41.48936170212766</v>
      </c>
      <c r="P22" s="98">
        <f t="shared" si="6"/>
        <v>39.673913043478258</v>
      </c>
      <c r="Q22" s="98">
        <f t="shared" si="7"/>
        <v>10.429447852760736</v>
      </c>
      <c r="R22" s="38">
        <f t="shared" si="13"/>
        <v>-29.37624494774408</v>
      </c>
      <c r="T22" s="14">
        <f t="shared" si="8"/>
        <v>22680</v>
      </c>
      <c r="U22" s="550">
        <v>3973</v>
      </c>
      <c r="V22" s="550">
        <v>3972</v>
      </c>
      <c r="W22" s="550">
        <v>3898</v>
      </c>
      <c r="X22" s="550">
        <v>3746</v>
      </c>
      <c r="Y22" s="550">
        <v>3607</v>
      </c>
      <c r="Z22" s="550">
        <v>3484</v>
      </c>
      <c r="AA22" s="14">
        <f t="shared" si="9"/>
        <v>22697</v>
      </c>
      <c r="AB22" s="550">
        <v>3755</v>
      </c>
      <c r="AC22" s="550">
        <v>3755</v>
      </c>
      <c r="AD22" s="550">
        <v>3650</v>
      </c>
      <c r="AE22" s="550">
        <v>3822</v>
      </c>
      <c r="AF22" s="550">
        <v>3890</v>
      </c>
      <c r="AG22" s="550">
        <v>3825</v>
      </c>
    </row>
    <row r="23" spans="2:33" x14ac:dyDescent="0.25">
      <c r="B23" s="209" t="s">
        <v>40</v>
      </c>
      <c r="C23" s="121">
        <v>251</v>
      </c>
      <c r="D23" s="122">
        <v>178</v>
      </c>
      <c r="E23" s="14">
        <v>120</v>
      </c>
      <c r="F23" s="485">
        <f t="shared" si="10"/>
        <v>87.390438247011957</v>
      </c>
      <c r="G23" s="121">
        <f>SUM(T.XX!C23)</f>
        <v>318</v>
      </c>
      <c r="H23" s="122">
        <f>SUM(T.XX!D23)</f>
        <v>265</v>
      </c>
      <c r="I23" s="14">
        <f>SUM(T.XX!E23)</f>
        <v>147</v>
      </c>
      <c r="J23" s="485">
        <f t="shared" si="2"/>
        <v>71.452830188679243</v>
      </c>
      <c r="K23" s="121">
        <f t="shared" si="11"/>
        <v>67</v>
      </c>
      <c r="L23" s="122">
        <f t="shared" si="3"/>
        <v>87</v>
      </c>
      <c r="M23" s="14">
        <f t="shared" si="4"/>
        <v>27</v>
      </c>
      <c r="N23" s="465">
        <f t="shared" si="5"/>
        <v>-15.937608058332714</v>
      </c>
      <c r="O23" s="215">
        <f t="shared" si="12"/>
        <v>26.693227091633464</v>
      </c>
      <c r="P23" s="216">
        <f t="shared" si="6"/>
        <v>48.876404494382022</v>
      </c>
      <c r="Q23" s="98">
        <f t="shared" si="7"/>
        <v>22.5</v>
      </c>
      <c r="R23" s="38">
        <f t="shared" si="13"/>
        <v>-18.237244689498571</v>
      </c>
      <c r="T23" s="122">
        <f t="shared" si="8"/>
        <v>22722</v>
      </c>
      <c r="U23" s="550">
        <v>3942</v>
      </c>
      <c r="V23" s="550">
        <v>3973</v>
      </c>
      <c r="W23" s="550">
        <v>3881</v>
      </c>
      <c r="X23" s="550">
        <v>3736</v>
      </c>
      <c r="Y23" s="550">
        <v>3654</v>
      </c>
      <c r="Z23" s="550">
        <v>3536</v>
      </c>
      <c r="AA23" s="122">
        <f t="shared" si="9"/>
        <v>21935</v>
      </c>
      <c r="AB23" s="550">
        <v>3680</v>
      </c>
      <c r="AC23" s="550">
        <v>3616</v>
      </c>
      <c r="AD23" s="550">
        <v>3556</v>
      </c>
      <c r="AE23" s="550">
        <v>3681</v>
      </c>
      <c r="AF23" s="550">
        <v>3723</v>
      </c>
      <c r="AG23" s="550">
        <v>3679</v>
      </c>
    </row>
    <row r="24" spans="2:33" x14ac:dyDescent="0.25">
      <c r="B24" s="209" t="s">
        <v>41</v>
      </c>
      <c r="C24" s="121">
        <v>793</v>
      </c>
      <c r="D24" s="122">
        <v>617</v>
      </c>
      <c r="E24" s="14">
        <v>232</v>
      </c>
      <c r="F24" s="485">
        <f t="shared" si="10"/>
        <v>30.627994955863809</v>
      </c>
      <c r="G24" s="121">
        <f>SUM(T.XX!C24)</f>
        <v>951</v>
      </c>
      <c r="H24" s="122">
        <f>SUM(T.XX!D24)</f>
        <v>682</v>
      </c>
      <c r="I24" s="14">
        <f>SUM(T.XX!E24)</f>
        <v>302</v>
      </c>
      <c r="J24" s="485">
        <f t="shared" si="2"/>
        <v>25.6130389064143</v>
      </c>
      <c r="K24" s="121">
        <f t="shared" si="11"/>
        <v>158</v>
      </c>
      <c r="L24" s="122">
        <f t="shared" si="3"/>
        <v>65</v>
      </c>
      <c r="M24" s="14">
        <f t="shared" si="4"/>
        <v>70</v>
      </c>
      <c r="N24" s="465">
        <f t="shared" si="5"/>
        <v>-5.0149560494495091</v>
      </c>
      <c r="O24" s="215">
        <f t="shared" si="12"/>
        <v>19.924337957124845</v>
      </c>
      <c r="P24" s="216">
        <f t="shared" si="6"/>
        <v>10.534846029173419</v>
      </c>
      <c r="Q24" s="98">
        <f t="shared" si="7"/>
        <v>30.172413793103448</v>
      </c>
      <c r="R24" s="38">
        <f t="shared" si="13"/>
        <v>-16.373765428250415</v>
      </c>
      <c r="T24" s="122">
        <f t="shared" si="8"/>
        <v>24358</v>
      </c>
      <c r="U24" s="550">
        <v>4296</v>
      </c>
      <c r="V24" s="550">
        <v>4245</v>
      </c>
      <c r="W24" s="550">
        <v>4162</v>
      </c>
      <c r="X24" s="550">
        <v>4000</v>
      </c>
      <c r="Y24" s="550">
        <v>3866</v>
      </c>
      <c r="Z24" s="550">
        <v>3789</v>
      </c>
      <c r="AA24" s="122">
        <f t="shared" si="9"/>
        <v>24288</v>
      </c>
      <c r="AB24" s="550">
        <v>4138</v>
      </c>
      <c r="AC24" s="550">
        <v>3994</v>
      </c>
      <c r="AD24" s="550">
        <v>3911</v>
      </c>
      <c r="AE24" s="550">
        <v>4091</v>
      </c>
      <c r="AF24" s="550">
        <v>4089</v>
      </c>
      <c r="AG24" s="550">
        <v>4065</v>
      </c>
    </row>
    <row r="25" spans="2:33" x14ac:dyDescent="0.25">
      <c r="B25" s="209" t="s">
        <v>42</v>
      </c>
      <c r="C25" s="121">
        <v>545</v>
      </c>
      <c r="D25" s="122">
        <v>277</v>
      </c>
      <c r="E25" s="14">
        <v>102</v>
      </c>
      <c r="F25" s="485">
        <f t="shared" si="10"/>
        <v>36.40550458715596</v>
      </c>
      <c r="G25" s="121">
        <f>SUM(T.XX!C25)</f>
        <v>886</v>
      </c>
      <c r="H25" s="122">
        <f>SUM(T.XX!D25)</f>
        <v>424</v>
      </c>
      <c r="I25" s="14">
        <f>SUM(T.XX!E25)</f>
        <v>162</v>
      </c>
      <c r="J25" s="485">
        <f t="shared" si="2"/>
        <v>24.142212189616252</v>
      </c>
      <c r="K25" s="121">
        <f t="shared" si="11"/>
        <v>341</v>
      </c>
      <c r="L25" s="122">
        <f t="shared" si="3"/>
        <v>147</v>
      </c>
      <c r="M25" s="14">
        <f t="shared" si="4"/>
        <v>60</v>
      </c>
      <c r="N25" s="465">
        <f t="shared" si="5"/>
        <v>-12.263292397539708</v>
      </c>
      <c r="O25" s="215">
        <f t="shared" si="12"/>
        <v>62.568807339449542</v>
      </c>
      <c r="P25" s="216">
        <f t="shared" si="6"/>
        <v>53.068592057761734</v>
      </c>
      <c r="Q25" s="98">
        <f t="shared" si="7"/>
        <v>58.82352941176471</v>
      </c>
      <c r="R25" s="38">
        <f t="shared" si="13"/>
        <v>-33.685269677229684</v>
      </c>
      <c r="T25" s="122">
        <f t="shared" si="8"/>
        <v>21390</v>
      </c>
      <c r="U25" s="550">
        <v>3737</v>
      </c>
      <c r="V25" s="550">
        <v>3700</v>
      </c>
      <c r="W25" s="550">
        <v>3601</v>
      </c>
      <c r="X25" s="550">
        <v>3479</v>
      </c>
      <c r="Y25" s="550">
        <v>3460</v>
      </c>
      <c r="Z25" s="550">
        <v>3413</v>
      </c>
      <c r="AA25" s="122">
        <f t="shared" si="9"/>
        <v>19841</v>
      </c>
      <c r="AB25" s="550">
        <v>3082</v>
      </c>
      <c r="AC25" s="550">
        <v>3086</v>
      </c>
      <c r="AD25" s="550">
        <v>3175</v>
      </c>
      <c r="AE25" s="550">
        <v>3382</v>
      </c>
      <c r="AF25" s="550">
        <v>3500</v>
      </c>
      <c r="AG25" s="550">
        <v>3616</v>
      </c>
    </row>
    <row r="26" spans="2:33" x14ac:dyDescent="0.25">
      <c r="B26" s="209" t="s">
        <v>43</v>
      </c>
      <c r="C26" s="121">
        <v>964</v>
      </c>
      <c r="D26" s="122">
        <v>231</v>
      </c>
      <c r="E26" s="14">
        <v>142</v>
      </c>
      <c r="F26" s="485">
        <f t="shared" si="10"/>
        <v>37.988589211618255</v>
      </c>
      <c r="G26" s="121">
        <f>SUM(T.XX!C26)</f>
        <v>1097</v>
      </c>
      <c r="H26" s="122">
        <f>SUM(T.XX!D26)</f>
        <v>338</v>
      </c>
      <c r="I26" s="14">
        <f>SUM(T.XX!E26)</f>
        <v>124</v>
      </c>
      <c r="J26" s="485">
        <f t="shared" si="2"/>
        <v>36.416590701914309</v>
      </c>
      <c r="K26" s="121">
        <f t="shared" si="11"/>
        <v>133</v>
      </c>
      <c r="L26" s="122">
        <f t="shared" si="3"/>
        <v>107</v>
      </c>
      <c r="M26" s="14">
        <f t="shared" si="4"/>
        <v>-18</v>
      </c>
      <c r="N26" s="465">
        <f t="shared" si="5"/>
        <v>-1.5719985097039455</v>
      </c>
      <c r="O26" s="215">
        <f t="shared" si="12"/>
        <v>13.796680497925312</v>
      </c>
      <c r="P26" s="216">
        <f t="shared" si="6"/>
        <v>46.320346320346324</v>
      </c>
      <c r="Q26" s="98">
        <f t="shared" si="7"/>
        <v>-12.676056338028168</v>
      </c>
      <c r="R26" s="38">
        <f t="shared" si="13"/>
        <v>-4.1380807824871075</v>
      </c>
      <c r="T26" s="122">
        <f t="shared" si="8"/>
        <v>39949</v>
      </c>
      <c r="U26" s="550">
        <v>6818</v>
      </c>
      <c r="V26" s="550">
        <v>6904</v>
      </c>
      <c r="W26" s="550">
        <v>6814</v>
      </c>
      <c r="X26" s="550">
        <v>6649</v>
      </c>
      <c r="Y26" s="550">
        <v>6479</v>
      </c>
      <c r="Z26" s="550">
        <v>6285</v>
      </c>
      <c r="AA26" s="122">
        <f t="shared" si="9"/>
        <v>36621</v>
      </c>
      <c r="AB26" s="550">
        <v>5888</v>
      </c>
      <c r="AC26" s="550">
        <v>5890</v>
      </c>
      <c r="AD26" s="550">
        <v>5854</v>
      </c>
      <c r="AE26" s="550">
        <v>6077</v>
      </c>
      <c r="AF26" s="550">
        <v>6445</v>
      </c>
      <c r="AG26" s="550">
        <v>6467</v>
      </c>
    </row>
    <row r="27" spans="2:33" x14ac:dyDescent="0.25">
      <c r="B27" s="209" t="s">
        <v>44</v>
      </c>
      <c r="C27" s="121">
        <v>533</v>
      </c>
      <c r="D27" s="122">
        <v>195</v>
      </c>
      <c r="E27" s="14">
        <v>49</v>
      </c>
      <c r="F27" s="485">
        <f t="shared" si="10"/>
        <v>33.825515947467167</v>
      </c>
      <c r="G27" s="121">
        <f>SUM(T.XX!C27)</f>
        <v>828</v>
      </c>
      <c r="H27" s="122">
        <f>SUM(T.XX!D27)</f>
        <v>260</v>
      </c>
      <c r="I27" s="14">
        <f>SUM(T.XX!E27)</f>
        <v>87</v>
      </c>
      <c r="J27" s="485">
        <f t="shared" si="2"/>
        <v>20.896135265700483</v>
      </c>
      <c r="K27" s="121">
        <f t="shared" si="11"/>
        <v>295</v>
      </c>
      <c r="L27" s="122">
        <f t="shared" si="3"/>
        <v>65</v>
      </c>
      <c r="M27" s="14">
        <f t="shared" si="4"/>
        <v>38</v>
      </c>
      <c r="N27" s="465">
        <f t="shared" si="5"/>
        <v>-12.929380681766684</v>
      </c>
      <c r="O27" s="215">
        <f>SUM(K27)/C27*100</f>
        <v>55.347091932457779</v>
      </c>
      <c r="P27" s="216">
        <f t="shared" si="6"/>
        <v>33.333333333333329</v>
      </c>
      <c r="Q27" s="98">
        <f t="shared" si="7"/>
        <v>77.551020408163268</v>
      </c>
      <c r="R27" s="38">
        <f t="shared" si="13"/>
        <v>-38.223750088089425</v>
      </c>
      <c r="T27" s="122">
        <f t="shared" si="8"/>
        <v>17302</v>
      </c>
      <c r="U27" s="550">
        <v>3024</v>
      </c>
      <c r="V27" s="550">
        <v>3006</v>
      </c>
      <c r="W27" s="550">
        <v>2957</v>
      </c>
      <c r="X27" s="550">
        <v>2866</v>
      </c>
      <c r="Y27" s="550">
        <v>2770</v>
      </c>
      <c r="Z27" s="550">
        <v>2679</v>
      </c>
      <c r="AA27" s="122">
        <f t="shared" si="9"/>
        <v>18029</v>
      </c>
      <c r="AB27" s="550">
        <v>2906</v>
      </c>
      <c r="AC27" s="550">
        <v>2925</v>
      </c>
      <c r="AD27" s="550">
        <v>2940</v>
      </c>
      <c r="AE27" s="550">
        <v>3048</v>
      </c>
      <c r="AF27" s="550">
        <v>3071</v>
      </c>
      <c r="AG27" s="550">
        <v>3139</v>
      </c>
    </row>
    <row r="28" spans="2:33" x14ac:dyDescent="0.25">
      <c r="B28" s="209" t="s">
        <v>45</v>
      </c>
      <c r="C28" s="121">
        <v>509</v>
      </c>
      <c r="D28" s="122">
        <v>267</v>
      </c>
      <c r="E28" s="14">
        <v>127</v>
      </c>
      <c r="F28" s="485">
        <f t="shared" si="10"/>
        <v>29.196463654223969</v>
      </c>
      <c r="G28" s="121">
        <f>SUM(T.XX!C28)</f>
        <v>739</v>
      </c>
      <c r="H28" s="122">
        <f>SUM(T.XX!D28)</f>
        <v>382</v>
      </c>
      <c r="I28" s="14">
        <f>SUM(T.XX!E28)</f>
        <v>133</v>
      </c>
      <c r="J28" s="485">
        <f t="shared" si="2"/>
        <v>21.874154262516914</v>
      </c>
      <c r="K28" s="121">
        <f t="shared" si="11"/>
        <v>230</v>
      </c>
      <c r="L28" s="122">
        <f t="shared" si="3"/>
        <v>115</v>
      </c>
      <c r="M28" s="14">
        <f t="shared" si="4"/>
        <v>6</v>
      </c>
      <c r="N28" s="465">
        <f t="shared" si="5"/>
        <v>-7.322309391707055</v>
      </c>
      <c r="O28" s="215">
        <f t="shared" si="12"/>
        <v>45.186640471512767</v>
      </c>
      <c r="P28" s="216">
        <f t="shared" si="6"/>
        <v>43.071161048689142</v>
      </c>
      <c r="Q28" s="98">
        <f t="shared" si="7"/>
        <v>4.7244094488188972</v>
      </c>
      <c r="R28" s="38">
        <f t="shared" si="13"/>
        <v>-25.079439340413774</v>
      </c>
      <c r="T28" s="122">
        <f t="shared" si="8"/>
        <v>16165</v>
      </c>
      <c r="U28" s="550">
        <v>2875</v>
      </c>
      <c r="V28" s="550">
        <v>2870</v>
      </c>
      <c r="W28" s="550">
        <v>2783</v>
      </c>
      <c r="X28" s="550">
        <v>2702</v>
      </c>
      <c r="Y28" s="550">
        <v>2537</v>
      </c>
      <c r="Z28" s="550">
        <v>2398</v>
      </c>
      <c r="AA28" s="122">
        <f t="shared" si="9"/>
        <v>14861</v>
      </c>
      <c r="AB28" s="550">
        <v>2307</v>
      </c>
      <c r="AC28" s="550">
        <v>2372</v>
      </c>
      <c r="AD28" s="550">
        <v>2331</v>
      </c>
      <c r="AE28" s="550">
        <v>2480</v>
      </c>
      <c r="AF28" s="550">
        <v>2638</v>
      </c>
      <c r="AG28" s="550">
        <v>2733</v>
      </c>
    </row>
    <row r="29" spans="2:33" x14ac:dyDescent="0.25">
      <c r="B29" s="209" t="s">
        <v>46</v>
      </c>
      <c r="C29" s="121">
        <v>838</v>
      </c>
      <c r="D29" s="122">
        <v>455</v>
      </c>
      <c r="E29" s="14">
        <v>178</v>
      </c>
      <c r="F29" s="485">
        <f t="shared" si="10"/>
        <v>26.200477326968972</v>
      </c>
      <c r="G29" s="121">
        <f>SUM(T.XX!C29)</f>
        <v>1036</v>
      </c>
      <c r="H29" s="122">
        <f>SUM(T.XX!D29)</f>
        <v>550</v>
      </c>
      <c r="I29" s="14">
        <f>SUM(T.XX!E29)</f>
        <v>203</v>
      </c>
      <c r="J29" s="485">
        <f t="shared" si="2"/>
        <v>21.894787644787645</v>
      </c>
      <c r="K29" s="121">
        <f t="shared" si="11"/>
        <v>198</v>
      </c>
      <c r="L29" s="122">
        <f t="shared" si="3"/>
        <v>95</v>
      </c>
      <c r="M29" s="14">
        <f t="shared" si="4"/>
        <v>25</v>
      </c>
      <c r="N29" s="465">
        <f t="shared" si="5"/>
        <v>-4.3056896821813275</v>
      </c>
      <c r="O29" s="215">
        <f t="shared" si="12"/>
        <v>23.627684964200476</v>
      </c>
      <c r="P29" s="216">
        <f t="shared" si="6"/>
        <v>20.87912087912088</v>
      </c>
      <c r="Q29" s="98">
        <f t="shared" si="7"/>
        <v>14.04494382022472</v>
      </c>
      <c r="R29" s="38">
        <f t="shared" si="13"/>
        <v>-16.433630687137697</v>
      </c>
      <c r="T29" s="122">
        <f t="shared" si="8"/>
        <v>22683</v>
      </c>
      <c r="U29" s="550">
        <v>3968</v>
      </c>
      <c r="V29" s="550">
        <v>3991</v>
      </c>
      <c r="W29" s="550">
        <v>3861</v>
      </c>
      <c r="X29" s="550">
        <v>3680</v>
      </c>
      <c r="Y29" s="550">
        <v>3610</v>
      </c>
      <c r="Z29" s="550">
        <v>3573</v>
      </c>
      <c r="AA29" s="122">
        <f t="shared" si="9"/>
        <v>21956</v>
      </c>
      <c r="AB29" s="550">
        <v>3635</v>
      </c>
      <c r="AC29" s="550">
        <v>3629</v>
      </c>
      <c r="AD29" s="550">
        <v>3528</v>
      </c>
      <c r="AE29" s="550">
        <v>3692</v>
      </c>
      <c r="AF29" s="550">
        <v>3731</v>
      </c>
      <c r="AG29" s="550">
        <v>3741</v>
      </c>
    </row>
    <row r="30" spans="2:33" x14ac:dyDescent="0.25">
      <c r="B30" s="209" t="s">
        <v>47</v>
      </c>
      <c r="C30" s="121">
        <v>303</v>
      </c>
      <c r="D30" s="122">
        <v>149</v>
      </c>
      <c r="E30" s="14">
        <v>90</v>
      </c>
      <c r="F30" s="485">
        <f t="shared" si="10"/>
        <v>32.74917491749175</v>
      </c>
      <c r="G30" s="121">
        <f>SUM(T.XX!C30)</f>
        <v>575</v>
      </c>
      <c r="H30" s="122">
        <f>SUM(T.XX!D30)</f>
        <v>274</v>
      </c>
      <c r="I30" s="14">
        <f>SUM(T.XX!E30)</f>
        <v>152</v>
      </c>
      <c r="J30" s="485">
        <f t="shared" si="2"/>
        <v>18.220869565217392</v>
      </c>
      <c r="K30" s="121">
        <f t="shared" si="11"/>
        <v>272</v>
      </c>
      <c r="L30" s="122">
        <f t="shared" si="3"/>
        <v>125</v>
      </c>
      <c r="M30" s="14">
        <f t="shared" si="4"/>
        <v>62</v>
      </c>
      <c r="N30" s="465">
        <f t="shared" si="5"/>
        <v>-14.528305352274359</v>
      </c>
      <c r="O30" s="215">
        <f t="shared" si="12"/>
        <v>89.768976897689768</v>
      </c>
      <c r="P30" s="216">
        <f t="shared" si="6"/>
        <v>83.892617449664428</v>
      </c>
      <c r="Q30" s="98">
        <f t="shared" si="7"/>
        <v>68.888888888888886</v>
      </c>
      <c r="R30" s="38">
        <f t="shared" si="13"/>
        <v>-44.362355353614134</v>
      </c>
      <c r="T30" s="122">
        <f t="shared" si="8"/>
        <v>10477</v>
      </c>
      <c r="U30" s="550">
        <v>1835</v>
      </c>
      <c r="V30" s="550">
        <v>1838</v>
      </c>
      <c r="W30" s="550">
        <v>1781</v>
      </c>
      <c r="X30" s="550">
        <v>1708</v>
      </c>
      <c r="Y30" s="550">
        <v>1672</v>
      </c>
      <c r="Z30" s="550">
        <v>1643</v>
      </c>
      <c r="AA30" s="122">
        <f t="shared" si="9"/>
        <v>9923</v>
      </c>
      <c r="AB30" s="550">
        <v>1556</v>
      </c>
      <c r="AC30" s="550">
        <v>1583</v>
      </c>
      <c r="AD30" s="550">
        <v>1577</v>
      </c>
      <c r="AE30" s="550">
        <v>1679</v>
      </c>
      <c r="AF30" s="550">
        <v>1744</v>
      </c>
      <c r="AG30" s="550">
        <v>1784</v>
      </c>
    </row>
    <row r="31" spans="2:33" x14ac:dyDescent="0.25">
      <c r="B31" s="209" t="s">
        <v>48</v>
      </c>
      <c r="C31" s="121">
        <v>407</v>
      </c>
      <c r="D31" s="122">
        <v>96</v>
      </c>
      <c r="E31" s="14">
        <v>37</v>
      </c>
      <c r="F31" s="485">
        <f t="shared" si="10"/>
        <v>12.95085995085995</v>
      </c>
      <c r="G31" s="121">
        <f>SUM(T.XX!C31)</f>
        <v>485</v>
      </c>
      <c r="H31" s="122">
        <f>SUM(T.XX!D31)</f>
        <v>192</v>
      </c>
      <c r="I31" s="14">
        <f>SUM(T.XX!E31)</f>
        <v>62</v>
      </c>
      <c r="J31" s="485">
        <f>SUM(T31)/G31</f>
        <v>11.534020618556701</v>
      </c>
      <c r="K31" s="121">
        <f t="shared" si="11"/>
        <v>78</v>
      </c>
      <c r="L31" s="122">
        <f t="shared" si="3"/>
        <v>96</v>
      </c>
      <c r="M31" s="14">
        <f t="shared" si="4"/>
        <v>25</v>
      </c>
      <c r="N31" s="465">
        <f t="shared" si="5"/>
        <v>-1.4168393323032493</v>
      </c>
      <c r="O31" s="215">
        <f t="shared" si="12"/>
        <v>19.164619164619165</v>
      </c>
      <c r="P31" s="216">
        <f t="shared" si="6"/>
        <v>100</v>
      </c>
      <c r="Q31" s="98">
        <f t="shared" si="7"/>
        <v>67.567567567567565</v>
      </c>
      <c r="R31" s="38">
        <f t="shared" si="13"/>
        <v>-10.940117781207029</v>
      </c>
      <c r="T31" s="122">
        <f t="shared" si="8"/>
        <v>5594</v>
      </c>
      <c r="U31" s="550">
        <v>987</v>
      </c>
      <c r="V31" s="550">
        <v>1003</v>
      </c>
      <c r="W31" s="550">
        <v>948</v>
      </c>
      <c r="X31" s="550">
        <v>932</v>
      </c>
      <c r="Y31" s="550">
        <v>878</v>
      </c>
      <c r="Z31" s="550">
        <v>846</v>
      </c>
      <c r="AA31" s="122">
        <f t="shared" si="9"/>
        <v>5271</v>
      </c>
      <c r="AB31" s="550">
        <v>810</v>
      </c>
      <c r="AC31" s="550">
        <v>806</v>
      </c>
      <c r="AD31" s="550">
        <v>827</v>
      </c>
      <c r="AE31" s="550">
        <v>911</v>
      </c>
      <c r="AF31" s="550">
        <v>952</v>
      </c>
      <c r="AG31" s="550">
        <v>965</v>
      </c>
    </row>
    <row r="32" spans="2:33" x14ac:dyDescent="0.25">
      <c r="B32" s="209" t="s">
        <v>49</v>
      </c>
      <c r="C32" s="121">
        <v>487</v>
      </c>
      <c r="D32" s="122">
        <v>283</v>
      </c>
      <c r="E32" s="14">
        <v>110</v>
      </c>
      <c r="F32" s="485">
        <f t="shared" si="10"/>
        <v>37.667351129363446</v>
      </c>
      <c r="G32" s="121">
        <f>SUM(T.XX!C32)</f>
        <v>525</v>
      </c>
      <c r="H32" s="122">
        <f>SUM(T.XX!D32)</f>
        <v>344</v>
      </c>
      <c r="I32" s="14">
        <f>SUM(T.XX!E32)</f>
        <v>172</v>
      </c>
      <c r="J32" s="485">
        <f t="shared" si="2"/>
        <v>35.59238095238095</v>
      </c>
      <c r="K32" s="121">
        <f t="shared" si="11"/>
        <v>38</v>
      </c>
      <c r="L32" s="122">
        <f t="shared" si="3"/>
        <v>61</v>
      </c>
      <c r="M32" s="14">
        <f t="shared" si="4"/>
        <v>62</v>
      </c>
      <c r="N32" s="465">
        <f t="shared" si="5"/>
        <v>-2.0749701769824966</v>
      </c>
      <c r="O32" s="215">
        <f t="shared" si="12"/>
        <v>7.8028747433264893</v>
      </c>
      <c r="P32" s="216">
        <f t="shared" si="6"/>
        <v>21.554770318021202</v>
      </c>
      <c r="Q32" s="98">
        <f t="shared" si="7"/>
        <v>56.36363636363636</v>
      </c>
      <c r="R32" s="38">
        <f t="shared" si="13"/>
        <v>-5.5086702801486913</v>
      </c>
      <c r="T32" s="122">
        <f t="shared" si="8"/>
        <v>18686</v>
      </c>
      <c r="U32" s="550">
        <v>3169</v>
      </c>
      <c r="V32" s="550">
        <v>3213</v>
      </c>
      <c r="W32" s="550">
        <v>3173</v>
      </c>
      <c r="X32" s="550">
        <v>3090</v>
      </c>
      <c r="Y32" s="550">
        <v>3055</v>
      </c>
      <c r="Z32" s="550">
        <v>2986</v>
      </c>
      <c r="AA32" s="122">
        <f t="shared" si="9"/>
        <v>18344</v>
      </c>
      <c r="AB32" s="550">
        <v>2985</v>
      </c>
      <c r="AC32" s="550">
        <v>2949</v>
      </c>
      <c r="AD32" s="550">
        <v>2979</v>
      </c>
      <c r="AE32" s="550">
        <v>3098</v>
      </c>
      <c r="AF32" s="550">
        <v>3168</v>
      </c>
      <c r="AG32" s="550">
        <v>3165</v>
      </c>
    </row>
    <row r="33" spans="2:33" x14ac:dyDescent="0.25">
      <c r="B33" s="209" t="s">
        <v>50</v>
      </c>
      <c r="C33" s="121">
        <v>2287</v>
      </c>
      <c r="D33" s="122">
        <v>289</v>
      </c>
      <c r="E33" s="14">
        <v>259</v>
      </c>
      <c r="F33" s="485">
        <f t="shared" si="10"/>
        <v>17.534761696545694</v>
      </c>
      <c r="G33" s="121">
        <f>SUM(T.XX!C33)</f>
        <v>3761</v>
      </c>
      <c r="H33" s="122">
        <f>SUM(T.XX!D33)</f>
        <v>508</v>
      </c>
      <c r="I33" s="14">
        <f>SUM(T.XX!E33)</f>
        <v>316</v>
      </c>
      <c r="J33" s="485">
        <f t="shared" si="2"/>
        <v>11.959585216697686</v>
      </c>
      <c r="K33" s="121">
        <f t="shared" si="11"/>
        <v>1474</v>
      </c>
      <c r="L33" s="122">
        <f t="shared" si="3"/>
        <v>219</v>
      </c>
      <c r="M33" s="14">
        <f t="shared" si="4"/>
        <v>57</v>
      </c>
      <c r="N33" s="465">
        <f t="shared" si="5"/>
        <v>-5.5751764798480075</v>
      </c>
      <c r="O33" s="215">
        <f t="shared" si="12"/>
        <v>64.451246174027105</v>
      </c>
      <c r="P33" s="216">
        <f t="shared" si="6"/>
        <v>75.778546712802765</v>
      </c>
      <c r="Q33" s="98">
        <f t="shared" si="7"/>
        <v>22.007722007722009</v>
      </c>
      <c r="R33" s="38">
        <f t="shared" si="13"/>
        <v>-31.794994288096333</v>
      </c>
      <c r="T33" s="122">
        <f t="shared" si="8"/>
        <v>44980</v>
      </c>
      <c r="U33" s="550">
        <v>7680</v>
      </c>
      <c r="V33" s="550">
        <v>7713</v>
      </c>
      <c r="W33" s="550">
        <v>7608</v>
      </c>
      <c r="X33" s="550">
        <v>7488</v>
      </c>
      <c r="Y33" s="550">
        <v>7316</v>
      </c>
      <c r="Z33" s="550">
        <v>7175</v>
      </c>
      <c r="AA33" s="122">
        <f t="shared" si="9"/>
        <v>40102</v>
      </c>
      <c r="AB33" s="550">
        <v>6378</v>
      </c>
      <c r="AC33" s="550">
        <v>6413</v>
      </c>
      <c r="AD33" s="550">
        <v>6412</v>
      </c>
      <c r="AE33" s="550">
        <v>6674</v>
      </c>
      <c r="AF33" s="550">
        <v>7044</v>
      </c>
      <c r="AG33" s="550">
        <v>7181</v>
      </c>
    </row>
    <row r="34" spans="2:33" ht="15.75" thickBot="1" x14ac:dyDescent="0.3">
      <c r="B34" s="210" t="s">
        <v>51</v>
      </c>
      <c r="C34" s="123">
        <v>398</v>
      </c>
      <c r="D34" s="125">
        <v>221</v>
      </c>
      <c r="E34" s="21">
        <v>96</v>
      </c>
      <c r="F34" s="486">
        <f t="shared" si="10"/>
        <v>22.030150753768844</v>
      </c>
      <c r="G34" s="123">
        <f>SUM(T.XX!C34)</f>
        <v>670</v>
      </c>
      <c r="H34" s="125">
        <f>SUM(T.XX!D34)</f>
        <v>242</v>
      </c>
      <c r="I34" s="21">
        <f>SUM(T.XX!E34)</f>
        <v>160</v>
      </c>
      <c r="J34" s="486">
        <f t="shared" si="2"/>
        <v>14.126865671641792</v>
      </c>
      <c r="K34" s="123">
        <f t="shared" si="11"/>
        <v>272</v>
      </c>
      <c r="L34" s="125">
        <f t="shared" si="3"/>
        <v>21</v>
      </c>
      <c r="M34" s="21">
        <f t="shared" si="4"/>
        <v>64</v>
      </c>
      <c r="N34" s="488">
        <f t="shared" si="5"/>
        <v>-7.9032850821270522</v>
      </c>
      <c r="O34" s="217">
        <f t="shared" si="12"/>
        <v>68.341708542713562</v>
      </c>
      <c r="P34" s="218">
        <f t="shared" si="6"/>
        <v>9.502262443438914</v>
      </c>
      <c r="Q34" s="99">
        <f t="shared" si="7"/>
        <v>66.666666666666657</v>
      </c>
      <c r="R34" s="219">
        <f t="shared" si="13"/>
        <v>-35.874857010567595</v>
      </c>
      <c r="T34" s="122">
        <f t="shared" si="8"/>
        <v>9465</v>
      </c>
      <c r="U34" s="550">
        <v>1591</v>
      </c>
      <c r="V34" s="550">
        <v>1643</v>
      </c>
      <c r="W34" s="550">
        <v>1638</v>
      </c>
      <c r="X34" s="550">
        <v>1593</v>
      </c>
      <c r="Y34" s="550">
        <v>1520</v>
      </c>
      <c r="Z34" s="550">
        <v>1480</v>
      </c>
      <c r="AA34" s="122">
        <f t="shared" si="9"/>
        <v>8768</v>
      </c>
      <c r="AB34" s="550">
        <v>1356</v>
      </c>
      <c r="AC34" s="550">
        <v>1370</v>
      </c>
      <c r="AD34" s="550">
        <v>1387</v>
      </c>
      <c r="AE34" s="550">
        <v>1491</v>
      </c>
      <c r="AF34" s="550">
        <v>1563</v>
      </c>
      <c r="AG34" s="550">
        <v>1601</v>
      </c>
    </row>
    <row r="36" spans="2:33" x14ac:dyDescent="0.25">
      <c r="D36" s="390"/>
      <c r="H36" s="390"/>
      <c r="I36" s="390"/>
      <c r="K36" s="387"/>
    </row>
    <row r="37" spans="2:33" x14ac:dyDescent="0.25">
      <c r="G37" s="389"/>
    </row>
  </sheetData>
  <mergeCells count="18">
    <mergeCell ref="K7:K8"/>
    <mergeCell ref="L7:M7"/>
    <mergeCell ref="N7:N8"/>
    <mergeCell ref="O7:O8"/>
    <mergeCell ref="C5:I5"/>
    <mergeCell ref="B6:B8"/>
    <mergeCell ref="C6:F6"/>
    <mergeCell ref="K6:N6"/>
    <mergeCell ref="O6:R6"/>
    <mergeCell ref="G7:G8"/>
    <mergeCell ref="H7:I7"/>
    <mergeCell ref="J7:J8"/>
    <mergeCell ref="C7:C8"/>
    <mergeCell ref="P7:Q7"/>
    <mergeCell ref="R7:R8"/>
    <mergeCell ref="G6:J6"/>
    <mergeCell ref="D7:E7"/>
    <mergeCell ref="F7:F8"/>
  </mergeCells>
  <pageMargins left="0" right="0" top="1.3779527559055118" bottom="0" header="0" footer="0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1:O33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2.140625" style="11" customWidth="1"/>
    <col min="3" max="3" width="9" style="11" customWidth="1"/>
    <col min="4" max="5" width="9.42578125" style="11" customWidth="1"/>
    <col min="6" max="6" width="13.140625" style="11" customWidth="1"/>
    <col min="7" max="7" width="13" style="11" customWidth="1"/>
    <col min="8" max="8" width="8.7109375" style="11" customWidth="1"/>
    <col min="9" max="9" width="9.85546875" style="11" customWidth="1"/>
    <col min="10" max="10" width="9.42578125" style="11" customWidth="1"/>
    <col min="11" max="11" width="13.42578125" style="11" customWidth="1"/>
    <col min="12" max="12" width="13.5703125" style="11" customWidth="1"/>
    <col min="13" max="13" width="2.5703125" style="11" customWidth="1"/>
    <col min="14" max="14" width="11.140625" style="11" customWidth="1"/>
    <col min="15" max="15" width="11.28515625" style="11" customWidth="1"/>
    <col min="16" max="16384" width="9.140625" style="11"/>
  </cols>
  <sheetData>
    <row r="1" spans="2:15" ht="12.75" customHeight="1" x14ac:dyDescent="0.25"/>
    <row r="2" spans="2:15" x14ac:dyDescent="0.25">
      <c r="B2" s="11" t="s">
        <v>277</v>
      </c>
    </row>
    <row r="3" spans="2:15" x14ac:dyDescent="0.25">
      <c r="B3" s="11" t="s">
        <v>289</v>
      </c>
    </row>
    <row r="4" spans="2:15" ht="9" customHeight="1" thickBot="1" x14ac:dyDescent="0.3"/>
    <row r="5" spans="2:15" ht="33.75" customHeight="1" thickBot="1" x14ac:dyDescent="0.3">
      <c r="B5" s="815" t="s">
        <v>129</v>
      </c>
      <c r="C5" s="813" t="s">
        <v>131</v>
      </c>
      <c r="D5" s="813"/>
      <c r="E5" s="813"/>
      <c r="F5" s="813"/>
      <c r="G5" s="814"/>
      <c r="H5" s="812" t="s">
        <v>132</v>
      </c>
      <c r="I5" s="813"/>
      <c r="J5" s="813"/>
      <c r="K5" s="813"/>
      <c r="L5" s="814"/>
    </row>
    <row r="6" spans="2:15" ht="59.25" customHeight="1" thickBot="1" x14ac:dyDescent="0.3">
      <c r="B6" s="816"/>
      <c r="C6" s="662" t="s">
        <v>440</v>
      </c>
      <c r="D6" s="516" t="s">
        <v>463</v>
      </c>
      <c r="E6" s="675" t="s">
        <v>462</v>
      </c>
      <c r="F6" s="514" t="s">
        <v>474</v>
      </c>
      <c r="G6" s="630" t="s">
        <v>475</v>
      </c>
      <c r="H6" s="660" t="s">
        <v>471</v>
      </c>
      <c r="I6" s="516" t="s">
        <v>472</v>
      </c>
      <c r="J6" s="675" t="s">
        <v>462</v>
      </c>
      <c r="K6" s="514" t="s">
        <v>476</v>
      </c>
      <c r="L6" s="630" t="s">
        <v>477</v>
      </c>
      <c r="N6" s="533" t="s">
        <v>406</v>
      </c>
      <c r="O6" s="533" t="s">
        <v>405</v>
      </c>
    </row>
    <row r="7" spans="2:15" ht="24.75" customHeight="1" thickBot="1" x14ac:dyDescent="0.3">
      <c r="B7" s="666" t="s">
        <v>26</v>
      </c>
      <c r="C7" s="667">
        <f>SUM(C8:C32)</f>
        <v>86159</v>
      </c>
      <c r="D7" s="668">
        <f>SUM(D8:D32)</f>
        <v>87326</v>
      </c>
      <c r="E7" s="669">
        <f>SUM(E8:E32)</f>
        <v>80944</v>
      </c>
      <c r="F7" s="668">
        <f>SUM(E7-D7)</f>
        <v>-6382</v>
      </c>
      <c r="G7" s="670">
        <f t="shared" ref="G7:G32" si="0">SUM(E7-C7)</f>
        <v>-5215</v>
      </c>
      <c r="H7" s="671">
        <v>9</v>
      </c>
      <c r="I7" s="672">
        <v>9.1</v>
      </c>
      <c r="J7" s="673">
        <v>8.5</v>
      </c>
      <c r="K7" s="672">
        <f>SUM(J7-I7)</f>
        <v>-0.59999999999999964</v>
      </c>
      <c r="L7" s="674">
        <f>SUM(J7-H7)</f>
        <v>-0.5</v>
      </c>
      <c r="N7" s="531" t="s">
        <v>108</v>
      </c>
      <c r="O7" s="531" t="s">
        <v>108</v>
      </c>
    </row>
    <row r="8" spans="2:15" ht="16.5" customHeight="1" x14ac:dyDescent="0.25">
      <c r="B8" s="61" t="s">
        <v>27</v>
      </c>
      <c r="C8" s="663">
        <v>1256</v>
      </c>
      <c r="D8" s="37">
        <v>1296</v>
      </c>
      <c r="E8" s="41">
        <v>1157</v>
      </c>
      <c r="F8" s="37">
        <f t="shared" ref="F8:F32" si="1">SUM(E8-D8)</f>
        <v>-139</v>
      </c>
      <c r="G8" s="158">
        <f t="shared" si="0"/>
        <v>-99</v>
      </c>
      <c r="H8" s="465">
        <v>14.5</v>
      </c>
      <c r="I8" s="664">
        <v>14.9</v>
      </c>
      <c r="J8" s="665">
        <v>13.5</v>
      </c>
      <c r="K8" s="664">
        <f t="shared" ref="K8:K32" si="2">SUM(J8-I8)</f>
        <v>-1.4000000000000004</v>
      </c>
      <c r="L8" s="38">
        <f t="shared" ref="L8:L32" si="3">SUM(J8-H8)</f>
        <v>-1</v>
      </c>
      <c r="N8" s="212">
        <f>RANK(F8,F8:F32,0)</f>
        <v>6</v>
      </c>
      <c r="O8" s="212">
        <f>RANK(F8,F8:F32,1)</f>
        <v>20</v>
      </c>
    </row>
    <row r="9" spans="2:15" ht="15" customHeight="1" x14ac:dyDescent="0.25">
      <c r="B9" s="12" t="s">
        <v>28</v>
      </c>
      <c r="C9" s="346">
        <v>4406</v>
      </c>
      <c r="D9" s="13">
        <v>4460</v>
      </c>
      <c r="E9" s="39">
        <v>4057</v>
      </c>
      <c r="F9" s="13">
        <f t="shared" si="1"/>
        <v>-403</v>
      </c>
      <c r="G9" s="15">
        <f t="shared" si="0"/>
        <v>-349</v>
      </c>
      <c r="H9" s="464">
        <v>15.6</v>
      </c>
      <c r="I9" s="214">
        <v>15.8</v>
      </c>
      <c r="J9" s="604">
        <v>14.5</v>
      </c>
      <c r="K9" s="214">
        <f t="shared" si="2"/>
        <v>-1.3000000000000007</v>
      </c>
      <c r="L9" s="32">
        <f t="shared" si="3"/>
        <v>-1.0999999999999996</v>
      </c>
      <c r="N9" s="9">
        <f>RANK(F9,F8:F32,0)</f>
        <v>22</v>
      </c>
      <c r="O9" s="9">
        <f>RANK(F9,F8:F32,1)</f>
        <v>4</v>
      </c>
    </row>
    <row r="10" spans="2:15" ht="15" customHeight="1" x14ac:dyDescent="0.25">
      <c r="B10" s="12" t="s">
        <v>29</v>
      </c>
      <c r="C10" s="346">
        <v>3515</v>
      </c>
      <c r="D10" s="13">
        <v>3609</v>
      </c>
      <c r="E10" s="39">
        <v>3035</v>
      </c>
      <c r="F10" s="13">
        <f t="shared" si="1"/>
        <v>-574</v>
      </c>
      <c r="G10" s="15">
        <f t="shared" si="0"/>
        <v>-480</v>
      </c>
      <c r="H10" s="464">
        <v>5.7</v>
      </c>
      <c r="I10" s="214">
        <v>5.8</v>
      </c>
      <c r="J10" s="604">
        <v>4.9000000000000004</v>
      </c>
      <c r="K10" s="214">
        <f t="shared" si="2"/>
        <v>-0.89999999999999947</v>
      </c>
      <c r="L10" s="32">
        <f t="shared" si="3"/>
        <v>-0.79999999999999982</v>
      </c>
      <c r="N10" s="9">
        <f>RANK(F10,F8:F32,0)</f>
        <v>25</v>
      </c>
      <c r="O10" s="9">
        <f>RANK(F10,F8:F32,1)</f>
        <v>1</v>
      </c>
    </row>
    <row r="11" spans="2:15" ht="15.75" customHeight="1" x14ac:dyDescent="0.25">
      <c r="B11" s="12" t="s">
        <v>30</v>
      </c>
      <c r="C11" s="346">
        <v>5960</v>
      </c>
      <c r="D11" s="13">
        <v>6072</v>
      </c>
      <c r="E11" s="39">
        <v>5829</v>
      </c>
      <c r="F11" s="13">
        <f t="shared" si="1"/>
        <v>-243</v>
      </c>
      <c r="G11" s="15">
        <f t="shared" si="0"/>
        <v>-131</v>
      </c>
      <c r="H11" s="464">
        <v>11.3</v>
      </c>
      <c r="I11" s="214">
        <v>11.5</v>
      </c>
      <c r="J11" s="604">
        <v>11.1</v>
      </c>
      <c r="K11" s="214">
        <f t="shared" si="2"/>
        <v>-0.40000000000000036</v>
      </c>
      <c r="L11" s="32">
        <f t="shared" si="3"/>
        <v>-0.20000000000000107</v>
      </c>
      <c r="N11" s="9">
        <f>RANK(F11,F8:F32,0)</f>
        <v>12</v>
      </c>
      <c r="O11" s="9">
        <f>RANK(F11,F8:F32,1)</f>
        <v>14</v>
      </c>
    </row>
    <row r="12" spans="2:15" ht="16.5" customHeight="1" x14ac:dyDescent="0.25">
      <c r="B12" s="12" t="s">
        <v>31</v>
      </c>
      <c r="C12" s="346">
        <v>5553</v>
      </c>
      <c r="D12" s="13">
        <v>5615</v>
      </c>
      <c r="E12" s="39">
        <v>5581</v>
      </c>
      <c r="F12" s="13">
        <f t="shared" si="1"/>
        <v>-34</v>
      </c>
      <c r="G12" s="15">
        <f t="shared" si="0"/>
        <v>28</v>
      </c>
      <c r="H12" s="464">
        <v>10.5</v>
      </c>
      <c r="I12" s="214">
        <v>10.6</v>
      </c>
      <c r="J12" s="604">
        <v>10.5</v>
      </c>
      <c r="K12" s="214">
        <f t="shared" si="2"/>
        <v>-9.9999999999999645E-2</v>
      </c>
      <c r="L12" s="32">
        <f t="shared" si="3"/>
        <v>0</v>
      </c>
      <c r="N12" s="9">
        <f>RANK(F12,F8:F32,0)</f>
        <v>2</v>
      </c>
      <c r="O12" s="9">
        <f>RANK(F12,F8:F32,1)</f>
        <v>24</v>
      </c>
    </row>
    <row r="13" spans="2:15" ht="15.75" customHeight="1" x14ac:dyDescent="0.25">
      <c r="B13" s="12" t="s">
        <v>32</v>
      </c>
      <c r="C13" s="346">
        <v>2116</v>
      </c>
      <c r="D13" s="13">
        <v>2060</v>
      </c>
      <c r="E13" s="39">
        <v>1850</v>
      </c>
      <c r="F13" s="13">
        <f t="shared" si="1"/>
        <v>-210</v>
      </c>
      <c r="G13" s="15">
        <f t="shared" si="0"/>
        <v>-266</v>
      </c>
      <c r="H13" s="464">
        <v>8.6999999999999993</v>
      </c>
      <c r="I13" s="214">
        <v>8.4</v>
      </c>
      <c r="J13" s="604">
        <v>7.6</v>
      </c>
      <c r="K13" s="214">
        <f t="shared" si="2"/>
        <v>-0.80000000000000071</v>
      </c>
      <c r="L13" s="32">
        <f t="shared" si="3"/>
        <v>-1.0999999999999996</v>
      </c>
      <c r="N13" s="9">
        <f>RANK(F13,F8:F32,0)</f>
        <v>10</v>
      </c>
      <c r="O13" s="9">
        <f>RANK(F13,F8:F32,1)</f>
        <v>16</v>
      </c>
    </row>
    <row r="14" spans="2:15" x14ac:dyDescent="0.25">
      <c r="B14" s="12" t="s">
        <v>33</v>
      </c>
      <c r="C14" s="346">
        <v>2426</v>
      </c>
      <c r="D14" s="13">
        <v>2428</v>
      </c>
      <c r="E14" s="39">
        <v>2267</v>
      </c>
      <c r="F14" s="13">
        <f t="shared" si="1"/>
        <v>-161</v>
      </c>
      <c r="G14" s="15">
        <f t="shared" si="0"/>
        <v>-159</v>
      </c>
      <c r="H14" s="464">
        <v>6.7</v>
      </c>
      <c r="I14" s="214">
        <v>6.7</v>
      </c>
      <c r="J14" s="604">
        <v>6.3</v>
      </c>
      <c r="K14" s="214">
        <f t="shared" si="2"/>
        <v>-0.40000000000000036</v>
      </c>
      <c r="L14" s="32">
        <f t="shared" si="3"/>
        <v>-0.40000000000000036</v>
      </c>
      <c r="N14" s="9">
        <f>RANK(F14,F8:F32,0)</f>
        <v>7</v>
      </c>
      <c r="O14" s="9">
        <f>RANK(F14,F8:F32,1)</f>
        <v>19</v>
      </c>
    </row>
    <row r="15" spans="2:15" x14ac:dyDescent="0.25">
      <c r="B15" s="676" t="s">
        <v>34</v>
      </c>
      <c r="C15" s="677">
        <v>1808</v>
      </c>
      <c r="D15" s="623">
        <v>1944</v>
      </c>
      <c r="E15" s="678">
        <v>1602</v>
      </c>
      <c r="F15" s="623">
        <f t="shared" si="1"/>
        <v>-342</v>
      </c>
      <c r="G15" s="679">
        <f t="shared" si="0"/>
        <v>-206</v>
      </c>
      <c r="H15" s="680">
        <v>15.7</v>
      </c>
      <c r="I15" s="681">
        <v>16.7</v>
      </c>
      <c r="J15" s="682">
        <v>14.2</v>
      </c>
      <c r="K15" s="681">
        <f t="shared" si="2"/>
        <v>-2.5</v>
      </c>
      <c r="L15" s="683">
        <f t="shared" si="3"/>
        <v>-1.5</v>
      </c>
      <c r="N15" s="684">
        <f>RANK(F15,F8:F32,0)</f>
        <v>18</v>
      </c>
      <c r="O15" s="684">
        <f>RANK(F15,F8:F32,1)</f>
        <v>8</v>
      </c>
    </row>
    <row r="16" spans="2:15" ht="16.5" customHeight="1" x14ac:dyDescent="0.25">
      <c r="B16" s="12" t="s">
        <v>35</v>
      </c>
      <c r="C16" s="346">
        <v>3764</v>
      </c>
      <c r="D16" s="13">
        <v>3916</v>
      </c>
      <c r="E16" s="39">
        <v>3722</v>
      </c>
      <c r="F16" s="13">
        <f t="shared" si="1"/>
        <v>-194</v>
      </c>
      <c r="G16" s="15">
        <f t="shared" si="0"/>
        <v>-42</v>
      </c>
      <c r="H16" s="464">
        <v>13.7</v>
      </c>
      <c r="I16" s="214">
        <v>14.2</v>
      </c>
      <c r="J16" s="604">
        <v>13.5</v>
      </c>
      <c r="K16" s="214">
        <f t="shared" si="2"/>
        <v>-0.69999999999999929</v>
      </c>
      <c r="L16" s="32">
        <f t="shared" si="3"/>
        <v>-0.19999999999999929</v>
      </c>
      <c r="N16" s="9">
        <f>RANK(F16,F8:F32,0)</f>
        <v>9</v>
      </c>
      <c r="O16" s="9">
        <f>RANK(F16,F8:F32,1)</f>
        <v>17</v>
      </c>
    </row>
    <row r="17" spans="2:15" x14ac:dyDescent="0.25">
      <c r="B17" s="12" t="s">
        <v>36</v>
      </c>
      <c r="C17" s="346">
        <v>2115</v>
      </c>
      <c r="D17" s="13">
        <v>2316</v>
      </c>
      <c r="E17" s="39">
        <v>1965</v>
      </c>
      <c r="F17" s="13">
        <f t="shared" si="1"/>
        <v>-351</v>
      </c>
      <c r="G17" s="15">
        <f t="shared" si="0"/>
        <v>-150</v>
      </c>
      <c r="H17" s="464">
        <v>8.9</v>
      </c>
      <c r="I17" s="214">
        <v>9.6999999999999993</v>
      </c>
      <c r="J17" s="604">
        <v>8.4</v>
      </c>
      <c r="K17" s="214">
        <f t="shared" si="2"/>
        <v>-1.2999999999999989</v>
      </c>
      <c r="L17" s="32">
        <f t="shared" si="3"/>
        <v>-0.5</v>
      </c>
      <c r="N17" s="9">
        <f>RANK(F17,F8:F32,0)</f>
        <v>19</v>
      </c>
      <c r="O17" s="9">
        <f>RANK(F17,F8:F32,1)</f>
        <v>6</v>
      </c>
    </row>
    <row r="18" spans="2:15" x14ac:dyDescent="0.25">
      <c r="B18" s="12" t="s">
        <v>37</v>
      </c>
      <c r="C18" s="346">
        <v>3462</v>
      </c>
      <c r="D18" s="13">
        <v>3644</v>
      </c>
      <c r="E18" s="39">
        <v>3419</v>
      </c>
      <c r="F18" s="13">
        <f t="shared" si="1"/>
        <v>-225</v>
      </c>
      <c r="G18" s="15">
        <f t="shared" si="0"/>
        <v>-43</v>
      </c>
      <c r="H18" s="464">
        <v>10.6</v>
      </c>
      <c r="I18" s="214">
        <v>11.1</v>
      </c>
      <c r="J18" s="604">
        <v>10.5</v>
      </c>
      <c r="K18" s="214">
        <f t="shared" si="2"/>
        <v>-0.59999999999999964</v>
      </c>
      <c r="L18" s="32">
        <f t="shared" si="3"/>
        <v>-9.9999999999999645E-2</v>
      </c>
      <c r="N18" s="9">
        <f>RANK(F18,F8:F32,0)</f>
        <v>11</v>
      </c>
      <c r="O18" s="9">
        <f>RANK(F18,F8:F32,1)</f>
        <v>15</v>
      </c>
    </row>
    <row r="19" spans="2:15" x14ac:dyDescent="0.25">
      <c r="B19" s="12" t="s">
        <v>38</v>
      </c>
      <c r="C19" s="346">
        <v>3817</v>
      </c>
      <c r="D19" s="13">
        <v>3684</v>
      </c>
      <c r="E19" s="39">
        <v>3173</v>
      </c>
      <c r="F19" s="13">
        <f t="shared" si="1"/>
        <v>-511</v>
      </c>
      <c r="G19" s="15">
        <f t="shared" si="0"/>
        <v>-644</v>
      </c>
      <c r="H19" s="464">
        <v>5.7</v>
      </c>
      <c r="I19" s="214">
        <v>5.5</v>
      </c>
      <c r="J19" s="604">
        <v>4.8</v>
      </c>
      <c r="K19" s="214">
        <f t="shared" si="2"/>
        <v>-0.70000000000000018</v>
      </c>
      <c r="L19" s="32">
        <f t="shared" si="3"/>
        <v>-0.90000000000000036</v>
      </c>
      <c r="N19" s="9">
        <f>RANK(F19,F8:F32,0)</f>
        <v>24</v>
      </c>
      <c r="O19" s="9">
        <f>RANK(F19,F8:F32,1)</f>
        <v>2</v>
      </c>
    </row>
    <row r="20" spans="2:15" x14ac:dyDescent="0.25">
      <c r="B20" s="12" t="s">
        <v>39</v>
      </c>
      <c r="C20" s="346">
        <v>3825</v>
      </c>
      <c r="D20" s="13">
        <v>3835</v>
      </c>
      <c r="E20" s="39">
        <v>3484</v>
      </c>
      <c r="F20" s="13">
        <f t="shared" si="1"/>
        <v>-351</v>
      </c>
      <c r="G20" s="15">
        <f t="shared" si="0"/>
        <v>-341</v>
      </c>
      <c r="H20" s="464">
        <v>16.600000000000001</v>
      </c>
      <c r="I20" s="214">
        <v>16.7</v>
      </c>
      <c r="J20" s="604">
        <v>15.4</v>
      </c>
      <c r="K20" s="214">
        <f t="shared" si="2"/>
        <v>-1.2999999999999989</v>
      </c>
      <c r="L20" s="32">
        <f t="shared" si="3"/>
        <v>-1.2000000000000011</v>
      </c>
      <c r="N20" s="9">
        <f>RANK(F20,F8:F32,0)</f>
        <v>19</v>
      </c>
      <c r="O20" s="9">
        <f>RANK(F20,F8:F32,1)</f>
        <v>6</v>
      </c>
    </row>
    <row r="21" spans="2:15" x14ac:dyDescent="0.25">
      <c r="B21" s="18" t="s">
        <v>40</v>
      </c>
      <c r="C21" s="346">
        <v>3679</v>
      </c>
      <c r="D21" s="13">
        <v>3836</v>
      </c>
      <c r="E21" s="39">
        <v>3536</v>
      </c>
      <c r="F21" s="13">
        <f t="shared" si="1"/>
        <v>-300</v>
      </c>
      <c r="G21" s="15">
        <f t="shared" si="0"/>
        <v>-143</v>
      </c>
      <c r="H21" s="464">
        <v>13.1</v>
      </c>
      <c r="I21" s="214">
        <v>13.6</v>
      </c>
      <c r="J21" s="604">
        <v>12.7</v>
      </c>
      <c r="K21" s="214">
        <f t="shared" si="2"/>
        <v>-0.90000000000000036</v>
      </c>
      <c r="L21" s="32">
        <f t="shared" si="3"/>
        <v>-0.40000000000000036</v>
      </c>
      <c r="N21" s="9">
        <f>RANK(F21,F8:F32,0)</f>
        <v>16</v>
      </c>
      <c r="O21" s="9">
        <f>RANK(F21,F8:F32,1)</f>
        <v>10</v>
      </c>
    </row>
    <row r="22" spans="2:15" x14ac:dyDescent="0.25">
      <c r="B22" s="18" t="s">
        <v>41</v>
      </c>
      <c r="C22" s="346">
        <v>4065</v>
      </c>
      <c r="D22" s="13">
        <v>4109</v>
      </c>
      <c r="E22" s="39">
        <v>3789</v>
      </c>
      <c r="F22" s="13">
        <f t="shared" si="1"/>
        <v>-320</v>
      </c>
      <c r="G22" s="15">
        <f t="shared" si="0"/>
        <v>-276</v>
      </c>
      <c r="H22" s="464">
        <v>12</v>
      </c>
      <c r="I22" s="214">
        <v>12.1</v>
      </c>
      <c r="J22" s="604">
        <v>11.3</v>
      </c>
      <c r="K22" s="214">
        <f t="shared" si="2"/>
        <v>-0.79999999999999893</v>
      </c>
      <c r="L22" s="32">
        <f t="shared" si="3"/>
        <v>-0.69999999999999929</v>
      </c>
      <c r="N22" s="9">
        <f>RANK(F22,F8:F32,0)</f>
        <v>17</v>
      </c>
      <c r="O22" s="9">
        <f>RANK(F22,F8:F32,1)</f>
        <v>9</v>
      </c>
    </row>
    <row r="23" spans="2:15" x14ac:dyDescent="0.25">
      <c r="B23" s="18" t="s">
        <v>42</v>
      </c>
      <c r="C23" s="346">
        <v>3616</v>
      </c>
      <c r="D23" s="13">
        <v>3579</v>
      </c>
      <c r="E23" s="39">
        <v>3413</v>
      </c>
      <c r="F23" s="13">
        <f t="shared" si="1"/>
        <v>-166</v>
      </c>
      <c r="G23" s="15">
        <f t="shared" si="0"/>
        <v>-203</v>
      </c>
      <c r="H23" s="464">
        <v>12.4</v>
      </c>
      <c r="I23" s="214">
        <v>12.3</v>
      </c>
      <c r="J23" s="604">
        <v>11.7</v>
      </c>
      <c r="K23" s="214">
        <f t="shared" si="2"/>
        <v>-0.60000000000000142</v>
      </c>
      <c r="L23" s="32">
        <f t="shared" si="3"/>
        <v>-0.70000000000000107</v>
      </c>
      <c r="N23" s="9">
        <f>RANK(F23,F8:F32,0)</f>
        <v>8</v>
      </c>
      <c r="O23" s="9">
        <f>RANK(F23,F8:F32,1)</f>
        <v>18</v>
      </c>
    </row>
    <row r="24" spans="2:15" x14ac:dyDescent="0.25">
      <c r="B24" s="18" t="s">
        <v>43</v>
      </c>
      <c r="C24" s="346">
        <v>6467</v>
      </c>
      <c r="D24" s="13">
        <v>6691</v>
      </c>
      <c r="E24" s="39">
        <v>6285</v>
      </c>
      <c r="F24" s="13">
        <f t="shared" si="1"/>
        <v>-406</v>
      </c>
      <c r="G24" s="15">
        <f t="shared" si="0"/>
        <v>-182</v>
      </c>
      <c r="H24" s="464">
        <v>8.6</v>
      </c>
      <c r="I24" s="214">
        <v>8.9</v>
      </c>
      <c r="J24" s="604">
        <v>8.4</v>
      </c>
      <c r="K24" s="214">
        <f t="shared" si="2"/>
        <v>-0.5</v>
      </c>
      <c r="L24" s="32">
        <f t="shared" si="3"/>
        <v>-0.19999999999999929</v>
      </c>
      <c r="N24" s="9">
        <f>RANK(F24,F8:F32,0)</f>
        <v>23</v>
      </c>
      <c r="O24" s="9">
        <f>RANK(F24,F8:F32,1)</f>
        <v>3</v>
      </c>
    </row>
    <row r="25" spans="2:15" x14ac:dyDescent="0.25">
      <c r="B25" s="18" t="s">
        <v>44</v>
      </c>
      <c r="C25" s="346">
        <v>3139</v>
      </c>
      <c r="D25" s="13">
        <v>2969</v>
      </c>
      <c r="E25" s="39">
        <v>2679</v>
      </c>
      <c r="F25" s="13">
        <f t="shared" si="1"/>
        <v>-290</v>
      </c>
      <c r="G25" s="15">
        <f t="shared" si="0"/>
        <v>-460</v>
      </c>
      <c r="H25" s="464">
        <v>7.5</v>
      </c>
      <c r="I25" s="214">
        <v>7.1</v>
      </c>
      <c r="J25" s="604">
        <v>6.4</v>
      </c>
      <c r="K25" s="214">
        <f t="shared" si="2"/>
        <v>-0.69999999999999929</v>
      </c>
      <c r="L25" s="32">
        <f t="shared" si="3"/>
        <v>-1.0999999999999996</v>
      </c>
      <c r="N25" s="9">
        <f>RANK(F25,F8:F32,0)</f>
        <v>15</v>
      </c>
      <c r="O25" s="9">
        <f>RANK(F25,F8:F32,1)</f>
        <v>11</v>
      </c>
    </row>
    <row r="26" spans="2:15" x14ac:dyDescent="0.25">
      <c r="B26" s="18" t="s">
        <v>45</v>
      </c>
      <c r="C26" s="346">
        <v>2733</v>
      </c>
      <c r="D26" s="13">
        <v>2778</v>
      </c>
      <c r="E26" s="39">
        <v>2398</v>
      </c>
      <c r="F26" s="13">
        <f t="shared" si="1"/>
        <v>-380</v>
      </c>
      <c r="G26" s="15">
        <f t="shared" si="0"/>
        <v>-335</v>
      </c>
      <c r="H26" s="464">
        <v>6.1</v>
      </c>
      <c r="I26" s="214">
        <v>6.2</v>
      </c>
      <c r="J26" s="604">
        <v>5.4</v>
      </c>
      <c r="K26" s="214">
        <f t="shared" si="2"/>
        <v>-0.79999999999999982</v>
      </c>
      <c r="L26" s="32">
        <f t="shared" si="3"/>
        <v>-0.69999999999999929</v>
      </c>
      <c r="N26" s="9">
        <f>RANK(F26,F8:F32,0)</f>
        <v>21</v>
      </c>
      <c r="O26" s="9">
        <f>RANK(F26,F8:F32,1)</f>
        <v>5</v>
      </c>
    </row>
    <row r="27" spans="2:15" x14ac:dyDescent="0.25">
      <c r="B27" s="18" t="s">
        <v>46</v>
      </c>
      <c r="C27" s="346">
        <v>3741</v>
      </c>
      <c r="D27" s="13">
        <v>3830</v>
      </c>
      <c r="E27" s="39">
        <v>3573</v>
      </c>
      <c r="F27" s="13">
        <f t="shared" si="1"/>
        <v>-257</v>
      </c>
      <c r="G27" s="15">
        <f t="shared" si="0"/>
        <v>-168</v>
      </c>
      <c r="H27" s="464">
        <v>14</v>
      </c>
      <c r="I27" s="214">
        <v>14.3</v>
      </c>
      <c r="J27" s="604">
        <v>13.4</v>
      </c>
      <c r="K27" s="214">
        <f t="shared" si="2"/>
        <v>-0.90000000000000036</v>
      </c>
      <c r="L27" s="32">
        <f t="shared" si="3"/>
        <v>-0.59999999999999964</v>
      </c>
      <c r="N27" s="9">
        <f>RANK(F27,F8:F32,0)</f>
        <v>14</v>
      </c>
      <c r="O27" s="9">
        <f>RANK(F27,F8:F32,1)</f>
        <v>12</v>
      </c>
    </row>
    <row r="28" spans="2:15" x14ac:dyDescent="0.25">
      <c r="B28" s="18" t="s">
        <v>47</v>
      </c>
      <c r="C28" s="346">
        <v>1784</v>
      </c>
      <c r="D28" s="13">
        <v>1721</v>
      </c>
      <c r="E28" s="39">
        <v>1643</v>
      </c>
      <c r="F28" s="13">
        <f t="shared" si="1"/>
        <v>-78</v>
      </c>
      <c r="G28" s="15">
        <f t="shared" si="0"/>
        <v>-141</v>
      </c>
      <c r="H28" s="464">
        <v>7.5</v>
      </c>
      <c r="I28" s="214">
        <v>7.3</v>
      </c>
      <c r="J28" s="604">
        <v>7</v>
      </c>
      <c r="K28" s="214">
        <f t="shared" si="2"/>
        <v>-0.29999999999999982</v>
      </c>
      <c r="L28" s="32">
        <f t="shared" si="3"/>
        <v>-0.5</v>
      </c>
      <c r="N28" s="9">
        <f>RANK(F28,F8:F32,0)</f>
        <v>3</v>
      </c>
      <c r="O28" s="9">
        <f>RANK(F28,F8:F32,1)</f>
        <v>23</v>
      </c>
    </row>
    <row r="29" spans="2:15" x14ac:dyDescent="0.25">
      <c r="B29" s="18" t="s">
        <v>48</v>
      </c>
      <c r="C29" s="346">
        <v>965</v>
      </c>
      <c r="D29" s="13">
        <v>947</v>
      </c>
      <c r="E29" s="39">
        <v>846</v>
      </c>
      <c r="F29" s="13">
        <f t="shared" si="1"/>
        <v>-101</v>
      </c>
      <c r="G29" s="15">
        <f t="shared" si="0"/>
        <v>-119</v>
      </c>
      <c r="H29" s="464">
        <v>3.2</v>
      </c>
      <c r="I29" s="214">
        <v>3.2</v>
      </c>
      <c r="J29" s="604">
        <v>2.8</v>
      </c>
      <c r="K29" s="214">
        <f t="shared" si="2"/>
        <v>-0.40000000000000036</v>
      </c>
      <c r="L29" s="32">
        <f t="shared" si="3"/>
        <v>-0.40000000000000036</v>
      </c>
      <c r="N29" s="9">
        <f>RANK(F29,F8:F32,0)</f>
        <v>5</v>
      </c>
      <c r="O29" s="9">
        <f>RANK(F29,F8:F32,1)</f>
        <v>21</v>
      </c>
    </row>
    <row r="30" spans="2:15" x14ac:dyDescent="0.25">
      <c r="B30" s="18" t="s">
        <v>49</v>
      </c>
      <c r="C30" s="346">
        <v>3165</v>
      </c>
      <c r="D30" s="13">
        <v>3076</v>
      </c>
      <c r="E30" s="39">
        <v>2986</v>
      </c>
      <c r="F30" s="13">
        <f t="shared" si="1"/>
        <v>-90</v>
      </c>
      <c r="G30" s="15">
        <f t="shared" si="0"/>
        <v>-179</v>
      </c>
      <c r="H30" s="464">
        <v>11.5</v>
      </c>
      <c r="I30" s="214">
        <v>11.2</v>
      </c>
      <c r="J30" s="604">
        <v>10.9</v>
      </c>
      <c r="K30" s="214">
        <f t="shared" si="2"/>
        <v>-0.29999999999999893</v>
      </c>
      <c r="L30" s="32">
        <f t="shared" si="3"/>
        <v>-0.59999999999999964</v>
      </c>
      <c r="N30" s="9">
        <f>RANK(F30,F8:F32,0)</f>
        <v>4</v>
      </c>
      <c r="O30" s="9">
        <f>RANK(F30,F8:F32,1)</f>
        <v>22</v>
      </c>
    </row>
    <row r="31" spans="2:15" x14ac:dyDescent="0.25">
      <c r="B31" s="18" t="s">
        <v>50</v>
      </c>
      <c r="C31" s="346">
        <v>7181</v>
      </c>
      <c r="D31" s="13">
        <v>7419</v>
      </c>
      <c r="E31" s="39">
        <v>7175</v>
      </c>
      <c r="F31" s="13">
        <f t="shared" si="1"/>
        <v>-244</v>
      </c>
      <c r="G31" s="15">
        <f t="shared" si="0"/>
        <v>-6</v>
      </c>
      <c r="H31" s="464">
        <v>5.5</v>
      </c>
      <c r="I31" s="214">
        <v>5.7</v>
      </c>
      <c r="J31" s="604">
        <v>5.5</v>
      </c>
      <c r="K31" s="214">
        <f t="shared" si="2"/>
        <v>-0.20000000000000018</v>
      </c>
      <c r="L31" s="32">
        <f t="shared" si="3"/>
        <v>0</v>
      </c>
      <c r="N31" s="9">
        <f>RANK(F31,F8:F32,0)</f>
        <v>13</v>
      </c>
      <c r="O31" s="9">
        <f>RANK(F31,F8:F32,1)</f>
        <v>13</v>
      </c>
    </row>
    <row r="32" spans="2:15" ht="15.75" thickBot="1" x14ac:dyDescent="0.3">
      <c r="B32" s="19" t="s">
        <v>51</v>
      </c>
      <c r="C32" s="347">
        <v>1601</v>
      </c>
      <c r="D32" s="20">
        <v>1492</v>
      </c>
      <c r="E32" s="42">
        <v>1480</v>
      </c>
      <c r="F32" s="20">
        <f t="shared" si="1"/>
        <v>-12</v>
      </c>
      <c r="G32" s="22">
        <f t="shared" si="0"/>
        <v>-121</v>
      </c>
      <c r="H32" s="462">
        <v>9.1999999999999993</v>
      </c>
      <c r="I32" s="515">
        <v>8.6</v>
      </c>
      <c r="J32" s="605">
        <v>8.5</v>
      </c>
      <c r="K32" s="515">
        <f t="shared" si="2"/>
        <v>-9.9999999999999645E-2</v>
      </c>
      <c r="L32" s="33">
        <f t="shared" si="3"/>
        <v>-0.69999999999999929</v>
      </c>
      <c r="N32" s="5">
        <f>RANK(F32,F8:F32,0)</f>
        <v>1</v>
      </c>
      <c r="O32" s="5">
        <f>RANK(F32,F8:F32,1)</f>
        <v>25</v>
      </c>
    </row>
    <row r="33" spans="2:3" x14ac:dyDescent="0.25">
      <c r="B33" s="57" t="s">
        <v>134</v>
      </c>
      <c r="C33" s="57"/>
    </row>
  </sheetData>
  <mergeCells count="3">
    <mergeCell ref="H5:L5"/>
    <mergeCell ref="B5:B6"/>
    <mergeCell ref="C5:G5"/>
  </mergeCells>
  <printOptions horizontalCentered="1"/>
  <pageMargins left="0.78740157480314965" right="0.78740157480314965" top="1.1417322834645669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1:G63"/>
  <sheetViews>
    <sheetView workbookViewId="0">
      <selection activeCell="B1" sqref="B1"/>
    </sheetView>
  </sheetViews>
  <sheetFormatPr defaultColWidth="9.140625" defaultRowHeight="15" x14ac:dyDescent="0.25"/>
  <cols>
    <col min="1" max="1" width="3" style="86" customWidth="1"/>
    <col min="2" max="2" width="60" style="86" customWidth="1"/>
    <col min="3" max="3" width="10.7109375" style="86" customWidth="1"/>
    <col min="4" max="4" width="11.140625" style="86" customWidth="1"/>
    <col min="5" max="5" width="10.28515625" style="86" customWidth="1"/>
    <col min="6" max="6" width="11.5703125" style="86" customWidth="1"/>
    <col min="7" max="7" width="10.5703125" style="86" customWidth="1"/>
    <col min="8" max="16384" width="9.140625" style="86"/>
  </cols>
  <sheetData>
    <row r="1" spans="2:7" x14ac:dyDescent="0.25">
      <c r="B1" s="279" t="s">
        <v>512</v>
      </c>
      <c r="C1" s="280"/>
      <c r="D1" s="280"/>
      <c r="E1" s="280"/>
    </row>
    <row r="2" spans="2:7" x14ac:dyDescent="0.25">
      <c r="B2" s="11" t="s">
        <v>281</v>
      </c>
      <c r="C2" s="161"/>
      <c r="D2" s="161"/>
      <c r="E2" s="161"/>
    </row>
    <row r="3" spans="2:7" ht="15.75" thickBot="1" x14ac:dyDescent="0.3">
      <c r="B3" s="11" t="s">
        <v>396</v>
      </c>
      <c r="C3" s="161"/>
      <c r="D3" s="161"/>
      <c r="E3" s="161"/>
    </row>
    <row r="4" spans="2:7" ht="45.75" thickBot="1" x14ac:dyDescent="0.3">
      <c r="B4" s="656" t="s">
        <v>182</v>
      </c>
      <c r="C4" s="653" t="s">
        <v>202</v>
      </c>
      <c r="D4" s="233" t="s">
        <v>456</v>
      </c>
      <c r="E4" s="234" t="s">
        <v>252</v>
      </c>
      <c r="F4" s="653" t="s">
        <v>489</v>
      </c>
      <c r="G4" s="654" t="s">
        <v>252</v>
      </c>
    </row>
    <row r="5" spans="2:7" ht="28.5" x14ac:dyDescent="0.25">
      <c r="B5" s="783" t="s">
        <v>247</v>
      </c>
      <c r="C5" s="784">
        <v>1</v>
      </c>
      <c r="D5" s="784">
        <f>SUM(D6:D9)</f>
        <v>123</v>
      </c>
      <c r="E5" s="785">
        <f>SUM(D5/D59)*100</f>
        <v>0.77373089262124928</v>
      </c>
      <c r="F5" s="784">
        <f>SUM(F6:F9)</f>
        <v>209</v>
      </c>
      <c r="G5" s="785">
        <f>SUM(F5/F59)*100</f>
        <v>0.84087708710521014</v>
      </c>
    </row>
    <row r="6" spans="2:7" ht="30" x14ac:dyDescent="0.25">
      <c r="B6" s="223" t="s">
        <v>248</v>
      </c>
      <c r="C6" s="224">
        <v>11</v>
      </c>
      <c r="D6" s="224">
        <v>8</v>
      </c>
      <c r="E6" s="247">
        <f>SUM(D6)/D5*100</f>
        <v>6.5040650406504072</v>
      </c>
      <c r="F6" s="224">
        <v>23</v>
      </c>
      <c r="G6" s="247">
        <f>SUM(F6)/F5*100</f>
        <v>11.004784688995215</v>
      </c>
    </row>
    <row r="7" spans="2:7" x14ac:dyDescent="0.25">
      <c r="B7" s="223" t="s">
        <v>203</v>
      </c>
      <c r="C7" s="224">
        <v>12</v>
      </c>
      <c r="D7" s="224">
        <v>31</v>
      </c>
      <c r="E7" s="247">
        <f>SUM(D7)/D5*100</f>
        <v>25.203252032520325</v>
      </c>
      <c r="F7" s="224">
        <v>69</v>
      </c>
      <c r="G7" s="247">
        <f>SUM(F7)/F5*100</f>
        <v>33.014354066985646</v>
      </c>
    </row>
    <row r="8" spans="2:7" x14ac:dyDescent="0.25">
      <c r="B8" s="223" t="s">
        <v>204</v>
      </c>
      <c r="C8" s="224">
        <v>13</v>
      </c>
      <c r="D8" s="224">
        <v>51</v>
      </c>
      <c r="E8" s="247">
        <f>SUM(D8)/D5*100</f>
        <v>41.463414634146339</v>
      </c>
      <c r="F8" s="224">
        <v>80</v>
      </c>
      <c r="G8" s="247">
        <f>SUM(F8)/F5*100</f>
        <v>38.277511961722489</v>
      </c>
    </row>
    <row r="9" spans="2:7" ht="30" x14ac:dyDescent="0.25">
      <c r="B9" s="223" t="s">
        <v>205</v>
      </c>
      <c r="C9" s="224">
        <v>14</v>
      </c>
      <c r="D9" s="224">
        <v>33</v>
      </c>
      <c r="E9" s="248">
        <f>SUM(D9)/D5*100</f>
        <v>26.829268292682929</v>
      </c>
      <c r="F9" s="224">
        <v>37</v>
      </c>
      <c r="G9" s="248">
        <f>SUM(F9)/F5*100</f>
        <v>17.703349282296653</v>
      </c>
    </row>
    <row r="10" spans="2:7" x14ac:dyDescent="0.25">
      <c r="B10" s="776" t="s">
        <v>192</v>
      </c>
      <c r="C10" s="777">
        <v>2</v>
      </c>
      <c r="D10" s="778">
        <f>SUM(D11:D16)</f>
        <v>1086</v>
      </c>
      <c r="E10" s="712">
        <f>SUM(D10/D59)*100</f>
        <v>6.831477637290055</v>
      </c>
      <c r="F10" s="778">
        <f>SUM(F11:F16)</f>
        <v>1660</v>
      </c>
      <c r="G10" s="712">
        <f>SUM(F10/F59)*100</f>
        <v>6.6787366727016702</v>
      </c>
    </row>
    <row r="11" spans="2:7" x14ac:dyDescent="0.25">
      <c r="B11" s="223" t="s">
        <v>208</v>
      </c>
      <c r="C11" s="224">
        <v>21</v>
      </c>
      <c r="D11" s="148">
        <v>242</v>
      </c>
      <c r="E11" s="247">
        <f>SUM(D11)/D10*100</f>
        <v>22.283609576427256</v>
      </c>
      <c r="F11" s="148">
        <v>427</v>
      </c>
      <c r="G11" s="247">
        <f>SUM(F11)/F10*100</f>
        <v>25.722891566265062</v>
      </c>
    </row>
    <row r="12" spans="2:7" x14ac:dyDescent="0.25">
      <c r="B12" s="223" t="s">
        <v>209</v>
      </c>
      <c r="C12" s="224">
        <v>22</v>
      </c>
      <c r="D12" s="224">
        <v>246</v>
      </c>
      <c r="E12" s="247">
        <f>SUM(D12)/D10*100</f>
        <v>22.651933701657459</v>
      </c>
      <c r="F12" s="224">
        <v>305</v>
      </c>
      <c r="G12" s="247">
        <f>SUM(F12)/F10*100</f>
        <v>18.373493975903614</v>
      </c>
    </row>
    <row r="13" spans="2:7" x14ac:dyDescent="0.25">
      <c r="B13" s="223" t="s">
        <v>210</v>
      </c>
      <c r="C13" s="224">
        <v>23</v>
      </c>
      <c r="D13" s="148">
        <v>202</v>
      </c>
      <c r="E13" s="247">
        <f>SUM(D13)/D10*100</f>
        <v>18.600368324125231</v>
      </c>
      <c r="F13" s="148">
        <v>242</v>
      </c>
      <c r="G13" s="247">
        <f>SUM(F13)/F10*100</f>
        <v>14.578313253012048</v>
      </c>
    </row>
    <row r="14" spans="2:7" x14ac:dyDescent="0.25">
      <c r="B14" s="223" t="s">
        <v>211</v>
      </c>
      <c r="C14" s="224">
        <v>24</v>
      </c>
      <c r="D14" s="148">
        <v>268</v>
      </c>
      <c r="E14" s="247">
        <f>SUM(D14)/D10*100</f>
        <v>24.677716390423573</v>
      </c>
      <c r="F14" s="148">
        <v>472</v>
      </c>
      <c r="G14" s="247">
        <f>SUM(F14)/F10*100</f>
        <v>28.433734939759038</v>
      </c>
    </row>
    <row r="15" spans="2:7" x14ac:dyDescent="0.25">
      <c r="B15" s="223" t="s">
        <v>212</v>
      </c>
      <c r="C15" s="224">
        <v>25</v>
      </c>
      <c r="D15" s="224">
        <v>18</v>
      </c>
      <c r="E15" s="247">
        <f>SUM(D15)/D10*100</f>
        <v>1.6574585635359116</v>
      </c>
      <c r="F15" s="224">
        <v>41</v>
      </c>
      <c r="G15" s="247">
        <f>SUM(F15)/F10*100</f>
        <v>2.4698795180722892</v>
      </c>
    </row>
    <row r="16" spans="2:7" x14ac:dyDescent="0.25">
      <c r="B16" s="223" t="s">
        <v>213</v>
      </c>
      <c r="C16" s="224">
        <v>26</v>
      </c>
      <c r="D16" s="148">
        <v>110</v>
      </c>
      <c r="E16" s="247">
        <f>SUM(D16)/D10*100</f>
        <v>10.128913443830571</v>
      </c>
      <c r="F16" s="148">
        <v>173</v>
      </c>
      <c r="G16" s="247">
        <f>SUM(F16)/F10*100</f>
        <v>10.421686746987952</v>
      </c>
    </row>
    <row r="17" spans="2:7" x14ac:dyDescent="0.25">
      <c r="B17" s="776" t="s">
        <v>193</v>
      </c>
      <c r="C17" s="777">
        <v>3</v>
      </c>
      <c r="D17" s="778">
        <f>SUM(D18:D22)</f>
        <v>1611</v>
      </c>
      <c r="E17" s="712">
        <f>SUM(D17)/D59*100</f>
        <v>10.133987544819776</v>
      </c>
      <c r="F17" s="778">
        <f>SUM(F18:F22)</f>
        <v>2150</v>
      </c>
      <c r="G17" s="712">
        <f>SUM(F17)/F59*100</f>
        <v>8.6501709917521623</v>
      </c>
    </row>
    <row r="18" spans="2:7" x14ac:dyDescent="0.25">
      <c r="B18" s="223" t="s">
        <v>214</v>
      </c>
      <c r="C18" s="224">
        <v>31</v>
      </c>
      <c r="D18" s="148">
        <v>396</v>
      </c>
      <c r="E18" s="247">
        <f>SUM(D18)/D17*100</f>
        <v>24.581005586592177</v>
      </c>
      <c r="F18" s="148">
        <v>676</v>
      </c>
      <c r="G18" s="247">
        <f>SUM(F18)/F17*100</f>
        <v>31.441860465116278</v>
      </c>
    </row>
    <row r="19" spans="2:7" x14ac:dyDescent="0.25">
      <c r="B19" s="223" t="s">
        <v>215</v>
      </c>
      <c r="C19" s="224">
        <v>32</v>
      </c>
      <c r="D19" s="148">
        <v>208</v>
      </c>
      <c r="E19" s="247">
        <f>SUM(D19)/D17*100</f>
        <v>12.911235257603973</v>
      </c>
      <c r="F19" s="148">
        <v>299</v>
      </c>
      <c r="G19" s="247">
        <f>SUM(F19)/F17*100</f>
        <v>13.906976744186048</v>
      </c>
    </row>
    <row r="20" spans="2:7" x14ac:dyDescent="0.25">
      <c r="B20" s="223" t="s">
        <v>216</v>
      </c>
      <c r="C20" s="224">
        <v>33</v>
      </c>
      <c r="D20" s="148">
        <v>615</v>
      </c>
      <c r="E20" s="247">
        <f>SUM(D20)/D17*100</f>
        <v>38.175046554934823</v>
      </c>
      <c r="F20" s="148">
        <v>809</v>
      </c>
      <c r="G20" s="247">
        <f>SUM(F20)/F17*100</f>
        <v>37.627906976744185</v>
      </c>
    </row>
    <row r="21" spans="2:7" ht="30" x14ac:dyDescent="0.25">
      <c r="B21" s="223" t="s">
        <v>217</v>
      </c>
      <c r="C21" s="224">
        <v>34</v>
      </c>
      <c r="D21" s="148">
        <v>362</v>
      </c>
      <c r="E21" s="247">
        <f>SUM(D21)/D17*100</f>
        <v>22.470515207945375</v>
      </c>
      <c r="F21" s="148">
        <v>308</v>
      </c>
      <c r="G21" s="247">
        <f>SUM(F21)/F17*100</f>
        <v>14.325581395348838</v>
      </c>
    </row>
    <row r="22" spans="2:7" x14ac:dyDescent="0.25">
      <c r="B22" s="223" t="s">
        <v>218</v>
      </c>
      <c r="C22" s="224">
        <v>35</v>
      </c>
      <c r="D22" s="224">
        <v>30</v>
      </c>
      <c r="E22" s="247">
        <f>SUM(D22)/D17*100</f>
        <v>1.8621973929236499</v>
      </c>
      <c r="F22" s="224">
        <v>58</v>
      </c>
      <c r="G22" s="247">
        <f>SUM(F22)/F17*100</f>
        <v>2.6976744186046511</v>
      </c>
    </row>
    <row r="23" spans="2:7" x14ac:dyDescent="0.25">
      <c r="B23" s="776" t="s">
        <v>194</v>
      </c>
      <c r="C23" s="777">
        <v>4</v>
      </c>
      <c r="D23" s="778">
        <f>SUM(D24:D27)</f>
        <v>2092</v>
      </c>
      <c r="E23" s="712">
        <f>SUM(D23)/D59*100</f>
        <v>13.159715669623198</v>
      </c>
      <c r="F23" s="778">
        <f>SUM(F24:F27)</f>
        <v>3264</v>
      </c>
      <c r="G23" s="712">
        <f>SUM(F23)/F59*100</f>
        <v>13.132166566083283</v>
      </c>
    </row>
    <row r="24" spans="2:7" x14ac:dyDescent="0.25">
      <c r="B24" s="223" t="s">
        <v>219</v>
      </c>
      <c r="C24" s="224">
        <v>41</v>
      </c>
      <c r="D24" s="148">
        <v>999</v>
      </c>
      <c r="E24" s="247">
        <f>SUM(D24)/D23*100</f>
        <v>47.753346080305924</v>
      </c>
      <c r="F24" s="148">
        <v>1407</v>
      </c>
      <c r="G24" s="247">
        <f>SUM(F24)/F23*100</f>
        <v>43.106617647058826</v>
      </c>
    </row>
    <row r="25" spans="2:7" x14ac:dyDescent="0.25">
      <c r="B25" s="223" t="s">
        <v>220</v>
      </c>
      <c r="C25" s="224">
        <v>42</v>
      </c>
      <c r="D25" s="224">
        <v>169</v>
      </c>
      <c r="E25" s="247">
        <f>SUM(D25)/D23*100</f>
        <v>8.078393881453156</v>
      </c>
      <c r="F25" s="224">
        <v>209</v>
      </c>
      <c r="G25" s="247">
        <f>SUM(F25)/F23*100</f>
        <v>6.4031862745098032</v>
      </c>
    </row>
    <row r="26" spans="2:7" ht="30" x14ac:dyDescent="0.25">
      <c r="B26" s="223" t="s">
        <v>221</v>
      </c>
      <c r="C26" s="224">
        <v>43</v>
      </c>
      <c r="D26" s="148">
        <v>849</v>
      </c>
      <c r="E26" s="247">
        <f>SUM(D26)/D23*100</f>
        <v>40.583173996175908</v>
      </c>
      <c r="F26" s="148">
        <v>1533</v>
      </c>
      <c r="G26" s="247">
        <f>SUM(F26)/F23*100</f>
        <v>46.966911764705884</v>
      </c>
    </row>
    <row r="27" spans="2:7" x14ac:dyDescent="0.25">
      <c r="B27" s="223" t="s">
        <v>222</v>
      </c>
      <c r="C27" s="224">
        <v>44</v>
      </c>
      <c r="D27" s="224">
        <v>75</v>
      </c>
      <c r="E27" s="247">
        <f>SUM(D27)/D23*100</f>
        <v>3.5850860420650097</v>
      </c>
      <c r="F27" s="224">
        <v>115</v>
      </c>
      <c r="G27" s="247">
        <f>SUM(F27)/F23*100</f>
        <v>3.5232843137254903</v>
      </c>
    </row>
    <row r="28" spans="2:7" x14ac:dyDescent="0.25">
      <c r="B28" s="776" t="s">
        <v>195</v>
      </c>
      <c r="C28" s="777">
        <v>5</v>
      </c>
      <c r="D28" s="778">
        <f>SUM(D29:D32)</f>
        <v>3295</v>
      </c>
      <c r="E28" s="712">
        <f>SUM(D28)/D59*100</f>
        <v>20.727181229162735</v>
      </c>
      <c r="F28" s="778">
        <f>SUM(F29:F32)</f>
        <v>4778</v>
      </c>
      <c r="G28" s="712">
        <f>SUM(F28)/F59*100</f>
        <v>19.223496278414807</v>
      </c>
    </row>
    <row r="29" spans="2:7" x14ac:dyDescent="0.25">
      <c r="B29" s="223" t="s">
        <v>223</v>
      </c>
      <c r="C29" s="224">
        <v>51</v>
      </c>
      <c r="D29" s="148">
        <v>1593</v>
      </c>
      <c r="E29" s="247">
        <f>SUM(D29)/D28*100</f>
        <v>48.345978755690439</v>
      </c>
      <c r="F29" s="148">
        <v>2313</v>
      </c>
      <c r="G29" s="247">
        <f>SUM(F29)/F28*100</f>
        <v>48.409376308078691</v>
      </c>
    </row>
    <row r="30" spans="2:7" x14ac:dyDescent="0.25">
      <c r="B30" s="223" t="s">
        <v>224</v>
      </c>
      <c r="C30" s="224">
        <v>52</v>
      </c>
      <c r="D30" s="148">
        <v>1401</v>
      </c>
      <c r="E30" s="247">
        <f>SUM(D30)/D28*100</f>
        <v>42.518968133535665</v>
      </c>
      <c r="F30" s="148">
        <v>2009</v>
      </c>
      <c r="G30" s="247">
        <f>SUM(F30)/F28*100</f>
        <v>42.046881540393471</v>
      </c>
    </row>
    <row r="31" spans="2:7" x14ac:dyDescent="0.25">
      <c r="B31" s="223" t="s">
        <v>225</v>
      </c>
      <c r="C31" s="224">
        <v>53</v>
      </c>
      <c r="D31" s="224">
        <v>175</v>
      </c>
      <c r="E31" s="247">
        <f>SUM(D31)/D28*100</f>
        <v>5.3110773899848249</v>
      </c>
      <c r="F31" s="224">
        <v>287</v>
      </c>
      <c r="G31" s="247">
        <f>SUM(F31)/F28*100</f>
        <v>6.0066973629133527</v>
      </c>
    </row>
    <row r="32" spans="2:7" x14ac:dyDescent="0.25">
      <c r="B32" s="223" t="s">
        <v>226</v>
      </c>
      <c r="C32" s="224">
        <v>54</v>
      </c>
      <c r="D32" s="224">
        <v>126</v>
      </c>
      <c r="E32" s="247">
        <f>SUM(D32)/D28*100</f>
        <v>3.8239757207890746</v>
      </c>
      <c r="F32" s="224">
        <v>169</v>
      </c>
      <c r="G32" s="247">
        <f>SUM(F32)/F28*100</f>
        <v>3.5370447886144829</v>
      </c>
    </row>
    <row r="33" spans="2:7" x14ac:dyDescent="0.25">
      <c r="B33" s="776" t="s">
        <v>196</v>
      </c>
      <c r="C33" s="777">
        <v>6</v>
      </c>
      <c r="D33" s="778">
        <f>SUM(D34:D36)</f>
        <v>141</v>
      </c>
      <c r="E33" s="712">
        <f>SUM(D33)/D59*100</f>
        <v>0.88695980373655403</v>
      </c>
      <c r="F33" s="778">
        <f>SUM(F34:F36)</f>
        <v>136</v>
      </c>
      <c r="G33" s="712">
        <f>SUM(F33)/F59*100</f>
        <v>0.54717360692013683</v>
      </c>
    </row>
    <row r="34" spans="2:7" x14ac:dyDescent="0.25">
      <c r="B34" s="223" t="s">
        <v>227</v>
      </c>
      <c r="C34" s="224">
        <v>61</v>
      </c>
      <c r="D34" s="148">
        <v>103</v>
      </c>
      <c r="E34" s="247">
        <f>SUM(D34)/D33*100</f>
        <v>73.049645390070921</v>
      </c>
      <c r="F34" s="148">
        <v>94</v>
      </c>
      <c r="G34" s="247">
        <f>SUM(F34)/F33*100</f>
        <v>69.117647058823522</v>
      </c>
    </row>
    <row r="35" spans="2:7" x14ac:dyDescent="0.25">
      <c r="B35" s="223" t="s">
        <v>228</v>
      </c>
      <c r="C35" s="224">
        <v>62</v>
      </c>
      <c r="D35" s="224">
        <v>37</v>
      </c>
      <c r="E35" s="247">
        <f>SUM(D35)/D33*100</f>
        <v>26.24113475177305</v>
      </c>
      <c r="F35" s="224">
        <v>42</v>
      </c>
      <c r="G35" s="247">
        <f>SUM(F35)/F33*100</f>
        <v>30.882352941176471</v>
      </c>
    </row>
    <row r="36" spans="2:7" x14ac:dyDescent="0.25">
      <c r="B36" s="223" t="s">
        <v>229</v>
      </c>
      <c r="C36" s="224">
        <v>63</v>
      </c>
      <c r="D36" s="224">
        <v>1</v>
      </c>
      <c r="E36" s="247">
        <f>SUM(D36)/D33*100</f>
        <v>0.70921985815602839</v>
      </c>
      <c r="F36" s="224">
        <v>0</v>
      </c>
      <c r="G36" s="247">
        <f>SUM(F36)/F33*100</f>
        <v>0</v>
      </c>
    </row>
    <row r="37" spans="2:7" x14ac:dyDescent="0.25">
      <c r="B37" s="776" t="s">
        <v>197</v>
      </c>
      <c r="C37" s="777">
        <v>7</v>
      </c>
      <c r="D37" s="778">
        <f>SUM(D38:D42)</f>
        <v>3558</v>
      </c>
      <c r="E37" s="712">
        <f>SUM(D37)/D59*100</f>
        <v>22.381581430458578</v>
      </c>
      <c r="F37" s="778">
        <f>SUM(F38:F42)</f>
        <v>6427</v>
      </c>
      <c r="G37" s="712">
        <f>SUM(F37)/F59*100</f>
        <v>25.857976262321465</v>
      </c>
    </row>
    <row r="38" spans="2:7" x14ac:dyDescent="0.25">
      <c r="B38" s="223" t="s">
        <v>230</v>
      </c>
      <c r="C38" s="224">
        <v>71</v>
      </c>
      <c r="D38" s="148">
        <v>1329</v>
      </c>
      <c r="E38" s="247">
        <f>SUM(D38)/D37*100</f>
        <v>37.352445193929171</v>
      </c>
      <c r="F38" s="148">
        <v>2172</v>
      </c>
      <c r="G38" s="247">
        <f>SUM(F38)/F37*100</f>
        <v>33.79492764898086</v>
      </c>
    </row>
    <row r="39" spans="2:7" x14ac:dyDescent="0.25">
      <c r="B39" s="223" t="s">
        <v>231</v>
      </c>
      <c r="C39" s="224">
        <v>72</v>
      </c>
      <c r="D39" s="148">
        <v>1031</v>
      </c>
      <c r="E39" s="247">
        <f>SUM(D39)/D37*100</f>
        <v>28.976953344575605</v>
      </c>
      <c r="F39" s="148">
        <v>2287</v>
      </c>
      <c r="G39" s="247">
        <f>SUM(F39)/F37*100</f>
        <v>35.584253928738136</v>
      </c>
    </row>
    <row r="40" spans="2:7" x14ac:dyDescent="0.25">
      <c r="B40" s="223" t="s">
        <v>232</v>
      </c>
      <c r="C40" s="224">
        <v>73</v>
      </c>
      <c r="D40" s="148">
        <v>60</v>
      </c>
      <c r="E40" s="247">
        <f>SUM(D40)/D37*100</f>
        <v>1.6863406408094435</v>
      </c>
      <c r="F40" s="148">
        <v>118</v>
      </c>
      <c r="G40" s="247">
        <f>SUM(F40)/F37*100</f>
        <v>1.8360043566205071</v>
      </c>
    </row>
    <row r="41" spans="2:7" x14ac:dyDescent="0.25">
      <c r="B41" s="223" t="s">
        <v>233</v>
      </c>
      <c r="C41" s="224">
        <v>74</v>
      </c>
      <c r="D41" s="148">
        <v>484</v>
      </c>
      <c r="E41" s="247">
        <f>SUM(D41)/D37*100</f>
        <v>13.603147835862844</v>
      </c>
      <c r="F41" s="148">
        <v>782</v>
      </c>
      <c r="G41" s="247">
        <f>SUM(F41)/F37*100</f>
        <v>12.167418702349462</v>
      </c>
    </row>
    <row r="42" spans="2:7" ht="30" x14ac:dyDescent="0.25">
      <c r="B42" s="223" t="s">
        <v>234</v>
      </c>
      <c r="C42" s="224">
        <v>75</v>
      </c>
      <c r="D42" s="148">
        <v>654</v>
      </c>
      <c r="E42" s="247">
        <f>SUM(D42)/D37*100</f>
        <v>18.381112984822934</v>
      </c>
      <c r="F42" s="148">
        <v>1068</v>
      </c>
      <c r="G42" s="247">
        <f>SUM(F42)/F37*100</f>
        <v>16.617395363311033</v>
      </c>
    </row>
    <row r="43" spans="2:7" x14ac:dyDescent="0.25">
      <c r="B43" s="776" t="s">
        <v>198</v>
      </c>
      <c r="C43" s="777">
        <v>8</v>
      </c>
      <c r="D43" s="778">
        <f>SUM(D44:D46)</f>
        <v>1596</v>
      </c>
      <c r="E43" s="712">
        <f>SUM(D43)/D59*100</f>
        <v>10.039630118890356</v>
      </c>
      <c r="F43" s="778">
        <f>SUM(F44:F46)</f>
        <v>2822</v>
      </c>
      <c r="G43" s="712">
        <f>SUM(F43)/F59*100</f>
        <v>11.353852343592838</v>
      </c>
    </row>
    <row r="44" spans="2:7" x14ac:dyDescent="0.25">
      <c r="B44" s="223" t="s">
        <v>235</v>
      </c>
      <c r="C44" s="224">
        <v>81</v>
      </c>
      <c r="D44" s="148">
        <v>748</v>
      </c>
      <c r="E44" s="247">
        <f>SUM(D44)/D43*100</f>
        <v>46.867167919799499</v>
      </c>
      <c r="F44" s="148">
        <v>1415</v>
      </c>
      <c r="G44" s="247">
        <f>SUM(F44)/F43*100</f>
        <v>50.141743444365694</v>
      </c>
    </row>
    <row r="45" spans="2:7" x14ac:dyDescent="0.25">
      <c r="B45" s="223" t="s">
        <v>236</v>
      </c>
      <c r="C45" s="224">
        <v>82</v>
      </c>
      <c r="D45" s="224">
        <v>156</v>
      </c>
      <c r="E45" s="247">
        <f>SUM(D45)/D43*100</f>
        <v>9.7744360902255636</v>
      </c>
      <c r="F45" s="224">
        <v>336</v>
      </c>
      <c r="G45" s="247">
        <f>SUM(F45)/F43*100</f>
        <v>11.90644932671864</v>
      </c>
    </row>
    <row r="46" spans="2:7" x14ac:dyDescent="0.25">
      <c r="B46" s="223" t="s">
        <v>237</v>
      </c>
      <c r="C46" s="224">
        <v>83</v>
      </c>
      <c r="D46" s="148">
        <v>692</v>
      </c>
      <c r="E46" s="247">
        <f>SUM(D46)/D43*100</f>
        <v>43.358395989974937</v>
      </c>
      <c r="F46" s="148">
        <v>1071</v>
      </c>
      <c r="G46" s="247">
        <f>SUM(F46)/F43*100</f>
        <v>37.951807228915662</v>
      </c>
    </row>
    <row r="47" spans="2:7" x14ac:dyDescent="0.25">
      <c r="B47" s="776" t="s">
        <v>199</v>
      </c>
      <c r="C47" s="777">
        <v>9</v>
      </c>
      <c r="D47" s="778">
        <f>SUM(D48:D53)</f>
        <v>2395</v>
      </c>
      <c r="E47" s="712">
        <f>SUM(D47)/D59*100</f>
        <v>15.065735673397496</v>
      </c>
      <c r="F47" s="778">
        <f>SUM(F48:F53)</f>
        <v>3409</v>
      </c>
      <c r="G47" s="712">
        <f>SUM(F47)/F59*100</f>
        <v>13.715550191108427</v>
      </c>
    </row>
    <row r="48" spans="2:7" x14ac:dyDescent="0.25">
      <c r="B48" s="223" t="s">
        <v>238</v>
      </c>
      <c r="C48" s="224">
        <v>91</v>
      </c>
      <c r="D48" s="148">
        <v>552</v>
      </c>
      <c r="E48" s="247">
        <f>SUM(D48)/D47*100</f>
        <v>23.048016701461378</v>
      </c>
      <c r="F48" s="148">
        <v>770</v>
      </c>
      <c r="G48" s="247">
        <f>SUM(F48)/F47*100</f>
        <v>22.587268993839835</v>
      </c>
    </row>
    <row r="49" spans="2:7" ht="30" x14ac:dyDescent="0.25">
      <c r="B49" s="223" t="s">
        <v>239</v>
      </c>
      <c r="C49" s="224">
        <v>92</v>
      </c>
      <c r="D49" s="224">
        <v>38</v>
      </c>
      <c r="E49" s="247">
        <f>SUM(D49)/D47*100</f>
        <v>1.5866388308977037</v>
      </c>
      <c r="F49" s="224">
        <v>56</v>
      </c>
      <c r="G49" s="247">
        <f>SUM(F49)/F47*100</f>
        <v>1.6427104722792609</v>
      </c>
    </row>
    <row r="50" spans="2:7" ht="30" x14ac:dyDescent="0.25">
      <c r="B50" s="223" t="s">
        <v>240</v>
      </c>
      <c r="C50" s="224">
        <v>93</v>
      </c>
      <c r="D50" s="148">
        <v>1226</v>
      </c>
      <c r="E50" s="247">
        <f>SUM(D50)/D47*100</f>
        <v>51.189979123173281</v>
      </c>
      <c r="F50" s="148">
        <v>1551</v>
      </c>
      <c r="G50" s="247">
        <f>SUM(F50)/F47*100</f>
        <v>45.497213259020242</v>
      </c>
    </row>
    <row r="51" spans="2:7" ht="30" x14ac:dyDescent="0.25">
      <c r="B51" s="223" t="s">
        <v>241</v>
      </c>
      <c r="C51" s="224">
        <v>94</v>
      </c>
      <c r="D51" s="224">
        <v>349</v>
      </c>
      <c r="E51" s="247">
        <f>SUM(D51)/D47*100</f>
        <v>14.572025052192068</v>
      </c>
      <c r="F51" s="224">
        <v>475</v>
      </c>
      <c r="G51" s="247">
        <f>SUM(F51)/F47*100</f>
        <v>13.9337048987973</v>
      </c>
    </row>
    <row r="52" spans="2:7" x14ac:dyDescent="0.25">
      <c r="B52" s="223" t="s">
        <v>242</v>
      </c>
      <c r="C52" s="224">
        <v>95</v>
      </c>
      <c r="D52" s="224">
        <v>0</v>
      </c>
      <c r="E52" s="247">
        <f>SUM(D52)/D47*100</f>
        <v>0</v>
      </c>
      <c r="F52" s="224">
        <v>0</v>
      </c>
      <c r="G52" s="247">
        <f>SUM(F52)/F47*100</f>
        <v>0</v>
      </c>
    </row>
    <row r="53" spans="2:7" x14ac:dyDescent="0.25">
      <c r="B53" s="223" t="s">
        <v>243</v>
      </c>
      <c r="C53" s="224">
        <v>96</v>
      </c>
      <c r="D53" s="148">
        <v>230</v>
      </c>
      <c r="E53" s="247">
        <f>SUM(D53)/D47*100</f>
        <v>9.6033402922755737</v>
      </c>
      <c r="F53" s="148">
        <v>557</v>
      </c>
      <c r="G53" s="247">
        <f>SUM(F53)/F47*100</f>
        <v>16.339102376063362</v>
      </c>
    </row>
    <row r="54" spans="2:7" x14ac:dyDescent="0.25">
      <c r="B54" s="776" t="s">
        <v>206</v>
      </c>
      <c r="C54" s="777">
        <v>0</v>
      </c>
      <c r="D54" s="777">
        <f>SUM(D55:D57)</f>
        <v>0</v>
      </c>
      <c r="E54" s="712">
        <f>SUM(D54)/D59*100</f>
        <v>0</v>
      </c>
      <c r="F54" s="777">
        <f>SUM(F55:F57)</f>
        <v>0</v>
      </c>
      <c r="G54" s="712">
        <f>SUM(F54)/F59*100</f>
        <v>0</v>
      </c>
    </row>
    <row r="55" spans="2:7" x14ac:dyDescent="0.25">
      <c r="B55" s="223" t="s">
        <v>244</v>
      </c>
      <c r="C55" s="224">
        <v>1</v>
      </c>
      <c r="D55" s="224">
        <v>0</v>
      </c>
      <c r="E55" s="355" t="s">
        <v>108</v>
      </c>
      <c r="F55" s="224">
        <v>0</v>
      </c>
      <c r="G55" s="355" t="s">
        <v>108</v>
      </c>
    </row>
    <row r="56" spans="2:7" x14ac:dyDescent="0.25">
      <c r="B56" s="223" t="s">
        <v>245</v>
      </c>
      <c r="C56" s="224">
        <v>2</v>
      </c>
      <c r="D56" s="224">
        <v>0</v>
      </c>
      <c r="E56" s="355" t="s">
        <v>108</v>
      </c>
      <c r="F56" s="224">
        <v>0</v>
      </c>
      <c r="G56" s="355" t="s">
        <v>108</v>
      </c>
    </row>
    <row r="57" spans="2:7" ht="15.75" thickBot="1" x14ac:dyDescent="0.3">
      <c r="B57" s="225" t="s">
        <v>246</v>
      </c>
      <c r="C57" s="220">
        <v>3</v>
      </c>
      <c r="D57" s="220">
        <v>0</v>
      </c>
      <c r="E57" s="356" t="s">
        <v>108</v>
      </c>
      <c r="F57" s="220">
        <v>0</v>
      </c>
      <c r="G57" s="356" t="s">
        <v>108</v>
      </c>
    </row>
    <row r="58" spans="2:7" x14ac:dyDescent="0.25">
      <c r="B58" s="254" t="s">
        <v>253</v>
      </c>
      <c r="C58" s="255" t="s">
        <v>183</v>
      </c>
      <c r="D58" s="256">
        <v>0</v>
      </c>
      <c r="E58" s="268">
        <f>SUM(D58)/D60*100</f>
        <v>0</v>
      </c>
      <c r="F58" s="256">
        <v>0</v>
      </c>
      <c r="G58" s="268">
        <f>SUM(F58)/F60*100</f>
        <v>0</v>
      </c>
    </row>
    <row r="59" spans="2:7" ht="15.75" thickBot="1" x14ac:dyDescent="0.3">
      <c r="B59" s="257" t="s">
        <v>254</v>
      </c>
      <c r="C59" s="258" t="s">
        <v>184</v>
      </c>
      <c r="D59" s="259">
        <f>SUM(D5,D10,D17,D23,D28,D33,D37,D43,D47,D54)</f>
        <v>15897</v>
      </c>
      <c r="E59" s="271">
        <f>SUM(E5,E10,E17,E23,E28,E33,E37,E43,E47,E54)</f>
        <v>100</v>
      </c>
      <c r="F59" s="259">
        <f>SUM(F5,F10,F17,F23,F28,F33,F37,F43,F47,F54)</f>
        <v>24855</v>
      </c>
      <c r="G59" s="271">
        <f>SUM(G5,G10,G17,G23,G28,G33,G37,G43,G47,G54)</f>
        <v>100</v>
      </c>
    </row>
    <row r="60" spans="2:7" ht="19.5" thickBot="1" x14ac:dyDescent="0.3">
      <c r="B60" s="779" t="s">
        <v>62</v>
      </c>
      <c r="C60" s="780" t="s">
        <v>185</v>
      </c>
      <c r="D60" s="781">
        <f>SUM(D58:D59)</f>
        <v>15897</v>
      </c>
      <c r="E60" s="782" t="s">
        <v>108</v>
      </c>
      <c r="F60" s="781">
        <f>SUM(F58:F59)</f>
        <v>24855</v>
      </c>
      <c r="G60" s="782" t="s">
        <v>108</v>
      </c>
    </row>
    <row r="61" spans="2:7" x14ac:dyDescent="0.25">
      <c r="B61" s="229" t="s">
        <v>270</v>
      </c>
      <c r="C61" s="229"/>
      <c r="D61" s="229"/>
      <c r="E61" s="229"/>
    </row>
    <row r="62" spans="2:7" x14ac:dyDescent="0.25">
      <c r="B62" s="11" t="s">
        <v>250</v>
      </c>
      <c r="C62" s="11"/>
      <c r="D62" s="11"/>
      <c r="E62" s="11"/>
    </row>
    <row r="63" spans="2:7" x14ac:dyDescent="0.25">
      <c r="B63" s="11" t="s">
        <v>292</v>
      </c>
      <c r="C63" s="11"/>
      <c r="D63" s="11"/>
      <c r="E63" s="11"/>
    </row>
  </sheetData>
  <printOptions horizontalCentered="1"/>
  <pageMargins left="0" right="0" top="0.6692913385826772" bottom="0" header="0" footer="0"/>
  <pageSetup paperSize="9"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1:T36"/>
  <sheetViews>
    <sheetView zoomScale="70" zoomScaleNormal="70" workbookViewId="0">
      <selection activeCell="B1" sqref="B1"/>
    </sheetView>
  </sheetViews>
  <sheetFormatPr defaultColWidth="9.140625" defaultRowHeight="15" x14ac:dyDescent="0.25"/>
  <cols>
    <col min="1" max="1" width="3" style="86" customWidth="1"/>
    <col min="2" max="2" width="64.7109375" style="86" customWidth="1"/>
    <col min="3" max="3" width="12.42578125" style="86" customWidth="1"/>
    <col min="4" max="4" width="10.85546875" style="86" customWidth="1"/>
    <col min="5" max="5" width="15.7109375" style="86" customWidth="1"/>
    <col min="6" max="6" width="11.7109375" style="86" customWidth="1"/>
    <col min="7" max="7" width="10.85546875" style="86" customWidth="1"/>
    <col min="8" max="8" width="15.85546875" style="86" customWidth="1"/>
    <col min="9" max="9" width="23.5703125" style="86" customWidth="1"/>
    <col min="10" max="10" width="22.28515625" style="86" customWidth="1"/>
    <col min="11" max="11" width="24" style="86" customWidth="1"/>
    <col min="12" max="16384" width="9.140625" style="86"/>
  </cols>
  <sheetData>
    <row r="1" spans="2:11" x14ac:dyDescent="0.25">
      <c r="B1" s="11" t="s">
        <v>513</v>
      </c>
      <c r="C1" s="11"/>
      <c r="D1" s="11"/>
      <c r="E1" s="11"/>
      <c r="F1" s="11"/>
      <c r="G1" s="11"/>
      <c r="H1" s="1"/>
      <c r="I1" s="1"/>
      <c r="J1" s="1"/>
    </row>
    <row r="2" spans="2:11" x14ac:dyDescent="0.25">
      <c r="B2" s="11" t="s">
        <v>400</v>
      </c>
      <c r="C2" s="11"/>
      <c r="D2" s="11"/>
      <c r="E2" s="11"/>
      <c r="F2" s="11"/>
      <c r="G2" s="11"/>
      <c r="H2" s="1"/>
      <c r="I2" s="1"/>
      <c r="J2" s="1"/>
    </row>
    <row r="3" spans="2:11" x14ac:dyDescent="0.25">
      <c r="B3" s="555" t="s">
        <v>425</v>
      </c>
      <c r="C3" s="11"/>
      <c r="D3" s="11"/>
      <c r="E3" s="11"/>
      <c r="F3" s="11"/>
      <c r="G3" s="11"/>
      <c r="H3" s="1"/>
      <c r="I3" s="1"/>
      <c r="J3" s="1"/>
    </row>
    <row r="4" spans="2:11" x14ac:dyDescent="0.25">
      <c r="B4" s="555" t="s">
        <v>429</v>
      </c>
      <c r="C4" s="11"/>
      <c r="D4" s="11"/>
      <c r="E4" s="11"/>
      <c r="F4" s="11"/>
      <c r="G4" s="11"/>
      <c r="H4" s="1"/>
      <c r="I4" s="1"/>
      <c r="J4" s="1"/>
    </row>
    <row r="5" spans="2:11" x14ac:dyDescent="0.25">
      <c r="B5" s="555" t="s">
        <v>431</v>
      </c>
      <c r="C5" s="11"/>
      <c r="D5" s="11"/>
      <c r="E5" s="11"/>
      <c r="F5" s="11"/>
      <c r="G5" s="11"/>
      <c r="H5" s="1"/>
      <c r="I5" s="1"/>
      <c r="J5" s="1"/>
    </row>
    <row r="6" spans="2:11" ht="15.75" thickBot="1" x14ac:dyDescent="0.3">
      <c r="B6" s="555" t="s">
        <v>430</v>
      </c>
      <c r="C6" s="11"/>
      <c r="D6" s="11"/>
      <c r="E6" s="11"/>
      <c r="F6" s="11"/>
      <c r="G6" s="11"/>
      <c r="H6" s="1"/>
      <c r="I6" s="1"/>
      <c r="J6" s="1"/>
    </row>
    <row r="7" spans="2:11" ht="27.75" customHeight="1" x14ac:dyDescent="0.25">
      <c r="B7" s="951" t="s">
        <v>163</v>
      </c>
      <c r="C7" s="953" t="s">
        <v>487</v>
      </c>
      <c r="D7" s="954"/>
      <c r="E7" s="954"/>
      <c r="F7" s="955" t="s">
        <v>488</v>
      </c>
      <c r="G7" s="956"/>
      <c r="H7" s="957"/>
    </row>
    <row r="8" spans="2:11" ht="102" customHeight="1" thickBot="1" x14ac:dyDescent="0.3">
      <c r="B8" s="952"/>
      <c r="C8" s="767" t="s">
        <v>188</v>
      </c>
      <c r="D8" s="768" t="s">
        <v>497</v>
      </c>
      <c r="E8" s="768" t="s">
        <v>498</v>
      </c>
      <c r="F8" s="767" t="s">
        <v>188</v>
      </c>
      <c r="G8" s="768" t="s">
        <v>497</v>
      </c>
      <c r="H8" s="769" t="s">
        <v>498</v>
      </c>
    </row>
    <row r="9" spans="2:11" ht="25.5" customHeight="1" thickBot="1" x14ac:dyDescent="0.3">
      <c r="B9" s="558" t="s">
        <v>4</v>
      </c>
      <c r="C9" s="559">
        <f>C10+C11+C23</f>
        <v>621.95999999999992</v>
      </c>
      <c r="D9" s="560">
        <v>100</v>
      </c>
      <c r="E9" s="561" t="s">
        <v>108</v>
      </c>
      <c r="F9" s="559">
        <f>F10+F11+F23</f>
        <v>366.2</v>
      </c>
      <c r="G9" s="560">
        <v>100</v>
      </c>
      <c r="H9" s="562" t="s">
        <v>108</v>
      </c>
    </row>
    <row r="10" spans="2:11" ht="27" customHeight="1" x14ac:dyDescent="0.25">
      <c r="B10" s="563" t="s">
        <v>19</v>
      </c>
      <c r="C10" s="564">
        <v>72.12</v>
      </c>
      <c r="D10" s="565">
        <f>C10*100/C9</f>
        <v>11.595601003279954</v>
      </c>
      <c r="E10" s="566" t="s">
        <v>422</v>
      </c>
      <c r="F10" s="567">
        <v>103.19</v>
      </c>
      <c r="G10" s="565">
        <f>F10*100/F9</f>
        <v>28.178590933915896</v>
      </c>
      <c r="H10" s="568" t="s">
        <v>422</v>
      </c>
    </row>
    <row r="11" spans="2:11" ht="25.5" customHeight="1" thickBot="1" x14ac:dyDescent="0.3">
      <c r="B11" s="569" t="s">
        <v>436</v>
      </c>
      <c r="C11" s="570">
        <f>C14+C15+C16+C17+C18+C19+C20+C22+C21</f>
        <v>540.04</v>
      </c>
      <c r="D11" s="571">
        <f>C11*100/C9</f>
        <v>86.828734966878912</v>
      </c>
      <c r="E11" s="572" t="s">
        <v>108</v>
      </c>
      <c r="F11" s="570">
        <f>F14+F15+F16+F17+F18+F19+F20+F22+F21</f>
        <v>249.71</v>
      </c>
      <c r="G11" s="571">
        <f>F11*100/F9</f>
        <v>68.189513926815948</v>
      </c>
      <c r="H11" s="573" t="s">
        <v>108</v>
      </c>
      <c r="J11" s="403"/>
      <c r="K11" s="390"/>
    </row>
    <row r="12" spans="2:11" ht="32.25" customHeight="1" thickBot="1" x14ac:dyDescent="0.35">
      <c r="B12" s="574" t="s">
        <v>437</v>
      </c>
      <c r="C12" s="575">
        <f>C14+C15+C16+C17+C18+C19+C20+C21</f>
        <v>50.849999999999994</v>
      </c>
      <c r="D12" s="576">
        <f>C12*100/C9</f>
        <v>8.1757669303492175</v>
      </c>
      <c r="E12" s="576">
        <v>100</v>
      </c>
      <c r="F12" s="575">
        <f>F14+F15+F16+F17+F18+F19+F20+F21</f>
        <v>89.940000000000012</v>
      </c>
      <c r="G12" s="576">
        <f>F12*100/F9</f>
        <v>24.560349535772808</v>
      </c>
      <c r="H12" s="577">
        <v>100</v>
      </c>
      <c r="J12" s="403"/>
      <c r="K12" s="390"/>
    </row>
    <row r="13" spans="2:11" ht="28.5" customHeight="1" thickBot="1" x14ac:dyDescent="0.3">
      <c r="B13" s="578" t="s">
        <v>275</v>
      </c>
      <c r="C13" s="579"/>
      <c r="D13" s="580"/>
      <c r="E13" s="581"/>
      <c r="F13" s="582"/>
      <c r="G13" s="580"/>
      <c r="H13" s="583"/>
    </row>
    <row r="14" spans="2:11" ht="30" customHeight="1" x14ac:dyDescent="0.25">
      <c r="B14" s="584" t="s">
        <v>499</v>
      </c>
      <c r="C14" s="585">
        <v>20.57</v>
      </c>
      <c r="D14" s="586">
        <f>C14*100/C9</f>
        <v>3.3072866422277962</v>
      </c>
      <c r="E14" s="586">
        <f>SUM(C14)/C11*100</f>
        <v>3.8089771128064589</v>
      </c>
      <c r="F14" s="587">
        <v>28.92</v>
      </c>
      <c r="G14" s="586">
        <f>F14*100/F9</f>
        <v>7.8973238667394865</v>
      </c>
      <c r="H14" s="588">
        <f>SUM(F14)/F11*100</f>
        <v>11.581434463978214</v>
      </c>
      <c r="J14" s="552" t="str">
        <f>T(C7)</f>
        <v>I półrocze 2020 roku</v>
      </c>
      <c r="K14" s="552" t="str">
        <f>T(F7)</f>
        <v>I pórócze 2021 roku</v>
      </c>
    </row>
    <row r="15" spans="2:11" ht="27.75" customHeight="1" x14ac:dyDescent="0.25">
      <c r="B15" s="589" t="s">
        <v>500</v>
      </c>
      <c r="C15" s="590">
        <v>0.56000000000000005</v>
      </c>
      <c r="D15" s="591">
        <f>C15*100/C9</f>
        <v>9.0037944562351299E-2</v>
      </c>
      <c r="E15" s="591">
        <f>SUM(C15)/C11*100</f>
        <v>0.10369602251685062</v>
      </c>
      <c r="F15" s="592">
        <v>0.73</v>
      </c>
      <c r="G15" s="591">
        <f>F15*100/F9</f>
        <v>0.19934462042599674</v>
      </c>
      <c r="H15" s="593">
        <f>SUM(F15)/F11*100</f>
        <v>0.29233911337151092</v>
      </c>
      <c r="J15" s="770">
        <f>SUM(E14:E21)</f>
        <v>9.4159691874675975</v>
      </c>
      <c r="K15" s="770">
        <f>SUM(H14:H21)</f>
        <v>36.01778062552561</v>
      </c>
    </row>
    <row r="16" spans="2:11" ht="27" customHeight="1" x14ac:dyDescent="0.25">
      <c r="B16" s="594" t="s">
        <v>21</v>
      </c>
      <c r="C16" s="595">
        <v>6.35</v>
      </c>
      <c r="D16" s="591">
        <f>C16*100/C9</f>
        <v>1.0209659785195191</v>
      </c>
      <c r="E16" s="591">
        <f>SUM(C16)/C11*100</f>
        <v>1.1758388267535738</v>
      </c>
      <c r="F16" s="596">
        <v>8.7200000000000006</v>
      </c>
      <c r="G16" s="591">
        <f>F16*100/F9</f>
        <v>2.3812124522119062</v>
      </c>
      <c r="H16" s="593">
        <f>SUM(F16)/F11*100</f>
        <v>3.4920507789035287</v>
      </c>
      <c r="J16" s="770">
        <f>SUM(E14:E22)</f>
        <v>100.00000000000001</v>
      </c>
      <c r="K16" s="770">
        <f>SUM(H14:H22)</f>
        <v>100</v>
      </c>
    </row>
    <row r="17" spans="2:20" ht="27" customHeight="1" x14ac:dyDescent="0.25">
      <c r="B17" s="594" t="s">
        <v>22</v>
      </c>
      <c r="C17" s="595">
        <v>3.44</v>
      </c>
      <c r="D17" s="591">
        <f>C17*100/C9</f>
        <v>0.55309023088301501</v>
      </c>
      <c r="E17" s="591">
        <f>SUM(C17)/C11*100</f>
        <v>0.63698985260351082</v>
      </c>
      <c r="F17" s="592">
        <v>6.42</v>
      </c>
      <c r="G17" s="591">
        <f>F17*100/F9</f>
        <v>1.7531403604587656</v>
      </c>
      <c r="H17" s="593">
        <f>SUM(F17)/F11*100</f>
        <v>2.570982339513836</v>
      </c>
      <c r="J17" s="770">
        <f>SUM(D10:D11,D23)</f>
        <v>100.00000000000001</v>
      </c>
      <c r="K17" s="770">
        <f>SUM(G10:G11,G23)</f>
        <v>100</v>
      </c>
    </row>
    <row r="18" spans="2:20" ht="27" customHeight="1" x14ac:dyDescent="0.25">
      <c r="B18" s="594" t="s">
        <v>189</v>
      </c>
      <c r="C18" s="595">
        <v>9.1300000000000008</v>
      </c>
      <c r="D18" s="591">
        <f>C18*100/C9</f>
        <v>1.4679400604540489</v>
      </c>
      <c r="E18" s="591">
        <f>SUM(C18)/C11*100</f>
        <v>1.6906155099622253</v>
      </c>
      <c r="F18" s="592">
        <v>23.11</v>
      </c>
      <c r="G18" s="591">
        <f>F18*100/F9</f>
        <v>6.3107591480065537</v>
      </c>
      <c r="H18" s="593">
        <f>SUM(F18)/F11*100</f>
        <v>9.2547354931720793</v>
      </c>
      <c r="J18" s="771">
        <f>SUM(F22/F9)*100</f>
        <v>43.629164391043155</v>
      </c>
      <c r="K18" s="771">
        <f>SUM(F22/F11)*100</f>
        <v>63.98221937447439</v>
      </c>
    </row>
    <row r="19" spans="2:20" ht="46.5" customHeight="1" x14ac:dyDescent="0.25">
      <c r="B19" s="594" t="s">
        <v>23</v>
      </c>
      <c r="C19" s="595">
        <v>4.04</v>
      </c>
      <c r="D19" s="591">
        <f>C19*100/C9</f>
        <v>0.64955945719982</v>
      </c>
      <c r="E19" s="591">
        <f>SUM(C19)/C11*100</f>
        <v>0.74809273387156505</v>
      </c>
      <c r="F19" s="592">
        <v>11.21</v>
      </c>
      <c r="G19" s="591">
        <f>F19*100/F9</f>
        <v>3.0611687602403062</v>
      </c>
      <c r="H19" s="593">
        <f>SUM(F19)/F11*100</f>
        <v>4.4892074806775861</v>
      </c>
    </row>
    <row r="20" spans="2:20" ht="33.75" customHeight="1" x14ac:dyDescent="0.25">
      <c r="B20" s="594" t="s">
        <v>24</v>
      </c>
      <c r="C20" s="595">
        <v>0.36</v>
      </c>
      <c r="D20" s="591">
        <f>C20*100/C9</f>
        <v>5.7881535790082969E-2</v>
      </c>
      <c r="E20" s="591">
        <f>SUM(C20)/C11*100</f>
        <v>6.6661728760832525E-2</v>
      </c>
      <c r="F20" s="592">
        <v>0.61</v>
      </c>
      <c r="G20" s="591">
        <f>F20*100/F9</f>
        <v>0.16657564172583289</v>
      </c>
      <c r="H20" s="593">
        <f>SUM(F20)/F11*100</f>
        <v>0.24428336870770093</v>
      </c>
    </row>
    <row r="21" spans="2:20" ht="27.75" customHeight="1" thickBot="1" x14ac:dyDescent="0.4">
      <c r="B21" s="597" t="s">
        <v>423</v>
      </c>
      <c r="C21" s="598">
        <v>6.4</v>
      </c>
      <c r="D21" s="599">
        <f>C21*100/C9</f>
        <v>1.0290050807125861</v>
      </c>
      <c r="E21" s="599">
        <f>SUM(C21)/C11*100</f>
        <v>1.1850974001925785</v>
      </c>
      <c r="F21" s="600">
        <v>10.220000000000001</v>
      </c>
      <c r="G21" s="599">
        <f>F21*100/F9</f>
        <v>2.7908246859639547</v>
      </c>
      <c r="H21" s="601">
        <f>SUM(F21)/F11*100</f>
        <v>4.0927475872011536</v>
      </c>
      <c r="T21" s="556"/>
    </row>
    <row r="22" spans="2:20" ht="71.25" customHeight="1" x14ac:dyDescent="0.25">
      <c r="B22" s="757" t="s">
        <v>438</v>
      </c>
      <c r="C22" s="758">
        <v>489.19</v>
      </c>
      <c r="D22" s="759">
        <f>SUM(C22/C9)*100</f>
        <v>78.652968036529685</v>
      </c>
      <c r="E22" s="759">
        <f>SUM(C22/C11)*100</f>
        <v>90.584030812532419</v>
      </c>
      <c r="F22" s="760">
        <v>159.77000000000001</v>
      </c>
      <c r="G22" s="761">
        <f>SUM(F22/F9)*100</f>
        <v>43.629164391043155</v>
      </c>
      <c r="H22" s="762">
        <f>SUM(F22/F11)*100</f>
        <v>63.98221937447439</v>
      </c>
      <c r="O22" s="602"/>
    </row>
    <row r="23" spans="2:20" ht="27" customHeight="1" thickBot="1" x14ac:dyDescent="0.3">
      <c r="B23" s="763" t="s">
        <v>20</v>
      </c>
      <c r="C23" s="764">
        <v>9.8000000000000007</v>
      </c>
      <c r="D23" s="603">
        <f>C23*100/C9</f>
        <v>1.5756640298411477</v>
      </c>
      <c r="E23" s="765" t="s">
        <v>108</v>
      </c>
      <c r="F23" s="557">
        <v>13.3</v>
      </c>
      <c r="G23" s="603">
        <f>F23*100/F9</f>
        <v>3.6318951392681598</v>
      </c>
      <c r="H23" s="766" t="s">
        <v>108</v>
      </c>
      <c r="M23" s="602"/>
    </row>
    <row r="24" spans="2:20" ht="18" customHeight="1" x14ac:dyDescent="0.25">
      <c r="B24" s="552" t="s">
        <v>432</v>
      </c>
      <c r="C24" s="404"/>
      <c r="D24" s="404"/>
      <c r="E24" s="404"/>
      <c r="F24" s="404"/>
      <c r="G24" s="404"/>
      <c r="H24" s="1"/>
      <c r="I24" s="1"/>
      <c r="J24" s="1"/>
    </row>
    <row r="25" spans="2:20" ht="18" customHeight="1" x14ac:dyDescent="0.25">
      <c r="B25" s="552" t="s">
        <v>434</v>
      </c>
      <c r="C25" s="404"/>
      <c r="D25" s="404"/>
      <c r="E25" s="404"/>
      <c r="F25" s="404"/>
      <c r="G25" s="404"/>
      <c r="H25" s="1"/>
      <c r="I25" s="1"/>
      <c r="J25" s="1"/>
    </row>
    <row r="26" spans="2:20" ht="18" customHeight="1" x14ac:dyDescent="0.25">
      <c r="B26" s="552" t="s">
        <v>433</v>
      </c>
      <c r="C26" s="404"/>
      <c r="D26" s="404"/>
      <c r="E26" s="404"/>
      <c r="F26" s="404"/>
      <c r="G26" s="404"/>
      <c r="H26" s="1"/>
      <c r="I26" s="1"/>
      <c r="J26" s="1"/>
    </row>
    <row r="27" spans="2:20" ht="18" customHeight="1" x14ac:dyDescent="0.25">
      <c r="B27" s="553" t="s">
        <v>344</v>
      </c>
      <c r="C27" s="404"/>
      <c r="D27" s="404"/>
      <c r="E27" s="404"/>
      <c r="F27" s="404"/>
      <c r="G27" s="404"/>
      <c r="H27" s="1"/>
      <c r="I27" s="1"/>
      <c r="J27" s="1"/>
    </row>
    <row r="28" spans="2:20" ht="18" customHeight="1" x14ac:dyDescent="0.25">
      <c r="B28" s="553" t="s">
        <v>426</v>
      </c>
      <c r="C28" s="404"/>
      <c r="D28" s="404"/>
      <c r="E28" s="404"/>
      <c r="F28" s="404"/>
      <c r="G28" s="404"/>
      <c r="H28" s="1"/>
      <c r="I28" s="1"/>
      <c r="J28" s="1"/>
    </row>
    <row r="29" spans="2:20" ht="15.75" customHeight="1" x14ac:dyDescent="0.25">
      <c r="B29" s="552" t="s">
        <v>190</v>
      </c>
      <c r="C29" s="404"/>
      <c r="D29" s="404"/>
      <c r="E29" s="404"/>
      <c r="F29" s="404"/>
      <c r="G29" s="404"/>
      <c r="H29" s="1"/>
      <c r="I29" s="1"/>
      <c r="J29" s="1"/>
    </row>
    <row r="30" spans="2:20" x14ac:dyDescent="0.25">
      <c r="B30" s="552" t="s">
        <v>294</v>
      </c>
      <c r="C30" s="391"/>
      <c r="D30" s="11"/>
      <c r="E30" s="11"/>
      <c r="F30" s="153"/>
      <c r="G30" s="153"/>
    </row>
    <row r="31" spans="2:20" x14ac:dyDescent="0.25">
      <c r="B31" s="554" t="s">
        <v>295</v>
      </c>
      <c r="C31" s="391"/>
      <c r="D31" s="11"/>
      <c r="E31" s="11"/>
      <c r="F31" s="153"/>
      <c r="G31" s="153"/>
    </row>
    <row r="32" spans="2:20" x14ac:dyDescent="0.25">
      <c r="B32" s="552" t="s">
        <v>435</v>
      </c>
      <c r="C32" s="391"/>
      <c r="D32" s="11"/>
      <c r="E32" s="11"/>
      <c r="F32" s="153"/>
      <c r="G32" s="153"/>
    </row>
    <row r="33" spans="2:8" x14ac:dyDescent="0.25">
      <c r="B33" s="554" t="s">
        <v>424</v>
      </c>
      <c r="G33" s="392"/>
      <c r="H33" s="392"/>
    </row>
    <row r="34" spans="2:8" x14ac:dyDescent="0.25">
      <c r="B34" s="554" t="s">
        <v>427</v>
      </c>
    </row>
    <row r="35" spans="2:8" x14ac:dyDescent="0.25">
      <c r="B35" s="554" t="s">
        <v>428</v>
      </c>
    </row>
    <row r="36" spans="2:8" x14ac:dyDescent="0.25">
      <c r="B36" s="553"/>
    </row>
  </sheetData>
  <mergeCells count="3">
    <mergeCell ref="B7:B8"/>
    <mergeCell ref="C7:E7"/>
    <mergeCell ref="F7:H7"/>
  </mergeCells>
  <printOptions horizontalCentered="1" verticalCentered="1"/>
  <pageMargins left="0.6692913385826772" right="3.937007874015748E-2" top="0.6692913385826772" bottom="0" header="0" footer="0"/>
  <pageSetup paperSize="9" scale="3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2:H36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4.7109375" style="11" customWidth="1"/>
    <col min="2" max="2" width="23.7109375" style="11" customWidth="1"/>
    <col min="3" max="4" width="17.85546875" style="11" customWidth="1"/>
    <col min="5" max="5" width="18.85546875" style="11" customWidth="1"/>
    <col min="6" max="6" width="18.5703125" style="11" customWidth="1"/>
    <col min="7" max="7" width="18.42578125" style="11" customWidth="1"/>
    <col min="8" max="8" width="18" style="11" customWidth="1"/>
    <col min="9" max="16384" width="9.140625" style="11"/>
  </cols>
  <sheetData>
    <row r="2" spans="2:8" x14ac:dyDescent="0.25">
      <c r="B2" s="11" t="s">
        <v>514</v>
      </c>
    </row>
    <row r="3" spans="2:8" x14ac:dyDescent="0.25">
      <c r="B3" s="11" t="s">
        <v>397</v>
      </c>
    </row>
    <row r="4" spans="2:8" ht="12.75" customHeight="1" thickBot="1" x14ac:dyDescent="0.3"/>
    <row r="5" spans="2:8" ht="25.5" customHeight="1" thickBot="1" x14ac:dyDescent="0.3">
      <c r="B5" s="801" t="s">
        <v>25</v>
      </c>
      <c r="C5" s="958" t="s">
        <v>486</v>
      </c>
      <c r="D5" s="959"/>
      <c r="E5" s="959"/>
      <c r="F5" s="959"/>
      <c r="G5" s="959"/>
      <c r="H5" s="960"/>
    </row>
    <row r="6" spans="2:8" ht="56.25" customHeight="1" x14ac:dyDescent="0.25">
      <c r="B6" s="838"/>
      <c r="C6" s="830" t="s">
        <v>55</v>
      </c>
      <c r="D6" s="961"/>
      <c r="E6" s="195"/>
      <c r="F6" s="195"/>
      <c r="G6" s="195"/>
      <c r="H6" s="195"/>
    </row>
    <row r="7" spans="2:8" ht="80.25" customHeight="1" x14ac:dyDescent="0.25">
      <c r="B7" s="838"/>
      <c r="C7" s="921" t="s">
        <v>52</v>
      </c>
      <c r="D7" s="855" t="s">
        <v>53</v>
      </c>
      <c r="E7" s="434" t="s">
        <v>54</v>
      </c>
      <c r="F7" s="434" t="s">
        <v>56</v>
      </c>
      <c r="G7" s="434" t="s">
        <v>57</v>
      </c>
      <c r="H7" s="434" t="s">
        <v>458</v>
      </c>
    </row>
    <row r="8" spans="2:8" ht="35.25" customHeight="1" thickBot="1" x14ac:dyDescent="0.3">
      <c r="B8" s="838"/>
      <c r="C8" s="808"/>
      <c r="D8" s="949"/>
      <c r="E8" s="434"/>
      <c r="F8" s="434"/>
      <c r="G8" s="434"/>
      <c r="H8" s="434"/>
    </row>
    <row r="9" spans="2:8" ht="24" customHeight="1" thickBot="1" x14ac:dyDescent="0.3">
      <c r="B9" s="240" t="s">
        <v>26</v>
      </c>
      <c r="C9" s="50">
        <f t="shared" ref="C9:H9" si="0">SUM(C10:C34)</f>
        <v>1999</v>
      </c>
      <c r="D9" s="241">
        <f t="shared" si="0"/>
        <v>1149</v>
      </c>
      <c r="E9" s="242">
        <f t="shared" si="0"/>
        <v>4065</v>
      </c>
      <c r="F9" s="242">
        <f t="shared" si="0"/>
        <v>546</v>
      </c>
      <c r="G9" s="242">
        <f t="shared" si="0"/>
        <v>1041</v>
      </c>
      <c r="H9" s="242">
        <f t="shared" si="0"/>
        <v>835</v>
      </c>
    </row>
    <row r="10" spans="2:8" x14ac:dyDescent="0.25">
      <c r="B10" s="61" t="s">
        <v>27</v>
      </c>
      <c r="C10" s="37">
        <v>53</v>
      </c>
      <c r="D10" s="213">
        <v>6</v>
      </c>
      <c r="E10" s="41">
        <v>85</v>
      </c>
      <c r="F10" s="41">
        <v>5</v>
      </c>
      <c r="G10" s="41">
        <v>26</v>
      </c>
      <c r="H10" s="41">
        <v>4</v>
      </c>
    </row>
    <row r="11" spans="2:8" x14ac:dyDescent="0.25">
      <c r="B11" s="12" t="s">
        <v>28</v>
      </c>
      <c r="C11" s="13">
        <v>90</v>
      </c>
      <c r="D11" s="159">
        <v>68</v>
      </c>
      <c r="E11" s="39">
        <v>160</v>
      </c>
      <c r="F11" s="39">
        <v>5</v>
      </c>
      <c r="G11" s="39">
        <v>39</v>
      </c>
      <c r="H11" s="39">
        <v>33</v>
      </c>
    </row>
    <row r="12" spans="2:8" x14ac:dyDescent="0.25">
      <c r="B12" s="12" t="s">
        <v>29</v>
      </c>
      <c r="C12" s="13">
        <v>148</v>
      </c>
      <c r="D12" s="159">
        <v>24</v>
      </c>
      <c r="E12" s="39">
        <v>133</v>
      </c>
      <c r="F12" s="39">
        <v>12</v>
      </c>
      <c r="G12" s="39">
        <v>52</v>
      </c>
      <c r="H12" s="39">
        <v>34</v>
      </c>
    </row>
    <row r="13" spans="2:8" x14ac:dyDescent="0.25">
      <c r="B13" s="12" t="s">
        <v>30</v>
      </c>
      <c r="C13" s="13">
        <v>156</v>
      </c>
      <c r="D13" s="159">
        <v>187</v>
      </c>
      <c r="E13" s="39">
        <v>192</v>
      </c>
      <c r="F13" s="39">
        <v>0</v>
      </c>
      <c r="G13" s="39">
        <v>51</v>
      </c>
      <c r="H13" s="39">
        <v>67</v>
      </c>
    </row>
    <row r="14" spans="2:8" x14ac:dyDescent="0.25">
      <c r="B14" s="12" t="s">
        <v>31</v>
      </c>
      <c r="C14" s="13">
        <v>67</v>
      </c>
      <c r="D14" s="159">
        <v>18</v>
      </c>
      <c r="E14" s="39">
        <v>151</v>
      </c>
      <c r="F14" s="39">
        <v>43</v>
      </c>
      <c r="G14" s="39">
        <v>74</v>
      </c>
      <c r="H14" s="39">
        <v>81</v>
      </c>
    </row>
    <row r="15" spans="2:8" x14ac:dyDescent="0.25">
      <c r="B15" s="12" t="s">
        <v>32</v>
      </c>
      <c r="C15" s="13">
        <v>56</v>
      </c>
      <c r="D15" s="159">
        <v>7</v>
      </c>
      <c r="E15" s="39">
        <v>194</v>
      </c>
      <c r="F15" s="39">
        <v>8</v>
      </c>
      <c r="G15" s="39">
        <v>29</v>
      </c>
      <c r="H15" s="39">
        <v>28</v>
      </c>
    </row>
    <row r="16" spans="2:8" x14ac:dyDescent="0.25">
      <c r="B16" s="12" t="s">
        <v>33</v>
      </c>
      <c r="C16" s="13">
        <v>22</v>
      </c>
      <c r="D16" s="159">
        <v>10</v>
      </c>
      <c r="E16" s="39">
        <v>79</v>
      </c>
      <c r="F16" s="39">
        <v>25</v>
      </c>
      <c r="G16" s="39">
        <v>37</v>
      </c>
      <c r="H16" s="39">
        <v>45</v>
      </c>
    </row>
    <row r="17" spans="2:8" x14ac:dyDescent="0.25">
      <c r="B17" s="12" t="s">
        <v>34</v>
      </c>
      <c r="C17" s="13">
        <v>24</v>
      </c>
      <c r="D17" s="159">
        <v>16</v>
      </c>
      <c r="E17" s="39">
        <v>67</v>
      </c>
      <c r="F17" s="39">
        <v>0</v>
      </c>
      <c r="G17" s="39">
        <v>32</v>
      </c>
      <c r="H17" s="39">
        <v>12</v>
      </c>
    </row>
    <row r="18" spans="2:8" x14ac:dyDescent="0.25">
      <c r="B18" s="12" t="s">
        <v>35</v>
      </c>
      <c r="C18" s="13">
        <v>36</v>
      </c>
      <c r="D18" s="159">
        <v>102</v>
      </c>
      <c r="E18" s="39">
        <v>266</v>
      </c>
      <c r="F18" s="39">
        <v>31</v>
      </c>
      <c r="G18" s="39">
        <v>49</v>
      </c>
      <c r="H18" s="39">
        <v>26</v>
      </c>
    </row>
    <row r="19" spans="2:8" x14ac:dyDescent="0.25">
      <c r="B19" s="12" t="s">
        <v>36</v>
      </c>
      <c r="C19" s="13">
        <v>91</v>
      </c>
      <c r="D19" s="159">
        <v>18</v>
      </c>
      <c r="E19" s="39">
        <v>164</v>
      </c>
      <c r="F19" s="39">
        <v>53</v>
      </c>
      <c r="G19" s="39">
        <v>21</v>
      </c>
      <c r="H19" s="39">
        <v>0</v>
      </c>
    </row>
    <row r="20" spans="2:8" x14ac:dyDescent="0.25">
      <c r="B20" s="12" t="s">
        <v>37</v>
      </c>
      <c r="C20" s="13">
        <v>109</v>
      </c>
      <c r="D20" s="159">
        <v>69</v>
      </c>
      <c r="E20" s="39">
        <v>163</v>
      </c>
      <c r="F20" s="39">
        <v>31</v>
      </c>
      <c r="G20" s="39">
        <v>73</v>
      </c>
      <c r="H20" s="39">
        <v>50</v>
      </c>
    </row>
    <row r="21" spans="2:8" x14ac:dyDescent="0.25">
      <c r="B21" s="12" t="s">
        <v>38</v>
      </c>
      <c r="C21" s="13">
        <v>176</v>
      </c>
      <c r="D21" s="159">
        <v>44</v>
      </c>
      <c r="E21" s="39">
        <v>392</v>
      </c>
      <c r="F21" s="39">
        <v>0</v>
      </c>
      <c r="G21" s="39">
        <v>57</v>
      </c>
      <c r="H21" s="39">
        <v>89</v>
      </c>
    </row>
    <row r="22" spans="2:8" x14ac:dyDescent="0.25">
      <c r="B22" s="12" t="s">
        <v>39</v>
      </c>
      <c r="C22" s="13">
        <v>195</v>
      </c>
      <c r="D22" s="159">
        <v>19</v>
      </c>
      <c r="E22" s="39">
        <v>209</v>
      </c>
      <c r="F22" s="39">
        <v>30</v>
      </c>
      <c r="G22" s="39">
        <v>52</v>
      </c>
      <c r="H22" s="39">
        <v>16</v>
      </c>
    </row>
    <row r="23" spans="2:8" x14ac:dyDescent="0.25">
      <c r="B23" s="18" t="s">
        <v>40</v>
      </c>
      <c r="C23" s="13">
        <v>79</v>
      </c>
      <c r="D23" s="159">
        <v>72</v>
      </c>
      <c r="E23" s="243">
        <v>77</v>
      </c>
      <c r="F23" s="39">
        <v>74</v>
      </c>
      <c r="G23" s="243">
        <v>44</v>
      </c>
      <c r="H23" s="39">
        <v>42</v>
      </c>
    </row>
    <row r="24" spans="2:8" x14ac:dyDescent="0.25">
      <c r="B24" s="18" t="s">
        <v>41</v>
      </c>
      <c r="C24" s="13">
        <v>162</v>
      </c>
      <c r="D24" s="159">
        <v>106</v>
      </c>
      <c r="E24" s="243">
        <v>283</v>
      </c>
      <c r="F24" s="39">
        <v>47</v>
      </c>
      <c r="G24" s="243">
        <v>36</v>
      </c>
      <c r="H24" s="39">
        <v>33</v>
      </c>
    </row>
    <row r="25" spans="2:8" x14ac:dyDescent="0.25">
      <c r="B25" s="18" t="s">
        <v>42</v>
      </c>
      <c r="C25" s="13">
        <v>69</v>
      </c>
      <c r="D25" s="159">
        <v>42</v>
      </c>
      <c r="E25" s="243">
        <v>162</v>
      </c>
      <c r="F25" s="39">
        <v>4</v>
      </c>
      <c r="G25" s="243">
        <v>45</v>
      </c>
      <c r="H25" s="39">
        <v>26</v>
      </c>
    </row>
    <row r="26" spans="2:8" x14ac:dyDescent="0.25">
      <c r="B26" s="18" t="s">
        <v>43</v>
      </c>
      <c r="C26" s="13">
        <v>68</v>
      </c>
      <c r="D26" s="159">
        <v>49</v>
      </c>
      <c r="E26" s="243">
        <v>178</v>
      </c>
      <c r="F26" s="39">
        <v>32</v>
      </c>
      <c r="G26" s="243">
        <v>31</v>
      </c>
      <c r="H26" s="39">
        <v>44</v>
      </c>
    </row>
    <row r="27" spans="2:8" x14ac:dyDescent="0.25">
      <c r="B27" s="18" t="s">
        <v>44</v>
      </c>
      <c r="C27" s="13">
        <v>63</v>
      </c>
      <c r="D27" s="159">
        <v>23</v>
      </c>
      <c r="E27" s="243">
        <v>90</v>
      </c>
      <c r="F27" s="39">
        <v>6</v>
      </c>
      <c r="G27" s="243">
        <v>57</v>
      </c>
      <c r="H27" s="39">
        <v>44</v>
      </c>
    </row>
    <row r="28" spans="2:8" x14ac:dyDescent="0.25">
      <c r="B28" s="18" t="s">
        <v>45</v>
      </c>
      <c r="C28" s="13">
        <v>87</v>
      </c>
      <c r="D28" s="159">
        <v>19</v>
      </c>
      <c r="E28" s="243">
        <v>169</v>
      </c>
      <c r="F28" s="39">
        <v>31</v>
      </c>
      <c r="G28" s="243">
        <v>52</v>
      </c>
      <c r="H28" s="39">
        <v>22</v>
      </c>
    </row>
    <row r="29" spans="2:8" x14ac:dyDescent="0.25">
      <c r="B29" s="18" t="s">
        <v>46</v>
      </c>
      <c r="C29" s="13">
        <v>74</v>
      </c>
      <c r="D29" s="159">
        <v>85</v>
      </c>
      <c r="E29" s="243">
        <v>317</v>
      </c>
      <c r="F29" s="39">
        <v>25</v>
      </c>
      <c r="G29" s="243">
        <v>54</v>
      </c>
      <c r="H29" s="39">
        <v>21</v>
      </c>
    </row>
    <row r="30" spans="2:8" x14ac:dyDescent="0.25">
      <c r="B30" s="18" t="s">
        <v>47</v>
      </c>
      <c r="C30" s="13">
        <v>28</v>
      </c>
      <c r="D30" s="159">
        <v>105</v>
      </c>
      <c r="E30" s="243">
        <v>100</v>
      </c>
      <c r="F30" s="39">
        <v>0</v>
      </c>
      <c r="G30" s="243">
        <v>20</v>
      </c>
      <c r="H30" s="39">
        <v>7</v>
      </c>
    </row>
    <row r="31" spans="2:8" x14ac:dyDescent="0.25">
      <c r="B31" s="18" t="s">
        <v>48</v>
      </c>
      <c r="C31" s="13">
        <v>8</v>
      </c>
      <c r="D31" s="159">
        <v>0</v>
      </c>
      <c r="E31" s="243">
        <v>31</v>
      </c>
      <c r="F31" s="39">
        <v>18</v>
      </c>
      <c r="G31" s="243">
        <v>12</v>
      </c>
      <c r="H31" s="39">
        <v>14</v>
      </c>
    </row>
    <row r="32" spans="2:8" x14ac:dyDescent="0.25">
      <c r="B32" s="18" t="s">
        <v>49</v>
      </c>
      <c r="C32" s="13">
        <v>54</v>
      </c>
      <c r="D32" s="159">
        <v>13</v>
      </c>
      <c r="E32" s="243">
        <v>44</v>
      </c>
      <c r="F32" s="39">
        <v>62</v>
      </c>
      <c r="G32" s="243">
        <v>39</v>
      </c>
      <c r="H32" s="39">
        <v>26</v>
      </c>
    </row>
    <row r="33" spans="2:8" x14ac:dyDescent="0.25">
      <c r="B33" s="18" t="s">
        <v>50</v>
      </c>
      <c r="C33" s="13">
        <v>57</v>
      </c>
      <c r="D33" s="159">
        <v>8</v>
      </c>
      <c r="E33" s="243">
        <v>238</v>
      </c>
      <c r="F33" s="39">
        <v>4</v>
      </c>
      <c r="G33" s="243">
        <v>41</v>
      </c>
      <c r="H33" s="39">
        <v>54</v>
      </c>
    </row>
    <row r="34" spans="2:8" ht="15.75" thickBot="1" x14ac:dyDescent="0.3">
      <c r="B34" s="19" t="s">
        <v>51</v>
      </c>
      <c r="C34" s="20">
        <v>27</v>
      </c>
      <c r="D34" s="160">
        <v>39</v>
      </c>
      <c r="E34" s="244">
        <v>121</v>
      </c>
      <c r="F34" s="42">
        <v>0</v>
      </c>
      <c r="G34" s="244">
        <v>18</v>
      </c>
      <c r="H34" s="42">
        <v>17</v>
      </c>
    </row>
    <row r="35" spans="2:8" x14ac:dyDescent="0.25">
      <c r="E35" s="56"/>
    </row>
    <row r="36" spans="2:8" x14ac:dyDescent="0.25">
      <c r="B36" s="57"/>
    </row>
  </sheetData>
  <mergeCells count="5">
    <mergeCell ref="C5:H5"/>
    <mergeCell ref="B5:B8"/>
    <mergeCell ref="C6:D6"/>
    <mergeCell ref="C7:C8"/>
    <mergeCell ref="D7:D8"/>
  </mergeCells>
  <pageMargins left="2.0866141732283467" right="0.6692913385826772" top="1.0236220472440944" bottom="0.31496062992125984" header="0.31496062992125984" footer="0.31496062992125984"/>
  <pageSetup paperSize="9"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2:O32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3.5703125" style="11" customWidth="1"/>
    <col min="2" max="2" width="26.28515625" style="11" customWidth="1"/>
    <col min="3" max="3" width="13.42578125" style="11" customWidth="1"/>
    <col min="4" max="4" width="15" style="11" customWidth="1"/>
    <col min="5" max="5" width="15.85546875" style="11" customWidth="1"/>
    <col min="6" max="6" width="2.7109375" style="11" customWidth="1"/>
    <col min="7" max="7" width="2.28515625" style="11" customWidth="1"/>
    <col min="8" max="8" width="9.42578125" style="11" customWidth="1"/>
    <col min="9" max="9" width="10.7109375" style="11" customWidth="1"/>
    <col min="10" max="10" width="10" style="11" customWidth="1"/>
    <col min="11" max="11" width="3.7109375" style="11" customWidth="1"/>
    <col min="12" max="12" width="8.85546875" style="11" customWidth="1"/>
    <col min="13" max="13" width="10" style="11" customWidth="1"/>
    <col min="14" max="14" width="10.140625" style="11" customWidth="1"/>
    <col min="15" max="16384" width="9.140625" style="11"/>
  </cols>
  <sheetData>
    <row r="2" spans="2:14" x14ac:dyDescent="0.25">
      <c r="B2" s="236" t="s">
        <v>517</v>
      </c>
      <c r="C2" s="236"/>
      <c r="D2" s="236"/>
      <c r="E2" s="236"/>
    </row>
    <row r="3" spans="2:14" ht="13.5" customHeight="1" x14ac:dyDescent="0.25">
      <c r="B3" s="152" t="s">
        <v>401</v>
      </c>
      <c r="C3" s="236"/>
      <c r="D3" s="236"/>
      <c r="E3" s="236"/>
    </row>
    <row r="4" spans="2:14" ht="12.75" customHeight="1" thickBot="1" x14ac:dyDescent="0.3">
      <c r="B4" s="230"/>
      <c r="C4" s="230"/>
      <c r="D4" s="230"/>
      <c r="E4" s="230"/>
    </row>
    <row r="5" spans="2:14" x14ac:dyDescent="0.25">
      <c r="B5" s="328"/>
      <c r="C5" s="329"/>
      <c r="D5" s="354" t="s">
        <v>61</v>
      </c>
      <c r="E5" s="353"/>
    </row>
    <row r="6" spans="2:14" ht="45.75" thickBot="1" x14ac:dyDescent="0.3">
      <c r="B6" s="350" t="s">
        <v>25</v>
      </c>
      <c r="C6" s="351" t="s">
        <v>271</v>
      </c>
      <c r="D6" s="351" t="s">
        <v>273</v>
      </c>
      <c r="E6" s="352" t="s">
        <v>272</v>
      </c>
      <c r="H6" s="236"/>
    </row>
    <row r="7" spans="2:14" ht="24.75" customHeight="1" thickBot="1" x14ac:dyDescent="0.3">
      <c r="B7" s="237" t="s">
        <v>26</v>
      </c>
      <c r="C7" s="238">
        <f>SUM(C8:C32)</f>
        <v>88</v>
      </c>
      <c r="D7" s="628">
        <f>SUM(D8:D32)</f>
        <v>0</v>
      </c>
      <c r="E7" s="239">
        <f>SUM(E8:E32)</f>
        <v>88</v>
      </c>
      <c r="H7" s="522" t="s">
        <v>310</v>
      </c>
      <c r="I7" s="483" t="s">
        <v>299</v>
      </c>
      <c r="J7" s="483" t="s">
        <v>300</v>
      </c>
      <c r="L7" s="519" t="s">
        <v>303</v>
      </c>
      <c r="M7" s="518" t="s">
        <v>299</v>
      </c>
      <c r="N7" s="518" t="s">
        <v>300</v>
      </c>
    </row>
    <row r="8" spans="2:14" x14ac:dyDescent="0.25">
      <c r="B8" s="235" t="s">
        <v>27</v>
      </c>
      <c r="C8" s="629">
        <f>SUM(D8:E8)</f>
        <v>0</v>
      </c>
      <c r="D8" s="266">
        <v>0</v>
      </c>
      <c r="E8" s="267">
        <v>0</v>
      </c>
      <c r="G8" s="153"/>
      <c r="H8" s="104" t="s">
        <v>350</v>
      </c>
      <c r="I8" s="14">
        <v>236</v>
      </c>
      <c r="J8" s="14">
        <v>199</v>
      </c>
      <c r="L8" s="104">
        <v>2007</v>
      </c>
      <c r="M8" s="14">
        <v>479</v>
      </c>
      <c r="N8" s="14">
        <v>437</v>
      </c>
    </row>
    <row r="9" spans="2:14" x14ac:dyDescent="0.25">
      <c r="B9" s="231" t="s">
        <v>28</v>
      </c>
      <c r="C9" s="9">
        <f t="shared" ref="C9:C32" si="0">SUM(D9:E9)</f>
        <v>0</v>
      </c>
      <c r="D9" s="148">
        <v>0</v>
      </c>
      <c r="E9" s="149">
        <v>0</v>
      </c>
      <c r="G9" s="153"/>
      <c r="H9" s="104" t="s">
        <v>351</v>
      </c>
      <c r="I9" s="14">
        <v>1321</v>
      </c>
      <c r="J9" s="14">
        <v>909</v>
      </c>
      <c r="L9" s="104">
        <v>2008</v>
      </c>
      <c r="M9" s="14">
        <v>4570</v>
      </c>
      <c r="N9" s="14">
        <v>2154</v>
      </c>
    </row>
    <row r="10" spans="2:14" x14ac:dyDescent="0.25">
      <c r="B10" s="231" t="s">
        <v>29</v>
      </c>
      <c r="C10" s="9">
        <f t="shared" si="0"/>
        <v>0</v>
      </c>
      <c r="D10" s="148">
        <v>0</v>
      </c>
      <c r="E10" s="149">
        <v>0</v>
      </c>
      <c r="H10" s="104" t="s">
        <v>352</v>
      </c>
      <c r="I10" s="14">
        <v>8218</v>
      </c>
      <c r="J10" s="14">
        <v>4590</v>
      </c>
      <c r="L10" s="104">
        <v>2009</v>
      </c>
      <c r="M10" s="14">
        <v>9176</v>
      </c>
      <c r="N10" s="14">
        <v>6255</v>
      </c>
    </row>
    <row r="11" spans="2:14" x14ac:dyDescent="0.25">
      <c r="B11" s="231" t="s">
        <v>30</v>
      </c>
      <c r="C11" s="9">
        <f t="shared" si="0"/>
        <v>0</v>
      </c>
      <c r="D11" s="148">
        <v>0</v>
      </c>
      <c r="E11" s="149">
        <v>0</v>
      </c>
      <c r="H11" s="104" t="s">
        <v>353</v>
      </c>
      <c r="I11" s="14">
        <v>803</v>
      </c>
      <c r="J11" s="14">
        <v>129</v>
      </c>
      <c r="L11" s="104">
        <v>2010</v>
      </c>
      <c r="M11" s="14">
        <v>1412</v>
      </c>
      <c r="N11" s="14">
        <v>1120</v>
      </c>
    </row>
    <row r="12" spans="2:14" x14ac:dyDescent="0.25">
      <c r="B12" s="231" t="s">
        <v>31</v>
      </c>
      <c r="C12" s="9">
        <f t="shared" si="0"/>
        <v>0</v>
      </c>
      <c r="D12" s="148">
        <v>0</v>
      </c>
      <c r="E12" s="149">
        <v>0</v>
      </c>
      <c r="H12" s="104" t="s">
        <v>354</v>
      </c>
      <c r="I12" s="14">
        <v>2044</v>
      </c>
      <c r="J12" s="14">
        <v>1509</v>
      </c>
      <c r="L12" s="104">
        <v>2011</v>
      </c>
      <c r="M12" s="14">
        <v>2730</v>
      </c>
      <c r="N12" s="14">
        <v>2048</v>
      </c>
    </row>
    <row r="13" spans="2:14" x14ac:dyDescent="0.25">
      <c r="B13" s="231" t="s">
        <v>32</v>
      </c>
      <c r="C13" s="9">
        <f t="shared" si="0"/>
        <v>0</v>
      </c>
      <c r="D13" s="148">
        <v>0</v>
      </c>
      <c r="E13" s="149">
        <v>0</v>
      </c>
      <c r="H13" s="104" t="s">
        <v>355</v>
      </c>
      <c r="I13" s="14">
        <v>438</v>
      </c>
      <c r="J13" s="14">
        <v>549</v>
      </c>
      <c r="L13" s="104">
        <v>2012</v>
      </c>
      <c r="M13" s="14">
        <v>1273</v>
      </c>
      <c r="N13" s="14">
        <v>1050</v>
      </c>
    </row>
    <row r="14" spans="2:14" x14ac:dyDescent="0.25">
      <c r="B14" s="231" t="s">
        <v>33</v>
      </c>
      <c r="C14" s="9">
        <f t="shared" si="0"/>
        <v>0</v>
      </c>
      <c r="D14" s="148">
        <v>0</v>
      </c>
      <c r="E14" s="149">
        <v>0</v>
      </c>
      <c r="H14" s="104" t="s">
        <v>356</v>
      </c>
      <c r="I14" s="14">
        <v>1134</v>
      </c>
      <c r="J14" s="14">
        <v>590</v>
      </c>
      <c r="L14" s="104">
        <v>2013</v>
      </c>
      <c r="M14" s="14">
        <v>2106</v>
      </c>
      <c r="N14" s="14">
        <v>1235</v>
      </c>
    </row>
    <row r="15" spans="2:14" x14ac:dyDescent="0.25">
      <c r="B15" s="231" t="s">
        <v>34</v>
      </c>
      <c r="C15" s="9">
        <f t="shared" si="0"/>
        <v>31</v>
      </c>
      <c r="D15" s="148">
        <v>0</v>
      </c>
      <c r="E15" s="149">
        <v>31</v>
      </c>
      <c r="H15" s="104" t="s">
        <v>357</v>
      </c>
      <c r="I15" s="14">
        <v>809</v>
      </c>
      <c r="J15" s="14">
        <v>378</v>
      </c>
      <c r="L15" s="104">
        <v>2014</v>
      </c>
      <c r="M15" s="14">
        <v>1311</v>
      </c>
      <c r="N15" s="14">
        <v>651</v>
      </c>
    </row>
    <row r="16" spans="2:14" x14ac:dyDescent="0.25">
      <c r="B16" s="231" t="s">
        <v>35</v>
      </c>
      <c r="C16" s="9">
        <f t="shared" si="0"/>
        <v>0</v>
      </c>
      <c r="D16" s="148">
        <v>0</v>
      </c>
      <c r="E16" s="149">
        <v>0</v>
      </c>
      <c r="H16" s="104" t="s">
        <v>358</v>
      </c>
      <c r="I16" s="14">
        <v>991</v>
      </c>
      <c r="J16" s="14">
        <v>419</v>
      </c>
      <c r="L16" s="104">
        <v>2015</v>
      </c>
      <c r="M16" s="14">
        <v>1204</v>
      </c>
      <c r="N16" s="14">
        <v>1108</v>
      </c>
    </row>
    <row r="17" spans="2:15" x14ac:dyDescent="0.25">
      <c r="B17" s="231" t="s">
        <v>36</v>
      </c>
      <c r="C17" s="9">
        <f t="shared" si="0"/>
        <v>0</v>
      </c>
      <c r="D17" s="148">
        <v>0</v>
      </c>
      <c r="E17" s="149">
        <v>0</v>
      </c>
      <c r="H17" s="104" t="s">
        <v>359</v>
      </c>
      <c r="I17" s="14">
        <v>264</v>
      </c>
      <c r="J17" s="14">
        <v>92</v>
      </c>
      <c r="L17" s="104">
        <v>2016</v>
      </c>
      <c r="M17" s="14">
        <v>720</v>
      </c>
      <c r="N17" s="14">
        <v>609</v>
      </c>
    </row>
    <row r="18" spans="2:15" x14ac:dyDescent="0.25">
      <c r="B18" s="231" t="s">
        <v>37</v>
      </c>
      <c r="C18" s="9">
        <f t="shared" si="0"/>
        <v>0</v>
      </c>
      <c r="D18" s="148">
        <v>0</v>
      </c>
      <c r="E18" s="149">
        <v>0</v>
      </c>
      <c r="H18" s="104" t="s">
        <v>360</v>
      </c>
      <c r="I18" s="14">
        <v>485</v>
      </c>
      <c r="J18" s="14">
        <v>348</v>
      </c>
      <c r="K18" s="521"/>
      <c r="L18" s="104">
        <v>2017</v>
      </c>
      <c r="M18" s="14">
        <v>819</v>
      </c>
      <c r="N18" s="14">
        <v>557</v>
      </c>
    </row>
    <row r="19" spans="2:15" x14ac:dyDescent="0.25">
      <c r="B19" s="231" t="s">
        <v>38</v>
      </c>
      <c r="C19" s="9">
        <f t="shared" si="0"/>
        <v>0</v>
      </c>
      <c r="D19" s="148">
        <v>0</v>
      </c>
      <c r="E19" s="149">
        <v>0</v>
      </c>
      <c r="H19" s="104" t="s">
        <v>301</v>
      </c>
      <c r="I19" s="14">
        <v>323</v>
      </c>
      <c r="J19" s="14">
        <v>358</v>
      </c>
      <c r="K19" s="521"/>
      <c r="L19" s="104">
        <v>2018</v>
      </c>
      <c r="M19" s="14">
        <v>587</v>
      </c>
      <c r="N19" s="14">
        <v>530</v>
      </c>
    </row>
    <row r="20" spans="2:15" x14ac:dyDescent="0.25">
      <c r="B20" s="231" t="s">
        <v>39</v>
      </c>
      <c r="C20" s="9">
        <f t="shared" si="0"/>
        <v>0</v>
      </c>
      <c r="D20" s="148">
        <v>0</v>
      </c>
      <c r="E20" s="149">
        <v>0</v>
      </c>
      <c r="H20" s="104" t="s">
        <v>345</v>
      </c>
      <c r="I20" s="14">
        <v>835</v>
      </c>
      <c r="J20" s="14">
        <v>333</v>
      </c>
      <c r="L20" s="104">
        <v>2019</v>
      </c>
      <c r="M20" s="528">
        <v>1044</v>
      </c>
      <c r="N20" s="528">
        <v>726</v>
      </c>
    </row>
    <row r="21" spans="2:15" x14ac:dyDescent="0.25">
      <c r="B21" s="231" t="s">
        <v>40</v>
      </c>
      <c r="C21" s="9">
        <f t="shared" si="0"/>
        <v>0</v>
      </c>
      <c r="D21" s="148">
        <v>0</v>
      </c>
      <c r="E21" s="149">
        <v>0</v>
      </c>
      <c r="H21" s="104" t="s">
        <v>444</v>
      </c>
      <c r="I21" s="14">
        <v>3035</v>
      </c>
      <c r="J21" s="14">
        <v>1230</v>
      </c>
      <c r="L21" s="104">
        <v>2020</v>
      </c>
      <c r="M21" s="14">
        <v>4716</v>
      </c>
      <c r="N21" s="14">
        <v>2746</v>
      </c>
      <c r="O21" s="521">
        <f>SUM(J21-J20)</f>
        <v>897</v>
      </c>
    </row>
    <row r="22" spans="2:15" x14ac:dyDescent="0.25">
      <c r="B22" s="231" t="s">
        <v>41</v>
      </c>
      <c r="C22" s="9">
        <f t="shared" si="0"/>
        <v>0</v>
      </c>
      <c r="D22" s="148">
        <v>0</v>
      </c>
      <c r="E22" s="149">
        <v>0</v>
      </c>
      <c r="H22" s="104" t="s">
        <v>485</v>
      </c>
      <c r="I22" s="14">
        <v>88</v>
      </c>
      <c r="J22" s="14">
        <v>238</v>
      </c>
      <c r="L22" s="104">
        <v>2021</v>
      </c>
      <c r="M22" s="627"/>
      <c r="N22" s="627"/>
      <c r="O22" s="521">
        <f>SUM(J22-J21)</f>
        <v>-992</v>
      </c>
    </row>
    <row r="23" spans="2:15" x14ac:dyDescent="0.25">
      <c r="B23" s="231" t="s">
        <v>42</v>
      </c>
      <c r="C23" s="9">
        <f t="shared" si="0"/>
        <v>0</v>
      </c>
      <c r="D23" s="148">
        <v>0</v>
      </c>
      <c r="E23" s="149">
        <v>0</v>
      </c>
      <c r="H23" s="11" t="s">
        <v>484</v>
      </c>
    </row>
    <row r="24" spans="2:15" x14ac:dyDescent="0.25">
      <c r="B24" s="231" t="s">
        <v>43</v>
      </c>
      <c r="C24" s="9">
        <f t="shared" si="0"/>
        <v>0</v>
      </c>
      <c r="D24" s="148">
        <v>0</v>
      </c>
      <c r="E24" s="149">
        <v>0</v>
      </c>
      <c r="J24" s="521">
        <f>SUM(J22-J21)</f>
        <v>-992</v>
      </c>
    </row>
    <row r="25" spans="2:15" x14ac:dyDescent="0.25">
      <c r="B25" s="231" t="s">
        <v>44</v>
      </c>
      <c r="C25" s="9">
        <f t="shared" si="0"/>
        <v>0</v>
      </c>
      <c r="D25" s="148">
        <v>0</v>
      </c>
      <c r="E25" s="149">
        <v>0</v>
      </c>
    </row>
    <row r="26" spans="2:15" x14ac:dyDescent="0.25">
      <c r="B26" s="231" t="s">
        <v>45</v>
      </c>
      <c r="C26" s="9">
        <f t="shared" si="0"/>
        <v>0</v>
      </c>
      <c r="D26" s="148">
        <v>0</v>
      </c>
      <c r="E26" s="149">
        <v>0</v>
      </c>
    </row>
    <row r="27" spans="2:15" x14ac:dyDescent="0.25">
      <c r="B27" s="231" t="s">
        <v>46</v>
      </c>
      <c r="C27" s="9">
        <f t="shared" si="0"/>
        <v>0</v>
      </c>
      <c r="D27" s="148">
        <v>0</v>
      </c>
      <c r="E27" s="149">
        <v>0</v>
      </c>
    </row>
    <row r="28" spans="2:15" x14ac:dyDescent="0.25">
      <c r="B28" s="231" t="s">
        <v>47</v>
      </c>
      <c r="C28" s="9">
        <f t="shared" si="0"/>
        <v>0</v>
      </c>
      <c r="D28" s="148">
        <v>0</v>
      </c>
      <c r="E28" s="149">
        <v>0</v>
      </c>
    </row>
    <row r="29" spans="2:15" x14ac:dyDescent="0.25">
      <c r="B29" s="231" t="s">
        <v>48</v>
      </c>
      <c r="C29" s="9">
        <f t="shared" si="0"/>
        <v>0</v>
      </c>
      <c r="D29" s="148">
        <v>0</v>
      </c>
      <c r="E29" s="149">
        <v>0</v>
      </c>
    </row>
    <row r="30" spans="2:15" x14ac:dyDescent="0.25">
      <c r="B30" s="231" t="s">
        <v>49</v>
      </c>
      <c r="C30" s="9">
        <f t="shared" si="0"/>
        <v>0</v>
      </c>
      <c r="D30" s="148">
        <v>0</v>
      </c>
      <c r="E30" s="149">
        <v>0</v>
      </c>
    </row>
    <row r="31" spans="2:15" x14ac:dyDescent="0.25">
      <c r="B31" s="231" t="s">
        <v>50</v>
      </c>
      <c r="C31" s="9">
        <f t="shared" si="0"/>
        <v>57</v>
      </c>
      <c r="D31" s="148">
        <v>0</v>
      </c>
      <c r="E31" s="149">
        <v>57</v>
      </c>
    </row>
    <row r="32" spans="2:15" ht="15.75" thickBot="1" x14ac:dyDescent="0.3">
      <c r="B32" s="232" t="s">
        <v>51</v>
      </c>
      <c r="C32" s="5">
        <f t="shared" si="0"/>
        <v>0</v>
      </c>
      <c r="D32" s="150">
        <v>0</v>
      </c>
      <c r="E32" s="151">
        <v>0</v>
      </c>
    </row>
  </sheetData>
  <printOptions horizontalCentered="1" verticalCentered="1"/>
  <pageMargins left="1.7322834645669292" right="0" top="0.6692913385826772" bottom="0" header="0" footer="0"/>
  <pageSetup paperSize="9" scale="4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V31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3.85546875" style="11" customWidth="1"/>
    <col min="2" max="2" width="35.28515625" style="11" customWidth="1"/>
    <col min="3" max="4" width="9.28515625" style="11" customWidth="1"/>
    <col min="5" max="5" width="8.5703125" style="11" customWidth="1"/>
    <col min="6" max="6" width="9" style="11" customWidth="1"/>
    <col min="7" max="7" width="8.7109375" style="11" customWidth="1"/>
    <col min="8" max="8" width="9.5703125" style="11" customWidth="1"/>
    <col min="9" max="9" width="9" style="11" customWidth="1"/>
    <col min="10" max="10" width="8.140625" style="11" customWidth="1"/>
    <col min="11" max="11" width="9.42578125" style="11" customWidth="1"/>
    <col min="12" max="13" width="8.85546875" style="11" customWidth="1"/>
    <col min="14" max="14" width="8.5703125" style="11" customWidth="1"/>
    <col min="15" max="18" width="8.28515625" style="11" customWidth="1"/>
    <col min="19" max="19" width="8.7109375" style="11" customWidth="1"/>
    <col min="20" max="16384" width="9.140625" style="11"/>
  </cols>
  <sheetData>
    <row r="1" spans="1:22" x14ac:dyDescent="0.25">
      <c r="B1" s="11" t="s">
        <v>515</v>
      </c>
    </row>
    <row r="2" spans="1:22" ht="12.75" customHeight="1" x14ac:dyDescent="0.25">
      <c r="B2" s="11" t="s">
        <v>402</v>
      </c>
    </row>
    <row r="3" spans="1:22" ht="10.5" customHeight="1" thickBot="1" x14ac:dyDescent="0.3"/>
    <row r="4" spans="1:22" ht="36.75" customHeight="1" thickBot="1" x14ac:dyDescent="0.3">
      <c r="B4" s="357" t="s">
        <v>3</v>
      </c>
      <c r="C4" s="358" t="s">
        <v>111</v>
      </c>
      <c r="D4" s="359" t="s">
        <v>112</v>
      </c>
      <c r="E4" s="359" t="s">
        <v>113</v>
      </c>
      <c r="F4" s="359" t="s">
        <v>114</v>
      </c>
      <c r="G4" s="360" t="s">
        <v>115</v>
      </c>
      <c r="H4" s="360" t="s">
        <v>116</v>
      </c>
      <c r="I4" s="360" t="s">
        <v>117</v>
      </c>
      <c r="J4" s="360" t="s">
        <v>118</v>
      </c>
      <c r="K4" s="360" t="s">
        <v>119</v>
      </c>
      <c r="L4" s="361" t="s">
        <v>120</v>
      </c>
      <c r="M4" s="362" t="s">
        <v>121</v>
      </c>
      <c r="N4" s="362" t="s">
        <v>297</v>
      </c>
      <c r="O4" s="362" t="s">
        <v>304</v>
      </c>
      <c r="P4" s="362" t="s">
        <v>346</v>
      </c>
      <c r="Q4" s="362" t="s">
        <v>443</v>
      </c>
      <c r="R4" s="362" t="s">
        <v>482</v>
      </c>
      <c r="S4" s="363" t="s">
        <v>122</v>
      </c>
    </row>
    <row r="5" spans="1:22" ht="34.5" customHeight="1" x14ac:dyDescent="0.25">
      <c r="B5" s="133" t="s">
        <v>274</v>
      </c>
      <c r="C5" s="364">
        <v>45.9</v>
      </c>
      <c r="D5" s="365">
        <v>47.5</v>
      </c>
      <c r="E5" s="365">
        <v>49.5</v>
      </c>
      <c r="F5" s="366">
        <v>51</v>
      </c>
      <c r="G5" s="365">
        <v>50.4</v>
      </c>
      <c r="H5" s="365">
        <v>50.2</v>
      </c>
      <c r="I5" s="365">
        <v>50.3</v>
      </c>
      <c r="J5" s="365">
        <v>50.4</v>
      </c>
      <c r="K5" s="365">
        <v>50.6</v>
      </c>
      <c r="L5" s="367">
        <v>51.7</v>
      </c>
      <c r="M5" s="368">
        <v>52.6</v>
      </c>
      <c r="N5" s="368">
        <v>53.2</v>
      </c>
      <c r="O5" s="368">
        <v>53.7</v>
      </c>
      <c r="P5" s="368">
        <v>54</v>
      </c>
      <c r="Q5" s="368">
        <v>54.4</v>
      </c>
      <c r="R5" s="368">
        <v>54.7</v>
      </c>
      <c r="S5" s="368">
        <f>SUM(R5)-Q5</f>
        <v>0.30000000000000426</v>
      </c>
    </row>
    <row r="6" spans="1:22" ht="35.25" customHeight="1" thickBot="1" x14ac:dyDescent="0.3">
      <c r="B6" s="135" t="s">
        <v>307</v>
      </c>
      <c r="C6" s="369">
        <v>44.9</v>
      </c>
      <c r="D6" s="187">
        <v>47</v>
      </c>
      <c r="E6" s="187">
        <v>51</v>
      </c>
      <c r="F6" s="370">
        <v>51.8</v>
      </c>
      <c r="G6" s="370">
        <v>50.2</v>
      </c>
      <c r="H6" s="370">
        <v>49.8</v>
      </c>
      <c r="I6" s="370">
        <v>49.3</v>
      </c>
      <c r="J6" s="370">
        <v>48.6</v>
      </c>
      <c r="K6" s="370">
        <v>48.1</v>
      </c>
      <c r="L6" s="371">
        <v>46.7</v>
      </c>
      <c r="M6" s="188">
        <v>48</v>
      </c>
      <c r="N6" s="188">
        <v>50.9</v>
      </c>
      <c r="O6" s="188">
        <v>52.6</v>
      </c>
      <c r="P6" s="188">
        <v>52.2</v>
      </c>
      <c r="Q6" s="188">
        <v>51.9</v>
      </c>
      <c r="R6" s="188">
        <v>51.1</v>
      </c>
      <c r="S6" s="188">
        <f t="shared" ref="S6:S18" si="0">SUM(R6)-Q6</f>
        <v>-0.79999999999999716</v>
      </c>
    </row>
    <row r="7" spans="1:22" ht="26.25" customHeight="1" thickBot="1" x14ac:dyDescent="0.3">
      <c r="B7" s="658" t="s">
        <v>7</v>
      </c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72"/>
      <c r="U7" s="372"/>
    </row>
    <row r="8" spans="1:22" ht="25.5" customHeight="1" thickTop="1" x14ac:dyDescent="0.25">
      <c r="B8" s="61" t="s">
        <v>306</v>
      </c>
      <c r="C8" s="373">
        <v>17.5</v>
      </c>
      <c r="D8" s="374">
        <v>20.9</v>
      </c>
      <c r="E8" s="374">
        <v>23.3</v>
      </c>
      <c r="F8" s="374">
        <v>23.6</v>
      </c>
      <c r="G8" s="374">
        <v>18.100000000000001</v>
      </c>
      <c r="H8" s="374">
        <v>19.399999999999999</v>
      </c>
      <c r="I8" s="374">
        <v>18.3</v>
      </c>
      <c r="J8" s="374">
        <v>18.5</v>
      </c>
      <c r="K8" s="374">
        <v>17.8</v>
      </c>
      <c r="L8" s="375">
        <v>18.2</v>
      </c>
      <c r="M8" s="376">
        <v>15.2</v>
      </c>
      <c r="N8" s="376">
        <v>22.1</v>
      </c>
      <c r="O8" s="376">
        <v>25.7</v>
      </c>
      <c r="P8" s="376">
        <v>24.5</v>
      </c>
      <c r="Q8" s="376">
        <v>24.2</v>
      </c>
      <c r="R8" s="376">
        <v>21.4</v>
      </c>
      <c r="S8" s="330">
        <f t="shared" si="0"/>
        <v>-2.8000000000000007</v>
      </c>
    </row>
    <row r="9" spans="1:22" ht="24" customHeight="1" x14ac:dyDescent="0.25">
      <c r="B9" s="12" t="s">
        <v>8</v>
      </c>
      <c r="C9" s="377">
        <v>69</v>
      </c>
      <c r="D9" s="104">
        <v>72.3</v>
      </c>
      <c r="E9" s="104">
        <v>75.599999999999994</v>
      </c>
      <c r="F9" s="16">
        <v>78</v>
      </c>
      <c r="G9" s="104">
        <v>74.599999999999994</v>
      </c>
      <c r="H9" s="16">
        <v>72</v>
      </c>
      <c r="I9" s="104">
        <v>70.599999999999994</v>
      </c>
      <c r="J9" s="104">
        <v>70.900000000000006</v>
      </c>
      <c r="K9" s="104">
        <v>70.7</v>
      </c>
      <c r="L9" s="378">
        <v>70.900000000000006</v>
      </c>
      <c r="M9" s="379">
        <v>73.2</v>
      </c>
      <c r="N9" s="379">
        <v>76.3</v>
      </c>
      <c r="O9" s="379">
        <v>77.400000000000006</v>
      </c>
      <c r="P9" s="379">
        <v>77.2</v>
      </c>
      <c r="Q9" s="379">
        <v>79.5</v>
      </c>
      <c r="R9" s="17">
        <v>78</v>
      </c>
      <c r="S9" s="379">
        <f t="shared" si="0"/>
        <v>-1.5</v>
      </c>
    </row>
    <row r="10" spans="1:22" ht="24" customHeight="1" x14ac:dyDescent="0.25">
      <c r="B10" s="12" t="s">
        <v>9</v>
      </c>
      <c r="C10" s="377">
        <v>76</v>
      </c>
      <c r="D10" s="104">
        <v>75.5</v>
      </c>
      <c r="E10" s="104">
        <v>82.2</v>
      </c>
      <c r="F10" s="16">
        <v>84</v>
      </c>
      <c r="G10" s="104">
        <v>80.3</v>
      </c>
      <c r="H10" s="104">
        <v>82.3</v>
      </c>
      <c r="I10" s="104">
        <v>79.8</v>
      </c>
      <c r="J10" s="104">
        <v>77.599999999999994</v>
      </c>
      <c r="K10" s="104">
        <v>76.3</v>
      </c>
      <c r="L10" s="378">
        <v>76.3</v>
      </c>
      <c r="M10" s="379">
        <v>78.2</v>
      </c>
      <c r="N10" s="379">
        <v>81.3</v>
      </c>
      <c r="O10" s="379">
        <v>81.900000000000006</v>
      </c>
      <c r="P10" s="379">
        <v>81.3</v>
      </c>
      <c r="Q10" s="379">
        <v>81.7</v>
      </c>
      <c r="R10" s="379">
        <v>80.8</v>
      </c>
      <c r="S10" s="379">
        <f t="shared" si="0"/>
        <v>-0.90000000000000568</v>
      </c>
    </row>
    <row r="11" spans="1:22" ht="24.75" customHeight="1" x14ac:dyDescent="0.25">
      <c r="B11" s="12" t="s">
        <v>10</v>
      </c>
      <c r="C11" s="380">
        <v>65.7</v>
      </c>
      <c r="D11" s="104">
        <v>68.400000000000006</v>
      </c>
      <c r="E11" s="104">
        <v>68.8</v>
      </c>
      <c r="F11" s="104">
        <v>73.599999999999994</v>
      </c>
      <c r="G11" s="16">
        <v>73</v>
      </c>
      <c r="H11" s="16">
        <v>73</v>
      </c>
      <c r="I11" s="104">
        <v>73.400000000000006</v>
      </c>
      <c r="J11" s="104">
        <v>71.400000000000006</v>
      </c>
      <c r="K11" s="104">
        <v>73.400000000000006</v>
      </c>
      <c r="L11" s="378">
        <v>73.5</v>
      </c>
      <c r="M11" s="379">
        <v>76.400000000000006</v>
      </c>
      <c r="N11" s="379">
        <v>77.8</v>
      </c>
      <c r="O11" s="379">
        <v>80.599999999999994</v>
      </c>
      <c r="P11" s="379">
        <v>80.599999999999994</v>
      </c>
      <c r="Q11" s="379">
        <v>80.2</v>
      </c>
      <c r="R11" s="379">
        <v>79.7</v>
      </c>
      <c r="S11" s="379">
        <f t="shared" si="0"/>
        <v>-0.5</v>
      </c>
    </row>
    <row r="12" spans="1:22" ht="28.5" customHeight="1" thickBot="1" x14ac:dyDescent="0.3">
      <c r="B12" s="95" t="s">
        <v>11</v>
      </c>
      <c r="C12" s="381">
        <v>19</v>
      </c>
      <c r="D12" s="382">
        <v>21.1</v>
      </c>
      <c r="E12" s="382">
        <v>25.1</v>
      </c>
      <c r="F12" s="382">
        <v>25.6</v>
      </c>
      <c r="G12" s="382">
        <v>26.2</v>
      </c>
      <c r="H12" s="382">
        <v>25.9</v>
      </c>
      <c r="I12" s="382">
        <v>26.8</v>
      </c>
      <c r="J12" s="382">
        <v>24.8</v>
      </c>
      <c r="K12" s="382">
        <v>22.7</v>
      </c>
      <c r="L12" s="383">
        <v>21.4</v>
      </c>
      <c r="M12" s="384">
        <v>23.2</v>
      </c>
      <c r="N12" s="384">
        <v>24.4</v>
      </c>
      <c r="O12" s="384">
        <v>25.5</v>
      </c>
      <c r="P12" s="384">
        <v>25.2</v>
      </c>
      <c r="Q12" s="384">
        <v>23.5</v>
      </c>
      <c r="R12" s="384">
        <v>23.9</v>
      </c>
      <c r="S12" s="384">
        <f t="shared" si="0"/>
        <v>0.39999999999999858</v>
      </c>
    </row>
    <row r="13" spans="1:22" ht="30.75" customHeight="1" thickBot="1" x14ac:dyDescent="0.3">
      <c r="A13" s="372"/>
      <c r="B13" s="658" t="s">
        <v>12</v>
      </c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72"/>
      <c r="U13" s="372"/>
      <c r="V13" s="372"/>
    </row>
    <row r="14" spans="1:22" ht="25.5" customHeight="1" thickTop="1" x14ac:dyDescent="0.25">
      <c r="B14" s="61" t="s">
        <v>13</v>
      </c>
      <c r="C14" s="373">
        <v>69.8</v>
      </c>
      <c r="D14" s="374">
        <v>69.599999999999994</v>
      </c>
      <c r="E14" s="374">
        <v>74.900000000000006</v>
      </c>
      <c r="F14" s="374">
        <v>75.7</v>
      </c>
      <c r="G14" s="374">
        <v>73.3</v>
      </c>
      <c r="H14" s="374">
        <v>77.3</v>
      </c>
      <c r="I14" s="374">
        <v>73.900000000000006</v>
      </c>
      <c r="J14" s="374">
        <v>73.7</v>
      </c>
      <c r="K14" s="374">
        <v>82.3</v>
      </c>
      <c r="L14" s="375">
        <v>72.400000000000006</v>
      </c>
      <c r="M14" s="376">
        <v>75.5</v>
      </c>
      <c r="N14" s="376">
        <v>77.7</v>
      </c>
      <c r="O14" s="376">
        <v>76.400000000000006</v>
      </c>
      <c r="P14" s="376">
        <v>77.099999999999994</v>
      </c>
      <c r="Q14" s="376">
        <v>77.7</v>
      </c>
      <c r="R14" s="376">
        <v>74.900000000000006</v>
      </c>
      <c r="S14" s="376">
        <f t="shared" si="0"/>
        <v>-2.7999999999999972</v>
      </c>
    </row>
    <row r="15" spans="1:22" ht="28.5" customHeight="1" x14ac:dyDescent="0.25">
      <c r="B15" s="12" t="s">
        <v>14</v>
      </c>
      <c r="C15" s="380">
        <v>56.1</v>
      </c>
      <c r="D15" s="104">
        <v>58.4</v>
      </c>
      <c r="E15" s="104">
        <v>62.3</v>
      </c>
      <c r="F15" s="16">
        <v>62</v>
      </c>
      <c r="G15" s="104">
        <v>63.3</v>
      </c>
      <c r="H15" s="104">
        <v>61.4</v>
      </c>
      <c r="I15" s="104">
        <v>60.8</v>
      </c>
      <c r="J15" s="104">
        <v>58.9</v>
      </c>
      <c r="K15" s="104">
        <v>67.3</v>
      </c>
      <c r="L15" s="378">
        <v>54.9</v>
      </c>
      <c r="M15" s="379">
        <v>57.6</v>
      </c>
      <c r="N15" s="379">
        <v>60.5</v>
      </c>
      <c r="O15" s="17">
        <v>62</v>
      </c>
      <c r="P15" s="17">
        <v>60.6</v>
      </c>
      <c r="Q15" s="17">
        <v>61</v>
      </c>
      <c r="R15" s="17">
        <v>59</v>
      </c>
      <c r="S15" s="17">
        <f t="shared" si="0"/>
        <v>-2</v>
      </c>
    </row>
    <row r="16" spans="1:22" ht="27" customHeight="1" x14ac:dyDescent="0.25">
      <c r="B16" s="12" t="s">
        <v>15</v>
      </c>
      <c r="C16" s="380">
        <v>38.1</v>
      </c>
      <c r="D16" s="104">
        <v>34.5</v>
      </c>
      <c r="E16" s="104">
        <v>34.9</v>
      </c>
      <c r="F16" s="104">
        <v>36.5</v>
      </c>
      <c r="G16" s="104">
        <v>34.1</v>
      </c>
      <c r="H16" s="104">
        <v>34.4</v>
      </c>
      <c r="I16" s="104">
        <v>35.4</v>
      </c>
      <c r="J16" s="104">
        <v>37.5</v>
      </c>
      <c r="K16" s="104">
        <v>48.6</v>
      </c>
      <c r="L16" s="378">
        <v>39.6</v>
      </c>
      <c r="M16" s="379">
        <v>38.799999999999997</v>
      </c>
      <c r="N16" s="379">
        <v>40.6</v>
      </c>
      <c r="O16" s="379">
        <v>47.4</v>
      </c>
      <c r="P16" s="379">
        <v>47.2</v>
      </c>
      <c r="Q16" s="379">
        <v>41.9</v>
      </c>
      <c r="R16" s="379">
        <v>43.1</v>
      </c>
      <c r="S16" s="379">
        <f t="shared" si="0"/>
        <v>1.2000000000000028</v>
      </c>
    </row>
    <row r="17" spans="2:19" ht="27.75" customHeight="1" x14ac:dyDescent="0.25">
      <c r="B17" s="12" t="s">
        <v>16</v>
      </c>
      <c r="C17" s="380">
        <v>57.4</v>
      </c>
      <c r="D17" s="104">
        <v>59.6</v>
      </c>
      <c r="E17" s="104">
        <v>61.4</v>
      </c>
      <c r="F17" s="104">
        <v>63.5</v>
      </c>
      <c r="G17" s="104">
        <v>61.4</v>
      </c>
      <c r="H17" s="104">
        <v>62.1</v>
      </c>
      <c r="I17" s="104">
        <v>59.5</v>
      </c>
      <c r="J17" s="16">
        <v>55</v>
      </c>
      <c r="K17" s="104">
        <v>63.9</v>
      </c>
      <c r="L17" s="154">
        <v>54</v>
      </c>
      <c r="M17" s="17">
        <v>53.5</v>
      </c>
      <c r="N17" s="17">
        <v>53.9</v>
      </c>
      <c r="O17" s="17">
        <v>54.4</v>
      </c>
      <c r="P17" s="17">
        <v>56.3</v>
      </c>
      <c r="Q17" s="17">
        <v>53.8</v>
      </c>
      <c r="R17" s="17">
        <v>51.3</v>
      </c>
      <c r="S17" s="17">
        <f t="shared" si="0"/>
        <v>-2.5</v>
      </c>
    </row>
    <row r="18" spans="2:19" ht="30.75" thickBot="1" x14ac:dyDescent="0.3">
      <c r="B18" s="95" t="s">
        <v>17</v>
      </c>
      <c r="C18" s="385">
        <v>19.7</v>
      </c>
      <c r="D18" s="382">
        <v>21.8</v>
      </c>
      <c r="E18" s="382">
        <v>25.6</v>
      </c>
      <c r="F18" s="23">
        <v>25</v>
      </c>
      <c r="G18" s="382">
        <v>20.3</v>
      </c>
      <c r="H18" s="382">
        <v>17.100000000000001</v>
      </c>
      <c r="I18" s="382">
        <v>18.100000000000001</v>
      </c>
      <c r="J18" s="382">
        <v>17.600000000000001</v>
      </c>
      <c r="K18" s="382">
        <v>18.899999999999999</v>
      </c>
      <c r="L18" s="383">
        <v>11.1</v>
      </c>
      <c r="M18" s="384">
        <v>11.8</v>
      </c>
      <c r="N18" s="384">
        <v>12.5</v>
      </c>
      <c r="O18" s="384">
        <v>12.5</v>
      </c>
      <c r="P18" s="384">
        <v>12.4</v>
      </c>
      <c r="Q18" s="384">
        <v>10.7</v>
      </c>
      <c r="R18" s="384">
        <v>15.2</v>
      </c>
      <c r="S18" s="24">
        <f t="shared" si="0"/>
        <v>4.5</v>
      </c>
    </row>
    <row r="19" spans="2:19" ht="12.75" customHeight="1" x14ac:dyDescent="0.25"/>
    <row r="20" spans="2:19" x14ac:dyDescent="0.25">
      <c r="B20" s="57" t="s">
        <v>305</v>
      </c>
    </row>
    <row r="21" spans="2:19" x14ac:dyDescent="0.25">
      <c r="B21" s="57" t="s">
        <v>309</v>
      </c>
    </row>
    <row r="22" spans="2:19" x14ac:dyDescent="0.25">
      <c r="B22" s="57" t="s">
        <v>308</v>
      </c>
    </row>
    <row r="23" spans="2:19" x14ac:dyDescent="0.25">
      <c r="B23" s="57" t="s">
        <v>347</v>
      </c>
    </row>
    <row r="24" spans="2:19" x14ac:dyDescent="0.25">
      <c r="B24" s="57" t="s">
        <v>18</v>
      </c>
    </row>
    <row r="25" spans="2:19" x14ac:dyDescent="0.25">
      <c r="B25" s="57" t="s">
        <v>298</v>
      </c>
    </row>
    <row r="26" spans="2:19" x14ac:dyDescent="0.25">
      <c r="B26" s="57" t="s">
        <v>483</v>
      </c>
    </row>
    <row r="27" spans="2:19" ht="13.5" customHeight="1" x14ac:dyDescent="0.25">
      <c r="B27" s="57" t="s">
        <v>276</v>
      </c>
    </row>
    <row r="31" spans="2:19" x14ac:dyDescent="0.25">
      <c r="C31" s="153"/>
    </row>
  </sheetData>
  <pageMargins left="0.9055118110236221" right="0.70866141732283472" top="1.3385826771653544" bottom="0.74803149606299213" header="0.31496062992125984" footer="0.31496062992125984"/>
  <pageSetup paperSize="9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1:N22"/>
  <sheetViews>
    <sheetView zoomScaleNormal="10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5.28515625" style="11" customWidth="1"/>
    <col min="3" max="3" width="10.85546875" style="11" customWidth="1"/>
    <col min="4" max="4" width="10.28515625" style="11" customWidth="1"/>
    <col min="5" max="5" width="10.5703125" style="11" customWidth="1"/>
    <col min="6" max="6" width="10.140625" style="11" customWidth="1"/>
    <col min="7" max="7" width="10.42578125" style="11" customWidth="1"/>
    <col min="8" max="9" width="10" style="11" customWidth="1"/>
    <col min="10" max="10" width="9.7109375" style="11" customWidth="1"/>
    <col min="11" max="11" width="14" style="11" customWidth="1"/>
    <col min="12" max="12" width="2.5703125" style="11" customWidth="1"/>
    <col min="13" max="13" width="7.7109375" style="11" customWidth="1"/>
    <col min="14" max="14" width="8.5703125" style="11" customWidth="1"/>
    <col min="15" max="16384" width="9.140625" style="11"/>
  </cols>
  <sheetData>
    <row r="1" spans="2:14" ht="12" customHeight="1" x14ac:dyDescent="0.25"/>
    <row r="2" spans="2:14" x14ac:dyDescent="0.25">
      <c r="B2" s="11" t="s">
        <v>288</v>
      </c>
    </row>
    <row r="3" spans="2:14" ht="14.25" customHeight="1" x14ac:dyDescent="0.25">
      <c r="B3" s="34" t="s">
        <v>387</v>
      </c>
    </row>
    <row r="4" spans="2:14" ht="13.5" customHeight="1" thickBot="1" x14ac:dyDescent="0.3">
      <c r="B4" s="34"/>
    </row>
    <row r="5" spans="2:14" ht="34.5" customHeight="1" x14ac:dyDescent="0.25">
      <c r="B5" s="817" t="s">
        <v>123</v>
      </c>
      <c r="C5" s="819" t="s">
        <v>445</v>
      </c>
      <c r="D5" s="820"/>
      <c r="E5" s="819" t="s">
        <v>478</v>
      </c>
      <c r="F5" s="820"/>
      <c r="G5" s="819" t="s">
        <v>464</v>
      </c>
      <c r="H5" s="820"/>
      <c r="I5" s="821" t="s">
        <v>468</v>
      </c>
      <c r="J5" s="822"/>
      <c r="K5" s="447" t="s">
        <v>473</v>
      </c>
      <c r="L5" s="610"/>
    </row>
    <row r="6" spans="2:14" ht="22.5" customHeight="1" thickBot="1" x14ac:dyDescent="0.3">
      <c r="B6" s="818"/>
      <c r="C6" s="448" t="s">
        <v>4</v>
      </c>
      <c r="D6" s="449" t="s">
        <v>293</v>
      </c>
      <c r="E6" s="448" t="s">
        <v>4</v>
      </c>
      <c r="F6" s="449" t="s">
        <v>293</v>
      </c>
      <c r="G6" s="448" t="s">
        <v>4</v>
      </c>
      <c r="H6" s="449" t="s">
        <v>293</v>
      </c>
      <c r="I6" s="457" t="s">
        <v>4</v>
      </c>
      <c r="J6" s="459" t="s">
        <v>293</v>
      </c>
      <c r="K6" s="401" t="s">
        <v>4</v>
      </c>
      <c r="L6" s="511"/>
    </row>
    <row r="7" spans="2:14" ht="42" customHeight="1" thickBot="1" x14ac:dyDescent="0.3">
      <c r="B7" s="450" t="s">
        <v>135</v>
      </c>
      <c r="C7" s="50">
        <v>50082</v>
      </c>
      <c r="D7" s="51">
        <v>100</v>
      </c>
      <c r="E7" s="50">
        <v>57249</v>
      </c>
      <c r="F7" s="51">
        <v>100</v>
      </c>
      <c r="G7" s="50">
        <f>SUM(C7,E7)</f>
        <v>107331</v>
      </c>
      <c r="H7" s="51">
        <v>100</v>
      </c>
      <c r="I7" s="186">
        <v>41652</v>
      </c>
      <c r="J7" s="460">
        <v>100</v>
      </c>
      <c r="K7" s="242">
        <f>SUM(I7)-C7</f>
        <v>-8430</v>
      </c>
      <c r="L7" s="607"/>
    </row>
    <row r="8" spans="2:14" ht="30.75" customHeight="1" thickBot="1" x14ac:dyDescent="0.3">
      <c r="B8" s="466" t="s">
        <v>136</v>
      </c>
      <c r="C8" s="467"/>
      <c r="D8" s="467"/>
      <c r="E8" s="467"/>
      <c r="F8" s="467"/>
      <c r="G8" s="467"/>
      <c r="H8" s="467"/>
      <c r="I8" s="467"/>
      <c r="J8" s="467"/>
      <c r="K8" s="468"/>
      <c r="L8" s="608"/>
    </row>
    <row r="9" spans="2:14" ht="24" customHeight="1" x14ac:dyDescent="0.25">
      <c r="B9" s="451" t="s">
        <v>87</v>
      </c>
      <c r="C9" s="43">
        <v>7769</v>
      </c>
      <c r="D9" s="44">
        <f>SUM(C9)/C7*100</f>
        <v>15.51255940257977</v>
      </c>
      <c r="E9" s="43">
        <v>12893</v>
      </c>
      <c r="F9" s="44">
        <f>SUM(E9)/E7*100</f>
        <v>22.520917395937047</v>
      </c>
      <c r="G9" s="43">
        <f>SUM(C9,E9)</f>
        <v>20662</v>
      </c>
      <c r="H9" s="44">
        <f>SUM(G9)/G7*100</f>
        <v>19.250729053116061</v>
      </c>
      <c r="I9" s="127">
        <v>7840</v>
      </c>
      <c r="J9" s="461">
        <f>SUM(I9)/I7*100</f>
        <v>18.822625564198596</v>
      </c>
      <c r="K9" s="45">
        <f>SUM(I9)-C9</f>
        <v>71</v>
      </c>
      <c r="L9" s="512"/>
      <c r="M9" s="388">
        <f>SUM(K9/C9*100)</f>
        <v>0.91388853134251513</v>
      </c>
      <c r="N9" s="521">
        <f>SUM(G9:G10)</f>
        <v>107331</v>
      </c>
    </row>
    <row r="10" spans="2:14" ht="24" customHeight="1" thickBot="1" x14ac:dyDescent="0.3">
      <c r="B10" s="452" t="s">
        <v>88</v>
      </c>
      <c r="C10" s="20">
        <v>42313</v>
      </c>
      <c r="D10" s="33">
        <f>SUM(C10)/C7*100</f>
        <v>84.487440597420232</v>
      </c>
      <c r="E10" s="20">
        <v>44356</v>
      </c>
      <c r="F10" s="33">
        <f>SUM(E10)/E7*100</f>
        <v>77.479082604062953</v>
      </c>
      <c r="G10" s="20">
        <f>SUM(C10,E10)</f>
        <v>86669</v>
      </c>
      <c r="H10" s="33">
        <f>SUM(G10)/G7*100</f>
        <v>80.749270946883939</v>
      </c>
      <c r="I10" s="97">
        <v>33812</v>
      </c>
      <c r="J10" s="462">
        <f>SUM(I10)/I7*100</f>
        <v>81.177374435801397</v>
      </c>
      <c r="K10" s="42">
        <f>SUM(I10)-C10</f>
        <v>-8501</v>
      </c>
      <c r="L10" s="512"/>
      <c r="M10" s="388">
        <f>SUM(K10/C10*100)</f>
        <v>-20.090752251081227</v>
      </c>
      <c r="N10" s="606"/>
    </row>
    <row r="11" spans="2:14" ht="21.75" customHeight="1" thickBot="1" x14ac:dyDescent="0.3">
      <c r="B11" s="523" t="s">
        <v>137</v>
      </c>
      <c r="C11" s="524"/>
      <c r="D11" s="524"/>
      <c r="E11" s="524"/>
      <c r="F11" s="524"/>
      <c r="G11" s="524"/>
      <c r="H11" s="524"/>
      <c r="I11" s="524"/>
      <c r="J11" s="524"/>
      <c r="K11" s="525"/>
      <c r="L11" s="609"/>
      <c r="M11" s="161"/>
      <c r="N11" s="161"/>
    </row>
    <row r="12" spans="2:14" ht="28.5" customHeight="1" x14ac:dyDescent="0.25">
      <c r="B12" s="453" t="s">
        <v>89</v>
      </c>
      <c r="C12" s="46">
        <v>49</v>
      </c>
      <c r="D12" s="47">
        <f>SUM(C12)/C7*100</f>
        <v>9.783954314923525E-2</v>
      </c>
      <c r="E12" s="46">
        <v>38</v>
      </c>
      <c r="F12" s="47">
        <f>SUM(E12)/E7*100</f>
        <v>6.6376705269961048E-2</v>
      </c>
      <c r="G12" s="46">
        <f t="shared" ref="G12:G17" si="0">SUM(C12,E12)</f>
        <v>87</v>
      </c>
      <c r="H12" s="47">
        <f>SUM(G12)/G7*100</f>
        <v>8.1057662744221146E-2</v>
      </c>
      <c r="I12" s="458">
        <v>36</v>
      </c>
      <c r="J12" s="463">
        <f>SUM(I12)/I7*100</f>
        <v>8.6430423509075191E-2</v>
      </c>
      <c r="K12" s="48">
        <f>SUM(I12)-C12</f>
        <v>-13</v>
      </c>
      <c r="L12" s="512"/>
      <c r="M12" s="521">
        <f>SUM(I12:I17)</f>
        <v>3707</v>
      </c>
      <c r="N12" s="521">
        <f>SUM(C12:C17)</f>
        <v>3629</v>
      </c>
    </row>
    <row r="13" spans="2:14" ht="26.25" customHeight="1" x14ac:dyDescent="0.25">
      <c r="B13" s="454" t="s">
        <v>90</v>
      </c>
      <c r="C13" s="13">
        <v>160</v>
      </c>
      <c r="D13" s="32">
        <f>SUM(C13)/C7*100</f>
        <v>0.31947605926280898</v>
      </c>
      <c r="E13" s="13">
        <v>243</v>
      </c>
      <c r="F13" s="32">
        <f>SUM(E13)/E7*100</f>
        <v>0.42446156264738255</v>
      </c>
      <c r="G13" s="13">
        <f t="shared" si="0"/>
        <v>403</v>
      </c>
      <c r="H13" s="32">
        <f>SUM(G13)/G7*100</f>
        <v>0.37547400098759909</v>
      </c>
      <c r="I13" s="96">
        <v>239</v>
      </c>
      <c r="J13" s="464">
        <f>SUM(I13)/I7*100</f>
        <v>0.57380197829636037</v>
      </c>
      <c r="K13" s="39">
        <f>SUM(I13)-C13</f>
        <v>79</v>
      </c>
      <c r="L13" s="512"/>
      <c r="M13" s="388">
        <f>SUM(M12/I7)*100</f>
        <v>8.8999327763372698</v>
      </c>
      <c r="N13" s="388">
        <f>SUM(N12/C7)*100</f>
        <v>7.2461163691545867</v>
      </c>
    </row>
    <row r="14" spans="2:14" ht="27.75" customHeight="1" x14ac:dyDescent="0.25">
      <c r="B14" s="455" t="s">
        <v>91</v>
      </c>
      <c r="C14" s="37">
        <v>2989</v>
      </c>
      <c r="D14" s="38">
        <f>SUM(C14)/C7*100</f>
        <v>5.9682121321033499</v>
      </c>
      <c r="E14" s="37">
        <v>2731</v>
      </c>
      <c r="F14" s="38">
        <f>SUM(E14)/E7*100</f>
        <v>4.77038900242799</v>
      </c>
      <c r="G14" s="37">
        <f t="shared" si="0"/>
        <v>5720</v>
      </c>
      <c r="H14" s="38">
        <f>SUM(G14)/G7*100</f>
        <v>5.3293084011143099</v>
      </c>
      <c r="I14" s="118">
        <v>3008</v>
      </c>
      <c r="J14" s="465">
        <f>SUM(I14)/I7*100</f>
        <v>7.2217420532027274</v>
      </c>
      <c r="K14" s="41">
        <f t="shared" ref="K14:K17" si="1">SUM(I14)-C14</f>
        <v>19</v>
      </c>
      <c r="L14" s="512"/>
      <c r="M14" s="530">
        <f>SUM(J12:J17)</f>
        <v>8.8999327763372698</v>
      </c>
      <c r="N14" s="530">
        <f>SUM(D12:D17)</f>
        <v>7.2461163691545858</v>
      </c>
    </row>
    <row r="15" spans="2:14" ht="30" x14ac:dyDescent="0.25">
      <c r="B15" s="454" t="s">
        <v>100</v>
      </c>
      <c r="C15" s="13">
        <v>0</v>
      </c>
      <c r="D15" s="491">
        <f>SUM(C15)/C7*100</f>
        <v>0</v>
      </c>
      <c r="E15" s="13">
        <v>0</v>
      </c>
      <c r="F15" s="491">
        <f>SUM(E15)/E7*100</f>
        <v>0</v>
      </c>
      <c r="G15" s="13">
        <f t="shared" si="0"/>
        <v>0</v>
      </c>
      <c r="H15" s="491">
        <f>SUM(G15)/G7*100</f>
        <v>0</v>
      </c>
      <c r="I15" s="96">
        <v>0</v>
      </c>
      <c r="J15" s="464">
        <f>SUM(I15)/I7*100</f>
        <v>0</v>
      </c>
      <c r="K15" s="39">
        <f t="shared" si="1"/>
        <v>0</v>
      </c>
      <c r="L15" s="512"/>
    </row>
    <row r="16" spans="2:14" ht="31.5" customHeight="1" x14ac:dyDescent="0.25">
      <c r="B16" s="454" t="s">
        <v>92</v>
      </c>
      <c r="C16" s="13">
        <v>338</v>
      </c>
      <c r="D16" s="32">
        <f>SUM(C16)/C7*100</f>
        <v>0.67489317519268399</v>
      </c>
      <c r="E16" s="13">
        <v>494</v>
      </c>
      <c r="F16" s="32">
        <f>SUM(E16)/E7*100</f>
        <v>0.86289716850949361</v>
      </c>
      <c r="G16" s="13">
        <f t="shared" si="0"/>
        <v>832</v>
      </c>
      <c r="H16" s="32">
        <f>SUM(G16)/G7*100</f>
        <v>0.77517213107117233</v>
      </c>
      <c r="I16" s="96">
        <v>296</v>
      </c>
      <c r="J16" s="464">
        <f>SUM(I16)/I7*100</f>
        <v>0.71065014885239608</v>
      </c>
      <c r="K16" s="39">
        <f t="shared" si="1"/>
        <v>-42</v>
      </c>
      <c r="L16" s="512"/>
    </row>
    <row r="17" spans="2:12" ht="30.75" thickBot="1" x14ac:dyDescent="0.3">
      <c r="B17" s="456" t="s">
        <v>138</v>
      </c>
      <c r="C17" s="20">
        <v>93</v>
      </c>
      <c r="D17" s="33">
        <f>SUM(C17)/C7*100</f>
        <v>0.18569545944650773</v>
      </c>
      <c r="E17" s="20">
        <v>400</v>
      </c>
      <c r="F17" s="33">
        <f>SUM(E17)/E7*100</f>
        <v>0.6987021607364321</v>
      </c>
      <c r="G17" s="20">
        <f t="shared" si="0"/>
        <v>493</v>
      </c>
      <c r="H17" s="33">
        <f>SUM(G17)/G7*100</f>
        <v>0.4593267555505865</v>
      </c>
      <c r="I17" s="97">
        <v>128</v>
      </c>
      <c r="J17" s="462">
        <f>SUM(I17)/I7*100</f>
        <v>0.30730817247671177</v>
      </c>
      <c r="K17" s="42">
        <f t="shared" si="1"/>
        <v>35</v>
      </c>
      <c r="L17" s="512"/>
    </row>
    <row r="19" spans="2:12" x14ac:dyDescent="0.25">
      <c r="C19" s="521">
        <f>SUM(C9:C10)</f>
        <v>50082</v>
      </c>
      <c r="E19" s="521">
        <f>SUM(E9:E10)</f>
        <v>57249</v>
      </c>
    </row>
    <row r="20" spans="2:12" x14ac:dyDescent="0.25">
      <c r="C20" s="56"/>
      <c r="E20" s="56"/>
      <c r="F20" s="386"/>
      <c r="G20" s="386"/>
      <c r="H20" s="386"/>
      <c r="I20" s="386"/>
      <c r="J20" s="386"/>
    </row>
    <row r="21" spans="2:12" x14ac:dyDescent="0.25">
      <c r="D21" s="56"/>
    </row>
    <row r="22" spans="2:12" x14ac:dyDescent="0.25">
      <c r="E22" s="56"/>
      <c r="F22" s="386"/>
      <c r="G22" s="386"/>
      <c r="H22" s="386"/>
      <c r="I22" s="386"/>
      <c r="J22" s="386"/>
    </row>
  </sheetData>
  <mergeCells count="5">
    <mergeCell ref="B5:B6"/>
    <mergeCell ref="E5:F5"/>
    <mergeCell ref="C5:D5"/>
    <mergeCell ref="I5:J5"/>
    <mergeCell ref="G5:H5"/>
  </mergeCells>
  <printOptions horizontalCentered="1"/>
  <pageMargins left="0" right="0" top="1.3779527559055118" bottom="0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H36"/>
  <sheetViews>
    <sheetView workbookViewId="0">
      <selection activeCell="B1" sqref="B1"/>
    </sheetView>
  </sheetViews>
  <sheetFormatPr defaultColWidth="9.140625" defaultRowHeight="15" x14ac:dyDescent="0.25"/>
  <cols>
    <col min="1" max="1" width="2.28515625" style="2" customWidth="1"/>
    <col min="2" max="2" width="21.140625" style="2" customWidth="1"/>
    <col min="3" max="3" width="11.5703125" style="2" customWidth="1"/>
    <col min="4" max="4" width="11.85546875" style="2" customWidth="1"/>
    <col min="5" max="5" width="12.42578125" style="2" customWidth="1"/>
    <col min="6" max="6" width="12" style="2" customWidth="1"/>
    <col min="7" max="7" width="10.85546875" style="2" customWidth="1"/>
    <col min="8" max="8" width="11.85546875" style="2" customWidth="1"/>
    <col min="9" max="9" width="13.140625" style="2" customWidth="1"/>
    <col min="10" max="10" width="9.140625" style="2" customWidth="1"/>
    <col min="11" max="11" width="10.28515625" style="2" customWidth="1"/>
    <col min="12" max="16384" width="9.140625" style="2"/>
  </cols>
  <sheetData>
    <row r="1" spans="2:8" ht="11.25" customHeight="1" x14ac:dyDescent="0.3"/>
    <row r="2" spans="2:8" x14ac:dyDescent="0.25">
      <c r="B2" s="11" t="s">
        <v>287</v>
      </c>
      <c r="C2" s="11"/>
      <c r="D2" s="11"/>
      <c r="E2" s="11"/>
      <c r="F2" s="11"/>
      <c r="G2" s="11"/>
      <c r="H2" s="11"/>
    </row>
    <row r="3" spans="2:8" x14ac:dyDescent="0.25">
      <c r="B3" s="11" t="s">
        <v>388</v>
      </c>
      <c r="C3" s="11"/>
      <c r="D3" s="11"/>
      <c r="E3" s="11"/>
      <c r="F3" s="11"/>
      <c r="G3" s="11"/>
      <c r="H3" s="11"/>
    </row>
    <row r="4" spans="2:8" ht="6" customHeight="1" thickBot="1" x14ac:dyDescent="0.35">
      <c r="B4" s="11"/>
      <c r="C4" s="11"/>
      <c r="D4" s="11"/>
      <c r="E4" s="11"/>
      <c r="F4" s="11"/>
      <c r="G4" s="11"/>
      <c r="H4" s="11"/>
    </row>
    <row r="5" spans="2:8" ht="15.75" thickBot="1" x14ac:dyDescent="0.3">
      <c r="B5" s="823" t="s">
        <v>129</v>
      </c>
      <c r="C5" s="812" t="s">
        <v>139</v>
      </c>
      <c r="D5" s="813"/>
      <c r="E5" s="813"/>
      <c r="F5" s="813"/>
      <c r="G5" s="813"/>
      <c r="H5" s="814"/>
    </row>
    <row r="6" spans="2:8" ht="31.5" customHeight="1" x14ac:dyDescent="0.25">
      <c r="B6" s="824"/>
      <c r="C6" s="828" t="s">
        <v>441</v>
      </c>
      <c r="D6" s="826" t="s">
        <v>465</v>
      </c>
      <c r="E6" s="836" t="s">
        <v>464</v>
      </c>
      <c r="F6" s="823" t="s">
        <v>466</v>
      </c>
      <c r="G6" s="830" t="s">
        <v>467</v>
      </c>
      <c r="H6" s="831"/>
    </row>
    <row r="7" spans="2:8" ht="35.25" customHeight="1" x14ac:dyDescent="0.25">
      <c r="B7" s="824"/>
      <c r="C7" s="829"/>
      <c r="D7" s="827"/>
      <c r="E7" s="837"/>
      <c r="F7" s="824"/>
      <c r="G7" s="832" t="s">
        <v>125</v>
      </c>
      <c r="H7" s="834" t="s">
        <v>128</v>
      </c>
    </row>
    <row r="8" spans="2:8" ht="10.5" customHeight="1" thickBot="1" x14ac:dyDescent="0.3">
      <c r="B8" s="825"/>
      <c r="C8" s="829"/>
      <c r="D8" s="827"/>
      <c r="E8" s="837"/>
      <c r="F8" s="825"/>
      <c r="G8" s="833"/>
      <c r="H8" s="835"/>
    </row>
    <row r="9" spans="2:8" ht="21" customHeight="1" thickBot="1" x14ac:dyDescent="0.3">
      <c r="B9" s="183" t="s">
        <v>26</v>
      </c>
      <c r="C9" s="87">
        <f>SUM(C10:C34)</f>
        <v>50082</v>
      </c>
      <c r="D9" s="311">
        <f>SUM(D10:D34)</f>
        <v>49338</v>
      </c>
      <c r="E9" s="688">
        <f>SUM(C9:D9)</f>
        <v>99420</v>
      </c>
      <c r="F9" s="689">
        <f>SUM(F10:F34)</f>
        <v>41652</v>
      </c>
      <c r="G9" s="690">
        <f>SUM(F9)-C9</f>
        <v>-8430</v>
      </c>
      <c r="H9" s="312">
        <f t="shared" ref="H9:H34" si="0">SUM(G9)/C9*100</f>
        <v>-16.83239487240925</v>
      </c>
    </row>
    <row r="10" spans="2:8" ht="18" customHeight="1" x14ac:dyDescent="0.25">
      <c r="B10" s="207" t="s">
        <v>27</v>
      </c>
      <c r="C10" s="211">
        <v>668</v>
      </c>
      <c r="D10" s="212">
        <v>617</v>
      </c>
      <c r="E10" s="685">
        <f t="shared" ref="E10:E34" si="1">SUM(C10:D10)</f>
        <v>1285</v>
      </c>
      <c r="F10" s="686">
        <v>557</v>
      </c>
      <c r="G10" s="687">
        <f t="shared" ref="G10:G34" si="2">SUM(F10)-C10</f>
        <v>-111</v>
      </c>
      <c r="H10" s="62">
        <f t="shared" si="0"/>
        <v>-16.616766467065869</v>
      </c>
    </row>
    <row r="11" spans="2:8" ht="15.75" customHeight="1" x14ac:dyDescent="0.25">
      <c r="B11" s="208" t="s">
        <v>28</v>
      </c>
      <c r="C11" s="58">
        <v>2031</v>
      </c>
      <c r="D11" s="9">
        <v>2081</v>
      </c>
      <c r="E11" s="469">
        <f t="shared" si="1"/>
        <v>4112</v>
      </c>
      <c r="F11" s="474">
        <v>1691</v>
      </c>
      <c r="G11" s="6">
        <f t="shared" si="2"/>
        <v>-340</v>
      </c>
      <c r="H11" s="7">
        <f t="shared" si="0"/>
        <v>-16.740521910388971</v>
      </c>
    </row>
    <row r="12" spans="2:8" x14ac:dyDescent="0.25">
      <c r="B12" s="208" t="s">
        <v>29</v>
      </c>
      <c r="C12" s="58">
        <v>2830</v>
      </c>
      <c r="D12" s="9">
        <v>2521</v>
      </c>
      <c r="E12" s="469">
        <f t="shared" si="1"/>
        <v>5351</v>
      </c>
      <c r="F12" s="474">
        <v>1968</v>
      </c>
      <c r="G12" s="6">
        <f t="shared" si="2"/>
        <v>-862</v>
      </c>
      <c r="H12" s="7">
        <f t="shared" si="0"/>
        <v>-30.459363957597173</v>
      </c>
    </row>
    <row r="13" spans="2:8" x14ac:dyDescent="0.25">
      <c r="B13" s="208" t="s">
        <v>30</v>
      </c>
      <c r="C13" s="58">
        <v>3208</v>
      </c>
      <c r="D13" s="9">
        <v>2995</v>
      </c>
      <c r="E13" s="469">
        <f t="shared" si="1"/>
        <v>6203</v>
      </c>
      <c r="F13" s="474">
        <v>2761</v>
      </c>
      <c r="G13" s="6">
        <f t="shared" si="2"/>
        <v>-447</v>
      </c>
      <c r="H13" s="7">
        <f t="shared" si="0"/>
        <v>-13.933915211970074</v>
      </c>
    </row>
    <row r="14" spans="2:8" x14ac:dyDescent="0.25">
      <c r="B14" s="208" t="s">
        <v>31</v>
      </c>
      <c r="C14" s="58">
        <v>2598</v>
      </c>
      <c r="D14" s="9">
        <v>2581</v>
      </c>
      <c r="E14" s="469">
        <f t="shared" si="1"/>
        <v>5179</v>
      </c>
      <c r="F14" s="474">
        <v>2222</v>
      </c>
      <c r="G14" s="6">
        <f t="shared" si="2"/>
        <v>-376</v>
      </c>
      <c r="H14" s="7">
        <f t="shared" si="0"/>
        <v>-14.47267128560431</v>
      </c>
    </row>
    <row r="15" spans="2:8" x14ac:dyDescent="0.25">
      <c r="B15" s="208" t="s">
        <v>32</v>
      </c>
      <c r="C15" s="58">
        <v>1372</v>
      </c>
      <c r="D15" s="9">
        <v>1426</v>
      </c>
      <c r="E15" s="469">
        <f t="shared" si="1"/>
        <v>2798</v>
      </c>
      <c r="F15" s="474">
        <v>1311</v>
      </c>
      <c r="G15" s="6">
        <f t="shared" si="2"/>
        <v>-61</v>
      </c>
      <c r="H15" s="7">
        <f t="shared" si="0"/>
        <v>-4.4460641399416909</v>
      </c>
    </row>
    <row r="16" spans="2:8" x14ac:dyDescent="0.25">
      <c r="B16" s="208" t="s">
        <v>33</v>
      </c>
      <c r="C16" s="58">
        <v>1988</v>
      </c>
      <c r="D16" s="9">
        <v>1957</v>
      </c>
      <c r="E16" s="469">
        <f t="shared" si="1"/>
        <v>3945</v>
      </c>
      <c r="F16" s="474">
        <v>1639</v>
      </c>
      <c r="G16" s="6">
        <f t="shared" si="2"/>
        <v>-349</v>
      </c>
      <c r="H16" s="7">
        <f t="shared" si="0"/>
        <v>-17.555331991951711</v>
      </c>
    </row>
    <row r="17" spans="2:8" x14ac:dyDescent="0.25">
      <c r="B17" s="208" t="s">
        <v>34</v>
      </c>
      <c r="C17" s="58">
        <v>889</v>
      </c>
      <c r="D17" s="9">
        <v>1001</v>
      </c>
      <c r="E17" s="469">
        <f t="shared" si="1"/>
        <v>1890</v>
      </c>
      <c r="F17" s="474">
        <v>697</v>
      </c>
      <c r="G17" s="6">
        <f t="shared" si="2"/>
        <v>-192</v>
      </c>
      <c r="H17" s="7">
        <f t="shared" si="0"/>
        <v>-21.597300337457817</v>
      </c>
    </row>
    <row r="18" spans="2:8" x14ac:dyDescent="0.25">
      <c r="B18" s="208" t="s">
        <v>35</v>
      </c>
      <c r="C18" s="58">
        <v>2114</v>
      </c>
      <c r="D18" s="9">
        <v>2123</v>
      </c>
      <c r="E18" s="469">
        <f t="shared" si="1"/>
        <v>4237</v>
      </c>
      <c r="F18" s="474">
        <v>1950</v>
      </c>
      <c r="G18" s="6">
        <f t="shared" si="2"/>
        <v>-164</v>
      </c>
      <c r="H18" s="7">
        <f t="shared" si="0"/>
        <v>-7.7578051087984861</v>
      </c>
    </row>
    <row r="19" spans="2:8" x14ac:dyDescent="0.25">
      <c r="B19" s="208" t="s">
        <v>36</v>
      </c>
      <c r="C19" s="58">
        <v>1394</v>
      </c>
      <c r="D19" s="9">
        <v>1486</v>
      </c>
      <c r="E19" s="469">
        <f t="shared" si="1"/>
        <v>2880</v>
      </c>
      <c r="F19" s="474">
        <v>1137</v>
      </c>
      <c r="G19" s="6">
        <f t="shared" si="2"/>
        <v>-257</v>
      </c>
      <c r="H19" s="7">
        <f t="shared" si="0"/>
        <v>-18.436154949784793</v>
      </c>
    </row>
    <row r="20" spans="2:8" x14ac:dyDescent="0.25">
      <c r="B20" s="208" t="s">
        <v>37</v>
      </c>
      <c r="C20" s="58">
        <v>2175</v>
      </c>
      <c r="D20" s="9">
        <v>1964</v>
      </c>
      <c r="E20" s="469">
        <f t="shared" si="1"/>
        <v>4139</v>
      </c>
      <c r="F20" s="474">
        <v>1654</v>
      </c>
      <c r="G20" s="6">
        <f t="shared" si="2"/>
        <v>-521</v>
      </c>
      <c r="H20" s="7">
        <f t="shared" si="0"/>
        <v>-23.954022988505745</v>
      </c>
    </row>
    <row r="21" spans="2:8" x14ac:dyDescent="0.25">
      <c r="B21" s="208" t="s">
        <v>38</v>
      </c>
      <c r="C21" s="58">
        <v>3152</v>
      </c>
      <c r="D21" s="9">
        <v>3280</v>
      </c>
      <c r="E21" s="469">
        <f t="shared" si="1"/>
        <v>6432</v>
      </c>
      <c r="F21" s="474">
        <v>2692</v>
      </c>
      <c r="G21" s="6">
        <f t="shared" si="2"/>
        <v>-460</v>
      </c>
      <c r="H21" s="7">
        <f t="shared" si="0"/>
        <v>-14.593908629441623</v>
      </c>
    </row>
    <row r="22" spans="2:8" x14ac:dyDescent="0.25">
      <c r="B22" s="208" t="s">
        <v>39</v>
      </c>
      <c r="C22" s="58">
        <v>1924</v>
      </c>
      <c r="D22" s="9">
        <v>1864</v>
      </c>
      <c r="E22" s="469">
        <f t="shared" si="1"/>
        <v>3788</v>
      </c>
      <c r="F22" s="474">
        <v>1597</v>
      </c>
      <c r="G22" s="6">
        <f t="shared" si="2"/>
        <v>-327</v>
      </c>
      <c r="H22" s="7">
        <f t="shared" si="0"/>
        <v>-16.995841995841996</v>
      </c>
    </row>
    <row r="23" spans="2:8" x14ac:dyDescent="0.25">
      <c r="B23" s="209" t="s">
        <v>40</v>
      </c>
      <c r="C23" s="59">
        <v>1863</v>
      </c>
      <c r="D23" s="470">
        <v>1838</v>
      </c>
      <c r="E23" s="471">
        <f t="shared" si="1"/>
        <v>3701</v>
      </c>
      <c r="F23" s="475">
        <v>1505</v>
      </c>
      <c r="G23" s="6">
        <f t="shared" si="2"/>
        <v>-358</v>
      </c>
      <c r="H23" s="7">
        <f t="shared" si="0"/>
        <v>-19.216317767042405</v>
      </c>
    </row>
    <row r="24" spans="2:8" x14ac:dyDescent="0.25">
      <c r="B24" s="209" t="s">
        <v>41</v>
      </c>
      <c r="C24" s="59">
        <v>2238</v>
      </c>
      <c r="D24" s="470">
        <v>2424</v>
      </c>
      <c r="E24" s="471">
        <f t="shared" si="1"/>
        <v>4662</v>
      </c>
      <c r="F24" s="475">
        <v>2135</v>
      </c>
      <c r="G24" s="6">
        <f t="shared" si="2"/>
        <v>-103</v>
      </c>
      <c r="H24" s="7">
        <f t="shared" si="0"/>
        <v>-4.6023235031277929</v>
      </c>
    </row>
    <row r="25" spans="2:8" x14ac:dyDescent="0.25">
      <c r="B25" s="209" t="s">
        <v>42</v>
      </c>
      <c r="C25" s="59">
        <v>2328</v>
      </c>
      <c r="D25" s="470">
        <v>2268</v>
      </c>
      <c r="E25" s="471">
        <f t="shared" si="1"/>
        <v>4596</v>
      </c>
      <c r="F25" s="475">
        <v>1876</v>
      </c>
      <c r="G25" s="6">
        <f t="shared" si="2"/>
        <v>-452</v>
      </c>
      <c r="H25" s="7">
        <f t="shared" si="0"/>
        <v>-19.415807560137459</v>
      </c>
    </row>
    <row r="26" spans="2:8" x14ac:dyDescent="0.25">
      <c r="B26" s="209" t="s">
        <v>43</v>
      </c>
      <c r="C26" s="59">
        <v>3171</v>
      </c>
      <c r="D26" s="470">
        <v>3085</v>
      </c>
      <c r="E26" s="471">
        <f t="shared" si="1"/>
        <v>6256</v>
      </c>
      <c r="F26" s="475">
        <v>2563</v>
      </c>
      <c r="G26" s="6">
        <f t="shared" si="2"/>
        <v>-608</v>
      </c>
      <c r="H26" s="7">
        <f t="shared" si="0"/>
        <v>-19.173762220119837</v>
      </c>
    </row>
    <row r="27" spans="2:8" x14ac:dyDescent="0.25">
      <c r="B27" s="209" t="s">
        <v>44</v>
      </c>
      <c r="C27" s="59">
        <v>1933</v>
      </c>
      <c r="D27" s="470">
        <v>1872</v>
      </c>
      <c r="E27" s="471">
        <f t="shared" si="1"/>
        <v>3805</v>
      </c>
      <c r="F27" s="475">
        <v>1470</v>
      </c>
      <c r="G27" s="6">
        <f t="shared" si="2"/>
        <v>-463</v>
      </c>
      <c r="H27" s="7">
        <f t="shared" si="0"/>
        <v>-23.952405587170205</v>
      </c>
    </row>
    <row r="28" spans="2:8" x14ac:dyDescent="0.25">
      <c r="B28" s="209" t="s">
        <v>45</v>
      </c>
      <c r="C28" s="59">
        <v>2243</v>
      </c>
      <c r="D28" s="470">
        <v>2286</v>
      </c>
      <c r="E28" s="471">
        <f t="shared" si="1"/>
        <v>4529</v>
      </c>
      <c r="F28" s="475">
        <v>1828</v>
      </c>
      <c r="G28" s="6">
        <f t="shared" si="2"/>
        <v>-415</v>
      </c>
      <c r="H28" s="7">
        <f t="shared" si="0"/>
        <v>-18.502006241640657</v>
      </c>
    </row>
    <row r="29" spans="2:8" x14ac:dyDescent="0.25">
      <c r="B29" s="209" t="s">
        <v>46</v>
      </c>
      <c r="C29" s="59">
        <v>2069</v>
      </c>
      <c r="D29" s="470">
        <v>2097</v>
      </c>
      <c r="E29" s="471">
        <f t="shared" si="1"/>
        <v>4166</v>
      </c>
      <c r="F29" s="475">
        <v>1689</v>
      </c>
      <c r="G29" s="6">
        <f t="shared" si="2"/>
        <v>-380</v>
      </c>
      <c r="H29" s="7">
        <f t="shared" si="0"/>
        <v>-18.36636056065732</v>
      </c>
    </row>
    <row r="30" spans="2:8" x14ac:dyDescent="0.25">
      <c r="B30" s="209" t="s">
        <v>47</v>
      </c>
      <c r="C30" s="59">
        <v>1159</v>
      </c>
      <c r="D30" s="470">
        <v>1130</v>
      </c>
      <c r="E30" s="471">
        <f t="shared" si="1"/>
        <v>2289</v>
      </c>
      <c r="F30" s="475">
        <v>980</v>
      </c>
      <c r="G30" s="6">
        <f t="shared" si="2"/>
        <v>-179</v>
      </c>
      <c r="H30" s="7">
        <f t="shared" si="0"/>
        <v>-15.44434857635893</v>
      </c>
    </row>
    <row r="31" spans="2:8" x14ac:dyDescent="0.25">
      <c r="B31" s="209" t="s">
        <v>48</v>
      </c>
      <c r="C31" s="59">
        <v>821</v>
      </c>
      <c r="D31" s="470">
        <v>714</v>
      </c>
      <c r="E31" s="471">
        <f t="shared" si="1"/>
        <v>1535</v>
      </c>
      <c r="F31" s="475">
        <v>619</v>
      </c>
      <c r="G31" s="6">
        <f t="shared" si="2"/>
        <v>-202</v>
      </c>
      <c r="H31" s="7">
        <f t="shared" si="0"/>
        <v>-24.604141291108405</v>
      </c>
    </row>
    <row r="32" spans="2:8" x14ac:dyDescent="0.25">
      <c r="B32" s="209" t="s">
        <v>49</v>
      </c>
      <c r="C32" s="59">
        <v>1449</v>
      </c>
      <c r="D32" s="470">
        <v>1311</v>
      </c>
      <c r="E32" s="471">
        <f t="shared" si="1"/>
        <v>2760</v>
      </c>
      <c r="F32" s="475">
        <v>1176</v>
      </c>
      <c r="G32" s="6">
        <f t="shared" si="2"/>
        <v>-273</v>
      </c>
      <c r="H32" s="7">
        <f t="shared" si="0"/>
        <v>-18.840579710144929</v>
      </c>
    </row>
    <row r="33" spans="2:8" x14ac:dyDescent="0.25">
      <c r="B33" s="209" t="s">
        <v>50</v>
      </c>
      <c r="C33" s="59">
        <v>3419</v>
      </c>
      <c r="D33" s="470">
        <v>3494</v>
      </c>
      <c r="E33" s="471">
        <f t="shared" si="1"/>
        <v>6913</v>
      </c>
      <c r="F33" s="475">
        <v>2968</v>
      </c>
      <c r="G33" s="6">
        <f t="shared" si="2"/>
        <v>-451</v>
      </c>
      <c r="H33" s="7">
        <f t="shared" si="0"/>
        <v>-13.190991517987715</v>
      </c>
    </row>
    <row r="34" spans="2:8" ht="15.75" thickBot="1" x14ac:dyDescent="0.3">
      <c r="B34" s="210" t="s">
        <v>51</v>
      </c>
      <c r="C34" s="60">
        <v>1046</v>
      </c>
      <c r="D34" s="472">
        <v>923</v>
      </c>
      <c r="E34" s="473">
        <f t="shared" si="1"/>
        <v>1969</v>
      </c>
      <c r="F34" s="476">
        <v>967</v>
      </c>
      <c r="G34" s="4">
        <f t="shared" si="2"/>
        <v>-79</v>
      </c>
      <c r="H34" s="8">
        <f t="shared" si="0"/>
        <v>-7.5525812619502863</v>
      </c>
    </row>
    <row r="35" spans="2:8" x14ac:dyDescent="0.25">
      <c r="D35" s="64"/>
      <c r="E35" s="64"/>
      <c r="F35" s="64"/>
    </row>
    <row r="36" spans="2:8" x14ac:dyDescent="0.25">
      <c r="E36" s="513">
        <f>SUM(E10:E34)</f>
        <v>99420</v>
      </c>
    </row>
  </sheetData>
  <mergeCells count="9">
    <mergeCell ref="B5:B8"/>
    <mergeCell ref="C5:H5"/>
    <mergeCell ref="D6:D8"/>
    <mergeCell ref="C6:C8"/>
    <mergeCell ref="G6:H6"/>
    <mergeCell ref="G7:G8"/>
    <mergeCell ref="H7:H8"/>
    <mergeCell ref="E6:E8"/>
    <mergeCell ref="F6:F8"/>
  </mergeCells>
  <printOptions horizontalCentered="1" verticalCentered="1"/>
  <pageMargins left="3.937007874015748E-2" right="3.937007874015748E-2" top="3.937007874015748E-2" bottom="3.937007874015748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1:I44"/>
  <sheetViews>
    <sheetView zoomScaleNormal="10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60.28515625" style="11" customWidth="1"/>
    <col min="3" max="3" width="10.28515625" style="11" customWidth="1"/>
    <col min="4" max="4" width="9.140625" style="11" customWidth="1"/>
    <col min="5" max="5" width="11" style="11" customWidth="1"/>
    <col min="6" max="6" width="8.7109375" style="11" customWidth="1"/>
    <col min="7" max="7" width="13.5703125" style="11" customWidth="1"/>
    <col min="8" max="8" width="9.140625" style="11"/>
    <col min="9" max="9" width="10.28515625" style="11" customWidth="1"/>
    <col min="10" max="16384" width="9.140625" style="11"/>
  </cols>
  <sheetData>
    <row r="1" spans="2:9" ht="9.75" customHeight="1" x14ac:dyDescent="0.25"/>
    <row r="2" spans="2:9" x14ac:dyDescent="0.25">
      <c r="B2" s="11" t="s">
        <v>286</v>
      </c>
    </row>
    <row r="3" spans="2:9" ht="15.75" thickBot="1" x14ac:dyDescent="0.3">
      <c r="B3" s="11" t="s">
        <v>389</v>
      </c>
    </row>
    <row r="4" spans="2:9" x14ac:dyDescent="0.25">
      <c r="B4" s="801" t="s">
        <v>123</v>
      </c>
      <c r="C4" s="817" t="s">
        <v>445</v>
      </c>
      <c r="D4" s="840"/>
      <c r="E4" s="817" t="s">
        <v>468</v>
      </c>
      <c r="F4" s="840"/>
      <c r="G4" s="801" t="s">
        <v>130</v>
      </c>
    </row>
    <row r="5" spans="2:9" x14ac:dyDescent="0.25">
      <c r="B5" s="838"/>
      <c r="C5" s="841"/>
      <c r="D5" s="842"/>
      <c r="E5" s="841"/>
      <c r="F5" s="842"/>
      <c r="G5" s="843"/>
    </row>
    <row r="6" spans="2:9" ht="43.5" customHeight="1" thickBot="1" x14ac:dyDescent="0.3">
      <c r="B6" s="839"/>
      <c r="C6" s="398" t="s">
        <v>4</v>
      </c>
      <c r="D6" s="395" t="s">
        <v>128</v>
      </c>
      <c r="E6" s="398" t="s">
        <v>4</v>
      </c>
      <c r="F6" s="395" t="s">
        <v>128</v>
      </c>
      <c r="G6" s="401" t="s">
        <v>4</v>
      </c>
    </row>
    <row r="7" spans="2:9" ht="30" customHeight="1" thickBot="1" x14ac:dyDescent="0.3">
      <c r="B7" s="29" t="s">
        <v>140</v>
      </c>
      <c r="C7" s="92">
        <v>39378</v>
      </c>
      <c r="D7" s="93">
        <v>100</v>
      </c>
      <c r="E7" s="92">
        <v>48034</v>
      </c>
      <c r="F7" s="93">
        <v>100</v>
      </c>
      <c r="G7" s="94">
        <f>SUM(E7)-C7</f>
        <v>8656</v>
      </c>
    </row>
    <row r="8" spans="2:9" ht="30.75" customHeight="1" thickBot="1" x14ac:dyDescent="0.3">
      <c r="B8" s="49" t="s">
        <v>141</v>
      </c>
      <c r="C8" s="50">
        <f>SUM(C9)+C26</f>
        <v>36129</v>
      </c>
      <c r="D8" s="335">
        <f>SUM(C8)/C7*100</f>
        <v>91.749200060947729</v>
      </c>
      <c r="E8" s="50">
        <f>SUM(E9)+E26</f>
        <v>43073</v>
      </c>
      <c r="F8" s="335">
        <f>SUM(E8)/E7*100</f>
        <v>89.671899071491026</v>
      </c>
      <c r="G8" s="242">
        <f>SUM(E8)-C8</f>
        <v>6944</v>
      </c>
    </row>
    <row r="9" spans="2:9" ht="22.5" customHeight="1" x14ac:dyDescent="0.25">
      <c r="B9" s="420" t="s">
        <v>142</v>
      </c>
      <c r="C9" s="421">
        <f>SUM(C11:C12)</f>
        <v>23952</v>
      </c>
      <c r="D9" s="422">
        <f>SUM(C9)/C7*100</f>
        <v>60.825841840621663</v>
      </c>
      <c r="E9" s="421">
        <f>SUM(E11:E12)</f>
        <v>30852</v>
      </c>
      <c r="F9" s="422">
        <f>SUM(E9)/E7*100</f>
        <v>64.229504101261597</v>
      </c>
      <c r="G9" s="423">
        <f>SUM(E9)-C9</f>
        <v>6900</v>
      </c>
    </row>
    <row r="10" spans="2:9" ht="17.25" customHeight="1" x14ac:dyDescent="0.25">
      <c r="B10" s="65" t="s">
        <v>1</v>
      </c>
      <c r="C10" s="66"/>
      <c r="D10" s="67"/>
      <c r="E10" s="66"/>
      <c r="F10" s="67"/>
      <c r="G10" s="88"/>
    </row>
    <row r="11" spans="2:9" ht="24" customHeight="1" x14ac:dyDescent="0.25">
      <c r="B11" s="424" t="s">
        <v>143</v>
      </c>
      <c r="C11" s="406">
        <v>20380</v>
      </c>
      <c r="D11" s="407">
        <f>SUM(C11)/C7*100</f>
        <v>51.7547869368683</v>
      </c>
      <c r="E11" s="406">
        <v>25180</v>
      </c>
      <c r="F11" s="407">
        <f>SUM(E11)/E7*100</f>
        <v>52.421201648832074</v>
      </c>
      <c r="G11" s="408">
        <f>SUM(E11)-C11</f>
        <v>4800</v>
      </c>
      <c r="H11" s="56"/>
      <c r="I11" s="56"/>
    </row>
    <row r="12" spans="2:9" ht="22.5" customHeight="1" thickBot="1" x14ac:dyDescent="0.3">
      <c r="B12" s="425" t="s">
        <v>144</v>
      </c>
      <c r="C12" s="426">
        <v>3572</v>
      </c>
      <c r="D12" s="427">
        <f>SUM(C12)/C7*100</f>
        <v>9.0710549037533639</v>
      </c>
      <c r="E12" s="426">
        <v>5672</v>
      </c>
      <c r="F12" s="427">
        <f>SUM(E12)/E7*100</f>
        <v>11.80830245242953</v>
      </c>
      <c r="G12" s="428">
        <f>SUM(E12)-C12</f>
        <v>2100</v>
      </c>
      <c r="H12" s="388"/>
      <c r="I12" s="56"/>
    </row>
    <row r="13" spans="2:9" ht="26.25" customHeight="1" thickTop="1" x14ac:dyDescent="0.25">
      <c r="B13" s="429" t="s">
        <v>145</v>
      </c>
      <c r="C13" s="430"/>
      <c r="D13" s="431"/>
      <c r="E13" s="430"/>
      <c r="F13" s="431"/>
      <c r="G13" s="432"/>
      <c r="I13" s="388"/>
    </row>
    <row r="14" spans="2:9" ht="26.25" customHeight="1" x14ac:dyDescent="0.25">
      <c r="B14" s="81" t="s">
        <v>146</v>
      </c>
      <c r="C14" s="37">
        <v>1384</v>
      </c>
      <c r="D14" s="76">
        <f>SUM(C14)/C7*100</f>
        <v>3.5146528518462081</v>
      </c>
      <c r="E14" s="37">
        <v>1999</v>
      </c>
      <c r="F14" s="76">
        <f>SUM(E14)/E7*100</f>
        <v>4.1616355081817051</v>
      </c>
      <c r="G14" s="41">
        <f t="shared" ref="G14:G44" si="0">SUM(E14)-C14</f>
        <v>615</v>
      </c>
    </row>
    <row r="15" spans="2:9" ht="26.25" customHeight="1" x14ac:dyDescent="0.25">
      <c r="B15" s="68" t="s">
        <v>147</v>
      </c>
      <c r="C15" s="13">
        <v>668</v>
      </c>
      <c r="D15" s="69">
        <f>SUM(C15)/C7*100</f>
        <v>1.696378688607852</v>
      </c>
      <c r="E15" s="13">
        <v>1149</v>
      </c>
      <c r="F15" s="69">
        <f>SUM(E15)/E7*100</f>
        <v>2.3920556272640212</v>
      </c>
      <c r="G15" s="39">
        <f t="shared" si="0"/>
        <v>481</v>
      </c>
    </row>
    <row r="16" spans="2:9" ht="28.5" customHeight="1" x14ac:dyDescent="0.25">
      <c r="B16" s="68" t="s">
        <v>148</v>
      </c>
      <c r="C16" s="13">
        <v>441</v>
      </c>
      <c r="D16" s="69">
        <f>SUM(C16)/C7*100</f>
        <v>1.1199146731677587</v>
      </c>
      <c r="E16" s="13">
        <v>1041</v>
      </c>
      <c r="F16" s="69">
        <f>SUM(E16)/E7*100</f>
        <v>2.1672148894533039</v>
      </c>
      <c r="G16" s="39">
        <f t="shared" si="0"/>
        <v>600</v>
      </c>
    </row>
    <row r="17" spans="2:7" ht="27" customHeight="1" x14ac:dyDescent="0.25">
      <c r="B17" s="433" t="s">
        <v>149</v>
      </c>
      <c r="C17" s="13">
        <v>8</v>
      </c>
      <c r="D17" s="69">
        <f>SUM(C17)/C7*100</f>
        <v>2.0315912438417391E-2</v>
      </c>
      <c r="E17" s="70">
        <v>18</v>
      </c>
      <c r="F17" s="71">
        <f>SUM(E17)/E7*100</f>
        <v>3.7473456301786237E-2</v>
      </c>
      <c r="G17" s="89">
        <f t="shared" si="0"/>
        <v>10</v>
      </c>
    </row>
    <row r="18" spans="2:7" ht="30" x14ac:dyDescent="0.25">
      <c r="B18" s="68" t="s">
        <v>93</v>
      </c>
      <c r="C18" s="13">
        <v>542</v>
      </c>
      <c r="D18" s="69">
        <f>SUM(C18)/C7*100</f>
        <v>1.3764030677027783</v>
      </c>
      <c r="E18" s="13">
        <v>835</v>
      </c>
      <c r="F18" s="69">
        <f>SUM(E18)/E7*100</f>
        <v>1.7383520006661948</v>
      </c>
      <c r="G18" s="39">
        <f t="shared" si="0"/>
        <v>293</v>
      </c>
    </row>
    <row r="19" spans="2:7" ht="34.5" customHeight="1" x14ac:dyDescent="0.25">
      <c r="B19" s="68" t="s">
        <v>101</v>
      </c>
      <c r="C19" s="13">
        <v>374</v>
      </c>
      <c r="D19" s="69">
        <f>SUM(C19)/C7*100</f>
        <v>0.94976890649601298</v>
      </c>
      <c r="E19" s="70">
        <v>393</v>
      </c>
      <c r="F19" s="71">
        <f>SUM(E19)/E7*100</f>
        <v>0.81817046258899939</v>
      </c>
      <c r="G19" s="89">
        <f t="shared" si="0"/>
        <v>19</v>
      </c>
    </row>
    <row r="20" spans="2:7" ht="30" customHeight="1" x14ac:dyDescent="0.25">
      <c r="B20" s="68" t="s">
        <v>150</v>
      </c>
      <c r="C20" s="13">
        <v>23</v>
      </c>
      <c r="D20" s="69">
        <f>SUM(C20)/C7*100</f>
        <v>5.8408248260449998E-2</v>
      </c>
      <c r="E20" s="70">
        <v>74</v>
      </c>
      <c r="F20" s="71">
        <f>SUM(E20)/E7*100</f>
        <v>0.15405754257401008</v>
      </c>
      <c r="G20" s="89">
        <f t="shared" si="0"/>
        <v>51</v>
      </c>
    </row>
    <row r="21" spans="2:7" ht="32.25" customHeight="1" x14ac:dyDescent="0.25">
      <c r="B21" s="68" t="s">
        <v>151</v>
      </c>
      <c r="C21" s="13">
        <v>0</v>
      </c>
      <c r="D21" s="69">
        <f>SUM(C21)/C7*100</f>
        <v>0</v>
      </c>
      <c r="E21" s="70">
        <v>0</v>
      </c>
      <c r="F21" s="71">
        <f>SUM(E21)/E7*100</f>
        <v>0</v>
      </c>
      <c r="G21" s="89">
        <f t="shared" si="0"/>
        <v>0</v>
      </c>
    </row>
    <row r="22" spans="2:7" ht="33.75" customHeight="1" x14ac:dyDescent="0.25">
      <c r="B22" s="68" t="s">
        <v>152</v>
      </c>
      <c r="C22" s="13">
        <v>0</v>
      </c>
      <c r="D22" s="69">
        <f>SUM(C22)/C7*100</f>
        <v>0</v>
      </c>
      <c r="E22" s="70">
        <v>0</v>
      </c>
      <c r="F22" s="71">
        <f>SUM(E22)/E7*100</f>
        <v>0</v>
      </c>
      <c r="G22" s="89">
        <f t="shared" si="0"/>
        <v>0</v>
      </c>
    </row>
    <row r="23" spans="2:7" ht="36.75" customHeight="1" x14ac:dyDescent="0.25">
      <c r="B23" s="68" t="s">
        <v>153</v>
      </c>
      <c r="C23" s="13">
        <v>0</v>
      </c>
      <c r="D23" s="69">
        <f>SUM(C23)/C7*100</f>
        <v>0</v>
      </c>
      <c r="E23" s="70">
        <v>0</v>
      </c>
      <c r="F23" s="71">
        <f>SUM(E23)/E7*100</f>
        <v>0</v>
      </c>
      <c r="G23" s="89">
        <f t="shared" si="0"/>
        <v>0</v>
      </c>
    </row>
    <row r="24" spans="2:7" ht="30" customHeight="1" x14ac:dyDescent="0.25">
      <c r="B24" s="82" t="s">
        <v>154</v>
      </c>
      <c r="C24" s="35">
        <v>45</v>
      </c>
      <c r="D24" s="74">
        <f>SUM(C24)/C7*100</f>
        <v>0.11427700746609781</v>
      </c>
      <c r="E24" s="83">
        <v>74</v>
      </c>
      <c r="F24" s="84">
        <f>SUM(E24)/E7*100</f>
        <v>0.15405754257401008</v>
      </c>
      <c r="G24" s="90">
        <f t="shared" si="0"/>
        <v>29</v>
      </c>
    </row>
    <row r="25" spans="2:7" ht="27.75" customHeight="1" thickBot="1" x14ac:dyDescent="0.3">
      <c r="B25" s="414" t="s">
        <v>162</v>
      </c>
      <c r="C25" s="35">
        <v>95</v>
      </c>
      <c r="D25" s="74">
        <f>SUM(C25)/C7*100</f>
        <v>0.24125146020620652</v>
      </c>
      <c r="E25" s="35">
        <v>107</v>
      </c>
      <c r="F25" s="74">
        <f>SUM(E25)/E7*100</f>
        <v>0.22275887912728484</v>
      </c>
      <c r="G25" s="40">
        <f t="shared" si="0"/>
        <v>12</v>
      </c>
    </row>
    <row r="26" spans="2:7" ht="20.25" customHeight="1" thickBot="1" x14ac:dyDescent="0.3">
      <c r="B26" s="416" t="s">
        <v>155</v>
      </c>
      <c r="C26" s="417">
        <f>SUM(C27:C35)</f>
        <v>12177</v>
      </c>
      <c r="D26" s="418">
        <f>SUM(C26)/C7*100</f>
        <v>30.923358220326069</v>
      </c>
      <c r="E26" s="417">
        <f>SUM(E27:E35)</f>
        <v>12221</v>
      </c>
      <c r="F26" s="418">
        <f>SUM(E26)/E7*100</f>
        <v>25.442394970229422</v>
      </c>
      <c r="G26" s="419">
        <f t="shared" si="0"/>
        <v>44</v>
      </c>
    </row>
    <row r="27" spans="2:7" ht="60" customHeight="1" x14ac:dyDescent="0.25">
      <c r="B27" s="75" t="s">
        <v>156</v>
      </c>
      <c r="C27" s="415">
        <v>305</v>
      </c>
      <c r="D27" s="76">
        <f>SUM(C27)/C7*100</f>
        <v>0.774544161714663</v>
      </c>
      <c r="E27" s="415">
        <v>550</v>
      </c>
      <c r="F27" s="76">
        <f>SUM(E27)/E7*100</f>
        <v>1.1450222758879127</v>
      </c>
      <c r="G27" s="41">
        <f t="shared" si="0"/>
        <v>245</v>
      </c>
    </row>
    <row r="28" spans="2:7" ht="25.5" customHeight="1" x14ac:dyDescent="0.25">
      <c r="B28" s="72" t="s">
        <v>102</v>
      </c>
      <c r="C28" s="661"/>
      <c r="D28" s="69">
        <f>SUM(C28)/C7*100</f>
        <v>0</v>
      </c>
      <c r="E28" s="631"/>
      <c r="F28" s="71">
        <f>SUM(E28)/E7*100</f>
        <v>0</v>
      </c>
      <c r="G28" s="89">
        <f t="shared" si="0"/>
        <v>0</v>
      </c>
    </row>
    <row r="29" spans="2:7" ht="24" customHeight="1" x14ac:dyDescent="0.25">
      <c r="B29" s="72" t="s">
        <v>157</v>
      </c>
      <c r="C29" s="70">
        <v>4279</v>
      </c>
      <c r="D29" s="69">
        <f>SUM(C29)/C7*100</f>
        <v>10.866473665498502</v>
      </c>
      <c r="E29" s="70">
        <v>4055</v>
      </c>
      <c r="F29" s="69">
        <f>SUM(E29)/E7*100</f>
        <v>8.4419369613190653</v>
      </c>
      <c r="G29" s="39">
        <f t="shared" si="0"/>
        <v>-224</v>
      </c>
    </row>
    <row r="30" spans="2:7" ht="27" customHeight="1" x14ac:dyDescent="0.25">
      <c r="B30" s="72" t="s">
        <v>104</v>
      </c>
      <c r="C30" s="13">
        <v>3193</v>
      </c>
      <c r="D30" s="69">
        <f>SUM(C30)/C7*100</f>
        <v>8.1085885519833401</v>
      </c>
      <c r="E30" s="13">
        <v>2733</v>
      </c>
      <c r="F30" s="69">
        <f>SUM(E30)/E7*100</f>
        <v>5.6897197818212097</v>
      </c>
      <c r="G30" s="39">
        <f t="shared" si="0"/>
        <v>-460</v>
      </c>
    </row>
    <row r="31" spans="2:7" ht="24" customHeight="1" x14ac:dyDescent="0.25">
      <c r="B31" s="72" t="s">
        <v>105</v>
      </c>
      <c r="C31" s="13">
        <v>16</v>
      </c>
      <c r="D31" s="69">
        <f>SUM(C31)/C7*100</f>
        <v>4.0631824876834782E-2</v>
      </c>
      <c r="E31" s="13">
        <v>61</v>
      </c>
      <c r="F31" s="69">
        <f>SUM(E31)/E7*100</f>
        <v>0.12699337968938668</v>
      </c>
      <c r="G31" s="39">
        <f t="shared" si="0"/>
        <v>45</v>
      </c>
    </row>
    <row r="32" spans="2:7" ht="30" customHeight="1" x14ac:dyDescent="0.25">
      <c r="B32" s="72" t="s">
        <v>106</v>
      </c>
      <c r="C32" s="13">
        <v>827</v>
      </c>
      <c r="D32" s="69">
        <f>SUM(C32)/C7*100</f>
        <v>2.1001574483213976</v>
      </c>
      <c r="E32" s="13">
        <v>917</v>
      </c>
      <c r="F32" s="69">
        <f>SUM(E32)/E7*100</f>
        <v>1.9090644127076655</v>
      </c>
      <c r="G32" s="39">
        <f t="shared" si="0"/>
        <v>90</v>
      </c>
    </row>
    <row r="33" spans="2:7" ht="29.25" customHeight="1" x14ac:dyDescent="0.25">
      <c r="B33" s="72" t="s">
        <v>98</v>
      </c>
      <c r="C33" s="13">
        <v>152</v>
      </c>
      <c r="D33" s="69">
        <f>SUM(C33)/C7*100</f>
        <v>0.38600233632993042</v>
      </c>
      <c r="E33" s="13">
        <v>205</v>
      </c>
      <c r="F33" s="69">
        <f>SUM(E33)/E7*100</f>
        <v>0.42678103010367652</v>
      </c>
      <c r="G33" s="39">
        <f t="shared" si="0"/>
        <v>53</v>
      </c>
    </row>
    <row r="34" spans="2:7" ht="28.5" customHeight="1" x14ac:dyDescent="0.25">
      <c r="B34" s="73" t="s">
        <v>99</v>
      </c>
      <c r="C34" s="35">
        <v>336</v>
      </c>
      <c r="D34" s="74">
        <f>SUM(C34)/C7*100</f>
        <v>0.85326832241353034</v>
      </c>
      <c r="E34" s="35">
        <v>404</v>
      </c>
      <c r="F34" s="74">
        <f>SUM(E34)/E7*100</f>
        <v>0.84107090810675766</v>
      </c>
      <c r="G34" s="40">
        <f t="shared" si="0"/>
        <v>68</v>
      </c>
    </row>
    <row r="35" spans="2:7" ht="24.75" customHeight="1" thickBot="1" x14ac:dyDescent="0.3">
      <c r="B35" s="73" t="s">
        <v>107</v>
      </c>
      <c r="C35" s="35">
        <v>3069</v>
      </c>
      <c r="D35" s="74">
        <f>SUM(C35)/C7*100</f>
        <v>7.7936919091878725</v>
      </c>
      <c r="E35" s="35">
        <v>3296</v>
      </c>
      <c r="F35" s="74">
        <f>SUM(E35)/E7*100</f>
        <v>6.8618062205937456</v>
      </c>
      <c r="G35" s="40">
        <f t="shared" si="0"/>
        <v>227</v>
      </c>
    </row>
    <row r="36" spans="2:7" ht="20.25" customHeight="1" thickBot="1" x14ac:dyDescent="0.3">
      <c r="B36" s="409" t="s">
        <v>158</v>
      </c>
      <c r="C36" s="410">
        <f>SUM(C37,C39,C41:C42,C44)</f>
        <v>3249</v>
      </c>
      <c r="D36" s="411">
        <f>SUM(C36)/C7*100</f>
        <v>8.2507999390522624</v>
      </c>
      <c r="E36" s="410">
        <f>SUM(E37,E39,E41:E42,E44)</f>
        <v>4961</v>
      </c>
      <c r="F36" s="411">
        <f>SUM(E36)/E7*100</f>
        <v>10.328100928508972</v>
      </c>
      <c r="G36" s="412">
        <f t="shared" si="0"/>
        <v>1712</v>
      </c>
    </row>
    <row r="37" spans="2:7" ht="27" customHeight="1" x14ac:dyDescent="0.25">
      <c r="B37" s="75" t="s">
        <v>94</v>
      </c>
      <c r="C37" s="37">
        <v>345</v>
      </c>
      <c r="D37" s="76">
        <f>SUM(C37)/C7*100</f>
        <v>0.87612372390674997</v>
      </c>
      <c r="E37" s="37">
        <v>350</v>
      </c>
      <c r="F37" s="76">
        <f>SUM(E37)/E7*100</f>
        <v>0.72865053920139899</v>
      </c>
      <c r="G37" s="41">
        <f t="shared" si="0"/>
        <v>5</v>
      </c>
    </row>
    <row r="38" spans="2:7" ht="23.25" customHeight="1" x14ac:dyDescent="0.25">
      <c r="B38" s="413" t="s">
        <v>159</v>
      </c>
      <c r="C38" s="13">
        <v>90</v>
      </c>
      <c r="D38" s="69">
        <f>SUM(C38)/C7*100</f>
        <v>0.22855401493219563</v>
      </c>
      <c r="E38" s="70">
        <v>92</v>
      </c>
      <c r="F38" s="76">
        <f>SUM(E38)/E7*100</f>
        <v>0.1915309988757963</v>
      </c>
      <c r="G38" s="89">
        <f t="shared" si="0"/>
        <v>2</v>
      </c>
    </row>
    <row r="39" spans="2:7" ht="25.5" customHeight="1" x14ac:dyDescent="0.25">
      <c r="B39" s="72" t="s">
        <v>95</v>
      </c>
      <c r="C39" s="13">
        <v>2465</v>
      </c>
      <c r="D39" s="69">
        <f>SUM(C39)/C7*100</f>
        <v>6.2598405200873577</v>
      </c>
      <c r="E39" s="13">
        <v>4065</v>
      </c>
      <c r="F39" s="69">
        <f>SUM(E39)/E7*100</f>
        <v>8.4627555481533925</v>
      </c>
      <c r="G39" s="39">
        <f t="shared" si="0"/>
        <v>1600</v>
      </c>
    </row>
    <row r="40" spans="2:7" ht="27" customHeight="1" x14ac:dyDescent="0.25">
      <c r="B40" s="413" t="s">
        <v>160</v>
      </c>
      <c r="C40" s="13">
        <v>3</v>
      </c>
      <c r="D40" s="69">
        <f>SUM(C40)/C7*100</f>
        <v>7.6184671644065208E-3</v>
      </c>
      <c r="E40" s="70">
        <v>8</v>
      </c>
      <c r="F40" s="71">
        <f>SUM(E40)/E7*100</f>
        <v>1.6654869467460549E-2</v>
      </c>
      <c r="G40" s="89">
        <f t="shared" si="0"/>
        <v>5</v>
      </c>
    </row>
    <row r="41" spans="2:7" ht="28.5" customHeight="1" x14ac:dyDescent="0.25">
      <c r="B41" s="72" t="s">
        <v>96</v>
      </c>
      <c r="C41" s="13">
        <v>0</v>
      </c>
      <c r="D41" s="69">
        <f>SUM(C41)/C7*100</f>
        <v>0</v>
      </c>
      <c r="E41" s="13">
        <v>0</v>
      </c>
      <c r="F41" s="69">
        <f>SUM(E41)/E7*100</f>
        <v>0</v>
      </c>
      <c r="G41" s="39">
        <f t="shared" si="0"/>
        <v>0</v>
      </c>
    </row>
    <row r="42" spans="2:7" ht="25.5" customHeight="1" x14ac:dyDescent="0.25">
      <c r="B42" s="72" t="s">
        <v>97</v>
      </c>
      <c r="C42" s="13">
        <v>439</v>
      </c>
      <c r="D42" s="69">
        <f>SUM(C42)/C7*100</f>
        <v>1.1148356950581542</v>
      </c>
      <c r="E42" s="13">
        <v>546</v>
      </c>
      <c r="F42" s="69">
        <f>SUM(E42)/E7*100</f>
        <v>1.1366948411541824</v>
      </c>
      <c r="G42" s="39">
        <f t="shared" si="0"/>
        <v>107</v>
      </c>
    </row>
    <row r="43" spans="2:7" ht="29.25" customHeight="1" x14ac:dyDescent="0.25">
      <c r="B43" s="413" t="s">
        <v>161</v>
      </c>
      <c r="C43" s="13">
        <v>0</v>
      </c>
      <c r="D43" s="69">
        <f>SUM(C43)/C7*100</f>
        <v>0</v>
      </c>
      <c r="E43" s="70">
        <v>6</v>
      </c>
      <c r="F43" s="71">
        <f>SUM(E43)/E7*100</f>
        <v>1.2491152100595412E-2</v>
      </c>
      <c r="G43" s="89">
        <f t="shared" si="0"/>
        <v>6</v>
      </c>
    </row>
    <row r="44" spans="2:7" ht="36" customHeight="1" thickBot="1" x14ac:dyDescent="0.3">
      <c r="B44" s="77" t="s">
        <v>103</v>
      </c>
      <c r="C44" s="20">
        <v>0</v>
      </c>
      <c r="D44" s="80">
        <f>SUM(C44)/C7*100</f>
        <v>0</v>
      </c>
      <c r="E44" s="78">
        <v>0</v>
      </c>
      <c r="F44" s="79">
        <f>SUM(E44)/E7*100</f>
        <v>0</v>
      </c>
      <c r="G44" s="91">
        <f t="shared" si="0"/>
        <v>0</v>
      </c>
    </row>
  </sheetData>
  <mergeCells count="4">
    <mergeCell ref="B4:B6"/>
    <mergeCell ref="E4:F5"/>
    <mergeCell ref="C4:D5"/>
    <mergeCell ref="G4:G5"/>
  </mergeCells>
  <pageMargins left="0.6692913385826772" right="0" top="0" bottom="0" header="0" footer="0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2:H13"/>
  <sheetViews>
    <sheetView workbookViewId="0">
      <selection activeCell="B1" sqref="B1"/>
    </sheetView>
  </sheetViews>
  <sheetFormatPr defaultColWidth="9.140625" defaultRowHeight="15" x14ac:dyDescent="0.25"/>
  <cols>
    <col min="1" max="1" width="2.28515625" style="2" customWidth="1"/>
    <col min="2" max="2" width="38.28515625" style="2" customWidth="1"/>
    <col min="3" max="3" width="10" style="2" customWidth="1"/>
    <col min="4" max="4" width="8.5703125" style="2" customWidth="1"/>
    <col min="5" max="5" width="9.140625" style="2"/>
    <col min="6" max="6" width="8.140625" style="2" customWidth="1"/>
    <col min="7" max="7" width="9.140625" style="2" customWidth="1"/>
    <col min="8" max="8" width="8.85546875" style="2" customWidth="1"/>
    <col min="9" max="9" width="10.28515625" style="2" customWidth="1"/>
    <col min="10" max="16384" width="9.140625" style="2"/>
  </cols>
  <sheetData>
    <row r="2" spans="2:8" x14ac:dyDescent="0.25">
      <c r="B2" s="11" t="s">
        <v>285</v>
      </c>
    </row>
    <row r="3" spans="2:8" x14ac:dyDescent="0.25">
      <c r="B3" s="11" t="s">
        <v>390</v>
      </c>
    </row>
    <row r="4" spans="2:8" thickBot="1" x14ac:dyDescent="0.35"/>
    <row r="5" spans="2:8" ht="27.75" customHeight="1" x14ac:dyDescent="0.25">
      <c r="B5" s="844" t="s">
        <v>163</v>
      </c>
      <c r="C5" s="846" t="s">
        <v>442</v>
      </c>
      <c r="D5" s="846"/>
      <c r="E5" s="821" t="s">
        <v>469</v>
      </c>
      <c r="F5" s="846"/>
      <c r="G5" s="846" t="s">
        <v>130</v>
      </c>
      <c r="H5" s="820"/>
    </row>
    <row r="6" spans="2:8" ht="32.25" customHeight="1" thickBot="1" x14ac:dyDescent="0.3">
      <c r="B6" s="845"/>
      <c r="C6" s="106" t="s">
        <v>127</v>
      </c>
      <c r="D6" s="106" t="s">
        <v>128</v>
      </c>
      <c r="E6" s="107" t="s">
        <v>127</v>
      </c>
      <c r="F6" s="106" t="s">
        <v>128</v>
      </c>
      <c r="G6" s="108" t="s">
        <v>127</v>
      </c>
      <c r="H6" s="26" t="s">
        <v>128</v>
      </c>
    </row>
    <row r="7" spans="2:8" ht="30" customHeight="1" x14ac:dyDescent="0.25">
      <c r="B7" s="109" t="s">
        <v>4</v>
      </c>
      <c r="C7" s="54">
        <v>23952</v>
      </c>
      <c r="D7" s="110">
        <f>SUM(D8:D9)</f>
        <v>100</v>
      </c>
      <c r="E7" s="53">
        <v>30852</v>
      </c>
      <c r="F7" s="110">
        <f>SUM(F8:F9)</f>
        <v>100</v>
      </c>
      <c r="G7" s="112">
        <f>E7-C7</f>
        <v>6900</v>
      </c>
      <c r="H7" s="111">
        <f>G7/C7*100</f>
        <v>28.807615230460922</v>
      </c>
    </row>
    <row r="8" spans="2:8" ht="29.25" customHeight="1" x14ac:dyDescent="0.25">
      <c r="B8" s="12" t="s">
        <v>5</v>
      </c>
      <c r="C8" s="9">
        <v>11029</v>
      </c>
      <c r="D8" s="10">
        <f>SUM(C8)/C7*100</f>
        <v>46.046259185036739</v>
      </c>
      <c r="E8" s="6">
        <v>14192</v>
      </c>
      <c r="F8" s="10">
        <f>SUM(E8)/E7*100</f>
        <v>46.000259302476337</v>
      </c>
      <c r="G8" s="113">
        <f>E8-C8</f>
        <v>3163</v>
      </c>
      <c r="H8" s="62">
        <f>E8*100/C8-100</f>
        <v>28.678937346994275</v>
      </c>
    </row>
    <row r="9" spans="2:8" ht="27.75" customHeight="1" thickBot="1" x14ac:dyDescent="0.3">
      <c r="B9" s="95" t="s">
        <v>6</v>
      </c>
      <c r="C9" s="5">
        <f>SUM(C7-C8)</f>
        <v>12923</v>
      </c>
      <c r="D9" s="55">
        <f>SUM(C9)/C7*100</f>
        <v>53.953740814963261</v>
      </c>
      <c r="E9" s="4">
        <f>SUM(E7)-E8</f>
        <v>16660</v>
      </c>
      <c r="F9" s="55">
        <f>SUM(E9)/E7*100</f>
        <v>53.999740697523656</v>
      </c>
      <c r="G9" s="114">
        <f>E9-C9</f>
        <v>3737</v>
      </c>
      <c r="H9" s="103">
        <f>E9*100/C9-100</f>
        <v>28.917434032345426</v>
      </c>
    </row>
    <row r="10" spans="2:8" ht="25.5" customHeight="1" x14ac:dyDescent="0.25">
      <c r="B10" s="321" t="s">
        <v>164</v>
      </c>
      <c r="C10" s="322"/>
      <c r="D10" s="322"/>
      <c r="E10" s="322"/>
      <c r="F10" s="322"/>
      <c r="G10" s="322"/>
      <c r="H10" s="323"/>
    </row>
    <row r="11" spans="2:8" ht="25.5" customHeight="1" x14ac:dyDescent="0.25">
      <c r="B11" s="12" t="s">
        <v>165</v>
      </c>
      <c r="C11" s="9">
        <v>21725</v>
      </c>
      <c r="D11" s="10">
        <f>SUM(C11)/C7*100</f>
        <v>90.702237808951239</v>
      </c>
      <c r="E11" s="6">
        <v>27631</v>
      </c>
      <c r="F11" s="10">
        <f>SUM(E11)/E7*100</f>
        <v>89.559834046415148</v>
      </c>
      <c r="G11" s="100">
        <f>E11-C11</f>
        <v>5906</v>
      </c>
      <c r="H11" s="7">
        <f>E11*100/C11-100</f>
        <v>27.18527042577675</v>
      </c>
    </row>
    <row r="12" spans="2:8" ht="30" x14ac:dyDescent="0.25">
      <c r="B12" s="12" t="s">
        <v>166</v>
      </c>
      <c r="C12" s="14">
        <v>1001</v>
      </c>
      <c r="D12" s="98">
        <f>SUM(C12)/C7*100</f>
        <v>4.1791917167668666</v>
      </c>
      <c r="E12" s="96">
        <v>1705</v>
      </c>
      <c r="F12" s="98">
        <f>SUM(E12)/E7*100</f>
        <v>5.5263840269674578</v>
      </c>
      <c r="G12" s="101">
        <f>E12-C12</f>
        <v>704</v>
      </c>
      <c r="H12" s="32">
        <f>E12*100/C12-100</f>
        <v>70.329670329670336</v>
      </c>
    </row>
    <row r="13" spans="2:8" ht="23.25" customHeight="1" thickBot="1" x14ac:dyDescent="0.3">
      <c r="B13" s="402" t="s">
        <v>2</v>
      </c>
      <c r="C13" s="21">
        <v>2227</v>
      </c>
      <c r="D13" s="99">
        <f>SUM(C13)/C7*100</f>
        <v>9.2977621910487649</v>
      </c>
      <c r="E13" s="97">
        <v>3221</v>
      </c>
      <c r="F13" s="99">
        <f>SUM(E13)/E7*100</f>
        <v>10.440165953584856</v>
      </c>
      <c r="G13" s="102">
        <f>E13-C13</f>
        <v>994</v>
      </c>
      <c r="H13" s="33">
        <f>E13*100/C13-100</f>
        <v>44.634036820835206</v>
      </c>
    </row>
  </sheetData>
  <mergeCells count="4">
    <mergeCell ref="B5:B6"/>
    <mergeCell ref="E5:F5"/>
    <mergeCell ref="C5:D5"/>
    <mergeCell ref="G5:H5"/>
  </mergeCells>
  <pageMargins left="1.8897637795275593" right="0.70866141732283472" top="1.7322834645669292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2:O34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1.7109375" style="11" customWidth="1"/>
    <col min="3" max="3" width="12" style="11" customWidth="1"/>
    <col min="4" max="4" width="11" style="11" customWidth="1"/>
    <col min="5" max="5" width="8.5703125" style="11" customWidth="1"/>
    <col min="6" max="6" width="11.42578125" style="11" customWidth="1"/>
    <col min="7" max="7" width="11.7109375" style="11" customWidth="1"/>
    <col min="8" max="8" width="9.140625" style="11"/>
    <col min="9" max="9" width="10.28515625" style="11" customWidth="1"/>
    <col min="10" max="10" width="7" style="11" customWidth="1"/>
    <col min="11" max="11" width="10.42578125" style="11" customWidth="1"/>
    <col min="12" max="12" width="8.5703125" style="11" customWidth="1"/>
    <col min="13" max="13" width="3.5703125" style="11" customWidth="1"/>
    <col min="14" max="14" width="10.7109375" style="11" customWidth="1"/>
    <col min="15" max="15" width="10.28515625" style="11" customWidth="1"/>
    <col min="16" max="16384" width="9.140625" style="11"/>
  </cols>
  <sheetData>
    <row r="2" spans="2:15" x14ac:dyDescent="0.25">
      <c r="B2" s="11" t="s">
        <v>284</v>
      </c>
    </row>
    <row r="3" spans="2:15" x14ac:dyDescent="0.25">
      <c r="B3" s="11" t="s">
        <v>391</v>
      </c>
    </row>
    <row r="4" spans="2:15" ht="14.45" thickBot="1" x14ac:dyDescent="0.3"/>
    <row r="5" spans="2:15" ht="15.75" thickBot="1" x14ac:dyDescent="0.3">
      <c r="B5" s="823" t="s">
        <v>129</v>
      </c>
      <c r="C5" s="849" t="s">
        <v>168</v>
      </c>
      <c r="D5" s="850"/>
      <c r="E5" s="850"/>
      <c r="F5" s="850"/>
      <c r="G5" s="850"/>
      <c r="H5" s="850"/>
      <c r="I5" s="850"/>
      <c r="J5" s="850"/>
      <c r="K5" s="850"/>
      <c r="L5" s="851"/>
    </row>
    <row r="6" spans="2:15" ht="28.5" customHeight="1" x14ac:dyDescent="0.25">
      <c r="B6" s="824"/>
      <c r="C6" s="852" t="s">
        <v>445</v>
      </c>
      <c r="D6" s="853"/>
      <c r="E6" s="854"/>
      <c r="F6" s="852" t="s">
        <v>468</v>
      </c>
      <c r="G6" s="853"/>
      <c r="H6" s="854"/>
      <c r="I6" s="852" t="s">
        <v>130</v>
      </c>
      <c r="J6" s="853"/>
      <c r="K6" s="853"/>
      <c r="L6" s="854"/>
    </row>
    <row r="7" spans="2:15" ht="43.5" customHeight="1" x14ac:dyDescent="0.25">
      <c r="B7" s="824"/>
      <c r="C7" s="847" t="s">
        <v>4</v>
      </c>
      <c r="D7" s="855" t="s">
        <v>86</v>
      </c>
      <c r="E7" s="856"/>
      <c r="F7" s="847" t="s">
        <v>4</v>
      </c>
      <c r="G7" s="855" t="s">
        <v>86</v>
      </c>
      <c r="H7" s="856"/>
      <c r="I7" s="857" t="s">
        <v>4</v>
      </c>
      <c r="J7" s="858"/>
      <c r="K7" s="855" t="s">
        <v>86</v>
      </c>
      <c r="L7" s="856"/>
    </row>
    <row r="8" spans="2:15" ht="15" customHeight="1" thickBot="1" x14ac:dyDescent="0.3">
      <c r="B8" s="825"/>
      <c r="C8" s="848"/>
      <c r="D8" s="292" t="s">
        <v>127</v>
      </c>
      <c r="E8" s="293" t="s">
        <v>128</v>
      </c>
      <c r="F8" s="848"/>
      <c r="G8" s="106" t="s">
        <v>127</v>
      </c>
      <c r="H8" s="26" t="s">
        <v>128</v>
      </c>
      <c r="I8" s="291" t="s">
        <v>127</v>
      </c>
      <c r="J8" s="292" t="s">
        <v>128</v>
      </c>
      <c r="K8" s="107" t="s">
        <v>127</v>
      </c>
      <c r="L8" s="293" t="s">
        <v>128</v>
      </c>
      <c r="N8" s="529" t="s">
        <v>403</v>
      </c>
      <c r="O8" s="529" t="s">
        <v>404</v>
      </c>
    </row>
    <row r="9" spans="2:15" ht="26.25" customHeight="1" thickBot="1" x14ac:dyDescent="0.3">
      <c r="B9" s="240" t="s">
        <v>26</v>
      </c>
      <c r="C9" s="87">
        <f>SUM(C10:C34)</f>
        <v>39378</v>
      </c>
      <c r="D9" s="311">
        <f>SUM(D10:D34)</f>
        <v>23952</v>
      </c>
      <c r="E9" s="336">
        <f>D9/C9*100</f>
        <v>60.825841840621663</v>
      </c>
      <c r="F9" s="87">
        <f>SUM(F10:F34)</f>
        <v>48034</v>
      </c>
      <c r="G9" s="311">
        <f>SUM(G10:G34)</f>
        <v>30852</v>
      </c>
      <c r="H9" s="312">
        <f>SUM(G9)/F9*100</f>
        <v>64.229504101261597</v>
      </c>
      <c r="I9" s="87">
        <f>SUM(F9)-C9</f>
        <v>8656</v>
      </c>
      <c r="J9" s="337">
        <f>SUM(I9)/C9*100</f>
        <v>21.981817258367617</v>
      </c>
      <c r="K9" s="311">
        <f>SUM(G9)-D9</f>
        <v>6900</v>
      </c>
      <c r="L9" s="312">
        <f>SUM(K9)/D9*100</f>
        <v>28.807615230460922</v>
      </c>
      <c r="N9" s="531" t="s">
        <v>108</v>
      </c>
      <c r="O9" s="531" t="s">
        <v>108</v>
      </c>
    </row>
    <row r="10" spans="2:15" ht="18" customHeight="1" x14ac:dyDescent="0.25">
      <c r="B10" s="61" t="s">
        <v>27</v>
      </c>
      <c r="C10" s="211">
        <v>574</v>
      </c>
      <c r="D10" s="212">
        <v>380</v>
      </c>
      <c r="E10" s="115">
        <f t="shared" ref="E10:E34" si="0">D10/C10*100</f>
        <v>66.2020905923345</v>
      </c>
      <c r="F10" s="211">
        <v>696</v>
      </c>
      <c r="G10" s="212">
        <v>476</v>
      </c>
      <c r="H10" s="62">
        <f t="shared" ref="H10:H34" si="1">SUM(G10)/F10*100</f>
        <v>68.390804597701148</v>
      </c>
      <c r="I10" s="211">
        <f t="shared" ref="I10:I34" si="2">SUM(F10)-C10</f>
        <v>122</v>
      </c>
      <c r="J10" s="318">
        <f t="shared" ref="J10:J34" si="3">SUM(I10)/C10*100</f>
        <v>21.254355400696863</v>
      </c>
      <c r="K10" s="212">
        <f>SUM(G10)-D10</f>
        <v>96</v>
      </c>
      <c r="L10" s="62">
        <f t="shared" ref="L10:L34" si="4">SUM(K10)/D10*100</f>
        <v>25.263157894736842</v>
      </c>
      <c r="N10" s="212">
        <f>RANK(F10,F10:F34,0)</f>
        <v>25</v>
      </c>
      <c r="O10" s="212">
        <f>RANK(F10,F10:F34,1)</f>
        <v>1</v>
      </c>
    </row>
    <row r="11" spans="2:15" ht="15.75" customHeight="1" x14ac:dyDescent="0.25">
      <c r="B11" s="12" t="s">
        <v>28</v>
      </c>
      <c r="C11" s="58">
        <v>1866</v>
      </c>
      <c r="D11" s="9">
        <v>1131</v>
      </c>
      <c r="E11" s="115">
        <f t="shared" si="0"/>
        <v>60.610932475884248</v>
      </c>
      <c r="F11" s="58">
        <v>2094</v>
      </c>
      <c r="G11" s="9">
        <v>1376</v>
      </c>
      <c r="H11" s="7">
        <f t="shared" si="1"/>
        <v>65.711556829035331</v>
      </c>
      <c r="I11" s="58">
        <f t="shared" si="2"/>
        <v>228</v>
      </c>
      <c r="J11" s="116">
        <f t="shared" si="3"/>
        <v>12.218649517684888</v>
      </c>
      <c r="K11" s="9">
        <f>SUM(G11)-D11</f>
        <v>245</v>
      </c>
      <c r="L11" s="7">
        <f t="shared" si="4"/>
        <v>21.662245800176834</v>
      </c>
      <c r="N11" s="9">
        <f>RANK(F11,F10:F34,0)</f>
        <v>10</v>
      </c>
      <c r="O11" s="9">
        <f>RANK(F11,F10:F34,1)</f>
        <v>16</v>
      </c>
    </row>
    <row r="12" spans="2:15" x14ac:dyDescent="0.25">
      <c r="B12" s="12" t="s">
        <v>29</v>
      </c>
      <c r="C12" s="58">
        <v>2034</v>
      </c>
      <c r="D12" s="9">
        <v>1104</v>
      </c>
      <c r="E12" s="115">
        <f t="shared" si="0"/>
        <v>54.277286135693217</v>
      </c>
      <c r="F12" s="58">
        <v>2542</v>
      </c>
      <c r="G12" s="9">
        <v>1474</v>
      </c>
      <c r="H12" s="7">
        <f t="shared" si="1"/>
        <v>57.985837922895357</v>
      </c>
      <c r="I12" s="58">
        <f t="shared" si="2"/>
        <v>508</v>
      </c>
      <c r="J12" s="116">
        <f t="shared" si="3"/>
        <v>24.97541789577188</v>
      </c>
      <c r="K12" s="9">
        <f t="shared" ref="K12:K34" si="5">SUM(G12)-D12</f>
        <v>370</v>
      </c>
      <c r="L12" s="7">
        <f t="shared" si="4"/>
        <v>33.514492753623188</v>
      </c>
      <c r="N12" s="9">
        <f>RANK(F12,F10:F34,0)</f>
        <v>5</v>
      </c>
      <c r="O12" s="9">
        <f>RANK(F12,F10:F34,1)</f>
        <v>21</v>
      </c>
    </row>
    <row r="13" spans="2:15" x14ac:dyDescent="0.25">
      <c r="B13" s="12" t="s">
        <v>30</v>
      </c>
      <c r="C13" s="58">
        <v>2463</v>
      </c>
      <c r="D13" s="9">
        <v>1541</v>
      </c>
      <c r="E13" s="115">
        <f t="shared" si="0"/>
        <v>62.56597645148193</v>
      </c>
      <c r="F13" s="58">
        <v>3004</v>
      </c>
      <c r="G13" s="9">
        <v>2063</v>
      </c>
      <c r="H13" s="7">
        <f t="shared" si="1"/>
        <v>68.675099866844207</v>
      </c>
      <c r="I13" s="58">
        <f t="shared" si="2"/>
        <v>541</v>
      </c>
      <c r="J13" s="116">
        <f t="shared" si="3"/>
        <v>21.965083231831102</v>
      </c>
      <c r="K13" s="9">
        <f t="shared" si="5"/>
        <v>522</v>
      </c>
      <c r="L13" s="7">
        <f t="shared" si="4"/>
        <v>33.874107722258273</v>
      </c>
      <c r="N13" s="9">
        <f>RANK(F13,F10:F34,0)</f>
        <v>3</v>
      </c>
      <c r="O13" s="9">
        <f>RANK(F13,F10:F34,1)</f>
        <v>23</v>
      </c>
    </row>
    <row r="14" spans="2:15" x14ac:dyDescent="0.25">
      <c r="B14" s="12" t="s">
        <v>31</v>
      </c>
      <c r="C14" s="58">
        <v>1963</v>
      </c>
      <c r="D14" s="9">
        <v>1134</v>
      </c>
      <c r="E14" s="115">
        <f t="shared" si="0"/>
        <v>57.768721344880284</v>
      </c>
      <c r="F14" s="58">
        <v>2256</v>
      </c>
      <c r="G14" s="9">
        <v>1495</v>
      </c>
      <c r="H14" s="7">
        <f t="shared" si="1"/>
        <v>66.267730496453908</v>
      </c>
      <c r="I14" s="58">
        <f t="shared" si="2"/>
        <v>293</v>
      </c>
      <c r="J14" s="116">
        <f t="shared" si="3"/>
        <v>14.926133469179828</v>
      </c>
      <c r="K14" s="9">
        <f t="shared" si="5"/>
        <v>361</v>
      </c>
      <c r="L14" s="7">
        <f t="shared" si="4"/>
        <v>31.834215167548503</v>
      </c>
      <c r="N14" s="9">
        <f>RANK(F14,F10:F34,0)</f>
        <v>7</v>
      </c>
      <c r="O14" s="9">
        <f>RANK(F14,F10:F34,1)</f>
        <v>19</v>
      </c>
    </row>
    <row r="15" spans="2:15" x14ac:dyDescent="0.25">
      <c r="B15" s="12" t="s">
        <v>32</v>
      </c>
      <c r="C15" s="58">
        <v>1073</v>
      </c>
      <c r="D15" s="9">
        <v>532</v>
      </c>
      <c r="E15" s="115">
        <f t="shared" si="0"/>
        <v>49.58061509785648</v>
      </c>
      <c r="F15" s="58">
        <v>1521</v>
      </c>
      <c r="G15" s="9">
        <v>855</v>
      </c>
      <c r="H15" s="7">
        <f t="shared" si="1"/>
        <v>56.213017751479285</v>
      </c>
      <c r="I15" s="58">
        <f t="shared" si="2"/>
        <v>448</v>
      </c>
      <c r="J15" s="116">
        <f t="shared" si="3"/>
        <v>41.752096924510717</v>
      </c>
      <c r="K15" s="9">
        <f t="shared" si="5"/>
        <v>323</v>
      </c>
      <c r="L15" s="7">
        <f t="shared" si="4"/>
        <v>60.714285714285708</v>
      </c>
      <c r="N15" s="9">
        <f>RANK(F15,F10:F34,0)</f>
        <v>18</v>
      </c>
      <c r="O15" s="9">
        <f>RANK(F15,F10:F34,1)</f>
        <v>8</v>
      </c>
    </row>
    <row r="16" spans="2:15" x14ac:dyDescent="0.25">
      <c r="B16" s="12" t="s">
        <v>33</v>
      </c>
      <c r="C16" s="58">
        <v>1403</v>
      </c>
      <c r="D16" s="9">
        <v>814</v>
      </c>
      <c r="E16" s="115">
        <f t="shared" si="0"/>
        <v>58.018531717747678</v>
      </c>
      <c r="F16" s="58">
        <v>1800</v>
      </c>
      <c r="G16" s="9">
        <v>1079</v>
      </c>
      <c r="H16" s="7">
        <f t="shared" si="1"/>
        <v>59.944444444444443</v>
      </c>
      <c r="I16" s="58">
        <f t="shared" si="2"/>
        <v>397</v>
      </c>
      <c r="J16" s="116">
        <f t="shared" si="3"/>
        <v>28.296507483962934</v>
      </c>
      <c r="K16" s="9">
        <f t="shared" si="5"/>
        <v>265</v>
      </c>
      <c r="L16" s="7">
        <f t="shared" si="4"/>
        <v>32.555282555282552</v>
      </c>
      <c r="N16" s="9">
        <f>RANK(F16,F10:F34,0)</f>
        <v>16</v>
      </c>
      <c r="O16" s="9">
        <f>RANK(F16,F10:F34,1)</f>
        <v>10</v>
      </c>
    </row>
    <row r="17" spans="2:15" x14ac:dyDescent="0.25">
      <c r="B17" s="12" t="s">
        <v>34</v>
      </c>
      <c r="C17" s="58">
        <v>933</v>
      </c>
      <c r="D17" s="9">
        <v>654</v>
      </c>
      <c r="E17" s="115">
        <f t="shared" si="0"/>
        <v>70.096463022508033</v>
      </c>
      <c r="F17" s="58">
        <v>1039</v>
      </c>
      <c r="G17" s="9">
        <v>695</v>
      </c>
      <c r="H17" s="7">
        <f>SUM(G17)/F17*100</f>
        <v>66.891241578440813</v>
      </c>
      <c r="I17" s="58">
        <f t="shared" si="2"/>
        <v>106</v>
      </c>
      <c r="J17" s="116">
        <f t="shared" si="3"/>
        <v>11.361200428724544</v>
      </c>
      <c r="K17" s="9">
        <f t="shared" si="5"/>
        <v>41</v>
      </c>
      <c r="L17" s="7">
        <f t="shared" si="4"/>
        <v>6.2691131498470938</v>
      </c>
      <c r="N17" s="9">
        <f>RANK(F17,F10:F34,0)</f>
        <v>22</v>
      </c>
      <c r="O17" s="9">
        <f>RANK(F17,F10:F34,1)</f>
        <v>4</v>
      </c>
    </row>
    <row r="18" spans="2:15" x14ac:dyDescent="0.25">
      <c r="B18" s="12" t="s">
        <v>35</v>
      </c>
      <c r="C18" s="58">
        <v>1730</v>
      </c>
      <c r="D18" s="9">
        <v>1107</v>
      </c>
      <c r="E18" s="115">
        <f t="shared" si="0"/>
        <v>63.98843930635838</v>
      </c>
      <c r="F18" s="58">
        <v>2144</v>
      </c>
      <c r="G18" s="9">
        <v>1284</v>
      </c>
      <c r="H18" s="7">
        <f>SUM(G18)/F18*100</f>
        <v>59.888059701492537</v>
      </c>
      <c r="I18" s="58">
        <f t="shared" si="2"/>
        <v>414</v>
      </c>
      <c r="J18" s="116">
        <f t="shared" si="3"/>
        <v>23.930635838150287</v>
      </c>
      <c r="K18" s="9">
        <f t="shared" si="5"/>
        <v>177</v>
      </c>
      <c r="L18" s="7">
        <f t="shared" si="4"/>
        <v>15.989159891598916</v>
      </c>
      <c r="N18" s="9">
        <f>RANK(F18,F10:F34,0)</f>
        <v>9</v>
      </c>
      <c r="O18" s="9">
        <f>RANK(F18,F10:F34,1)</f>
        <v>17</v>
      </c>
    </row>
    <row r="19" spans="2:15" x14ac:dyDescent="0.25">
      <c r="B19" s="12" t="s">
        <v>36</v>
      </c>
      <c r="C19" s="58">
        <v>1265</v>
      </c>
      <c r="D19" s="9">
        <v>748</v>
      </c>
      <c r="E19" s="115">
        <f t="shared" si="0"/>
        <v>59.130434782608695</v>
      </c>
      <c r="F19" s="58">
        <v>1488</v>
      </c>
      <c r="G19" s="9">
        <v>883</v>
      </c>
      <c r="H19" s="7">
        <f>SUM(G19)/F19*100</f>
        <v>59.341397849462361</v>
      </c>
      <c r="I19" s="58">
        <f t="shared" si="2"/>
        <v>223</v>
      </c>
      <c r="J19" s="116">
        <f t="shared" si="3"/>
        <v>17.628458498023715</v>
      </c>
      <c r="K19" s="9">
        <f t="shared" si="5"/>
        <v>135</v>
      </c>
      <c r="L19" s="7">
        <f t="shared" si="4"/>
        <v>18.048128342245988</v>
      </c>
      <c r="N19" s="9">
        <f>RANK(F19,F10:F34,0)</f>
        <v>19</v>
      </c>
      <c r="O19" s="9">
        <f>RANK(F19,F10:F34,1)</f>
        <v>7</v>
      </c>
    </row>
    <row r="20" spans="2:15" x14ac:dyDescent="0.25">
      <c r="B20" s="12" t="s">
        <v>37</v>
      </c>
      <c r="C20" s="58">
        <v>1802</v>
      </c>
      <c r="D20" s="9">
        <v>1160</v>
      </c>
      <c r="E20" s="115">
        <f t="shared" si="0"/>
        <v>64.372918978912324</v>
      </c>
      <c r="F20" s="58">
        <v>1879</v>
      </c>
      <c r="G20" s="9">
        <v>1317</v>
      </c>
      <c r="H20" s="7">
        <f t="shared" si="1"/>
        <v>70.090473656200103</v>
      </c>
      <c r="I20" s="58">
        <f t="shared" si="2"/>
        <v>77</v>
      </c>
      <c r="J20" s="116">
        <f t="shared" si="3"/>
        <v>4.2730299667036631</v>
      </c>
      <c r="K20" s="9">
        <f t="shared" si="5"/>
        <v>157</v>
      </c>
      <c r="L20" s="7">
        <f t="shared" si="4"/>
        <v>13.534482758620689</v>
      </c>
      <c r="N20" s="9">
        <f>RANK(F20,F10:F34,0)</f>
        <v>14</v>
      </c>
      <c r="O20" s="9">
        <f>RANK(F20,F10:F34,1)</f>
        <v>12</v>
      </c>
    </row>
    <row r="21" spans="2:15" x14ac:dyDescent="0.25">
      <c r="B21" s="12" t="s">
        <v>38</v>
      </c>
      <c r="C21" s="58">
        <v>2184</v>
      </c>
      <c r="D21" s="9">
        <v>1490</v>
      </c>
      <c r="E21" s="115">
        <f t="shared" si="0"/>
        <v>68.223443223443226</v>
      </c>
      <c r="F21" s="58">
        <v>3203</v>
      </c>
      <c r="G21" s="9">
        <v>2074</v>
      </c>
      <c r="H21" s="7">
        <f t="shared" si="1"/>
        <v>64.751795192007492</v>
      </c>
      <c r="I21" s="58">
        <f t="shared" si="2"/>
        <v>1019</v>
      </c>
      <c r="J21" s="116">
        <f t="shared" si="3"/>
        <v>46.657509157509161</v>
      </c>
      <c r="K21" s="9">
        <f t="shared" si="5"/>
        <v>584</v>
      </c>
      <c r="L21" s="7">
        <f t="shared" si="4"/>
        <v>39.194630872483224</v>
      </c>
      <c r="N21" s="9">
        <f>RANK(F21,F10:F34,0)</f>
        <v>2</v>
      </c>
      <c r="O21" s="9">
        <f>RANK(F21,F10:F34,1)</f>
        <v>24</v>
      </c>
    </row>
    <row r="22" spans="2:15" x14ac:dyDescent="0.25">
      <c r="B22" s="12" t="s">
        <v>39</v>
      </c>
      <c r="C22" s="58">
        <v>1715</v>
      </c>
      <c r="D22" s="9">
        <v>921</v>
      </c>
      <c r="E22" s="115">
        <f t="shared" si="0"/>
        <v>53.70262390670554</v>
      </c>
      <c r="F22" s="58">
        <v>1948</v>
      </c>
      <c r="G22" s="9">
        <v>1075</v>
      </c>
      <c r="H22" s="7">
        <f t="shared" si="1"/>
        <v>55.184804928131413</v>
      </c>
      <c r="I22" s="58">
        <f t="shared" si="2"/>
        <v>233</v>
      </c>
      <c r="J22" s="116">
        <f t="shared" si="3"/>
        <v>13.58600583090379</v>
      </c>
      <c r="K22" s="9">
        <f t="shared" si="5"/>
        <v>154</v>
      </c>
      <c r="L22" s="7">
        <f t="shared" si="4"/>
        <v>16.720955483170467</v>
      </c>
      <c r="N22" s="9">
        <f>RANK(F22,F10:F34,0)</f>
        <v>12</v>
      </c>
      <c r="O22" s="9">
        <f>RANK(F22,F10:F34,1)</f>
        <v>14</v>
      </c>
    </row>
    <row r="23" spans="2:15" x14ac:dyDescent="0.25">
      <c r="B23" s="18" t="s">
        <v>40</v>
      </c>
      <c r="C23" s="58">
        <v>1649</v>
      </c>
      <c r="D23" s="9">
        <v>866</v>
      </c>
      <c r="E23" s="115">
        <f t="shared" si="0"/>
        <v>52.51667677380231</v>
      </c>
      <c r="F23" s="58">
        <v>1805</v>
      </c>
      <c r="G23" s="9">
        <v>1091</v>
      </c>
      <c r="H23" s="7">
        <f t="shared" si="1"/>
        <v>60.443213296398888</v>
      </c>
      <c r="I23" s="58">
        <f t="shared" si="2"/>
        <v>156</v>
      </c>
      <c r="J23" s="116">
        <f t="shared" si="3"/>
        <v>9.4602789569436023</v>
      </c>
      <c r="K23" s="9">
        <f t="shared" si="5"/>
        <v>225</v>
      </c>
      <c r="L23" s="7">
        <f t="shared" si="4"/>
        <v>25.981524249422634</v>
      </c>
      <c r="N23" s="9">
        <f>RANK(F23,F10:F34,0)</f>
        <v>15</v>
      </c>
      <c r="O23" s="9">
        <f>RANK(F23,F10:F34,1)</f>
        <v>11</v>
      </c>
    </row>
    <row r="24" spans="2:15" x14ac:dyDescent="0.25">
      <c r="B24" s="18" t="s">
        <v>41</v>
      </c>
      <c r="C24" s="58">
        <v>2106</v>
      </c>
      <c r="D24" s="9">
        <v>1222</v>
      </c>
      <c r="E24" s="115">
        <f t="shared" si="0"/>
        <v>58.024691358024697</v>
      </c>
      <c r="F24" s="58">
        <v>2455</v>
      </c>
      <c r="G24" s="9">
        <v>1575</v>
      </c>
      <c r="H24" s="7">
        <f t="shared" si="1"/>
        <v>64.154786150712823</v>
      </c>
      <c r="I24" s="58">
        <f t="shared" si="2"/>
        <v>349</v>
      </c>
      <c r="J24" s="116">
        <f t="shared" si="3"/>
        <v>16.571699905033238</v>
      </c>
      <c r="K24" s="9">
        <f t="shared" si="5"/>
        <v>353</v>
      </c>
      <c r="L24" s="7">
        <f t="shared" si="4"/>
        <v>28.887070376432078</v>
      </c>
      <c r="N24" s="9">
        <f>RANK(F24,F10:F34,0)</f>
        <v>6</v>
      </c>
      <c r="O24" s="9">
        <f>RANK(F24,F10:F34,1)</f>
        <v>20</v>
      </c>
    </row>
    <row r="25" spans="2:15" x14ac:dyDescent="0.25">
      <c r="B25" s="18" t="s">
        <v>42</v>
      </c>
      <c r="C25" s="58">
        <v>1631</v>
      </c>
      <c r="D25" s="9">
        <v>1074</v>
      </c>
      <c r="E25" s="115">
        <f t="shared" si="0"/>
        <v>65.849172286940529</v>
      </c>
      <c r="F25" s="58">
        <v>2042</v>
      </c>
      <c r="G25" s="9">
        <v>1340</v>
      </c>
      <c r="H25" s="7">
        <f t="shared" si="1"/>
        <v>65.62193927522037</v>
      </c>
      <c r="I25" s="58">
        <f t="shared" si="2"/>
        <v>411</v>
      </c>
      <c r="J25" s="116">
        <f t="shared" si="3"/>
        <v>25.199264255058246</v>
      </c>
      <c r="K25" s="9">
        <f t="shared" si="5"/>
        <v>266</v>
      </c>
      <c r="L25" s="7">
        <f t="shared" si="4"/>
        <v>24.767225325884542</v>
      </c>
      <c r="N25" s="9">
        <f>RANK(F25,F10:F34,0)</f>
        <v>11</v>
      </c>
      <c r="O25" s="9">
        <f>RANK(F25,F10:F34,1)</f>
        <v>15</v>
      </c>
    </row>
    <row r="26" spans="2:15" x14ac:dyDescent="0.25">
      <c r="B26" s="18" t="s">
        <v>43</v>
      </c>
      <c r="C26" s="58">
        <v>2415</v>
      </c>
      <c r="D26" s="9">
        <v>1655</v>
      </c>
      <c r="E26" s="115">
        <f t="shared" si="0"/>
        <v>68.530020703933744</v>
      </c>
      <c r="F26" s="58">
        <v>2969</v>
      </c>
      <c r="G26" s="9">
        <v>2115</v>
      </c>
      <c r="H26" s="7">
        <f t="shared" si="1"/>
        <v>71.236106433142481</v>
      </c>
      <c r="I26" s="58">
        <f t="shared" si="2"/>
        <v>554</v>
      </c>
      <c r="J26" s="116">
        <f t="shared" si="3"/>
        <v>22.939958592132506</v>
      </c>
      <c r="K26" s="9">
        <f t="shared" si="5"/>
        <v>460</v>
      </c>
      <c r="L26" s="7">
        <f t="shared" si="4"/>
        <v>27.794561933534744</v>
      </c>
      <c r="N26" s="9">
        <f>RANK(F26,F10:F34,0)</f>
        <v>4</v>
      </c>
      <c r="O26" s="9">
        <f>RANK(F26,F10:F34,1)</f>
        <v>22</v>
      </c>
    </row>
    <row r="27" spans="2:15" x14ac:dyDescent="0.25">
      <c r="B27" s="18" t="s">
        <v>44</v>
      </c>
      <c r="C27" s="58">
        <v>1535</v>
      </c>
      <c r="D27" s="9">
        <v>928</v>
      </c>
      <c r="E27" s="115">
        <f t="shared" si="0"/>
        <v>60.45602605863192</v>
      </c>
      <c r="F27" s="58">
        <v>1760</v>
      </c>
      <c r="G27" s="9">
        <v>1115</v>
      </c>
      <c r="H27" s="7">
        <f t="shared" si="1"/>
        <v>63.352272727272727</v>
      </c>
      <c r="I27" s="58">
        <f t="shared" si="2"/>
        <v>225</v>
      </c>
      <c r="J27" s="116">
        <f t="shared" si="3"/>
        <v>14.65798045602606</v>
      </c>
      <c r="K27" s="9">
        <f t="shared" si="5"/>
        <v>187</v>
      </c>
      <c r="L27" s="7">
        <f t="shared" si="4"/>
        <v>20.150862068965516</v>
      </c>
      <c r="N27" s="9">
        <f>RANK(F27,F10:F34,0)</f>
        <v>17</v>
      </c>
      <c r="O27" s="9">
        <f>RANK(F27,F10:F34,1)</f>
        <v>9</v>
      </c>
    </row>
    <row r="28" spans="2:15" x14ac:dyDescent="0.25">
      <c r="B28" s="18" t="s">
        <v>45</v>
      </c>
      <c r="C28" s="58">
        <v>1587</v>
      </c>
      <c r="D28" s="9">
        <v>940</v>
      </c>
      <c r="E28" s="115">
        <f t="shared" si="0"/>
        <v>59.231253938248265</v>
      </c>
      <c r="F28" s="58">
        <v>2208</v>
      </c>
      <c r="G28" s="9">
        <v>1311</v>
      </c>
      <c r="H28" s="7">
        <f t="shared" si="1"/>
        <v>59.375</v>
      </c>
      <c r="I28" s="58">
        <f t="shared" si="2"/>
        <v>621</v>
      </c>
      <c r="J28" s="116">
        <f t="shared" si="3"/>
        <v>39.130434782608695</v>
      </c>
      <c r="K28" s="9">
        <f t="shared" si="5"/>
        <v>371</v>
      </c>
      <c r="L28" s="7">
        <f t="shared" si="4"/>
        <v>39.468085106382979</v>
      </c>
      <c r="N28" s="9">
        <f>RANK(F28,F10:F34,0)</f>
        <v>8</v>
      </c>
      <c r="O28" s="9">
        <f>RANK(F28,F10:F34,1)</f>
        <v>18</v>
      </c>
    </row>
    <row r="29" spans="2:15" x14ac:dyDescent="0.25">
      <c r="B29" s="18" t="s">
        <v>46</v>
      </c>
      <c r="C29" s="58">
        <v>1769</v>
      </c>
      <c r="D29" s="9">
        <v>1011</v>
      </c>
      <c r="E29" s="115">
        <f t="shared" si="0"/>
        <v>57.150932730356132</v>
      </c>
      <c r="F29" s="58">
        <v>1946</v>
      </c>
      <c r="G29" s="9">
        <v>1237</v>
      </c>
      <c r="H29" s="7">
        <f t="shared" si="1"/>
        <v>63.566289825282631</v>
      </c>
      <c r="I29" s="58">
        <f t="shared" si="2"/>
        <v>177</v>
      </c>
      <c r="J29" s="116">
        <f t="shared" si="3"/>
        <v>10.005652911249294</v>
      </c>
      <c r="K29" s="9">
        <f t="shared" si="5"/>
        <v>226</v>
      </c>
      <c r="L29" s="7">
        <f t="shared" si="4"/>
        <v>22.354104846686447</v>
      </c>
      <c r="N29" s="9">
        <f>RANK(F29,F10:F34,0)</f>
        <v>13</v>
      </c>
      <c r="O29" s="9">
        <f>RANK(F29,F10:F34,1)</f>
        <v>13</v>
      </c>
    </row>
    <row r="30" spans="2:15" x14ac:dyDescent="0.25">
      <c r="B30" s="18" t="s">
        <v>47</v>
      </c>
      <c r="C30" s="58">
        <v>847</v>
      </c>
      <c r="D30" s="9">
        <v>540</v>
      </c>
      <c r="E30" s="115">
        <f t="shared" si="0"/>
        <v>63.754427390791022</v>
      </c>
      <c r="F30" s="58">
        <v>1058</v>
      </c>
      <c r="G30" s="9">
        <v>768</v>
      </c>
      <c r="H30" s="7">
        <f t="shared" si="1"/>
        <v>72.589792060491504</v>
      </c>
      <c r="I30" s="58">
        <f t="shared" si="2"/>
        <v>211</v>
      </c>
      <c r="J30" s="116">
        <f t="shared" si="3"/>
        <v>24.911452184179456</v>
      </c>
      <c r="K30" s="9">
        <f t="shared" si="5"/>
        <v>228</v>
      </c>
      <c r="L30" s="7">
        <f t="shared" si="4"/>
        <v>42.222222222222221</v>
      </c>
      <c r="N30" s="9">
        <f>RANK(F30,F10:F34,0)</f>
        <v>21</v>
      </c>
      <c r="O30" s="9">
        <f>RANK(F30,F10:F34,1)</f>
        <v>5</v>
      </c>
    </row>
    <row r="31" spans="2:15" x14ac:dyDescent="0.25">
      <c r="B31" s="18" t="s">
        <v>311</v>
      </c>
      <c r="C31" s="58">
        <v>551</v>
      </c>
      <c r="D31" s="9">
        <v>287</v>
      </c>
      <c r="E31" s="115">
        <f t="shared" si="0"/>
        <v>52.08711433756806</v>
      </c>
      <c r="F31" s="58">
        <v>720</v>
      </c>
      <c r="G31" s="9">
        <v>369</v>
      </c>
      <c r="H31" s="7">
        <f t="shared" si="1"/>
        <v>51.249999999999993</v>
      </c>
      <c r="I31" s="58">
        <f t="shared" si="2"/>
        <v>169</v>
      </c>
      <c r="J31" s="116">
        <f t="shared" si="3"/>
        <v>30.671506352087114</v>
      </c>
      <c r="K31" s="9">
        <f t="shared" si="5"/>
        <v>82</v>
      </c>
      <c r="L31" s="7">
        <f t="shared" si="4"/>
        <v>28.571428571428569</v>
      </c>
      <c r="N31" s="9">
        <f>RANK(F31,F10:F34,0)</f>
        <v>24</v>
      </c>
      <c r="O31" s="9">
        <f>RANK(F31,F10:F34,1)</f>
        <v>2</v>
      </c>
    </row>
    <row r="32" spans="2:15" x14ac:dyDescent="0.25">
      <c r="B32" s="18" t="s">
        <v>312</v>
      </c>
      <c r="C32" s="58">
        <v>1135</v>
      </c>
      <c r="D32" s="9">
        <v>637</v>
      </c>
      <c r="E32" s="115">
        <f t="shared" si="0"/>
        <v>56.123348017621147</v>
      </c>
      <c r="F32" s="58">
        <v>1266</v>
      </c>
      <c r="G32" s="9">
        <v>796</v>
      </c>
      <c r="H32" s="7">
        <f t="shared" si="1"/>
        <v>62.875197472353875</v>
      </c>
      <c r="I32" s="58">
        <f t="shared" si="2"/>
        <v>131</v>
      </c>
      <c r="J32" s="116">
        <f t="shared" si="3"/>
        <v>11.541850220264317</v>
      </c>
      <c r="K32" s="9">
        <f t="shared" si="5"/>
        <v>159</v>
      </c>
      <c r="L32" s="7">
        <f t="shared" si="4"/>
        <v>24.960753532182103</v>
      </c>
      <c r="N32" s="9">
        <f>RANK(F32,F10:F34,0)</f>
        <v>20</v>
      </c>
      <c r="O32" s="9">
        <f>RANK(F32,F10:F34,1)</f>
        <v>6</v>
      </c>
    </row>
    <row r="33" spans="2:15" x14ac:dyDescent="0.25">
      <c r="B33" s="18" t="s">
        <v>313</v>
      </c>
      <c r="C33" s="58">
        <v>2419</v>
      </c>
      <c r="D33" s="9">
        <v>1642</v>
      </c>
      <c r="E33" s="115">
        <f t="shared" si="0"/>
        <v>67.879288962381139</v>
      </c>
      <c r="F33" s="58">
        <v>3212</v>
      </c>
      <c r="G33" s="9">
        <v>2343</v>
      </c>
      <c r="H33" s="7">
        <f t="shared" si="1"/>
        <v>72.945205479452056</v>
      </c>
      <c r="I33" s="58">
        <f t="shared" si="2"/>
        <v>793</v>
      </c>
      <c r="J33" s="116">
        <f t="shared" si="3"/>
        <v>32.782141380735844</v>
      </c>
      <c r="K33" s="9">
        <f t="shared" si="5"/>
        <v>701</v>
      </c>
      <c r="L33" s="7">
        <f t="shared" si="4"/>
        <v>42.691839220462853</v>
      </c>
      <c r="N33" s="9">
        <f>RANK(F33,F10:F34,0)</f>
        <v>1</v>
      </c>
      <c r="O33" s="9">
        <f>RANK(F33,F10:F34,1)</f>
        <v>25</v>
      </c>
    </row>
    <row r="34" spans="2:15" ht="15.75" thickBot="1" x14ac:dyDescent="0.3">
      <c r="B34" s="19" t="s">
        <v>314</v>
      </c>
      <c r="C34" s="3">
        <v>729</v>
      </c>
      <c r="D34" s="5">
        <v>434</v>
      </c>
      <c r="E34" s="117">
        <f t="shared" si="0"/>
        <v>59.533607681755832</v>
      </c>
      <c r="F34" s="3">
        <v>979</v>
      </c>
      <c r="G34" s="5">
        <v>646</v>
      </c>
      <c r="H34" s="8">
        <f t="shared" si="1"/>
        <v>65.985699693564854</v>
      </c>
      <c r="I34" s="3">
        <f t="shared" si="2"/>
        <v>250</v>
      </c>
      <c r="J34" s="55">
        <f t="shared" si="3"/>
        <v>34.293552812071333</v>
      </c>
      <c r="K34" s="5">
        <f t="shared" si="5"/>
        <v>212</v>
      </c>
      <c r="L34" s="8">
        <f t="shared" si="4"/>
        <v>48.847926267281103</v>
      </c>
      <c r="N34" s="5">
        <f>RANK(F34,F10:F34,0)</f>
        <v>23</v>
      </c>
      <c r="O34" s="5">
        <f>RANK(F34,F10:F34,1)</f>
        <v>3</v>
      </c>
    </row>
  </sheetData>
  <mergeCells count="11">
    <mergeCell ref="B5:B8"/>
    <mergeCell ref="C7:C8"/>
    <mergeCell ref="C5:L5"/>
    <mergeCell ref="F6:H6"/>
    <mergeCell ref="C6:E6"/>
    <mergeCell ref="I6:L6"/>
    <mergeCell ref="F7:F8"/>
    <mergeCell ref="G7:H7"/>
    <mergeCell ref="D7:E7"/>
    <mergeCell ref="I7:J7"/>
    <mergeCell ref="K7:L7"/>
  </mergeCells>
  <pageMargins left="1.299212598425197" right="0" top="0.6692913385826772" bottom="0" header="0" footer="0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2:L36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86" customWidth="1"/>
    <col min="2" max="2" width="36.7109375" style="86" customWidth="1"/>
    <col min="3" max="3" width="10.5703125" style="86" customWidth="1"/>
    <col min="4" max="4" width="10.7109375" style="86" customWidth="1"/>
    <col min="5" max="5" width="10.140625" style="86" customWidth="1"/>
    <col min="6" max="6" width="11.28515625" style="86" customWidth="1"/>
    <col min="7" max="7" width="13.5703125" style="86" customWidth="1"/>
    <col min="8" max="8" width="9" style="86" customWidth="1"/>
    <col min="9" max="9" width="2.42578125" style="86" customWidth="1"/>
    <col min="10" max="10" width="5.140625" style="387" customWidth="1"/>
    <col min="11" max="11" width="24" style="86" customWidth="1"/>
    <col min="12" max="12" width="25.5703125" style="532" customWidth="1"/>
    <col min="13" max="16384" width="9.140625" style="86"/>
  </cols>
  <sheetData>
    <row r="2" spans="2:12" x14ac:dyDescent="0.25">
      <c r="B2" s="11" t="s">
        <v>283</v>
      </c>
      <c r="C2" s="11"/>
      <c r="D2" s="11"/>
      <c r="E2" s="11"/>
      <c r="F2" s="11"/>
      <c r="G2" s="11"/>
      <c r="H2" s="11"/>
      <c r="I2" s="11"/>
    </row>
    <row r="3" spans="2:12" x14ac:dyDescent="0.25">
      <c r="B3" s="11" t="s">
        <v>446</v>
      </c>
      <c r="C3" s="11"/>
      <c r="D3" s="11"/>
      <c r="E3" s="11"/>
      <c r="F3" s="11"/>
      <c r="G3" s="11"/>
      <c r="H3" s="11"/>
      <c r="I3" s="11"/>
    </row>
    <row r="4" spans="2:12" ht="9.75" customHeight="1" thickBot="1" x14ac:dyDescent="0.3">
      <c r="B4" s="11"/>
      <c r="C4" s="11"/>
      <c r="D4" s="11"/>
      <c r="E4" s="11"/>
      <c r="F4" s="11"/>
      <c r="G4" s="11"/>
      <c r="H4" s="11"/>
      <c r="I4" s="11"/>
    </row>
    <row r="5" spans="2:12" ht="24" customHeight="1" x14ac:dyDescent="0.25">
      <c r="B5" s="849" t="s">
        <v>169</v>
      </c>
      <c r="C5" s="865" t="s">
        <v>440</v>
      </c>
      <c r="D5" s="865"/>
      <c r="E5" s="863" t="s">
        <v>462</v>
      </c>
      <c r="F5" s="864"/>
      <c r="G5" s="866" t="s">
        <v>171</v>
      </c>
      <c r="H5" s="867" t="s">
        <v>128</v>
      </c>
      <c r="I5" s="610"/>
    </row>
    <row r="6" spans="2:12" ht="30.75" thickBot="1" x14ac:dyDescent="0.3">
      <c r="B6" s="862"/>
      <c r="C6" s="27" t="s">
        <v>4</v>
      </c>
      <c r="D6" s="27" t="s">
        <v>109</v>
      </c>
      <c r="E6" s="25" t="s">
        <v>4</v>
      </c>
      <c r="F6" s="477" t="s">
        <v>109</v>
      </c>
      <c r="G6" s="833"/>
      <c r="H6" s="835"/>
      <c r="I6" s="610"/>
    </row>
    <row r="7" spans="2:12" ht="39.75" customHeight="1" thickBot="1" x14ac:dyDescent="0.3">
      <c r="B7" s="240" t="s">
        <v>349</v>
      </c>
      <c r="C7" s="184">
        <f>SUM(C11:C35)</f>
        <v>14791</v>
      </c>
      <c r="D7" s="184">
        <f>SUM(D11:D35)</f>
        <v>7674</v>
      </c>
      <c r="E7" s="50">
        <f>SUM(E11:E35)</f>
        <v>11174</v>
      </c>
      <c r="F7" s="52">
        <f>SUM(F11:F35)</f>
        <v>6178</v>
      </c>
      <c r="G7" s="186">
        <f>SUM(E7-C7)</f>
        <v>-3617</v>
      </c>
      <c r="H7" s="51">
        <f>(E7-C7)*100/C7</f>
        <v>-24.454059901291327</v>
      </c>
      <c r="I7" s="633"/>
      <c r="K7" s="393"/>
    </row>
    <row r="8" spans="2:12" ht="24.75" customHeight="1" x14ac:dyDescent="0.25">
      <c r="B8" s="129" t="s">
        <v>167</v>
      </c>
      <c r="C8" s="119">
        <v>14728</v>
      </c>
      <c r="D8" s="119">
        <v>7637</v>
      </c>
      <c r="E8" s="37">
        <v>11096</v>
      </c>
      <c r="F8" s="478">
        <v>6129</v>
      </c>
      <c r="G8" s="118">
        <f>SUM(E8-C8)</f>
        <v>-3632</v>
      </c>
      <c r="H8" s="38">
        <f>(E8-C8)*100/C8</f>
        <v>-24.660510592069528</v>
      </c>
      <c r="I8" s="634"/>
      <c r="K8" s="387"/>
      <c r="L8" s="638"/>
    </row>
    <row r="9" spans="2:12" ht="35.25" customHeight="1" thickBot="1" x14ac:dyDescent="0.3">
      <c r="B9" s="130" t="s">
        <v>166</v>
      </c>
      <c r="C9" s="28">
        <v>2394</v>
      </c>
      <c r="D9" s="28">
        <v>1211</v>
      </c>
      <c r="E9" s="479">
        <v>1762</v>
      </c>
      <c r="F9" s="480">
        <v>907</v>
      </c>
      <c r="G9" s="131">
        <f>SUM(E9-C9)</f>
        <v>-632</v>
      </c>
      <c r="H9" s="132">
        <f>(E9-C9)*100/C9</f>
        <v>-26.399331662489558</v>
      </c>
      <c r="I9" s="634"/>
      <c r="K9" s="387"/>
      <c r="L9" s="638"/>
    </row>
    <row r="10" spans="2:12" ht="28.5" customHeight="1" thickBot="1" x14ac:dyDescent="0.3">
      <c r="B10" s="859" t="s">
        <v>170</v>
      </c>
      <c r="C10" s="860"/>
      <c r="D10" s="860"/>
      <c r="E10" s="860"/>
      <c r="F10" s="860"/>
      <c r="G10" s="860"/>
      <c r="H10" s="861"/>
      <c r="I10" s="635"/>
    </row>
    <row r="11" spans="2:12" ht="15.75" customHeight="1" x14ac:dyDescent="0.25">
      <c r="B11" s="61" t="s">
        <v>27</v>
      </c>
      <c r="C11" s="119">
        <v>204</v>
      </c>
      <c r="D11" s="119">
        <v>113</v>
      </c>
      <c r="E11" s="43">
        <v>141</v>
      </c>
      <c r="F11" s="342">
        <v>85</v>
      </c>
      <c r="G11" s="118">
        <f t="shared" ref="G11:G35" si="0">SUM(E11-C11)</f>
        <v>-63</v>
      </c>
      <c r="H11" s="639">
        <f t="shared" ref="H11:H35" si="1">(E11-C11)*100/C11</f>
        <v>-30.882352941176471</v>
      </c>
      <c r="I11" s="636"/>
      <c r="J11" s="637">
        <f>RANK(H11,$H$11:$H$35,1)+COUNTIF($H$11:H11,H11)-1</f>
        <v>7</v>
      </c>
      <c r="K11" s="86" t="str">
        <f>INDEX(B11:H35,MATCH(1,J11:J35,0),1)</f>
        <v>dębicki</v>
      </c>
      <c r="L11" s="638">
        <f>INDEX(B11:H35,MATCH(1,J11:J35,0),7)</f>
        <v>-42.459736456808201</v>
      </c>
    </row>
    <row r="12" spans="2:12" x14ac:dyDescent="0.25">
      <c r="B12" s="12" t="s">
        <v>28</v>
      </c>
      <c r="C12" s="14">
        <v>892</v>
      </c>
      <c r="D12" s="14">
        <v>422</v>
      </c>
      <c r="E12" s="13">
        <v>676</v>
      </c>
      <c r="F12" s="343">
        <v>354</v>
      </c>
      <c r="G12" s="96">
        <f t="shared" si="0"/>
        <v>-216</v>
      </c>
      <c r="H12" s="120">
        <f t="shared" si="1"/>
        <v>-24.215246636771301</v>
      </c>
      <c r="I12" s="636"/>
      <c r="J12" s="637">
        <f>RANK(H12,$H$11:$H$35,1)+COUNTIF($H$12:H12,H12)-1</f>
        <v>13</v>
      </c>
      <c r="K12" s="86" t="str">
        <f>INDEX(B11:H35,MATCH(2,J11:J35,0),1)</f>
        <v>sanocki</v>
      </c>
      <c r="L12" s="638">
        <f>INDEX(B11:H35,MATCH(2,J11:J35,0),7)</f>
        <v>-40.899795501022496</v>
      </c>
    </row>
    <row r="13" spans="2:12" x14ac:dyDescent="0.25">
      <c r="B13" s="12" t="s">
        <v>29</v>
      </c>
      <c r="C13" s="14">
        <v>683</v>
      </c>
      <c r="D13" s="14">
        <v>391</v>
      </c>
      <c r="E13" s="13">
        <v>393</v>
      </c>
      <c r="F13" s="343">
        <v>247</v>
      </c>
      <c r="G13" s="96">
        <f t="shared" si="0"/>
        <v>-290</v>
      </c>
      <c r="H13" s="120">
        <f t="shared" si="1"/>
        <v>-42.459736456808201</v>
      </c>
      <c r="I13" s="636"/>
      <c r="J13" s="637">
        <f>RANK(H13,$H$11:$H$35,1)+COUNTIF($H$13:H13,H13)-1</f>
        <v>1</v>
      </c>
      <c r="K13" s="86" t="str">
        <f>INDEX(B11:H35,MATCH(3,J11:J35,0),1)</f>
        <v>lubaczowski</v>
      </c>
      <c r="L13" s="638">
        <f>INDEX(B11:H35,MATCH(3,J11:J35,0),7)</f>
        <v>-40.294117647058826</v>
      </c>
    </row>
    <row r="14" spans="2:12" x14ac:dyDescent="0.25">
      <c r="B14" s="12" t="s">
        <v>30</v>
      </c>
      <c r="C14" s="14">
        <v>936</v>
      </c>
      <c r="D14" s="14">
        <v>470</v>
      </c>
      <c r="E14" s="13">
        <v>871</v>
      </c>
      <c r="F14" s="343">
        <v>512</v>
      </c>
      <c r="G14" s="96">
        <f t="shared" si="0"/>
        <v>-65</v>
      </c>
      <c r="H14" s="120">
        <f t="shared" si="1"/>
        <v>-6.9444444444444446</v>
      </c>
      <c r="I14" s="636"/>
      <c r="J14" s="637">
        <f>RANK(H14,$H$11:$H$35,1)+COUNTIF($H$14:H14,H14)-1</f>
        <v>25</v>
      </c>
      <c r="K14" s="86" t="str">
        <f>INDEX(B11:H35,MATCH(4,J11:J35,0),1)</f>
        <v>mielecki</v>
      </c>
      <c r="L14" s="638">
        <f>INDEX(B11:H35,MATCH(4,J11:J35,0),7)</f>
        <v>-36.722488038277511</v>
      </c>
    </row>
    <row r="15" spans="2:12" x14ac:dyDescent="0.25">
      <c r="B15" s="12" t="s">
        <v>31</v>
      </c>
      <c r="C15" s="14">
        <v>861</v>
      </c>
      <c r="D15" s="14">
        <v>449</v>
      </c>
      <c r="E15" s="13">
        <v>654</v>
      </c>
      <c r="F15" s="343">
        <v>333</v>
      </c>
      <c r="G15" s="96">
        <f>SUM(E15-C15)</f>
        <v>-207</v>
      </c>
      <c r="H15" s="120">
        <f t="shared" si="1"/>
        <v>-24.041811846689896</v>
      </c>
      <c r="I15" s="636"/>
      <c r="J15" s="637">
        <f>RANK(H15,$H$11:$H$35,1)+COUNTIF($H$15:H15,H15)-1</f>
        <v>14</v>
      </c>
      <c r="K15" s="86" t="str">
        <f>INDEX(B11:H35,MATCH(5,J11:J35,0),1)</f>
        <v>krośnieński</v>
      </c>
      <c r="L15" s="638">
        <f>INDEX(B11:H35,MATCH(5,J11:J35,0),7)</f>
        <v>-34.523809523809526</v>
      </c>
    </row>
    <row r="16" spans="2:12" x14ac:dyDescent="0.25">
      <c r="B16" s="12" t="s">
        <v>32</v>
      </c>
      <c r="C16" s="14">
        <v>348</v>
      </c>
      <c r="D16" s="14">
        <v>190</v>
      </c>
      <c r="E16" s="13">
        <v>243</v>
      </c>
      <c r="F16" s="343">
        <v>139</v>
      </c>
      <c r="G16" s="96">
        <f>SUM(E16-C16)</f>
        <v>-105</v>
      </c>
      <c r="H16" s="120">
        <f t="shared" si="1"/>
        <v>-30.172413793103448</v>
      </c>
      <c r="I16" s="636"/>
      <c r="J16" s="637">
        <f>RANK(H16,$H$11:$H$35,1)+COUNTIF($H$16:H16,H16)-1</f>
        <v>10</v>
      </c>
      <c r="K16" s="86" t="str">
        <f>INDEX(B11:H35,MATCH(6,J11:J35,0),1)</f>
        <v>tarnobrzeski</v>
      </c>
      <c r="L16" s="638">
        <f>INDEX(B11:H35,MATCH(6,J11:J35,0),7)</f>
        <v>-31.884057971014492</v>
      </c>
    </row>
    <row r="17" spans="2:12" x14ac:dyDescent="0.25">
      <c r="B17" s="12" t="s">
        <v>33</v>
      </c>
      <c r="C17" s="14">
        <v>504</v>
      </c>
      <c r="D17" s="14">
        <v>282</v>
      </c>
      <c r="E17" s="13">
        <v>330</v>
      </c>
      <c r="F17" s="343">
        <v>205</v>
      </c>
      <c r="G17" s="96">
        <f t="shared" si="0"/>
        <v>-174</v>
      </c>
      <c r="H17" s="120">
        <f t="shared" si="1"/>
        <v>-34.523809523809526</v>
      </c>
      <c r="I17" s="636"/>
      <c r="J17" s="637">
        <f>RANK(H17,$H$11:$H$35,1)+COUNTIF($H$17:H17,H17)-1</f>
        <v>5</v>
      </c>
      <c r="K17" s="86" t="str">
        <f>INDEX(B11:H35,MATCH(7,J11:J35,0),1)</f>
        <v>bieszczadzki</v>
      </c>
      <c r="L17" s="638">
        <f>INDEX(B11:H35,MATCH(7,J11:J35,0),7)</f>
        <v>-30.882352941176471</v>
      </c>
    </row>
    <row r="18" spans="2:12" x14ac:dyDescent="0.25">
      <c r="B18" s="12" t="s">
        <v>34</v>
      </c>
      <c r="C18" s="14">
        <v>292</v>
      </c>
      <c r="D18" s="14">
        <v>152</v>
      </c>
      <c r="E18" s="13">
        <v>223</v>
      </c>
      <c r="F18" s="343">
        <v>123</v>
      </c>
      <c r="G18" s="96">
        <f t="shared" si="0"/>
        <v>-69</v>
      </c>
      <c r="H18" s="120">
        <f t="shared" si="1"/>
        <v>-23.63013698630137</v>
      </c>
      <c r="I18" s="636"/>
      <c r="J18" s="637">
        <f>RANK(H18,$H$11:$H$35,1)+COUNTIF($H$18:H18,H18)-1</f>
        <v>16</v>
      </c>
      <c r="K18" s="86" t="str">
        <f>INDEX(B11:H35,MATCH(8,J11:J35,0),1)</f>
        <v>rzeszowski</v>
      </c>
      <c r="L18" s="638">
        <f>INDEX(B11:H35,MATCH(8,J11:J35,0),7)</f>
        <v>-30.555555555555557</v>
      </c>
    </row>
    <row r="19" spans="2:12" x14ac:dyDescent="0.25">
      <c r="B19" s="12" t="s">
        <v>35</v>
      </c>
      <c r="C19" s="14">
        <v>646</v>
      </c>
      <c r="D19" s="14">
        <v>331</v>
      </c>
      <c r="E19" s="13">
        <v>556</v>
      </c>
      <c r="F19" s="343">
        <v>298</v>
      </c>
      <c r="G19" s="96">
        <f t="shared" si="0"/>
        <v>-90</v>
      </c>
      <c r="H19" s="120">
        <f t="shared" si="1"/>
        <v>-13.93188854489164</v>
      </c>
      <c r="I19" s="636"/>
      <c r="J19" s="637">
        <f>RANK(H19,$H$11:$H$35,1)+COUNTIF($H$19:H19,H19)-1</f>
        <v>23</v>
      </c>
      <c r="K19" s="86" t="str">
        <f>INDEX(B11:H35,MATCH(9,J11:J35,0),1)</f>
        <v>stalowowolski</v>
      </c>
      <c r="L19" s="638">
        <f>INDEX(B11:H35,MATCH(9,J11:J35,0),7)</f>
        <v>-30.284552845528456</v>
      </c>
    </row>
    <row r="20" spans="2:12" x14ac:dyDescent="0.25">
      <c r="B20" s="12" t="s">
        <v>36</v>
      </c>
      <c r="C20" s="14">
        <v>340</v>
      </c>
      <c r="D20" s="14">
        <v>136</v>
      </c>
      <c r="E20" s="13">
        <v>203</v>
      </c>
      <c r="F20" s="343">
        <v>97</v>
      </c>
      <c r="G20" s="96">
        <f t="shared" si="0"/>
        <v>-137</v>
      </c>
      <c r="H20" s="120">
        <f t="shared" si="1"/>
        <v>-40.294117647058826</v>
      </c>
      <c r="I20" s="636"/>
      <c r="J20" s="637">
        <f>RANK(H20,$H$11:$H$35,1)+COUNTIF($H$20:H20,H20)-1</f>
        <v>3</v>
      </c>
      <c r="K20" s="86" t="str">
        <f>INDEX(B11:H35,MATCH(10,J11:J35,0),1)</f>
        <v>kolbuszowski</v>
      </c>
      <c r="L20" s="638">
        <f>INDEX(B11:H35,MATCH(10,J11:J35,0),7)</f>
        <v>-30.172413793103448</v>
      </c>
    </row>
    <row r="21" spans="2:12" x14ac:dyDescent="0.25">
      <c r="B21" s="12" t="s">
        <v>37</v>
      </c>
      <c r="C21" s="14">
        <v>805</v>
      </c>
      <c r="D21" s="14">
        <v>415</v>
      </c>
      <c r="E21" s="13">
        <v>618</v>
      </c>
      <c r="F21" s="343">
        <v>337</v>
      </c>
      <c r="G21" s="96">
        <f t="shared" si="0"/>
        <v>-187</v>
      </c>
      <c r="H21" s="120">
        <f t="shared" si="1"/>
        <v>-23.229813664596275</v>
      </c>
      <c r="I21" s="636"/>
      <c r="J21" s="637">
        <f>RANK(H21,$H$11:$H$35,1)+COUNTIF($H$21:H21,H21)-1</f>
        <v>17</v>
      </c>
      <c r="K21" s="86" t="str">
        <f>INDEX(B11:H35,MATCH(11,J11:J35,0),1)</f>
        <v>Przemyśl</v>
      </c>
      <c r="L21" s="638">
        <f>INDEX(B11:H35,MATCH(11,J11:J35,0),7)</f>
        <v>-26.797385620915033</v>
      </c>
    </row>
    <row r="22" spans="2:12" x14ac:dyDescent="0.25">
      <c r="B22" s="12" t="s">
        <v>38</v>
      </c>
      <c r="C22" s="14">
        <v>836</v>
      </c>
      <c r="D22" s="14">
        <v>470</v>
      </c>
      <c r="E22" s="13">
        <v>529</v>
      </c>
      <c r="F22" s="343">
        <v>315</v>
      </c>
      <c r="G22" s="96">
        <f t="shared" si="0"/>
        <v>-307</v>
      </c>
      <c r="H22" s="120">
        <f t="shared" si="1"/>
        <v>-36.722488038277511</v>
      </c>
      <c r="I22" s="636"/>
      <c r="J22" s="637">
        <f>RANK(H22,$H$11:$H$35,1)+COUNTIF($H$22:H22,H22)-1</f>
        <v>4</v>
      </c>
      <c r="K22" s="86" t="str">
        <f>INDEX(B11:H35,MATCH(12,J11:J35,0),1)</f>
        <v>Krosno</v>
      </c>
      <c r="L22" s="638">
        <f>INDEX(B11:H35,MATCH(12,J11:J35,0),7)</f>
        <v>-25.714285714285715</v>
      </c>
    </row>
    <row r="23" spans="2:12" x14ac:dyDescent="0.25">
      <c r="B23" s="12" t="s">
        <v>39</v>
      </c>
      <c r="C23" s="14">
        <v>766</v>
      </c>
      <c r="D23" s="14">
        <v>381</v>
      </c>
      <c r="E23" s="13">
        <v>582</v>
      </c>
      <c r="F23" s="343">
        <v>300</v>
      </c>
      <c r="G23" s="96">
        <f t="shared" si="0"/>
        <v>-184</v>
      </c>
      <c r="H23" s="120">
        <f t="shared" si="1"/>
        <v>-24.020887728459531</v>
      </c>
      <c r="I23" s="636"/>
      <c r="J23" s="637">
        <f>RANK(H23,$H$11:$H$35,1)+COUNTIF($H$23:H23,H23)-1</f>
        <v>15</v>
      </c>
      <c r="K23" s="86" t="str">
        <f>INDEX(B11:H35,MATCH(13,J11:J35,0),1)</f>
        <v>brzozowski</v>
      </c>
      <c r="L23" s="638">
        <f>INDEX(B11:H35,MATCH(13,J11:J35,0),7)</f>
        <v>-24.215246636771301</v>
      </c>
    </row>
    <row r="24" spans="2:12" x14ac:dyDescent="0.25">
      <c r="B24" s="18" t="s">
        <v>40</v>
      </c>
      <c r="C24" s="122">
        <v>634</v>
      </c>
      <c r="D24" s="122">
        <v>336</v>
      </c>
      <c r="E24" s="121">
        <v>525</v>
      </c>
      <c r="F24" s="481">
        <v>274</v>
      </c>
      <c r="G24" s="96">
        <f t="shared" si="0"/>
        <v>-109</v>
      </c>
      <c r="H24" s="120">
        <f t="shared" si="1"/>
        <v>-17.19242902208202</v>
      </c>
      <c r="I24" s="636"/>
      <c r="J24" s="637">
        <f>RANK(H24,$H$11:$H$35,1)+COUNTIF($H$24:H24,H24)-1</f>
        <v>21</v>
      </c>
      <c r="K24" s="86" t="str">
        <f>INDEX(B11:H35,MATCH(14,J11:J35,0),1)</f>
        <v>jasielski</v>
      </c>
      <c r="L24" s="638">
        <f>INDEX(B11:H35,MATCH(14,J11:J35,0),7)</f>
        <v>-24.041811846689896</v>
      </c>
    </row>
    <row r="25" spans="2:12" x14ac:dyDescent="0.25">
      <c r="B25" s="18" t="s">
        <v>41</v>
      </c>
      <c r="C25" s="122">
        <v>634</v>
      </c>
      <c r="D25" s="122">
        <v>330</v>
      </c>
      <c r="E25" s="121">
        <v>571</v>
      </c>
      <c r="F25" s="481">
        <v>354</v>
      </c>
      <c r="G25" s="96">
        <f t="shared" si="0"/>
        <v>-63</v>
      </c>
      <c r="H25" s="120">
        <f t="shared" si="1"/>
        <v>-9.9369085173501581</v>
      </c>
      <c r="I25" s="636"/>
      <c r="J25" s="637">
        <f>RANK(H25,$H$11:$H$35,1)+COUNTIF($H$25:H25,H25)-1</f>
        <v>24</v>
      </c>
      <c r="K25" s="86" t="str">
        <f>INDEX(B11:H35,MATCH(15,J11:J35,0),1)</f>
        <v>niżański</v>
      </c>
      <c r="L25" s="638">
        <f>INDEX(B11:H35,MATCH(15,J11:J35,0),7)</f>
        <v>-24.020887728459531</v>
      </c>
    </row>
    <row r="26" spans="2:12" x14ac:dyDescent="0.25">
      <c r="B26" s="18" t="s">
        <v>42</v>
      </c>
      <c r="C26" s="122">
        <v>838</v>
      </c>
      <c r="D26" s="122">
        <v>435</v>
      </c>
      <c r="E26" s="121">
        <v>675</v>
      </c>
      <c r="F26" s="481">
        <v>385</v>
      </c>
      <c r="G26" s="96">
        <f t="shared" si="0"/>
        <v>-163</v>
      </c>
      <c r="H26" s="120">
        <f t="shared" si="1"/>
        <v>-19.451073985680193</v>
      </c>
      <c r="I26" s="636"/>
      <c r="J26" s="637">
        <f>RANK(H26,$H$11:$H$35,1)+COUNTIF($H$26:H26,H26)-1</f>
        <v>19</v>
      </c>
      <c r="K26" s="86" t="str">
        <f>INDEX(B11:H35,MATCH(16,J11:J35,0),1)</f>
        <v>leski</v>
      </c>
      <c r="L26" s="638">
        <f>INDEX(B11:H35,MATCH(16,J11:J35,0),7)</f>
        <v>-23.63013698630137</v>
      </c>
    </row>
    <row r="27" spans="2:12" x14ac:dyDescent="0.25">
      <c r="B27" s="18" t="s">
        <v>43</v>
      </c>
      <c r="C27" s="122">
        <v>936</v>
      </c>
      <c r="D27" s="122">
        <v>493</v>
      </c>
      <c r="E27" s="121">
        <v>650</v>
      </c>
      <c r="F27" s="481">
        <v>350</v>
      </c>
      <c r="G27" s="96">
        <f t="shared" si="0"/>
        <v>-286</v>
      </c>
      <c r="H27" s="120">
        <f t="shared" si="1"/>
        <v>-30.555555555555557</v>
      </c>
      <c r="I27" s="636"/>
      <c r="J27" s="637">
        <f>RANK(H27,$H$11:$H$35,1)+COUNTIF($H$27:H27,H27)-1</f>
        <v>8</v>
      </c>
      <c r="K27" s="86" t="str">
        <f>INDEX(B11:H35,MATCH(17,J11:J35,0),1)</f>
        <v>łańcucki</v>
      </c>
      <c r="L27" s="638">
        <f>INDEX(B11:H35,MATCH(17,J11:J35,0),7)</f>
        <v>-23.229813664596275</v>
      </c>
    </row>
    <row r="28" spans="2:12" x14ac:dyDescent="0.25">
      <c r="B28" s="18" t="s">
        <v>44</v>
      </c>
      <c r="C28" s="122">
        <v>489</v>
      </c>
      <c r="D28" s="122">
        <v>232</v>
      </c>
      <c r="E28" s="121">
        <v>289</v>
      </c>
      <c r="F28" s="481">
        <v>160</v>
      </c>
      <c r="G28" s="96">
        <f t="shared" si="0"/>
        <v>-200</v>
      </c>
      <c r="H28" s="120">
        <f t="shared" si="1"/>
        <v>-40.899795501022496</v>
      </c>
      <c r="I28" s="636"/>
      <c r="J28" s="637">
        <f>RANK(H28,$H$11:$H$35,1)+COUNTIF($H$28:H28,H28)-1</f>
        <v>2</v>
      </c>
      <c r="K28" s="86" t="str">
        <f>INDEX(B11:H35,MATCH(18,J11:J35,0),1)</f>
        <v>Tarnobrzeg</v>
      </c>
      <c r="L28" s="638">
        <f>INDEX(B11:H35,MATCH(18,J11:J35,0),7)</f>
        <v>-20.087336244541486</v>
      </c>
    </row>
    <row r="29" spans="2:12" x14ac:dyDescent="0.25">
      <c r="B29" s="18" t="s">
        <v>45</v>
      </c>
      <c r="C29" s="122">
        <v>492</v>
      </c>
      <c r="D29" s="122">
        <v>253</v>
      </c>
      <c r="E29" s="121">
        <v>343</v>
      </c>
      <c r="F29" s="481">
        <v>188</v>
      </c>
      <c r="G29" s="96">
        <f t="shared" si="0"/>
        <v>-149</v>
      </c>
      <c r="H29" s="120">
        <f t="shared" si="1"/>
        <v>-30.284552845528456</v>
      </c>
      <c r="I29" s="636"/>
      <c r="J29" s="637">
        <f>RANK(H29,$H$11:$H$35,1)+COUNTIF($H$29:H29,H29)-1</f>
        <v>9</v>
      </c>
      <c r="K29" s="86" t="str">
        <f>INDEX(B11:H35,MATCH(19,J11:J35,0),1)</f>
        <v>ropczycko-sędziszowski</v>
      </c>
      <c r="L29" s="638">
        <f>INDEX(B11:H35,MATCH(19,J11:J35,0),7)</f>
        <v>-19.451073985680193</v>
      </c>
    </row>
    <row r="30" spans="2:12" x14ac:dyDescent="0.25">
      <c r="B30" s="18" t="s">
        <v>46</v>
      </c>
      <c r="C30" s="122">
        <v>638</v>
      </c>
      <c r="D30" s="122">
        <v>312</v>
      </c>
      <c r="E30" s="121">
        <v>528</v>
      </c>
      <c r="F30" s="481">
        <v>263</v>
      </c>
      <c r="G30" s="96">
        <f t="shared" si="0"/>
        <v>-110</v>
      </c>
      <c r="H30" s="120">
        <f t="shared" si="1"/>
        <v>-17.241379310344829</v>
      </c>
      <c r="I30" s="636"/>
      <c r="J30" s="637">
        <f>RANK(H30,$H$11:$H$35,1)+COUNTIF($H$30:H30,H30)-1</f>
        <v>20</v>
      </c>
      <c r="K30" s="86" t="str">
        <f>INDEX(B11:H35,MATCH(20,J11:J35,0),1)</f>
        <v>strzyżowski</v>
      </c>
      <c r="L30" s="638">
        <f>INDEX(B11:H35,MATCH(20,J11:J35,0),7)</f>
        <v>-17.241379310344829</v>
      </c>
    </row>
    <row r="31" spans="2:12" x14ac:dyDescent="0.25">
      <c r="B31" s="18" t="s">
        <v>47</v>
      </c>
      <c r="C31" s="122">
        <v>276</v>
      </c>
      <c r="D31" s="122">
        <v>143</v>
      </c>
      <c r="E31" s="121">
        <v>188</v>
      </c>
      <c r="F31" s="481">
        <v>95</v>
      </c>
      <c r="G31" s="96">
        <f t="shared" si="0"/>
        <v>-88</v>
      </c>
      <c r="H31" s="120">
        <f t="shared" si="1"/>
        <v>-31.884057971014492</v>
      </c>
      <c r="I31" s="636"/>
      <c r="J31" s="637">
        <f>RANK(H31,$H$11:$H$35,1)+COUNTIF($H$31:H31,H31)-1</f>
        <v>6</v>
      </c>
      <c r="K31" s="86" t="str">
        <f>INDEX(B11:H35,MATCH(21,J11:J35,0),1)</f>
        <v>przemyski</v>
      </c>
      <c r="L31" s="638">
        <f>INDEX(B11:H35,MATCH(21,J11:J35,0),7)</f>
        <v>-17.19242902208202</v>
      </c>
    </row>
    <row r="32" spans="2:12" x14ac:dyDescent="0.25">
      <c r="B32" s="18" t="s">
        <v>48</v>
      </c>
      <c r="C32" s="122">
        <v>175</v>
      </c>
      <c r="D32" s="122">
        <v>94</v>
      </c>
      <c r="E32" s="121">
        <v>130</v>
      </c>
      <c r="F32" s="481">
        <v>63</v>
      </c>
      <c r="G32" s="96">
        <f t="shared" si="0"/>
        <v>-45</v>
      </c>
      <c r="H32" s="120">
        <f t="shared" si="1"/>
        <v>-25.714285714285715</v>
      </c>
      <c r="I32" s="636"/>
      <c r="J32" s="637">
        <f>RANK(H32,$H$11:$H$35,1)+COUNTIF($H$32:H32,H32)-1</f>
        <v>12</v>
      </c>
      <c r="K32" s="86" t="str">
        <f>INDEX(B11:H35,MATCH(22,J11:J35,0),1)</f>
        <v>Rzeszów</v>
      </c>
      <c r="L32" s="638">
        <f>INDEX(B11:H35,MATCH(22,J11:J35,0),7)</f>
        <v>-16.059225512528474</v>
      </c>
    </row>
    <row r="33" spans="2:12" x14ac:dyDescent="0.25">
      <c r="B33" s="18" t="s">
        <v>49</v>
      </c>
      <c r="C33" s="122">
        <v>459</v>
      </c>
      <c r="D33" s="122">
        <v>241</v>
      </c>
      <c r="E33" s="121">
        <v>336</v>
      </c>
      <c r="F33" s="481">
        <v>185</v>
      </c>
      <c r="G33" s="96">
        <f t="shared" si="0"/>
        <v>-123</v>
      </c>
      <c r="H33" s="120">
        <f>(E33-C33)*100/C33</f>
        <v>-26.797385620915033</v>
      </c>
      <c r="I33" s="636"/>
      <c r="J33" s="637">
        <f>RANK(H33,$H$11:$H$35,1)+COUNTIF($H$33:H33,H33)-1</f>
        <v>11</v>
      </c>
      <c r="K33" s="86" t="str">
        <f>INDEX(B11:H35,MATCH(23,J11:J35,0),1)</f>
        <v>leżajski</v>
      </c>
      <c r="L33" s="638">
        <f>INDEX(B11:H35,MATCH(23,J11:J35,0),7)</f>
        <v>-13.93188854489164</v>
      </c>
    </row>
    <row r="34" spans="2:12" x14ac:dyDescent="0.25">
      <c r="B34" s="18" t="s">
        <v>50</v>
      </c>
      <c r="C34" s="122">
        <v>878</v>
      </c>
      <c r="D34" s="122">
        <v>485</v>
      </c>
      <c r="E34" s="121">
        <v>737</v>
      </c>
      <c r="F34" s="481">
        <v>411</v>
      </c>
      <c r="G34" s="96">
        <f t="shared" si="0"/>
        <v>-141</v>
      </c>
      <c r="H34" s="120">
        <f t="shared" si="1"/>
        <v>-16.059225512528474</v>
      </c>
      <c r="I34" s="636"/>
      <c r="J34" s="637">
        <f>RANK(H34,$H$11:$H$35,1)+COUNTIF($H$34:H34,H34)-1</f>
        <v>22</v>
      </c>
      <c r="K34" s="86" t="str">
        <f>INDEX(B11:H35,MATCH(24,J11:J35,0),1)</f>
        <v>przeworski</v>
      </c>
      <c r="L34" s="638">
        <f>INDEX(B11:H35,MATCH(24,J11:J35,0),7)</f>
        <v>-9.9369085173501581</v>
      </c>
    </row>
    <row r="35" spans="2:12" ht="15.75" thickBot="1" x14ac:dyDescent="0.3">
      <c r="B35" s="19" t="s">
        <v>51</v>
      </c>
      <c r="C35" s="125">
        <v>229</v>
      </c>
      <c r="D35" s="125">
        <v>118</v>
      </c>
      <c r="E35" s="123">
        <v>183</v>
      </c>
      <c r="F35" s="482">
        <v>105</v>
      </c>
      <c r="G35" s="97">
        <f t="shared" si="0"/>
        <v>-46</v>
      </c>
      <c r="H35" s="126">
        <f t="shared" si="1"/>
        <v>-20.087336244541486</v>
      </c>
      <c r="I35" s="636"/>
      <c r="J35" s="637">
        <f>RANK(H35,$H$11:$H$35,1)+COUNTIF($H$35:H35,H35)-1</f>
        <v>18</v>
      </c>
      <c r="K35" s="86" t="str">
        <f>INDEX(B11:H35,MATCH(25,J11:J35,0),1)</f>
        <v>jarosławski</v>
      </c>
      <c r="L35" s="638">
        <f>INDEX(B11:H35,MATCH(25,J11:J35,0),7)</f>
        <v>-6.9444444444444446</v>
      </c>
    </row>
    <row r="36" spans="2:12" x14ac:dyDescent="0.25">
      <c r="C36" s="521">
        <f>SUM(C11:C35)</f>
        <v>14791</v>
      </c>
      <c r="D36" s="521">
        <f>SUM(D11:D35)</f>
        <v>7674</v>
      </c>
      <c r="E36" s="521">
        <f>SUM(E11:E35)</f>
        <v>11174</v>
      </c>
      <c r="F36" s="521">
        <f>SUM(F11:F35)</f>
        <v>6178</v>
      </c>
    </row>
  </sheetData>
  <mergeCells count="6">
    <mergeCell ref="B10:H10"/>
    <mergeCell ref="B5:B6"/>
    <mergeCell ref="E5:F5"/>
    <mergeCell ref="C5:D5"/>
    <mergeCell ref="G5:G6"/>
    <mergeCell ref="H5:H6"/>
  </mergeCells>
  <printOptions horizontalCentered="1"/>
  <pageMargins left="0" right="0" top="1.0236220472440944" bottom="0.31496062992125984" header="0" footer="0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B2:L47"/>
  <sheetViews>
    <sheetView zoomScaleNormal="10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3.85546875" style="11" customWidth="1"/>
    <col min="3" max="3" width="13.42578125" style="11" customWidth="1"/>
    <col min="4" max="4" width="11.42578125" style="11" customWidth="1"/>
    <col min="5" max="5" width="13.85546875" style="11" customWidth="1"/>
    <col min="6" max="6" width="11.5703125" style="11" customWidth="1"/>
    <col min="7" max="7" width="13.140625" style="11" customWidth="1"/>
    <col min="8" max="8" width="9.140625" style="11" customWidth="1"/>
    <col min="9" max="9" width="10.28515625" style="11" customWidth="1"/>
    <col min="10" max="10" width="9.140625" style="11" customWidth="1"/>
    <col min="11" max="11" width="14" style="11" customWidth="1"/>
    <col min="12" max="12" width="10.85546875" style="11" customWidth="1"/>
    <col min="13" max="16384" width="9.140625" style="11"/>
  </cols>
  <sheetData>
    <row r="2" spans="2:12" x14ac:dyDescent="0.25">
      <c r="B2" s="11" t="s">
        <v>278</v>
      </c>
    </row>
    <row r="3" spans="2:12" x14ac:dyDescent="0.25">
      <c r="B3" s="11" t="s">
        <v>282</v>
      </c>
    </row>
    <row r="4" spans="2:12" ht="14.25" customHeight="1" thickBot="1" x14ac:dyDescent="0.3"/>
    <row r="5" spans="2:12" ht="26.25" customHeight="1" thickBot="1" x14ac:dyDescent="0.3">
      <c r="B5" s="396"/>
      <c r="C5" s="868" t="s">
        <v>440</v>
      </c>
      <c r="D5" s="814"/>
      <c r="E5" s="868" t="s">
        <v>462</v>
      </c>
      <c r="F5" s="814"/>
    </row>
    <row r="6" spans="2:12" ht="30.75" customHeight="1" thickBot="1" x14ac:dyDescent="0.3">
      <c r="B6" s="397" t="s">
        <v>3</v>
      </c>
      <c r="C6" s="399" t="s">
        <v>71</v>
      </c>
      <c r="D6" s="400" t="s">
        <v>72</v>
      </c>
      <c r="E6" s="399" t="s">
        <v>73</v>
      </c>
      <c r="F6" s="400" t="s">
        <v>72</v>
      </c>
    </row>
    <row r="7" spans="2:12" ht="23.25" customHeight="1" thickBot="1" x14ac:dyDescent="0.3">
      <c r="B7" s="135" t="s">
        <v>62</v>
      </c>
      <c r="C7" s="138">
        <f>SUM(C9:C14)</f>
        <v>86159</v>
      </c>
      <c r="D7" s="137">
        <f>SUM(D9:D14)</f>
        <v>100</v>
      </c>
      <c r="E7" s="138">
        <f>SUM(E9:E14)</f>
        <v>80944</v>
      </c>
      <c r="F7" s="137">
        <f>SUM(F9:F14)</f>
        <v>100</v>
      </c>
    </row>
    <row r="8" spans="2:12" ht="24" customHeight="1" thickBot="1" x14ac:dyDescent="0.3">
      <c r="B8" s="338" t="s">
        <v>74</v>
      </c>
      <c r="C8" s="324"/>
      <c r="D8" s="324"/>
      <c r="E8" s="324"/>
      <c r="F8" s="325"/>
      <c r="H8" s="153">
        <v>2021</v>
      </c>
      <c r="I8" s="153" t="s">
        <v>520</v>
      </c>
      <c r="J8" s="153" t="s">
        <v>520</v>
      </c>
      <c r="K8" s="153" t="s">
        <v>521</v>
      </c>
      <c r="L8" s="153"/>
    </row>
    <row r="9" spans="2:12" ht="21" customHeight="1" thickTop="1" x14ac:dyDescent="0.25">
      <c r="B9" s="139" t="s">
        <v>63</v>
      </c>
      <c r="C9" s="140">
        <v>11959</v>
      </c>
      <c r="D9" s="141">
        <f>SUM(C9/C7*100)</f>
        <v>13.880151812346938</v>
      </c>
      <c r="E9" s="142">
        <v>10067</v>
      </c>
      <c r="F9" s="141">
        <f>SUM(E9/E7*100)</f>
        <v>12.436993476971733</v>
      </c>
      <c r="H9" s="530">
        <f>SUM(F9:F11)</f>
        <v>66.686845226329311</v>
      </c>
      <c r="I9" s="530" t="s">
        <v>518</v>
      </c>
      <c r="J9" s="388">
        <v>85.9</v>
      </c>
      <c r="K9" s="388">
        <v>86.4</v>
      </c>
      <c r="L9" s="530">
        <f>SUM(K9-H9)</f>
        <v>19.713154773670695</v>
      </c>
    </row>
    <row r="10" spans="2:12" ht="18" customHeight="1" x14ac:dyDescent="0.25">
      <c r="B10" s="12" t="s">
        <v>64</v>
      </c>
      <c r="C10" s="13">
        <v>26065</v>
      </c>
      <c r="D10" s="32">
        <f>SUM(C10/C7*100)</f>
        <v>30.252208126835267</v>
      </c>
      <c r="E10" s="96">
        <v>23718</v>
      </c>
      <c r="F10" s="32">
        <f>SUM(E10/E7*100)</f>
        <v>29.301739474204386</v>
      </c>
      <c r="H10" s="530">
        <f>SUM(F12:F14)</f>
        <v>33.313154773670682</v>
      </c>
      <c r="I10" s="153" t="s">
        <v>519</v>
      </c>
      <c r="J10" s="388">
        <v>14.1</v>
      </c>
      <c r="K10" s="388">
        <v>13.6</v>
      </c>
      <c r="L10" s="530">
        <f>SUM(K10-H10)</f>
        <v>-19.713154773670681</v>
      </c>
    </row>
    <row r="11" spans="2:12" ht="15.75" customHeight="1" x14ac:dyDescent="0.25">
      <c r="B11" s="12" t="s">
        <v>65</v>
      </c>
      <c r="C11" s="13">
        <v>20790</v>
      </c>
      <c r="D11" s="32">
        <f>SUM(C11/C7*100)</f>
        <v>24.129806520502793</v>
      </c>
      <c r="E11" s="96">
        <v>20194</v>
      </c>
      <c r="F11" s="32">
        <f>SUM(E11/E7*100)</f>
        <v>24.948112275153193</v>
      </c>
      <c r="H11" s="153"/>
      <c r="I11" s="153"/>
      <c r="J11" s="388">
        <f>SUM(J9:J10)</f>
        <v>100</v>
      </c>
      <c r="K11" s="388">
        <f>SUM(K9:K10)</f>
        <v>100</v>
      </c>
    </row>
    <row r="12" spans="2:12" x14ac:dyDescent="0.25">
      <c r="B12" s="12" t="s">
        <v>66</v>
      </c>
      <c r="C12" s="13">
        <v>15165</v>
      </c>
      <c r="D12" s="32">
        <f>SUM(C12/C7*100)</f>
        <v>17.60117921517195</v>
      </c>
      <c r="E12" s="96">
        <v>14875</v>
      </c>
      <c r="F12" s="32">
        <f>SUM(E12/E7*100)</f>
        <v>18.376902549911051</v>
      </c>
      <c r="H12" s="153"/>
      <c r="I12" s="153"/>
      <c r="J12" s="153"/>
    </row>
    <row r="13" spans="2:12" x14ac:dyDescent="0.25">
      <c r="B13" s="12" t="s">
        <v>67</v>
      </c>
      <c r="C13" s="13">
        <v>8003</v>
      </c>
      <c r="D13" s="32">
        <f>SUM(C13/C7*100)</f>
        <v>9.2886407688111525</v>
      </c>
      <c r="E13" s="96">
        <v>7784</v>
      </c>
      <c r="F13" s="32">
        <f>SUM(E13/E7*100)</f>
        <v>9.6165250049416873</v>
      </c>
    </row>
    <row r="14" spans="2:12" ht="15.75" thickBot="1" x14ac:dyDescent="0.3">
      <c r="B14" s="95" t="s">
        <v>75</v>
      </c>
      <c r="C14" s="20">
        <v>4177</v>
      </c>
      <c r="D14" s="33">
        <f>SUM(C14/C7*100)</f>
        <v>4.8480135563318978</v>
      </c>
      <c r="E14" s="97">
        <v>4306</v>
      </c>
      <c r="F14" s="33">
        <f>SUM(E14/E7*100)</f>
        <v>5.3197272188179481</v>
      </c>
    </row>
    <row r="15" spans="2:12" ht="12.75" customHeight="1" x14ac:dyDescent="0.25"/>
    <row r="16" spans="2:12" ht="12" customHeight="1" x14ac:dyDescent="0.25"/>
    <row r="17" spans="2:9" x14ac:dyDescent="0.25">
      <c r="B17" s="11" t="s">
        <v>279</v>
      </c>
    </row>
    <row r="18" spans="2:9" x14ac:dyDescent="0.25">
      <c r="B18" s="11" t="s">
        <v>172</v>
      </c>
    </row>
    <row r="19" spans="2:9" ht="13.5" customHeight="1" thickBot="1" x14ac:dyDescent="0.3"/>
    <row r="20" spans="2:9" ht="24" customHeight="1" thickBot="1" x14ac:dyDescent="0.3">
      <c r="B20" s="396"/>
      <c r="C20" s="868" t="s">
        <v>440</v>
      </c>
      <c r="D20" s="814"/>
      <c r="E20" s="868" t="s">
        <v>462</v>
      </c>
      <c r="F20" s="814"/>
    </row>
    <row r="21" spans="2:9" ht="34.5" customHeight="1" thickBot="1" x14ac:dyDescent="0.3">
      <c r="B21" s="397" t="s">
        <v>3</v>
      </c>
      <c r="C21" s="399" t="s">
        <v>71</v>
      </c>
      <c r="D21" s="400" t="s">
        <v>72</v>
      </c>
      <c r="E21" s="399" t="s">
        <v>73</v>
      </c>
      <c r="F21" s="400" t="s">
        <v>72</v>
      </c>
    </row>
    <row r="22" spans="2:9" ht="24" customHeight="1" thickBot="1" x14ac:dyDescent="0.3">
      <c r="B22" s="135" t="s">
        <v>62</v>
      </c>
      <c r="C22" s="138">
        <f>SUM(C24:C29)</f>
        <v>86159</v>
      </c>
      <c r="D22" s="137">
        <f>SUM(D24:D28)</f>
        <v>99.999999999999986</v>
      </c>
      <c r="E22" s="138">
        <f>SUM(E24:E29)</f>
        <v>80944</v>
      </c>
      <c r="F22" s="137">
        <f>SUM(F24:F28)</f>
        <v>100</v>
      </c>
    </row>
    <row r="23" spans="2:9" ht="21" customHeight="1" thickBot="1" x14ac:dyDescent="0.3">
      <c r="B23" s="869" t="s">
        <v>76</v>
      </c>
      <c r="C23" s="870"/>
      <c r="D23" s="870"/>
      <c r="E23" s="870"/>
      <c r="F23" s="871"/>
    </row>
    <row r="24" spans="2:9" ht="21.75" customHeight="1" thickTop="1" x14ac:dyDescent="0.25">
      <c r="B24" s="139" t="s">
        <v>77</v>
      </c>
      <c r="C24" s="142">
        <v>14136</v>
      </c>
      <c r="D24" s="141">
        <f>SUM(C24/C22*100)</f>
        <v>16.406875660116761</v>
      </c>
      <c r="E24" s="142">
        <v>12952</v>
      </c>
      <c r="F24" s="141">
        <f>SUM(E24/E22*100)</f>
        <v>16.001186005139356</v>
      </c>
    </row>
    <row r="25" spans="2:9" ht="30" x14ac:dyDescent="0.25">
      <c r="B25" s="12" t="s">
        <v>78</v>
      </c>
      <c r="C25" s="96">
        <v>23035</v>
      </c>
      <c r="D25" s="32">
        <f>SUM(C25/C22*100)</f>
        <v>26.735454218363724</v>
      </c>
      <c r="E25" s="96">
        <v>21487</v>
      </c>
      <c r="F25" s="32">
        <f>SUM(E25/E22*100)</f>
        <v>26.545512947222772</v>
      </c>
    </row>
    <row r="26" spans="2:9" ht="28.5" customHeight="1" x14ac:dyDescent="0.25">
      <c r="B26" s="12" t="s">
        <v>79</v>
      </c>
      <c r="C26" s="96">
        <v>10128</v>
      </c>
      <c r="D26" s="32">
        <f>SUM(C26/C22*100)</f>
        <v>11.755011084158358</v>
      </c>
      <c r="E26" s="96">
        <v>9640</v>
      </c>
      <c r="F26" s="32">
        <f>SUM(E26/E22*100)</f>
        <v>11.909468274362522</v>
      </c>
    </row>
    <row r="27" spans="2:9" ht="21.75" customHeight="1" x14ac:dyDescent="0.25">
      <c r="B27" s="12" t="s">
        <v>80</v>
      </c>
      <c r="C27" s="96">
        <v>23058</v>
      </c>
      <c r="D27" s="32">
        <f>SUM(C27/C22*100)</f>
        <v>26.762149050012184</v>
      </c>
      <c r="E27" s="96">
        <v>21608</v>
      </c>
      <c r="F27" s="32">
        <f>SUM(E27/E22*100)</f>
        <v>26.694999011662386</v>
      </c>
      <c r="G27" s="530">
        <f>SUM(F25,F27)</f>
        <v>53.240511958885158</v>
      </c>
      <c r="H27" s="386"/>
      <c r="I27" s="386"/>
    </row>
    <row r="28" spans="2:9" ht="22.5" customHeight="1" thickBot="1" x14ac:dyDescent="0.3">
      <c r="B28" s="95" t="s">
        <v>81</v>
      </c>
      <c r="C28" s="97">
        <v>15802</v>
      </c>
      <c r="D28" s="33">
        <f>SUM(C28/C22*100)</f>
        <v>18.34050998734897</v>
      </c>
      <c r="E28" s="97">
        <v>15257</v>
      </c>
      <c r="F28" s="33">
        <f>SUM(E28/E22*100)</f>
        <v>18.848833761612969</v>
      </c>
      <c r="G28" s="386"/>
    </row>
    <row r="29" spans="2:9" ht="12" customHeight="1" x14ac:dyDescent="0.25"/>
    <row r="30" spans="2:9" ht="12.75" customHeight="1" x14ac:dyDescent="0.25"/>
    <row r="31" spans="2:9" x14ac:dyDescent="0.25">
      <c r="B31" s="11" t="s">
        <v>280</v>
      </c>
    </row>
    <row r="32" spans="2:9" x14ac:dyDescent="0.25">
      <c r="B32" s="11" t="s">
        <v>282</v>
      </c>
    </row>
    <row r="33" spans="2:9" ht="11.25" customHeight="1" thickBot="1" x14ac:dyDescent="0.3"/>
    <row r="34" spans="2:9" ht="15.75" thickBot="1" x14ac:dyDescent="0.3">
      <c r="B34" s="396"/>
      <c r="C34" s="868" t="s">
        <v>440</v>
      </c>
      <c r="D34" s="814"/>
      <c r="E34" s="868" t="s">
        <v>462</v>
      </c>
      <c r="F34" s="814"/>
    </row>
    <row r="35" spans="2:9" ht="28.5" customHeight="1" thickBot="1" x14ac:dyDescent="0.3">
      <c r="B35" s="397" t="s">
        <v>3</v>
      </c>
      <c r="C35" s="399" t="s">
        <v>71</v>
      </c>
      <c r="D35" s="400" t="s">
        <v>72</v>
      </c>
      <c r="E35" s="399" t="s">
        <v>73</v>
      </c>
      <c r="F35" s="400" t="s">
        <v>72</v>
      </c>
    </row>
    <row r="36" spans="2:9" ht="24.75" customHeight="1" thickBot="1" x14ac:dyDescent="0.3">
      <c r="B36" s="135" t="s">
        <v>62</v>
      </c>
      <c r="C36" s="138">
        <f>SUM(C38:C44)</f>
        <v>86159</v>
      </c>
      <c r="D36" s="137">
        <f>SUM(D38:D44)</f>
        <v>100</v>
      </c>
      <c r="E36" s="138">
        <f>SUM(E38:E44)</f>
        <v>80944</v>
      </c>
      <c r="F36" s="137">
        <f>SUM(F38:F44)</f>
        <v>100</v>
      </c>
    </row>
    <row r="37" spans="2:9" ht="23.25" customHeight="1" thickBot="1" x14ac:dyDescent="0.3">
      <c r="B37" s="143" t="s">
        <v>173</v>
      </c>
      <c r="C37" s="144"/>
      <c r="D37" s="144"/>
      <c r="E37" s="144"/>
      <c r="F37" s="145"/>
    </row>
    <row r="38" spans="2:9" ht="15.75" customHeight="1" thickTop="1" x14ac:dyDescent="0.25">
      <c r="B38" s="139" t="s">
        <v>68</v>
      </c>
      <c r="C38" s="142">
        <v>17678</v>
      </c>
      <c r="D38" s="141">
        <f>SUM(C38/C36*100)</f>
        <v>20.517879733980198</v>
      </c>
      <c r="E38" s="142">
        <v>16491</v>
      </c>
      <c r="F38" s="141">
        <f>SUM(E38/E36*100)</f>
        <v>20.373344534492983</v>
      </c>
    </row>
    <row r="39" spans="2:9" x14ac:dyDescent="0.25">
      <c r="B39" s="12" t="s">
        <v>82</v>
      </c>
      <c r="C39" s="96">
        <v>23347</v>
      </c>
      <c r="D39" s="32">
        <f>SUM(C39/C36*100)</f>
        <v>27.097575412899406</v>
      </c>
      <c r="E39" s="96">
        <v>21463</v>
      </c>
      <c r="F39" s="32">
        <f>SUM(E39/E36*100)</f>
        <v>26.515862818738885</v>
      </c>
      <c r="G39" s="386">
        <f>SUM(F38:F39)</f>
        <v>46.889207353231868</v>
      </c>
      <c r="H39" s="386">
        <f>SUM(D38:D39)</f>
        <v>47.615455146879604</v>
      </c>
      <c r="I39" s="386">
        <f>SUM(F38:F39)</f>
        <v>46.889207353231868</v>
      </c>
    </row>
    <row r="40" spans="2:9" x14ac:dyDescent="0.25">
      <c r="B40" s="12" t="s">
        <v>83</v>
      </c>
      <c r="C40" s="96">
        <v>13084</v>
      </c>
      <c r="D40" s="32">
        <f>SUM(C40/C36*100)</f>
        <v>15.185877273413109</v>
      </c>
      <c r="E40" s="96">
        <v>12568</v>
      </c>
      <c r="F40" s="32">
        <f>SUM(E40/E36*100)</f>
        <v>15.526783949397114</v>
      </c>
    </row>
    <row r="41" spans="2:9" x14ac:dyDescent="0.25">
      <c r="B41" s="12" t="s">
        <v>84</v>
      </c>
      <c r="C41" s="96">
        <v>12067</v>
      </c>
      <c r="D41" s="32">
        <f>SUM(C41/C36*100)</f>
        <v>14.005501456609293</v>
      </c>
      <c r="E41" s="96">
        <v>11222</v>
      </c>
      <c r="F41" s="32">
        <f>SUM(E41/E36*100)</f>
        <v>13.863905910258945</v>
      </c>
    </row>
    <row r="42" spans="2:9" x14ac:dyDescent="0.25">
      <c r="B42" s="146" t="s">
        <v>85</v>
      </c>
      <c r="C42" s="147">
        <v>6143</v>
      </c>
      <c r="D42" s="36">
        <f>SUM(C42/C36*100)</f>
        <v>7.1298413398484195</v>
      </c>
      <c r="E42" s="147">
        <v>5443</v>
      </c>
      <c r="F42" s="36">
        <f>SUM(E42/E36*100)</f>
        <v>6.7244020557422415</v>
      </c>
    </row>
    <row r="43" spans="2:9" x14ac:dyDescent="0.25">
      <c r="B43" s="146" t="s">
        <v>70</v>
      </c>
      <c r="C43" s="147">
        <v>2228</v>
      </c>
      <c r="D43" s="36">
        <f>SUM(C43/C36*100)</f>
        <v>2.585916735338154</v>
      </c>
      <c r="E43" s="147">
        <v>2100</v>
      </c>
      <c r="F43" s="36">
        <f>SUM(E43/E36*100)</f>
        <v>2.5943862423403834</v>
      </c>
    </row>
    <row r="44" spans="2:9" ht="15.75" thickBot="1" x14ac:dyDescent="0.3">
      <c r="B44" s="95" t="s">
        <v>69</v>
      </c>
      <c r="C44" s="97">
        <v>11612</v>
      </c>
      <c r="D44" s="33">
        <f>SUM(C44/C36*100)</f>
        <v>13.477408047911418</v>
      </c>
      <c r="E44" s="97">
        <v>11657</v>
      </c>
      <c r="F44" s="33">
        <f>SUM(E44/E36*100)</f>
        <v>14.401314489029451</v>
      </c>
    </row>
    <row r="47" spans="2:9" x14ac:dyDescent="0.25">
      <c r="C47" s="56"/>
      <c r="D47" s="386"/>
      <c r="F47" s="386"/>
    </row>
  </sheetData>
  <mergeCells count="7">
    <mergeCell ref="C5:D5"/>
    <mergeCell ref="E5:F5"/>
    <mergeCell ref="C20:D20"/>
    <mergeCell ref="E20:F20"/>
    <mergeCell ref="C34:D34"/>
    <mergeCell ref="E34:F34"/>
    <mergeCell ref="B23:F23"/>
  </mergeCells>
  <pageMargins left="1.4960629921259843" right="0" top="0.6692913385826772" bottom="0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T.I</vt:lpstr>
      <vt:lpstr>T.II</vt:lpstr>
      <vt:lpstr>T.III</vt:lpstr>
      <vt:lpstr>T.IV</vt:lpstr>
      <vt:lpstr>T.V</vt:lpstr>
      <vt:lpstr>T.VI</vt:lpstr>
      <vt:lpstr>T.VII</vt:lpstr>
      <vt:lpstr>T.VIII</vt:lpstr>
      <vt:lpstr>T.IX T.X T.XI</vt:lpstr>
      <vt:lpstr>T.XII</vt:lpstr>
      <vt:lpstr>T.XIII</vt:lpstr>
      <vt:lpstr>T.XIV</vt:lpstr>
      <vt:lpstr>T.XV</vt:lpstr>
      <vt:lpstr>T.XVI</vt:lpstr>
      <vt:lpstr>T.XVII</vt:lpstr>
      <vt:lpstr>T.XVIII</vt:lpstr>
      <vt:lpstr>T.XIX</vt:lpstr>
      <vt:lpstr>T.XX</vt:lpstr>
      <vt:lpstr>T.XXI</vt:lpstr>
      <vt:lpstr>T.XXII</vt:lpstr>
      <vt:lpstr>T.XXIII</vt:lpstr>
      <vt:lpstr>T.XXIV</vt:lpstr>
      <vt:lpstr>T.XXV</vt:lpstr>
      <vt:lpstr>T.XXVI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lastModifiedBy>WUP</cp:lastModifiedBy>
  <cp:lastPrinted>2020-09-30T11:14:24Z</cp:lastPrinted>
  <dcterms:created xsi:type="dcterms:W3CDTF">2016-01-29T08:03:05Z</dcterms:created>
  <dcterms:modified xsi:type="dcterms:W3CDTF">2021-08-31T05:51:57Z</dcterms:modified>
</cp:coreProperties>
</file>