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drawings/drawing9.xml" ContentType="application/vnd.openxmlformats-officedocument.drawing+xml"/>
  <Override PartName="/xl/charts/chart9.xml" ContentType="application/vnd.openxmlformats-officedocument.drawingml.chart+xml"/>
  <Override PartName="/xl/drawings/drawing10.xml" ContentType="application/vnd.openxmlformats-officedocument.drawing+xml"/>
  <Override PartName="/xl/charts/chart10.xml" ContentType="application/vnd.openxmlformats-officedocument.drawingml.chart+xml"/>
  <Override PartName="/xl/drawings/drawing11.xml" ContentType="application/vnd.openxmlformats-officedocument.drawing+xml"/>
  <Override PartName="/xl/charts/chart1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iotr.kocaj\Desktop\publikacje\00000000 info sygn\'22\11 -'22\"/>
    </mc:Choice>
  </mc:AlternateContent>
  <xr:revisionPtr revIDLastSave="0" documentId="13_ncr:1_{48E2A193-12C8-4730-97B1-76DC5E9EB36E}" xr6:coauthVersionLast="47" xr6:coauthVersionMax="47" xr10:uidLastSave="{00000000-0000-0000-0000-000000000000}"/>
  <bookViews>
    <workbookView xWindow="-120" yWindow="-120" windowWidth="29040" windowHeight="15720" tabRatio="949" xr2:uid="{00000000-000D-0000-FFFF-FFFF00000000}"/>
  </bookViews>
  <sheets>
    <sheet name="1_bezr." sheetId="1" r:id="rId1"/>
    <sheet name="1_sort" sheetId="14" r:id="rId2"/>
    <sheet name="2_kob." sheetId="10" r:id="rId3"/>
    <sheet name="2_sort" sheetId="15" r:id="rId4"/>
    <sheet name="3_s.bezr.Polska" sheetId="8" r:id="rId5"/>
    <sheet name="3_sort" sheetId="16" r:id="rId6"/>
    <sheet name="4_s.bezr.pow." sheetId="13" r:id="rId7"/>
    <sheet name="4_sort" sheetId="17" r:id="rId8"/>
    <sheet name="5_bezr. na wsi" sheetId="2" r:id="rId9"/>
    <sheet name="5_sort" sheetId="18" r:id="rId10"/>
    <sheet name="6_długot." sheetId="3" r:id="rId11"/>
    <sheet name="6_sort" sheetId="19" r:id="rId12"/>
    <sheet name="7_do 30 r.ż." sheetId="4" r:id="rId13"/>
    <sheet name="7_sort" sheetId="20" r:id="rId14"/>
    <sheet name="8_pow. 50 r.ż." sheetId="5" r:id="rId15"/>
    <sheet name="8_sort" sheetId="21" r:id="rId16"/>
    <sheet name="9_oferty p." sheetId="6" r:id="rId17"/>
    <sheet name="9_sort" sheetId="22" r:id="rId18"/>
    <sheet name="10_oferty s." sheetId="11" r:id="rId19"/>
    <sheet name="10_sort" sheetId="23" r:id="rId20"/>
    <sheet name="11_of st. k." sheetId="26" r:id="rId21"/>
    <sheet name="11_sort" sheetId="27" r:id="rId2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4" i="2" l="1"/>
  <c r="D28" i="3"/>
  <c r="H3" i="27"/>
  <c r="G3" i="27"/>
  <c r="F3" i="27"/>
  <c r="E3" i="27"/>
  <c r="D3" i="27"/>
  <c r="C3" i="27"/>
  <c r="F29" i="26"/>
  <c r="D29" i="26"/>
  <c r="C29" i="26"/>
  <c r="B27" i="27" s="1"/>
  <c r="G28" i="26"/>
  <c r="E28" i="26"/>
  <c r="G27" i="26"/>
  <c r="E27" i="26"/>
  <c r="G26" i="26"/>
  <c r="E26" i="26"/>
  <c r="G25" i="26"/>
  <c r="E25" i="26"/>
  <c r="G24" i="26"/>
  <c r="E24" i="26"/>
  <c r="G23" i="26"/>
  <c r="E23" i="26"/>
  <c r="G22" i="26"/>
  <c r="E22" i="26"/>
  <c r="G21" i="26"/>
  <c r="E21" i="26"/>
  <c r="G20" i="26"/>
  <c r="E20" i="26"/>
  <c r="G19" i="26"/>
  <c r="E19" i="26"/>
  <c r="G18" i="26"/>
  <c r="E18" i="26"/>
  <c r="G17" i="26"/>
  <c r="E17" i="26"/>
  <c r="G16" i="26"/>
  <c r="E16" i="26"/>
  <c r="G15" i="26"/>
  <c r="E15" i="26"/>
  <c r="G14" i="26"/>
  <c r="E14" i="26"/>
  <c r="G13" i="26"/>
  <c r="E13" i="26"/>
  <c r="G12" i="26"/>
  <c r="E12" i="26"/>
  <c r="G11" i="26"/>
  <c r="E11" i="26"/>
  <c r="G10" i="26"/>
  <c r="E10" i="26"/>
  <c r="G9" i="26"/>
  <c r="E9" i="26"/>
  <c r="G8" i="26"/>
  <c r="E8" i="26"/>
  <c r="G7" i="26"/>
  <c r="E7" i="26"/>
  <c r="G6" i="26"/>
  <c r="E6" i="26"/>
  <c r="G5" i="26"/>
  <c r="E5" i="26"/>
  <c r="G4" i="26"/>
  <c r="E4" i="26"/>
  <c r="F28" i="4"/>
  <c r="B12" i="27" l="1"/>
  <c r="B16" i="27"/>
  <c r="B17" i="27"/>
  <c r="B18" i="27"/>
  <c r="B24" i="27"/>
  <c r="B25" i="27"/>
  <c r="B13" i="27"/>
  <c r="B26" i="27"/>
  <c r="B14" i="27"/>
  <c r="B4" i="27"/>
  <c r="B28" i="27"/>
  <c r="B5" i="27"/>
  <c r="B29" i="27"/>
  <c r="B6" i="27"/>
  <c r="B7" i="27"/>
  <c r="B19" i="27"/>
  <c r="B8" i="27"/>
  <c r="B20" i="27"/>
  <c r="B9" i="27"/>
  <c r="B21" i="27"/>
  <c r="B10" i="27"/>
  <c r="B22" i="27"/>
  <c r="E29" i="26"/>
  <c r="G29" i="26"/>
  <c r="B11" i="27"/>
  <c r="B23" i="27"/>
  <c r="B15" i="27"/>
  <c r="E12" i="13"/>
  <c r="G12" i="13"/>
  <c r="F5" i="27" l="1"/>
  <c r="D21" i="27"/>
  <c r="E21" i="27"/>
  <c r="G5" i="27"/>
  <c r="G21" i="27"/>
  <c r="E26" i="27"/>
  <c r="D18" i="27"/>
  <c r="C21" i="27"/>
  <c r="G22" i="27"/>
  <c r="G9" i="27"/>
  <c r="E9" i="27"/>
  <c r="D5" i="27"/>
  <c r="C9" i="27"/>
  <c r="F26" i="27"/>
  <c r="D26" i="27"/>
  <c r="H18" i="27"/>
  <c r="E5" i="27"/>
  <c r="H5" i="27"/>
  <c r="G18" i="27"/>
  <c r="D9" i="27"/>
  <c r="C5" i="27"/>
  <c r="G26" i="27"/>
  <c r="F21" i="27"/>
  <c r="F18" i="27"/>
  <c r="H21" i="27"/>
  <c r="F9" i="27"/>
  <c r="C26" i="27"/>
  <c r="H26" i="27"/>
  <c r="E18" i="27"/>
  <c r="H9" i="27"/>
  <c r="H22" i="27"/>
  <c r="C22" i="27"/>
  <c r="D22" i="27"/>
  <c r="E22" i="27"/>
  <c r="F22" i="27"/>
  <c r="F16" i="27"/>
  <c r="G28" i="27"/>
  <c r="H27" i="27"/>
  <c r="C29" i="27"/>
  <c r="F25" i="27"/>
  <c r="F17" i="27"/>
  <c r="H12" i="27"/>
  <c r="G25" i="27"/>
  <c r="C17" i="27"/>
  <c r="E16" i="27"/>
  <c r="G10" i="27"/>
  <c r="H8" i="27"/>
  <c r="C25" i="27"/>
  <c r="D11" i="27"/>
  <c r="E20" i="27"/>
  <c r="D29" i="27"/>
  <c r="D8" i="27"/>
  <c r="E17" i="27"/>
  <c r="G29" i="27"/>
  <c r="F13" i="27"/>
  <c r="G7" i="27"/>
  <c r="D14" i="27"/>
  <c r="H23" i="27"/>
  <c r="G27" i="27"/>
  <c r="E11" i="27"/>
  <c r="F29" i="27"/>
  <c r="H28" i="27"/>
  <c r="E4" i="27"/>
  <c r="C19" i="27"/>
  <c r="F10" i="27"/>
  <c r="D15" i="27"/>
  <c r="C11" i="27"/>
  <c r="C28" i="27"/>
  <c r="E8" i="27"/>
  <c r="C16" i="27"/>
  <c r="E14" i="27"/>
  <c r="H11" i="27"/>
  <c r="C4" i="27"/>
  <c r="D6" i="27"/>
  <c r="F24" i="27"/>
  <c r="H19" i="27"/>
  <c r="G14" i="27"/>
  <c r="H16" i="27"/>
  <c r="H25" i="27"/>
  <c r="F6" i="27"/>
  <c r="C23" i="27"/>
  <c r="D23" i="27"/>
  <c r="G24" i="27"/>
  <c r="F12" i="27"/>
  <c r="E10" i="27"/>
  <c r="H7" i="27"/>
  <c r="G6" i="27"/>
  <c r="H4" i="27"/>
  <c r="D17" i="27"/>
  <c r="D19" i="27"/>
  <c r="H24" i="27"/>
  <c r="G16" i="27"/>
  <c r="H20" i="27"/>
  <c r="C13" i="27"/>
  <c r="F15" i="27"/>
  <c r="G12" i="27"/>
  <c r="H10" i="27"/>
  <c r="F4" i="27"/>
  <c r="D25" i="27"/>
  <c r="F23" i="27"/>
  <c r="G20" i="27"/>
  <c r="C24" i="27"/>
  <c r="D10" i="27"/>
  <c r="E19" i="27"/>
  <c r="G17" i="27"/>
  <c r="D7" i="27"/>
  <c r="D27" i="27"/>
  <c r="F7" i="27"/>
  <c r="D20" i="27"/>
  <c r="C8" i="27"/>
  <c r="F27" i="27"/>
  <c r="D28" i="27"/>
  <c r="E25" i="27"/>
  <c r="G23" i="27"/>
  <c r="C27" i="27"/>
  <c r="D13" i="27"/>
  <c r="F11" i="27"/>
  <c r="G8" i="27"/>
  <c r="C12" i="27"/>
  <c r="H14" i="27"/>
  <c r="E7" i="27"/>
  <c r="E27" i="27"/>
  <c r="H13" i="27"/>
  <c r="G13" i="27"/>
  <c r="H17" i="27"/>
  <c r="D16" i="27"/>
  <c r="E13" i="27"/>
  <c r="G11" i="27"/>
  <c r="C15" i="27"/>
  <c r="E28" i="27"/>
  <c r="D24" i="27"/>
  <c r="E29" i="27"/>
  <c r="F20" i="27"/>
  <c r="G19" i="27"/>
  <c r="G4" i="27"/>
  <c r="C10" i="27"/>
  <c r="D4" i="27"/>
  <c r="E24" i="27"/>
  <c r="H29" i="27"/>
  <c r="D12" i="27"/>
  <c r="C7" i="27"/>
  <c r="F8" i="27"/>
  <c r="E6" i="27"/>
  <c r="H15" i="27"/>
  <c r="C18" i="27"/>
  <c r="E15" i="27"/>
  <c r="E23" i="27"/>
  <c r="C20" i="27"/>
  <c r="C6" i="27"/>
  <c r="G15" i="27"/>
  <c r="F14" i="27"/>
  <c r="E12" i="27"/>
  <c r="C14" i="27"/>
  <c r="H6" i="27"/>
  <c r="F28" i="27"/>
  <c r="F19" i="27"/>
  <c r="J27" i="2"/>
  <c r="J26" i="2"/>
  <c r="J25" i="2"/>
  <c r="J24" i="2"/>
  <c r="J23" i="2"/>
  <c r="J22" i="2"/>
  <c r="J21" i="2"/>
  <c r="J20" i="2"/>
  <c r="J19" i="2"/>
  <c r="J18" i="2"/>
  <c r="J17" i="2"/>
  <c r="J16" i="2"/>
  <c r="J15" i="2"/>
  <c r="J14" i="2"/>
  <c r="J13" i="2"/>
  <c r="J12" i="2"/>
  <c r="J11" i="2"/>
  <c r="J10" i="2"/>
  <c r="J9" i="2"/>
  <c r="J8" i="2"/>
  <c r="J7" i="2"/>
  <c r="J6" i="2"/>
  <c r="J5" i="2"/>
  <c r="J4" i="2"/>
  <c r="J3" i="2"/>
  <c r="J27" i="10"/>
  <c r="J26" i="10"/>
  <c r="J25" i="10"/>
  <c r="J24" i="10"/>
  <c r="J23" i="10"/>
  <c r="J22" i="10"/>
  <c r="J21" i="10"/>
  <c r="J20" i="10"/>
  <c r="J19" i="10"/>
  <c r="J18" i="10"/>
  <c r="J17" i="10"/>
  <c r="J16" i="10"/>
  <c r="J15" i="10"/>
  <c r="J14" i="10"/>
  <c r="J13" i="10"/>
  <c r="J12" i="10"/>
  <c r="J11" i="10"/>
  <c r="J10" i="10"/>
  <c r="J9" i="10"/>
  <c r="J8" i="10"/>
  <c r="J7" i="10"/>
  <c r="J6" i="10"/>
  <c r="J5" i="10"/>
  <c r="J4" i="10"/>
  <c r="J3" i="10"/>
  <c r="J28" i="10" l="1"/>
  <c r="F28" i="3" l="1"/>
  <c r="C28" i="3"/>
  <c r="G3" i="1" l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G9" i="1"/>
  <c r="G8" i="1"/>
  <c r="G7" i="1"/>
  <c r="G6" i="1"/>
  <c r="G5" i="1"/>
  <c r="G4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6" i="1"/>
  <c r="E5" i="1"/>
  <c r="E4" i="1"/>
  <c r="E3" i="1"/>
  <c r="C28" i="1" l="1"/>
  <c r="B29" i="14" l="1"/>
  <c r="B4" i="14" l="1"/>
  <c r="B6" i="14"/>
  <c r="B10" i="14"/>
  <c r="B14" i="14"/>
  <c r="B18" i="14"/>
  <c r="B22" i="14"/>
  <c r="B26" i="14"/>
  <c r="B7" i="14"/>
  <c r="B11" i="14"/>
  <c r="B15" i="14"/>
  <c r="B19" i="14"/>
  <c r="B23" i="14"/>
  <c r="B27" i="14"/>
  <c r="B8" i="14"/>
  <c r="B12" i="14"/>
  <c r="B16" i="14"/>
  <c r="B20" i="14"/>
  <c r="B24" i="14"/>
  <c r="B28" i="14"/>
  <c r="B5" i="14"/>
  <c r="B9" i="14"/>
  <c r="B13" i="14"/>
  <c r="B17" i="14"/>
  <c r="B21" i="14"/>
  <c r="B25" i="14"/>
  <c r="G20" i="14" l="1"/>
  <c r="E7" i="14"/>
  <c r="E18" i="14"/>
  <c r="C22" i="14"/>
  <c r="D8" i="14"/>
  <c r="E14" i="14"/>
  <c r="C29" i="14"/>
  <c r="C13" i="14"/>
  <c r="C18" i="14"/>
  <c r="G27" i="14"/>
  <c r="G11" i="14"/>
  <c r="G28" i="14"/>
  <c r="E26" i="14"/>
  <c r="E10" i="14"/>
  <c r="C25" i="14"/>
  <c r="C9" i="14"/>
  <c r="C14" i="14"/>
  <c r="G23" i="14"/>
  <c r="G7" i="14"/>
  <c r="C17" i="14"/>
  <c r="C6" i="14"/>
  <c r="G15" i="14"/>
  <c r="E22" i="14"/>
  <c r="E6" i="14"/>
  <c r="C21" i="14"/>
  <c r="C26" i="14"/>
  <c r="C10" i="14"/>
  <c r="G19" i="14"/>
  <c r="D29" i="14"/>
  <c r="D25" i="14"/>
  <c r="D21" i="14"/>
  <c r="D17" i="14"/>
  <c r="D13" i="14"/>
  <c r="D9" i="14"/>
  <c r="D5" i="14"/>
  <c r="D6" i="14"/>
  <c r="E27" i="14"/>
  <c r="E23" i="14"/>
  <c r="E19" i="14"/>
  <c r="E15" i="14"/>
  <c r="E11" i="14"/>
  <c r="E28" i="14"/>
  <c r="E24" i="14"/>
  <c r="E20" i="14"/>
  <c r="E16" i="14"/>
  <c r="E12" i="14"/>
  <c r="E8" i="14"/>
  <c r="E4" i="14"/>
  <c r="C27" i="14"/>
  <c r="C23" i="14"/>
  <c r="C19" i="14"/>
  <c r="C15" i="14"/>
  <c r="C11" i="14"/>
  <c r="C7" i="14"/>
  <c r="G12" i="14"/>
  <c r="D26" i="14"/>
  <c r="D10" i="14"/>
  <c r="E25" i="14"/>
  <c r="G24" i="14"/>
  <c r="G16" i="14"/>
  <c r="G8" i="14"/>
  <c r="G5" i="14"/>
  <c r="D22" i="14"/>
  <c r="D18" i="14"/>
  <c r="D14" i="14"/>
  <c r="D27" i="14"/>
  <c r="D23" i="14"/>
  <c r="D19" i="14"/>
  <c r="D15" i="14"/>
  <c r="D11" i="14"/>
  <c r="D7" i="14"/>
  <c r="E5" i="14"/>
  <c r="E21" i="14"/>
  <c r="E17" i="14"/>
  <c r="E13" i="14"/>
  <c r="E9" i="14"/>
  <c r="D4" i="14"/>
  <c r="C28" i="14"/>
  <c r="C24" i="14"/>
  <c r="C20" i="14"/>
  <c r="C16" i="14"/>
  <c r="C12" i="14"/>
  <c r="C8" i="14"/>
  <c r="C4" i="14"/>
  <c r="C5" i="14"/>
  <c r="G25" i="14"/>
  <c r="G21" i="14"/>
  <c r="G17" i="14"/>
  <c r="G13" i="14"/>
  <c r="G9" i="14"/>
  <c r="G26" i="14"/>
  <c r="G22" i="14"/>
  <c r="G18" i="14"/>
  <c r="G14" i="14"/>
  <c r="G10" i="14"/>
  <c r="G6" i="14"/>
  <c r="D28" i="14"/>
  <c r="D24" i="14"/>
  <c r="D20" i="14"/>
  <c r="D16" i="14"/>
  <c r="D12" i="14"/>
  <c r="E4" i="11"/>
  <c r="G4" i="11"/>
  <c r="F28" i="10" l="1"/>
  <c r="D28" i="10" l="1"/>
  <c r="G6" i="13" l="1"/>
  <c r="E6" i="13"/>
  <c r="G27" i="10" l="1"/>
  <c r="G10" i="2" l="1"/>
  <c r="B19" i="16" l="1"/>
  <c r="D28" i="6" l="1"/>
  <c r="E27" i="10" l="1"/>
  <c r="F28" i="6" l="1"/>
  <c r="C28" i="6"/>
  <c r="C28" i="4" l="1"/>
  <c r="B30" i="17" l="1"/>
  <c r="B15" i="17"/>
  <c r="B29" i="17"/>
  <c r="B28" i="17"/>
  <c r="B27" i="17"/>
  <c r="B26" i="17"/>
  <c r="B25" i="17"/>
  <c r="B24" i="17"/>
  <c r="B23" i="17"/>
  <c r="B22" i="17"/>
  <c r="B21" i="17"/>
  <c r="B20" i="17"/>
  <c r="B19" i="17"/>
  <c r="B18" i="17"/>
  <c r="B17" i="17"/>
  <c r="B16" i="17"/>
  <c r="B14" i="17"/>
  <c r="B13" i="17"/>
  <c r="B12" i="17"/>
  <c r="B11" i="17"/>
  <c r="B10" i="17"/>
  <c r="B9" i="17"/>
  <c r="B8" i="17"/>
  <c r="B7" i="17"/>
  <c r="B6" i="17"/>
  <c r="B5" i="17"/>
  <c r="B4" i="17"/>
  <c r="G5" i="17" l="1"/>
  <c r="G4" i="17"/>
  <c r="E30" i="17"/>
  <c r="C6" i="17"/>
  <c r="C10" i="17"/>
  <c r="C14" i="17"/>
  <c r="C18" i="17"/>
  <c r="C22" i="17"/>
  <c r="C26" i="17"/>
  <c r="C30" i="17"/>
  <c r="D7" i="17"/>
  <c r="D11" i="17"/>
  <c r="D15" i="17"/>
  <c r="D19" i="17"/>
  <c r="D23" i="17"/>
  <c r="D27" i="17"/>
  <c r="E4" i="17"/>
  <c r="E8" i="17"/>
  <c r="E12" i="17"/>
  <c r="E16" i="17"/>
  <c r="E20" i="17"/>
  <c r="E24" i="17"/>
  <c r="E28" i="17"/>
  <c r="G8" i="17"/>
  <c r="G12" i="17"/>
  <c r="G16" i="17"/>
  <c r="G20" i="17"/>
  <c r="G24" i="17"/>
  <c r="G28" i="17"/>
  <c r="G30" i="17"/>
  <c r="C7" i="17"/>
  <c r="C11" i="17"/>
  <c r="C15" i="17"/>
  <c r="C19" i="17"/>
  <c r="C23" i="17"/>
  <c r="C27" i="17"/>
  <c r="D4" i="17"/>
  <c r="D8" i="17"/>
  <c r="D12" i="17"/>
  <c r="D16" i="17"/>
  <c r="D20" i="17"/>
  <c r="D24" i="17"/>
  <c r="D28" i="17"/>
  <c r="E5" i="17"/>
  <c r="E9" i="17"/>
  <c r="E13" i="17"/>
  <c r="E17" i="17"/>
  <c r="E21" i="17"/>
  <c r="E25" i="17"/>
  <c r="E29" i="17"/>
  <c r="G9" i="17"/>
  <c r="G13" i="17"/>
  <c r="G17" i="17"/>
  <c r="G21" i="17"/>
  <c r="G25" i="17"/>
  <c r="G29" i="17"/>
  <c r="C4" i="17"/>
  <c r="C8" i="17"/>
  <c r="C12" i="17"/>
  <c r="C16" i="17"/>
  <c r="C20" i="17"/>
  <c r="C24" i="17"/>
  <c r="C28" i="17"/>
  <c r="D5" i="17"/>
  <c r="D9" i="17"/>
  <c r="D13" i="17"/>
  <c r="D17" i="17"/>
  <c r="D21" i="17"/>
  <c r="D25" i="17"/>
  <c r="D29" i="17"/>
  <c r="E6" i="17"/>
  <c r="E10" i="17"/>
  <c r="E14" i="17"/>
  <c r="E18" i="17"/>
  <c r="E22" i="17"/>
  <c r="E26" i="17"/>
  <c r="G6" i="17"/>
  <c r="G10" i="17"/>
  <c r="G14" i="17"/>
  <c r="G18" i="17"/>
  <c r="G22" i="17"/>
  <c r="G26" i="17"/>
  <c r="C5" i="17"/>
  <c r="C9" i="17"/>
  <c r="C13" i="17"/>
  <c r="C17" i="17"/>
  <c r="C21" i="17"/>
  <c r="C25" i="17"/>
  <c r="C29" i="17"/>
  <c r="D6" i="17"/>
  <c r="D10" i="17"/>
  <c r="D14" i="17"/>
  <c r="D18" i="17"/>
  <c r="D22" i="17"/>
  <c r="D26" i="17"/>
  <c r="D30" i="17"/>
  <c r="E7" i="17"/>
  <c r="E11" i="17"/>
  <c r="E15" i="17"/>
  <c r="E19" i="17"/>
  <c r="E23" i="17"/>
  <c r="E27" i="17"/>
  <c r="G7" i="17"/>
  <c r="G11" i="17"/>
  <c r="G15" i="17"/>
  <c r="G19" i="17"/>
  <c r="G23" i="17"/>
  <c r="G27" i="17"/>
  <c r="D28" i="1"/>
  <c r="E29" i="14" l="1"/>
  <c r="E28" i="1"/>
  <c r="F24" i="2"/>
  <c r="G26" i="10" l="1"/>
  <c r="G25" i="10"/>
  <c r="G24" i="10"/>
  <c r="G23" i="10"/>
  <c r="G22" i="10"/>
  <c r="G21" i="10"/>
  <c r="G20" i="10"/>
  <c r="G19" i="10"/>
  <c r="G18" i="10"/>
  <c r="G17" i="10"/>
  <c r="G16" i="10"/>
  <c r="G15" i="10"/>
  <c r="G14" i="10"/>
  <c r="G13" i="10"/>
  <c r="G12" i="10"/>
  <c r="G11" i="10"/>
  <c r="G10" i="10"/>
  <c r="G9" i="10"/>
  <c r="G8" i="10"/>
  <c r="G7" i="10"/>
  <c r="G6" i="10"/>
  <c r="G5" i="10"/>
  <c r="G4" i="10"/>
  <c r="G3" i="10"/>
  <c r="E26" i="10"/>
  <c r="E25" i="10"/>
  <c r="E24" i="10"/>
  <c r="E23" i="10"/>
  <c r="E22" i="10"/>
  <c r="E21" i="10"/>
  <c r="E20" i="10"/>
  <c r="E19" i="10"/>
  <c r="E18" i="10"/>
  <c r="E17" i="10"/>
  <c r="E16" i="10"/>
  <c r="E15" i="10"/>
  <c r="E14" i="10"/>
  <c r="E13" i="10"/>
  <c r="E12" i="10"/>
  <c r="E11" i="10"/>
  <c r="E10" i="10"/>
  <c r="E9" i="10"/>
  <c r="E8" i="10"/>
  <c r="E7" i="10"/>
  <c r="E6" i="10"/>
  <c r="E5" i="10"/>
  <c r="E4" i="10"/>
  <c r="E3" i="10"/>
  <c r="C28" i="10"/>
  <c r="E28" i="10" l="1"/>
  <c r="G28" i="10"/>
  <c r="G19" i="8"/>
  <c r="G18" i="8"/>
  <c r="G17" i="8"/>
  <c r="G16" i="8"/>
  <c r="G15" i="8"/>
  <c r="G14" i="8"/>
  <c r="G13" i="8"/>
  <c r="G12" i="8"/>
  <c r="G11" i="8"/>
  <c r="G10" i="8"/>
  <c r="G9" i="8"/>
  <c r="G8" i="8"/>
  <c r="G7" i="8"/>
  <c r="G6" i="8"/>
  <c r="G5" i="8"/>
  <c r="G4" i="8"/>
  <c r="G3" i="8"/>
  <c r="E19" i="8"/>
  <c r="E18" i="8"/>
  <c r="E17" i="8"/>
  <c r="E16" i="8"/>
  <c r="E15" i="8"/>
  <c r="E14" i="8"/>
  <c r="E13" i="8"/>
  <c r="E12" i="8"/>
  <c r="E11" i="8"/>
  <c r="E10" i="8"/>
  <c r="E9" i="8"/>
  <c r="E8" i="8"/>
  <c r="E7" i="8"/>
  <c r="E6" i="8"/>
  <c r="E5" i="8"/>
  <c r="E4" i="8"/>
  <c r="E3" i="8"/>
  <c r="E29" i="13"/>
  <c r="E28" i="13"/>
  <c r="E27" i="13"/>
  <c r="E26" i="13"/>
  <c r="E25" i="13"/>
  <c r="E24" i="13"/>
  <c r="E23" i="13"/>
  <c r="E22" i="13"/>
  <c r="E21" i="13"/>
  <c r="E20" i="13"/>
  <c r="E19" i="13"/>
  <c r="E18" i="13"/>
  <c r="E17" i="13"/>
  <c r="E16" i="13"/>
  <c r="E15" i="13"/>
  <c r="E14" i="13"/>
  <c r="E13" i="13"/>
  <c r="E11" i="13"/>
  <c r="E10" i="13"/>
  <c r="E9" i="13"/>
  <c r="E8" i="13"/>
  <c r="E7" i="13"/>
  <c r="E5" i="13"/>
  <c r="F27" i="17" s="1"/>
  <c r="E4" i="13"/>
  <c r="E3" i="13"/>
  <c r="G29" i="13"/>
  <c r="G28" i="13"/>
  <c r="G27" i="13"/>
  <c r="G26" i="13"/>
  <c r="G25" i="13"/>
  <c r="G24" i="13"/>
  <c r="G23" i="13"/>
  <c r="G22" i="13"/>
  <c r="G21" i="13"/>
  <c r="G20" i="13"/>
  <c r="G19" i="13"/>
  <c r="G18" i="13"/>
  <c r="G17" i="13"/>
  <c r="G16" i="13"/>
  <c r="G15" i="13"/>
  <c r="G14" i="13"/>
  <c r="G13" i="13"/>
  <c r="G11" i="13"/>
  <c r="G10" i="13"/>
  <c r="G9" i="13"/>
  <c r="G8" i="13"/>
  <c r="G7" i="13"/>
  <c r="G5" i="13"/>
  <c r="G4" i="13"/>
  <c r="G3" i="13"/>
  <c r="F29" i="17" l="1"/>
  <c r="H30" i="17"/>
  <c r="H27" i="17"/>
  <c r="H26" i="17"/>
  <c r="H29" i="17"/>
  <c r="F13" i="17"/>
  <c r="F24" i="17"/>
  <c r="H4" i="17"/>
  <c r="H9" i="17"/>
  <c r="H5" i="17"/>
  <c r="H21" i="17"/>
  <c r="F20" i="17"/>
  <c r="H20" i="17"/>
  <c r="H22" i="17"/>
  <c r="H18" i="17"/>
  <c r="H14" i="17"/>
  <c r="F18" i="17"/>
  <c r="H7" i="17"/>
  <c r="F28" i="17"/>
  <c r="F12" i="17"/>
  <c r="H28" i="17"/>
  <c r="F4" i="17"/>
  <c r="H25" i="17"/>
  <c r="F25" i="17"/>
  <c r="F10" i="17"/>
  <c r="H10" i="17"/>
  <c r="F21" i="17"/>
  <c r="F9" i="17"/>
  <c r="H11" i="17"/>
  <c r="H6" i="17"/>
  <c r="F30" i="17"/>
  <c r="H15" i="17"/>
  <c r="H12" i="17"/>
  <c r="H16" i="17"/>
  <c r="H17" i="17"/>
  <c r="F19" i="17"/>
  <c r="F23" i="17"/>
  <c r="F8" i="17"/>
  <c r="H19" i="17"/>
  <c r="H23" i="17"/>
  <c r="H8" i="17"/>
  <c r="F22" i="17"/>
  <c r="F26" i="17"/>
  <c r="H13" i="17"/>
  <c r="H24" i="17"/>
  <c r="F14" i="17"/>
  <c r="F11" i="17"/>
  <c r="F17" i="17"/>
  <c r="F6" i="17"/>
  <c r="F15" i="17"/>
  <c r="F16" i="17"/>
  <c r="F7" i="17"/>
  <c r="F5" i="17"/>
  <c r="B20" i="16"/>
  <c r="B18" i="16"/>
  <c r="B17" i="16"/>
  <c r="B16" i="16"/>
  <c r="B15" i="16"/>
  <c r="B14" i="16"/>
  <c r="B13" i="16"/>
  <c r="B12" i="16"/>
  <c r="B11" i="16"/>
  <c r="B10" i="16"/>
  <c r="B9" i="16"/>
  <c r="B8" i="16"/>
  <c r="B7" i="16"/>
  <c r="B6" i="16"/>
  <c r="B5" i="16"/>
  <c r="B4" i="16"/>
  <c r="G4" i="16" l="1"/>
  <c r="D10" i="16"/>
  <c r="H9" i="16"/>
  <c r="F4" i="16"/>
  <c r="D17" i="16"/>
  <c r="H5" i="16"/>
  <c r="F11" i="16"/>
  <c r="H20" i="16"/>
  <c r="D9" i="16"/>
  <c r="H17" i="16"/>
  <c r="E8" i="16"/>
  <c r="E16" i="16"/>
  <c r="F19" i="16"/>
  <c r="G10" i="16"/>
  <c r="G18" i="16"/>
  <c r="H13" i="16"/>
  <c r="C9" i="16"/>
  <c r="D18" i="16"/>
  <c r="E9" i="16"/>
  <c r="E17" i="16"/>
  <c r="F8" i="16"/>
  <c r="F16" i="16"/>
  <c r="F20" i="16"/>
  <c r="G11" i="16"/>
  <c r="G15" i="16"/>
  <c r="G19" i="16"/>
  <c r="H10" i="16"/>
  <c r="H14" i="16"/>
  <c r="H18" i="16"/>
  <c r="D7" i="16"/>
  <c r="D11" i="16"/>
  <c r="D15" i="16"/>
  <c r="D19" i="16"/>
  <c r="E6" i="16"/>
  <c r="E10" i="16"/>
  <c r="E14" i="16"/>
  <c r="E18" i="16"/>
  <c r="F5" i="16"/>
  <c r="F9" i="16"/>
  <c r="F13" i="16"/>
  <c r="F17" i="16"/>
  <c r="G8" i="16"/>
  <c r="G12" i="16"/>
  <c r="G16" i="16"/>
  <c r="G20" i="16"/>
  <c r="H7" i="16"/>
  <c r="H11" i="16"/>
  <c r="H15" i="16"/>
  <c r="H19" i="16"/>
  <c r="D5" i="16"/>
  <c r="D13" i="16"/>
  <c r="E4" i="16"/>
  <c r="E12" i="16"/>
  <c r="E20" i="16"/>
  <c r="F7" i="16"/>
  <c r="F15" i="16"/>
  <c r="G6" i="16"/>
  <c r="G14" i="16"/>
  <c r="D6" i="16"/>
  <c r="D14" i="16"/>
  <c r="E5" i="16"/>
  <c r="E13" i="16"/>
  <c r="F12" i="16"/>
  <c r="G7" i="16"/>
  <c r="H6" i="16"/>
  <c r="C14" i="16"/>
  <c r="D4" i="16"/>
  <c r="D8" i="16"/>
  <c r="D12" i="16"/>
  <c r="D16" i="16"/>
  <c r="D20" i="16"/>
  <c r="E7" i="16"/>
  <c r="E11" i="16"/>
  <c r="E15" i="16"/>
  <c r="E19" i="16"/>
  <c r="F6" i="16"/>
  <c r="F10" i="16"/>
  <c r="F14" i="16"/>
  <c r="F18" i="16"/>
  <c r="G5" i="16"/>
  <c r="G9" i="16"/>
  <c r="G13" i="16"/>
  <c r="G17" i="16"/>
  <c r="H4" i="16"/>
  <c r="H8" i="16"/>
  <c r="H12" i="16"/>
  <c r="H16" i="16"/>
  <c r="C17" i="16"/>
  <c r="C10" i="16"/>
  <c r="C18" i="16"/>
  <c r="C7" i="16"/>
  <c r="C11" i="16"/>
  <c r="C15" i="16"/>
  <c r="C19" i="16"/>
  <c r="C5" i="16"/>
  <c r="C13" i="16"/>
  <c r="C20" i="16"/>
  <c r="C6" i="16"/>
  <c r="C4" i="16"/>
  <c r="C8" i="16"/>
  <c r="C12" i="16"/>
  <c r="C16" i="16"/>
  <c r="H3" i="23"/>
  <c r="G3" i="23"/>
  <c r="F3" i="23"/>
  <c r="E3" i="23"/>
  <c r="D3" i="23"/>
  <c r="C3" i="23"/>
  <c r="H3" i="22"/>
  <c r="G3" i="22"/>
  <c r="F3" i="22"/>
  <c r="E3" i="22"/>
  <c r="D3" i="22"/>
  <c r="C3" i="22"/>
  <c r="H3" i="21"/>
  <c r="G3" i="21"/>
  <c r="F3" i="21"/>
  <c r="E3" i="21"/>
  <c r="D3" i="21"/>
  <c r="C3" i="21"/>
  <c r="H3" i="20"/>
  <c r="G3" i="20"/>
  <c r="F3" i="20"/>
  <c r="E3" i="20"/>
  <c r="D3" i="20"/>
  <c r="C3" i="20"/>
  <c r="H3" i="19"/>
  <c r="G3" i="19"/>
  <c r="F3" i="19"/>
  <c r="E3" i="19"/>
  <c r="D3" i="19"/>
  <c r="C3" i="19"/>
  <c r="H3" i="17"/>
  <c r="G3" i="17"/>
  <c r="F3" i="17"/>
  <c r="E3" i="17"/>
  <c r="D3" i="17"/>
  <c r="C3" i="17"/>
  <c r="H3" i="16"/>
  <c r="G3" i="16"/>
  <c r="F3" i="16"/>
  <c r="E3" i="16"/>
  <c r="D3" i="16"/>
  <c r="C3" i="16"/>
  <c r="B29" i="15"/>
  <c r="B28" i="15"/>
  <c r="B27" i="15"/>
  <c r="B26" i="15"/>
  <c r="B25" i="15"/>
  <c r="B24" i="15"/>
  <c r="B23" i="15"/>
  <c r="B22" i="15"/>
  <c r="B21" i="15"/>
  <c r="B20" i="15"/>
  <c r="B19" i="15"/>
  <c r="B18" i="15"/>
  <c r="B17" i="15"/>
  <c r="B16" i="15"/>
  <c r="B15" i="15"/>
  <c r="B14" i="15"/>
  <c r="B13" i="15"/>
  <c r="B12" i="15"/>
  <c r="B11" i="15"/>
  <c r="B10" i="15"/>
  <c r="B9" i="15"/>
  <c r="B8" i="15"/>
  <c r="B7" i="15"/>
  <c r="B6" i="15"/>
  <c r="B5" i="15"/>
  <c r="B4" i="15"/>
  <c r="H3" i="18"/>
  <c r="G3" i="18"/>
  <c r="F3" i="18"/>
  <c r="E3" i="18"/>
  <c r="D3" i="18"/>
  <c r="C3" i="18"/>
  <c r="H3" i="15"/>
  <c r="G3" i="15"/>
  <c r="F3" i="15"/>
  <c r="E3" i="15"/>
  <c r="D3" i="15"/>
  <c r="C3" i="15"/>
  <c r="H3" i="14"/>
  <c r="G3" i="14"/>
  <c r="F3" i="14"/>
  <c r="E3" i="14"/>
  <c r="D3" i="14"/>
  <c r="C3" i="14"/>
  <c r="C19" i="15" l="1"/>
  <c r="D26" i="15"/>
  <c r="D22" i="15"/>
  <c r="D18" i="15"/>
  <c r="D14" i="15"/>
  <c r="D10" i="15"/>
  <c r="D6" i="15"/>
  <c r="D29" i="15"/>
  <c r="D21" i="15"/>
  <c r="D13" i="15"/>
  <c r="D5" i="15"/>
  <c r="D27" i="15"/>
  <c r="D23" i="15"/>
  <c r="D19" i="15"/>
  <c r="D15" i="15"/>
  <c r="D11" i="15"/>
  <c r="D7" i="15"/>
  <c r="D25" i="15"/>
  <c r="D17" i="15"/>
  <c r="D9" i="15"/>
  <c r="D20" i="15"/>
  <c r="D4" i="15"/>
  <c r="D16" i="15"/>
  <c r="D28" i="15"/>
  <c r="D12" i="15"/>
  <c r="D24" i="15"/>
  <c r="D8" i="15"/>
  <c r="E4" i="15"/>
  <c r="H5" i="15"/>
  <c r="F29" i="15"/>
  <c r="G29" i="15"/>
  <c r="F5" i="15"/>
  <c r="C4" i="15"/>
  <c r="G4" i="15"/>
  <c r="E6" i="15"/>
  <c r="F7" i="15"/>
  <c r="C8" i="15"/>
  <c r="G8" i="15"/>
  <c r="H9" i="15"/>
  <c r="E10" i="15"/>
  <c r="F11" i="15"/>
  <c r="C12" i="15"/>
  <c r="G12" i="15"/>
  <c r="H13" i="15"/>
  <c r="E14" i="15"/>
  <c r="F15" i="15"/>
  <c r="C16" i="15"/>
  <c r="G16" i="15"/>
  <c r="H17" i="15"/>
  <c r="E18" i="15"/>
  <c r="F19" i="15"/>
  <c r="C20" i="15"/>
  <c r="G20" i="15"/>
  <c r="H21" i="15"/>
  <c r="E22" i="15"/>
  <c r="F23" i="15"/>
  <c r="C24" i="15"/>
  <c r="G24" i="15"/>
  <c r="H25" i="15"/>
  <c r="E26" i="15"/>
  <c r="F27" i="15"/>
  <c r="C28" i="15"/>
  <c r="G28" i="15"/>
  <c r="H29" i="15"/>
  <c r="H4" i="15"/>
  <c r="E5" i="15"/>
  <c r="F6" i="15"/>
  <c r="C7" i="15"/>
  <c r="G7" i="15"/>
  <c r="H8" i="15"/>
  <c r="E9" i="15"/>
  <c r="F10" i="15"/>
  <c r="C11" i="15"/>
  <c r="G11" i="15"/>
  <c r="H12" i="15"/>
  <c r="E13" i="15"/>
  <c r="F14" i="15"/>
  <c r="C15" i="15"/>
  <c r="G15" i="15"/>
  <c r="H16" i="15"/>
  <c r="E17" i="15"/>
  <c r="F18" i="15"/>
  <c r="G19" i="15"/>
  <c r="H20" i="15"/>
  <c r="E21" i="15"/>
  <c r="F22" i="15"/>
  <c r="C23" i="15"/>
  <c r="G23" i="15"/>
  <c r="H24" i="15"/>
  <c r="E25" i="15"/>
  <c r="F26" i="15"/>
  <c r="C27" i="15"/>
  <c r="G27" i="15"/>
  <c r="H28" i="15"/>
  <c r="E29" i="15"/>
  <c r="C6" i="15"/>
  <c r="G6" i="15"/>
  <c r="H7" i="15"/>
  <c r="E8" i="15"/>
  <c r="F9" i="15"/>
  <c r="C10" i="15"/>
  <c r="G10" i="15"/>
  <c r="H11" i="15"/>
  <c r="E12" i="15"/>
  <c r="F13" i="15"/>
  <c r="C14" i="15"/>
  <c r="G14" i="15"/>
  <c r="H15" i="15"/>
  <c r="E16" i="15"/>
  <c r="F17" i="15"/>
  <c r="C18" i="15"/>
  <c r="G18" i="15"/>
  <c r="H19" i="15"/>
  <c r="E20" i="15"/>
  <c r="F21" i="15"/>
  <c r="C22" i="15"/>
  <c r="G22" i="15"/>
  <c r="H23" i="15"/>
  <c r="E24" i="15"/>
  <c r="F25" i="15"/>
  <c r="C26" i="15"/>
  <c r="G26" i="15"/>
  <c r="H27" i="15"/>
  <c r="E28" i="15"/>
  <c r="F4" i="15"/>
  <c r="C5" i="15"/>
  <c r="G5" i="15"/>
  <c r="H6" i="15"/>
  <c r="E7" i="15"/>
  <c r="F8" i="15"/>
  <c r="C9" i="15"/>
  <c r="G9" i="15"/>
  <c r="H10" i="15"/>
  <c r="E11" i="15"/>
  <c r="F12" i="15"/>
  <c r="C13" i="15"/>
  <c r="G13" i="15"/>
  <c r="H14" i="15"/>
  <c r="E15" i="15"/>
  <c r="F16" i="15"/>
  <c r="C17" i="15"/>
  <c r="G17" i="15"/>
  <c r="H18" i="15"/>
  <c r="E19" i="15"/>
  <c r="F20" i="15"/>
  <c r="C21" i="15"/>
  <c r="G21" i="15"/>
  <c r="H22" i="15"/>
  <c r="E23" i="15"/>
  <c r="F24" i="15"/>
  <c r="C25" i="15"/>
  <c r="G25" i="15"/>
  <c r="H26" i="15"/>
  <c r="E27" i="15"/>
  <c r="F28" i="15"/>
  <c r="C29" i="15"/>
  <c r="D24" i="2" l="1"/>
  <c r="F28" i="1"/>
  <c r="G28" i="1" s="1"/>
  <c r="G29" i="14" l="1"/>
  <c r="G4" i="14"/>
  <c r="B29" i="19"/>
  <c r="B25" i="19"/>
  <c r="B21" i="19"/>
  <c r="B17" i="19"/>
  <c r="B13" i="19"/>
  <c r="B9" i="19"/>
  <c r="B5" i="19"/>
  <c r="B28" i="19"/>
  <c r="B24" i="19"/>
  <c r="B20" i="19"/>
  <c r="B16" i="19"/>
  <c r="B12" i="19"/>
  <c r="B8" i="19"/>
  <c r="B27" i="19"/>
  <c r="B23" i="19"/>
  <c r="B19" i="19"/>
  <c r="B15" i="19"/>
  <c r="B11" i="19"/>
  <c r="B7" i="19"/>
  <c r="B26" i="19"/>
  <c r="B22" i="19"/>
  <c r="B18" i="19"/>
  <c r="B14" i="19"/>
  <c r="B10" i="19"/>
  <c r="B6" i="19"/>
  <c r="B4" i="19"/>
  <c r="B23" i="18"/>
  <c r="B19" i="18"/>
  <c r="B15" i="18"/>
  <c r="B11" i="18"/>
  <c r="B7" i="18"/>
  <c r="B22" i="18"/>
  <c r="B18" i="18"/>
  <c r="B14" i="18"/>
  <c r="B10" i="18"/>
  <c r="B6" i="18"/>
  <c r="B4" i="18"/>
  <c r="B25" i="18"/>
  <c r="B21" i="18"/>
  <c r="B17" i="18"/>
  <c r="B13" i="18"/>
  <c r="B9" i="18"/>
  <c r="B5" i="18"/>
  <c r="B24" i="18"/>
  <c r="B20" i="18"/>
  <c r="B16" i="18"/>
  <c r="B12" i="18"/>
  <c r="B8" i="18"/>
  <c r="F29" i="14"/>
  <c r="H29" i="14"/>
  <c r="D26" i="19" l="1"/>
  <c r="D22" i="19"/>
  <c r="D18" i="19"/>
  <c r="D14" i="19"/>
  <c r="D10" i="19"/>
  <c r="D6" i="19"/>
  <c r="D29" i="19"/>
  <c r="D21" i="19"/>
  <c r="D13" i="19"/>
  <c r="D5" i="19"/>
  <c r="D27" i="19"/>
  <c r="D23" i="19"/>
  <c r="D19" i="19"/>
  <c r="D15" i="19"/>
  <c r="D11" i="19"/>
  <c r="D7" i="19"/>
  <c r="D25" i="19"/>
  <c r="D17" i="19"/>
  <c r="D9" i="19"/>
  <c r="D20" i="19"/>
  <c r="D4" i="19"/>
  <c r="D16" i="19"/>
  <c r="D28" i="19"/>
  <c r="D12" i="19"/>
  <c r="D24" i="19"/>
  <c r="D8" i="19"/>
  <c r="D24" i="18"/>
  <c r="D20" i="18"/>
  <c r="D16" i="18"/>
  <c r="D12" i="18"/>
  <c r="D8" i="18"/>
  <c r="D4" i="18"/>
  <c r="D19" i="18"/>
  <c r="D11" i="18"/>
  <c r="D25" i="18"/>
  <c r="D21" i="18"/>
  <c r="D17" i="18"/>
  <c r="D13" i="18"/>
  <c r="D9" i="18"/>
  <c r="D5" i="18"/>
  <c r="D23" i="18"/>
  <c r="D15" i="18"/>
  <c r="D7" i="18"/>
  <c r="D14" i="18"/>
  <c r="D10" i="18"/>
  <c r="D22" i="18"/>
  <c r="D6" i="18"/>
  <c r="D18" i="18"/>
  <c r="C6" i="19"/>
  <c r="G19" i="19"/>
  <c r="C27" i="19"/>
  <c r="G18" i="19"/>
  <c r="C5" i="19"/>
  <c r="E7" i="19"/>
  <c r="C13" i="19"/>
  <c r="E15" i="19"/>
  <c r="C21" i="19"/>
  <c r="E23" i="19"/>
  <c r="C29" i="19"/>
  <c r="E5" i="19"/>
  <c r="C15" i="19"/>
  <c r="E17" i="19"/>
  <c r="G23" i="19"/>
  <c r="G22" i="19"/>
  <c r="G4" i="19"/>
  <c r="G12" i="19"/>
  <c r="G20" i="19"/>
  <c r="G28" i="19"/>
  <c r="E24" i="19"/>
  <c r="C10" i="19"/>
  <c r="E12" i="19"/>
  <c r="C26" i="19"/>
  <c r="E28" i="19"/>
  <c r="G5" i="19"/>
  <c r="G13" i="19"/>
  <c r="G21" i="19"/>
  <c r="G29" i="19"/>
  <c r="C7" i="19"/>
  <c r="E9" i="19"/>
  <c r="G15" i="19"/>
  <c r="E25" i="19"/>
  <c r="C14" i="19"/>
  <c r="E16" i="19"/>
  <c r="C8" i="19"/>
  <c r="E10" i="19"/>
  <c r="C16" i="19"/>
  <c r="E18" i="19"/>
  <c r="C24" i="19"/>
  <c r="E26" i="19"/>
  <c r="G6" i="19"/>
  <c r="C11" i="19"/>
  <c r="E13" i="19"/>
  <c r="E29" i="19"/>
  <c r="G10" i="19"/>
  <c r="G26" i="19"/>
  <c r="C9" i="19"/>
  <c r="E11" i="19"/>
  <c r="C17" i="19"/>
  <c r="E19" i="19"/>
  <c r="C25" i="19"/>
  <c r="E27" i="19"/>
  <c r="G7" i="19"/>
  <c r="G14" i="19"/>
  <c r="G8" i="19"/>
  <c r="G16" i="19"/>
  <c r="G24" i="19"/>
  <c r="G11" i="19"/>
  <c r="C19" i="19"/>
  <c r="E21" i="19"/>
  <c r="E4" i="19"/>
  <c r="C18" i="19"/>
  <c r="E20" i="19"/>
  <c r="G9" i="19"/>
  <c r="G17" i="19"/>
  <c r="G25" i="19"/>
  <c r="C23" i="19"/>
  <c r="G27" i="19"/>
  <c r="E8" i="19"/>
  <c r="C22" i="19"/>
  <c r="C4" i="19"/>
  <c r="E6" i="19"/>
  <c r="C12" i="19"/>
  <c r="E14" i="19"/>
  <c r="C20" i="19"/>
  <c r="E22" i="19"/>
  <c r="C28" i="19"/>
  <c r="C4" i="18"/>
  <c r="C8" i="18"/>
  <c r="E10" i="18"/>
  <c r="C16" i="18"/>
  <c r="E18" i="18"/>
  <c r="C24" i="18"/>
  <c r="C7" i="18"/>
  <c r="E9" i="18"/>
  <c r="C15" i="18"/>
  <c r="E17" i="18"/>
  <c r="C23" i="18"/>
  <c r="E25" i="18"/>
  <c r="C10" i="18"/>
  <c r="E12" i="18"/>
  <c r="C18" i="18"/>
  <c r="E20" i="18"/>
  <c r="G9" i="18"/>
  <c r="G17" i="18"/>
  <c r="G25" i="18"/>
  <c r="G8" i="18"/>
  <c r="G16" i="18"/>
  <c r="G24" i="18"/>
  <c r="G7" i="18"/>
  <c r="G15" i="18"/>
  <c r="G23" i="18"/>
  <c r="G10" i="18"/>
  <c r="G18" i="18"/>
  <c r="C5" i="18"/>
  <c r="E7" i="18"/>
  <c r="C13" i="18"/>
  <c r="E15" i="18"/>
  <c r="C21" i="18"/>
  <c r="E23" i="18"/>
  <c r="E4" i="18"/>
  <c r="E6" i="18"/>
  <c r="C12" i="18"/>
  <c r="E14" i="18"/>
  <c r="C20" i="18"/>
  <c r="E22" i="18"/>
  <c r="E5" i="18"/>
  <c r="C11" i="18"/>
  <c r="E13" i="18"/>
  <c r="C19" i="18"/>
  <c r="E21" i="18"/>
  <c r="C6" i="18"/>
  <c r="E8" i="18"/>
  <c r="C14" i="18"/>
  <c r="E16" i="18"/>
  <c r="C22" i="18"/>
  <c r="E24" i="18"/>
  <c r="G5" i="18"/>
  <c r="G13" i="18"/>
  <c r="G21" i="18"/>
  <c r="G4" i="18"/>
  <c r="G12" i="18"/>
  <c r="G20" i="18"/>
  <c r="G11" i="18"/>
  <c r="G19" i="18"/>
  <c r="G6" i="18"/>
  <c r="G14" i="18"/>
  <c r="G22" i="18"/>
  <c r="C9" i="18"/>
  <c r="E11" i="18"/>
  <c r="C17" i="18"/>
  <c r="E19" i="18"/>
  <c r="C25" i="18"/>
  <c r="F29" i="11"/>
  <c r="D29" i="11"/>
  <c r="C29" i="11"/>
  <c r="G28" i="11"/>
  <c r="E28" i="11"/>
  <c r="G27" i="11"/>
  <c r="E27" i="11"/>
  <c r="G26" i="11"/>
  <c r="E26" i="11"/>
  <c r="G25" i="11"/>
  <c r="E25" i="11"/>
  <c r="G24" i="11"/>
  <c r="E24" i="11"/>
  <c r="G23" i="11"/>
  <c r="E23" i="11"/>
  <c r="G22" i="11"/>
  <c r="E22" i="11"/>
  <c r="G21" i="11"/>
  <c r="E21" i="11"/>
  <c r="G20" i="11"/>
  <c r="E20" i="11"/>
  <c r="G19" i="11"/>
  <c r="E19" i="11"/>
  <c r="G18" i="11"/>
  <c r="E18" i="11"/>
  <c r="G17" i="11"/>
  <c r="E17" i="11"/>
  <c r="G16" i="11"/>
  <c r="E16" i="11"/>
  <c r="G15" i="11"/>
  <c r="E15" i="11"/>
  <c r="G14" i="11"/>
  <c r="E14" i="11"/>
  <c r="G13" i="11"/>
  <c r="E13" i="11"/>
  <c r="G12" i="11"/>
  <c r="E12" i="11"/>
  <c r="G11" i="11"/>
  <c r="E11" i="11"/>
  <c r="G10" i="11"/>
  <c r="E10" i="11"/>
  <c r="G9" i="11"/>
  <c r="E9" i="11"/>
  <c r="G8" i="11"/>
  <c r="E8" i="11"/>
  <c r="G7" i="11"/>
  <c r="E7" i="11"/>
  <c r="G6" i="11"/>
  <c r="E6" i="11"/>
  <c r="G5" i="11"/>
  <c r="E5" i="11"/>
  <c r="B27" i="23" l="1"/>
  <c r="B23" i="23"/>
  <c r="B19" i="23"/>
  <c r="B15" i="23"/>
  <c r="B11" i="23"/>
  <c r="B7" i="23"/>
  <c r="B26" i="23"/>
  <c r="B22" i="23"/>
  <c r="B18" i="23"/>
  <c r="B14" i="23"/>
  <c r="B10" i="23"/>
  <c r="B6" i="23"/>
  <c r="B29" i="23"/>
  <c r="B25" i="23"/>
  <c r="B21" i="23"/>
  <c r="B17" i="23"/>
  <c r="B13" i="23"/>
  <c r="B9" i="23"/>
  <c r="B5" i="23"/>
  <c r="B28" i="23"/>
  <c r="B24" i="23"/>
  <c r="B20" i="23"/>
  <c r="B16" i="23"/>
  <c r="B12" i="23"/>
  <c r="B8" i="23"/>
  <c r="B4" i="23"/>
  <c r="E29" i="11"/>
  <c r="G29" i="11"/>
  <c r="D28" i="5"/>
  <c r="D29" i="23" l="1"/>
  <c r="D25" i="23"/>
  <c r="D21" i="23"/>
  <c r="D17" i="23"/>
  <c r="D13" i="23"/>
  <c r="D9" i="23"/>
  <c r="D5" i="23"/>
  <c r="D24" i="23"/>
  <c r="D20" i="23"/>
  <c r="D16" i="23"/>
  <c r="D12" i="23"/>
  <c r="D8" i="23"/>
  <c r="D4" i="23"/>
  <c r="D19" i="23"/>
  <c r="D15" i="23"/>
  <c r="D28" i="23"/>
  <c r="D27" i="23"/>
  <c r="D26" i="23"/>
  <c r="D22" i="23"/>
  <c r="D18" i="23"/>
  <c r="D14" i="23"/>
  <c r="D10" i="23"/>
  <c r="D6" i="23"/>
  <c r="D23" i="23"/>
  <c r="D11" i="23"/>
  <c r="D7" i="23"/>
  <c r="G5" i="23"/>
  <c r="F8" i="23"/>
  <c r="C25" i="23"/>
  <c r="E27" i="23"/>
  <c r="C8" i="23"/>
  <c r="H13" i="23"/>
  <c r="G24" i="23"/>
  <c r="F27" i="23"/>
  <c r="E5" i="23"/>
  <c r="C11" i="23"/>
  <c r="E13" i="23"/>
  <c r="C19" i="23"/>
  <c r="E21" i="23"/>
  <c r="C27" i="23"/>
  <c r="E29" i="23"/>
  <c r="H10" i="23"/>
  <c r="G13" i="23"/>
  <c r="F20" i="23"/>
  <c r="H22" i="23"/>
  <c r="G4" i="23"/>
  <c r="G8" i="23"/>
  <c r="F11" i="23"/>
  <c r="C20" i="23"/>
  <c r="E22" i="23"/>
  <c r="E4" i="23"/>
  <c r="C10" i="23"/>
  <c r="E12" i="23"/>
  <c r="C18" i="23"/>
  <c r="E20" i="23"/>
  <c r="C26" i="23"/>
  <c r="E28" i="23"/>
  <c r="F29" i="23"/>
  <c r="F16" i="23"/>
  <c r="H18" i="23"/>
  <c r="G25" i="23"/>
  <c r="F28" i="23"/>
  <c r="C12" i="23"/>
  <c r="E14" i="23"/>
  <c r="H29" i="23"/>
  <c r="F6" i="23"/>
  <c r="H8" i="23"/>
  <c r="G11" i="23"/>
  <c r="F14" i="23"/>
  <c r="H16" i="23"/>
  <c r="G19" i="23"/>
  <c r="F22" i="23"/>
  <c r="H24" i="23"/>
  <c r="G27" i="23"/>
  <c r="C9" i="23"/>
  <c r="E11" i="23"/>
  <c r="C21" i="23"/>
  <c r="E23" i="23"/>
  <c r="F15" i="23"/>
  <c r="H17" i="23"/>
  <c r="G20" i="23"/>
  <c r="C28" i="23"/>
  <c r="F5" i="23"/>
  <c r="H7" i="23"/>
  <c r="G10" i="23"/>
  <c r="F13" i="23"/>
  <c r="H15" i="23"/>
  <c r="G18" i="23"/>
  <c r="F21" i="23"/>
  <c r="H23" i="23"/>
  <c r="G26" i="23"/>
  <c r="H11" i="23"/>
  <c r="H19" i="23"/>
  <c r="G22" i="23"/>
  <c r="H27" i="23"/>
  <c r="F4" i="23"/>
  <c r="H6" i="23"/>
  <c r="C17" i="23"/>
  <c r="E19" i="23"/>
  <c r="G29" i="23"/>
  <c r="G12" i="23"/>
  <c r="F23" i="23"/>
  <c r="H25" i="23"/>
  <c r="C7" i="23"/>
  <c r="E9" i="23"/>
  <c r="C15" i="23"/>
  <c r="E17" i="23"/>
  <c r="C23" i="23"/>
  <c r="E25" i="23"/>
  <c r="G9" i="23"/>
  <c r="F12" i="23"/>
  <c r="H14" i="23"/>
  <c r="G21" i="23"/>
  <c r="C29" i="23"/>
  <c r="H5" i="23"/>
  <c r="H9" i="23"/>
  <c r="C16" i="23"/>
  <c r="E18" i="23"/>
  <c r="G28" i="23"/>
  <c r="C6" i="23"/>
  <c r="E8" i="23"/>
  <c r="C14" i="23"/>
  <c r="E16" i="23"/>
  <c r="C22" i="23"/>
  <c r="E24" i="23"/>
  <c r="C5" i="23"/>
  <c r="E7" i="23"/>
  <c r="G17" i="23"/>
  <c r="F24" i="23"/>
  <c r="H26" i="23"/>
  <c r="F7" i="23"/>
  <c r="C24" i="23"/>
  <c r="E26" i="23"/>
  <c r="H4" i="23"/>
  <c r="G7" i="23"/>
  <c r="F10" i="23"/>
  <c r="H12" i="23"/>
  <c r="G15" i="23"/>
  <c r="F18" i="23"/>
  <c r="H20" i="23"/>
  <c r="G23" i="23"/>
  <c r="F26" i="23"/>
  <c r="H28" i="23"/>
  <c r="C13" i="23"/>
  <c r="E15" i="23"/>
  <c r="C4" i="23"/>
  <c r="E6" i="23"/>
  <c r="E10" i="23"/>
  <c r="G16" i="23"/>
  <c r="F19" i="23"/>
  <c r="H21" i="23"/>
  <c r="G6" i="23"/>
  <c r="F9" i="23"/>
  <c r="G14" i="23"/>
  <c r="F17" i="23"/>
  <c r="F25" i="23"/>
  <c r="F28" i="5" l="1"/>
  <c r="D28" i="4" l="1"/>
  <c r="C28" i="5"/>
  <c r="B27" i="21" l="1"/>
  <c r="B23" i="21"/>
  <c r="B19" i="21"/>
  <c r="B15" i="21"/>
  <c r="B11" i="21"/>
  <c r="B7" i="21"/>
  <c r="B26" i="21"/>
  <c r="B22" i="21"/>
  <c r="B18" i="21"/>
  <c r="B14" i="21"/>
  <c r="B10" i="21"/>
  <c r="B6" i="21"/>
  <c r="B29" i="21"/>
  <c r="B25" i="21"/>
  <c r="B21" i="21"/>
  <c r="B17" i="21"/>
  <c r="B13" i="21"/>
  <c r="B9" i="21"/>
  <c r="B5" i="21"/>
  <c r="B28" i="21"/>
  <c r="B24" i="21"/>
  <c r="B20" i="21"/>
  <c r="B16" i="21"/>
  <c r="B12" i="21"/>
  <c r="B8" i="21"/>
  <c r="B4" i="21"/>
  <c r="B27" i="20"/>
  <c r="B23" i="20"/>
  <c r="B19" i="20"/>
  <c r="B15" i="20"/>
  <c r="B11" i="20"/>
  <c r="B7" i="20"/>
  <c r="B26" i="20"/>
  <c r="B22" i="20"/>
  <c r="B18" i="20"/>
  <c r="B14" i="20"/>
  <c r="B10" i="20"/>
  <c r="B6" i="20"/>
  <c r="B29" i="20"/>
  <c r="B25" i="20"/>
  <c r="B21" i="20"/>
  <c r="B17" i="20"/>
  <c r="B13" i="20"/>
  <c r="B9" i="20"/>
  <c r="B5" i="20"/>
  <c r="B28" i="20"/>
  <c r="B24" i="20"/>
  <c r="B20" i="20"/>
  <c r="B16" i="20"/>
  <c r="B12" i="20"/>
  <c r="B8" i="20"/>
  <c r="B4" i="20"/>
  <c r="D29" i="21" l="1"/>
  <c r="D25" i="21"/>
  <c r="D21" i="21"/>
  <c r="D17" i="21"/>
  <c r="D13" i="21"/>
  <c r="D9" i="21"/>
  <c r="D5" i="21"/>
  <c r="D28" i="21"/>
  <c r="D20" i="21"/>
  <c r="D12" i="21"/>
  <c r="D26" i="21"/>
  <c r="D22" i="21"/>
  <c r="D18" i="21"/>
  <c r="D14" i="21"/>
  <c r="D10" i="21"/>
  <c r="D6" i="21"/>
  <c r="D24" i="21"/>
  <c r="D16" i="21"/>
  <c r="D8" i="21"/>
  <c r="D4" i="21"/>
  <c r="D15" i="21"/>
  <c r="D27" i="21"/>
  <c r="D11" i="21"/>
  <c r="D23" i="21"/>
  <c r="D7" i="21"/>
  <c r="D19" i="21"/>
  <c r="D28" i="20"/>
  <c r="D24" i="20"/>
  <c r="D20" i="20"/>
  <c r="D16" i="20"/>
  <c r="D12" i="20"/>
  <c r="D8" i="20"/>
  <c r="D4" i="20"/>
  <c r="D27" i="20"/>
  <c r="D19" i="20"/>
  <c r="D11" i="20"/>
  <c r="D29" i="20"/>
  <c r="D25" i="20"/>
  <c r="D21" i="20"/>
  <c r="D17" i="20"/>
  <c r="D13" i="20"/>
  <c r="D9" i="20"/>
  <c r="D5" i="20"/>
  <c r="D23" i="20"/>
  <c r="D15" i="20"/>
  <c r="D7" i="20"/>
  <c r="D26" i="20"/>
  <c r="D10" i="20"/>
  <c r="D22" i="20"/>
  <c r="D6" i="20"/>
  <c r="D18" i="20"/>
  <c r="G29" i="20"/>
  <c r="D14" i="20"/>
  <c r="E5" i="21"/>
  <c r="E20" i="21"/>
  <c r="C11" i="21"/>
  <c r="E13" i="21"/>
  <c r="C23" i="21"/>
  <c r="G27" i="21"/>
  <c r="G14" i="21"/>
  <c r="G26" i="21"/>
  <c r="C9" i="21"/>
  <c r="E11" i="21"/>
  <c r="C17" i="21"/>
  <c r="E19" i="21"/>
  <c r="C25" i="21"/>
  <c r="E27" i="21"/>
  <c r="C19" i="21"/>
  <c r="E21" i="21"/>
  <c r="C18" i="21"/>
  <c r="C4" i="21"/>
  <c r="E6" i="21"/>
  <c r="C12" i="21"/>
  <c r="E14" i="21"/>
  <c r="C20" i="21"/>
  <c r="E22" i="21"/>
  <c r="C28" i="21"/>
  <c r="E4" i="21"/>
  <c r="G11" i="21"/>
  <c r="G23" i="21"/>
  <c r="E29" i="21"/>
  <c r="C22" i="21"/>
  <c r="E24" i="21"/>
  <c r="G9" i="21"/>
  <c r="G17" i="21"/>
  <c r="G25" i="21"/>
  <c r="G19" i="21"/>
  <c r="C27" i="21"/>
  <c r="C10" i="21"/>
  <c r="E12" i="21"/>
  <c r="G18" i="21"/>
  <c r="G4" i="21"/>
  <c r="G12" i="21"/>
  <c r="G20" i="21"/>
  <c r="G28" i="21"/>
  <c r="C15" i="21"/>
  <c r="E17" i="21"/>
  <c r="E25" i="21"/>
  <c r="C6" i="21"/>
  <c r="E8" i="21"/>
  <c r="G22" i="21"/>
  <c r="C5" i="21"/>
  <c r="E7" i="21"/>
  <c r="C13" i="21"/>
  <c r="E15" i="21"/>
  <c r="C21" i="21"/>
  <c r="E23" i="21"/>
  <c r="C29" i="21"/>
  <c r="C7" i="21"/>
  <c r="E9" i="21"/>
  <c r="G10" i="21"/>
  <c r="C8" i="21"/>
  <c r="E10" i="21"/>
  <c r="C16" i="21"/>
  <c r="E18" i="21"/>
  <c r="C24" i="21"/>
  <c r="E26" i="21"/>
  <c r="G15" i="21"/>
  <c r="G6" i="21"/>
  <c r="C14" i="21"/>
  <c r="E16" i="21"/>
  <c r="C26" i="21"/>
  <c r="E28" i="21"/>
  <c r="G5" i="21"/>
  <c r="G13" i="21"/>
  <c r="G21" i="21"/>
  <c r="G29" i="21"/>
  <c r="G7" i="21"/>
  <c r="G8" i="21"/>
  <c r="G16" i="21"/>
  <c r="G24" i="21"/>
  <c r="C7" i="20"/>
  <c r="E9" i="20"/>
  <c r="C15" i="20"/>
  <c r="E17" i="20"/>
  <c r="C23" i="20"/>
  <c r="E25" i="20"/>
  <c r="G10" i="20"/>
  <c r="G18" i="20"/>
  <c r="G26" i="20"/>
  <c r="C9" i="20"/>
  <c r="E11" i="20"/>
  <c r="C17" i="20"/>
  <c r="E19" i="20"/>
  <c r="C25" i="20"/>
  <c r="E27" i="20"/>
  <c r="C4" i="20"/>
  <c r="E6" i="20"/>
  <c r="C12" i="20"/>
  <c r="E14" i="20"/>
  <c r="C20" i="20"/>
  <c r="E22" i="20"/>
  <c r="C28" i="20"/>
  <c r="G7" i="20"/>
  <c r="G15" i="20"/>
  <c r="G23" i="20"/>
  <c r="C6" i="20"/>
  <c r="E8" i="20"/>
  <c r="C14" i="20"/>
  <c r="E16" i="20"/>
  <c r="C22" i="20"/>
  <c r="E24" i="20"/>
  <c r="G9" i="20"/>
  <c r="G17" i="20"/>
  <c r="G25" i="20"/>
  <c r="G4" i="20"/>
  <c r="G12" i="20"/>
  <c r="G20" i="20"/>
  <c r="G28" i="20"/>
  <c r="E5" i="20"/>
  <c r="C11" i="20"/>
  <c r="E13" i="20"/>
  <c r="C19" i="20"/>
  <c r="E21" i="20"/>
  <c r="C27" i="20"/>
  <c r="E29" i="20"/>
  <c r="G6" i="20"/>
  <c r="G14" i="20"/>
  <c r="G22" i="20"/>
  <c r="C5" i="20"/>
  <c r="E7" i="20"/>
  <c r="C13" i="20"/>
  <c r="E15" i="20"/>
  <c r="C21" i="20"/>
  <c r="E23" i="20"/>
  <c r="C29" i="20"/>
  <c r="C8" i="20"/>
  <c r="E10" i="20"/>
  <c r="C16" i="20"/>
  <c r="E18" i="20"/>
  <c r="C24" i="20"/>
  <c r="E26" i="20"/>
  <c r="G11" i="20"/>
  <c r="G19" i="20"/>
  <c r="G27" i="20"/>
  <c r="E4" i="20"/>
  <c r="C10" i="20"/>
  <c r="E12" i="20"/>
  <c r="C18" i="20"/>
  <c r="E20" i="20"/>
  <c r="C26" i="20"/>
  <c r="E28" i="20"/>
  <c r="G5" i="20"/>
  <c r="G13" i="20"/>
  <c r="G21" i="20"/>
  <c r="G8" i="20"/>
  <c r="G16" i="20"/>
  <c r="G24" i="20"/>
  <c r="K23" i="2"/>
  <c r="K10" i="2"/>
  <c r="J2" i="2"/>
  <c r="J2" i="10"/>
  <c r="H24" i="14" l="1"/>
  <c r="H5" i="14"/>
  <c r="F14" i="14"/>
  <c r="F24" i="14"/>
  <c r="F5" i="14"/>
  <c r="G27" i="6" l="1"/>
  <c r="G26" i="6"/>
  <c r="G25" i="6"/>
  <c r="G24" i="6"/>
  <c r="G23" i="6"/>
  <c r="G22" i="6"/>
  <c r="G21" i="6"/>
  <c r="G20" i="6"/>
  <c r="G19" i="6"/>
  <c r="G18" i="6"/>
  <c r="G17" i="6"/>
  <c r="G16" i="6"/>
  <c r="G15" i="6"/>
  <c r="G14" i="6"/>
  <c r="G13" i="6"/>
  <c r="G12" i="6"/>
  <c r="G11" i="6"/>
  <c r="G10" i="6"/>
  <c r="G9" i="6"/>
  <c r="G8" i="6"/>
  <c r="G7" i="6"/>
  <c r="G6" i="6"/>
  <c r="G5" i="6"/>
  <c r="G4" i="6"/>
  <c r="G3" i="6"/>
  <c r="E27" i="6"/>
  <c r="E26" i="6"/>
  <c r="E25" i="6"/>
  <c r="E24" i="6"/>
  <c r="E23" i="6"/>
  <c r="E22" i="6"/>
  <c r="E21" i="6"/>
  <c r="E20" i="6"/>
  <c r="E19" i="6"/>
  <c r="E18" i="6"/>
  <c r="E17" i="6"/>
  <c r="E16" i="6"/>
  <c r="E15" i="6"/>
  <c r="E14" i="6"/>
  <c r="E13" i="6"/>
  <c r="E12" i="6"/>
  <c r="E11" i="6"/>
  <c r="E10" i="6"/>
  <c r="E9" i="6"/>
  <c r="E8" i="6"/>
  <c r="E7" i="6"/>
  <c r="E6" i="6"/>
  <c r="E5" i="6"/>
  <c r="E4" i="6"/>
  <c r="E3" i="6"/>
  <c r="G27" i="5"/>
  <c r="G26" i="5"/>
  <c r="H28" i="21" s="1"/>
  <c r="G25" i="5"/>
  <c r="G24" i="5"/>
  <c r="G23" i="5"/>
  <c r="G22" i="5"/>
  <c r="G21" i="5"/>
  <c r="G20" i="5"/>
  <c r="G19" i="5"/>
  <c r="H27" i="21" s="1"/>
  <c r="G18" i="5"/>
  <c r="G17" i="5"/>
  <c r="G16" i="5"/>
  <c r="G15" i="5"/>
  <c r="G14" i="5"/>
  <c r="G13" i="5"/>
  <c r="G12" i="5"/>
  <c r="G11" i="5"/>
  <c r="G10" i="5"/>
  <c r="G9" i="5"/>
  <c r="G8" i="5"/>
  <c r="H9" i="21" s="1"/>
  <c r="G7" i="5"/>
  <c r="G6" i="5"/>
  <c r="H26" i="21" s="1"/>
  <c r="G5" i="5"/>
  <c r="G4" i="5"/>
  <c r="H24" i="21" s="1"/>
  <c r="G3" i="5"/>
  <c r="H5" i="21" s="1"/>
  <c r="E27" i="5"/>
  <c r="E26" i="5"/>
  <c r="F28" i="21" s="1"/>
  <c r="E25" i="5"/>
  <c r="E24" i="5"/>
  <c r="E23" i="5"/>
  <c r="E22" i="5"/>
  <c r="E21" i="5"/>
  <c r="E20" i="5"/>
  <c r="E19" i="5"/>
  <c r="F27" i="21" s="1"/>
  <c r="E18" i="5"/>
  <c r="E17" i="5"/>
  <c r="E16" i="5"/>
  <c r="E15" i="5"/>
  <c r="E14" i="5"/>
  <c r="E13" i="5"/>
  <c r="E12" i="5"/>
  <c r="E11" i="5"/>
  <c r="E10" i="5"/>
  <c r="E9" i="5"/>
  <c r="E8" i="5"/>
  <c r="F9" i="21" s="1"/>
  <c r="E7" i="5"/>
  <c r="F25" i="21" s="1"/>
  <c r="E6" i="5"/>
  <c r="E5" i="5"/>
  <c r="E4" i="5"/>
  <c r="F24" i="21" s="1"/>
  <c r="E3" i="5"/>
  <c r="F5" i="21" s="1"/>
  <c r="G27" i="4"/>
  <c r="G26" i="4"/>
  <c r="G25" i="4"/>
  <c r="G24" i="4"/>
  <c r="G23" i="4"/>
  <c r="G22" i="4"/>
  <c r="G21" i="4"/>
  <c r="G20" i="4"/>
  <c r="G19" i="4"/>
  <c r="G18" i="4"/>
  <c r="G17" i="4"/>
  <c r="G16" i="4"/>
  <c r="G15" i="4"/>
  <c r="G14" i="4"/>
  <c r="G13" i="4"/>
  <c r="G12" i="4"/>
  <c r="G11" i="4"/>
  <c r="G10" i="4"/>
  <c r="G9" i="4"/>
  <c r="G8" i="4"/>
  <c r="G7" i="4"/>
  <c r="G6" i="4"/>
  <c r="H27" i="20" s="1"/>
  <c r="G5" i="4"/>
  <c r="G4" i="4"/>
  <c r="G3" i="4"/>
  <c r="H6" i="20" s="1"/>
  <c r="E27" i="4"/>
  <c r="E26" i="4"/>
  <c r="E25" i="4"/>
  <c r="E24" i="4"/>
  <c r="E23" i="4"/>
  <c r="E22" i="4"/>
  <c r="E21" i="4"/>
  <c r="E20" i="4"/>
  <c r="E19" i="4"/>
  <c r="E18" i="4"/>
  <c r="E17" i="4"/>
  <c r="E16" i="4"/>
  <c r="E15" i="4"/>
  <c r="E14" i="4"/>
  <c r="E13" i="4"/>
  <c r="E12" i="4"/>
  <c r="E11" i="4"/>
  <c r="E10" i="4"/>
  <c r="E9" i="4"/>
  <c r="E8" i="4"/>
  <c r="E7" i="4"/>
  <c r="E6" i="4"/>
  <c r="E5" i="4"/>
  <c r="E4" i="4"/>
  <c r="E3" i="4"/>
  <c r="F6" i="20" s="1"/>
  <c r="G22" i="3"/>
  <c r="G27" i="3"/>
  <c r="G26" i="3"/>
  <c r="H28" i="19" s="1"/>
  <c r="G25" i="3"/>
  <c r="G24" i="3"/>
  <c r="G23" i="3"/>
  <c r="H7" i="19" s="1"/>
  <c r="G21" i="3"/>
  <c r="G20" i="3"/>
  <c r="G19" i="3"/>
  <c r="G18" i="3"/>
  <c r="G17" i="3"/>
  <c r="H23" i="19" s="1"/>
  <c r="G16" i="3"/>
  <c r="G15" i="3"/>
  <c r="G14" i="3"/>
  <c r="G13" i="3"/>
  <c r="G12" i="3"/>
  <c r="G11" i="3"/>
  <c r="H19" i="19" s="1"/>
  <c r="G10" i="3"/>
  <c r="G9" i="3"/>
  <c r="G8" i="3"/>
  <c r="G7" i="3"/>
  <c r="G6" i="3"/>
  <c r="G5" i="3"/>
  <c r="G4" i="3"/>
  <c r="H24" i="19" s="1"/>
  <c r="G3" i="3"/>
  <c r="E27" i="3"/>
  <c r="E26" i="3"/>
  <c r="F28" i="19" s="1"/>
  <c r="E25" i="3"/>
  <c r="E24" i="3"/>
  <c r="E23" i="3"/>
  <c r="E22" i="3"/>
  <c r="E21" i="3"/>
  <c r="E20" i="3"/>
  <c r="E19" i="3"/>
  <c r="E18" i="3"/>
  <c r="E17" i="3"/>
  <c r="E16" i="3"/>
  <c r="E15" i="3"/>
  <c r="E14" i="3"/>
  <c r="E13" i="3"/>
  <c r="E12" i="3"/>
  <c r="E11" i="3"/>
  <c r="E10" i="3"/>
  <c r="E9" i="3"/>
  <c r="E8" i="3"/>
  <c r="E7" i="3"/>
  <c r="E6" i="3"/>
  <c r="E5" i="3"/>
  <c r="E4" i="3"/>
  <c r="F24" i="19" s="1"/>
  <c r="E3" i="3"/>
  <c r="G23" i="2"/>
  <c r="G22" i="2"/>
  <c r="G21" i="2"/>
  <c r="G20" i="2"/>
  <c r="G19" i="2"/>
  <c r="G18" i="2"/>
  <c r="G17" i="2"/>
  <c r="G16" i="2"/>
  <c r="G15" i="2"/>
  <c r="G14" i="2"/>
  <c r="G13" i="2"/>
  <c r="G12" i="2"/>
  <c r="G11" i="2"/>
  <c r="G9" i="2"/>
  <c r="G8" i="2"/>
  <c r="G7" i="2"/>
  <c r="G6" i="2"/>
  <c r="G5" i="2"/>
  <c r="G4" i="2"/>
  <c r="G3" i="2"/>
  <c r="E23" i="2"/>
  <c r="E22" i="2"/>
  <c r="E21" i="2"/>
  <c r="E20" i="2"/>
  <c r="E19" i="2"/>
  <c r="E18" i="2"/>
  <c r="E17" i="2"/>
  <c r="E16" i="2"/>
  <c r="E15" i="2"/>
  <c r="E14" i="2"/>
  <c r="E13" i="2"/>
  <c r="E12" i="2"/>
  <c r="E11" i="2"/>
  <c r="E10" i="2"/>
  <c r="E9" i="2"/>
  <c r="E8" i="2"/>
  <c r="E7" i="2"/>
  <c r="E6" i="2"/>
  <c r="E5" i="2"/>
  <c r="E4" i="2"/>
  <c r="E3" i="2"/>
  <c r="H6" i="14"/>
  <c r="H28" i="14"/>
  <c r="H16" i="14"/>
  <c r="H4" i="14"/>
  <c r="H7" i="14"/>
  <c r="F6" i="14"/>
  <c r="H20" i="14"/>
  <c r="H12" i="14"/>
  <c r="H13" i="14"/>
  <c r="H27" i="14"/>
  <c r="H17" i="14"/>
  <c r="H23" i="14"/>
  <c r="H22" i="14"/>
  <c r="H19" i="14"/>
  <c r="H15" i="14"/>
  <c r="H18" i="14"/>
  <c r="H11" i="14"/>
  <c r="H21" i="14"/>
  <c r="H9" i="14"/>
  <c r="H10" i="14"/>
  <c r="H8" i="14"/>
  <c r="H25" i="14"/>
  <c r="H26" i="14"/>
  <c r="H14" i="14"/>
  <c r="F28" i="14"/>
  <c r="F16" i="14"/>
  <c r="F4" i="14"/>
  <c r="F7" i="14"/>
  <c r="F20" i="14"/>
  <c r="F12" i="14"/>
  <c r="F13" i="14"/>
  <c r="F27" i="14"/>
  <c r="F17" i="14"/>
  <c r="F23" i="14"/>
  <c r="F22" i="14"/>
  <c r="F19" i="14"/>
  <c r="F15" i="14"/>
  <c r="F18" i="14"/>
  <c r="F11" i="14"/>
  <c r="F21" i="14"/>
  <c r="F9" i="14"/>
  <c r="F10" i="14"/>
  <c r="F8" i="14"/>
  <c r="F25" i="14"/>
  <c r="F26" i="14"/>
  <c r="H25" i="21" l="1"/>
  <c r="F26" i="21"/>
  <c r="F25" i="20"/>
  <c r="E28" i="3"/>
  <c r="G28" i="3"/>
  <c r="F23" i="19"/>
  <c r="H7" i="21"/>
  <c r="H25" i="19"/>
  <c r="H27" i="19"/>
  <c r="F27" i="19"/>
  <c r="F12" i="19"/>
  <c r="H8" i="19"/>
  <c r="F7" i="19"/>
  <c r="F9" i="19"/>
  <c r="F25" i="19"/>
  <c r="F19" i="19"/>
  <c r="F8" i="19"/>
  <c r="H9" i="19"/>
  <c r="F7" i="21"/>
  <c r="F6" i="21"/>
  <c r="H8" i="21"/>
  <c r="H6" i="21"/>
  <c r="H12" i="19"/>
  <c r="F8" i="21"/>
  <c r="F18" i="19"/>
  <c r="H18" i="19"/>
  <c r="F15" i="19"/>
  <c r="H11" i="19"/>
  <c r="F11" i="19"/>
  <c r="H15" i="19"/>
  <c r="F13" i="20"/>
  <c r="F10" i="21"/>
  <c r="H10" i="21"/>
  <c r="F11" i="21"/>
  <c r="H11" i="21"/>
  <c r="H20" i="19"/>
  <c r="E28" i="6"/>
  <c r="F16" i="20"/>
  <c r="F27" i="20"/>
  <c r="F26" i="20"/>
  <c r="H13" i="20"/>
  <c r="F5" i="20"/>
  <c r="H26" i="20"/>
  <c r="H25" i="20"/>
  <c r="H5" i="20"/>
  <c r="F6" i="19"/>
  <c r="F26" i="19"/>
  <c r="F20" i="19"/>
  <c r="H21" i="19"/>
  <c r="G28" i="6"/>
  <c r="H26" i="19"/>
  <c r="F17" i="20"/>
  <c r="H21" i="18"/>
  <c r="F12" i="18"/>
  <c r="F16" i="18"/>
  <c r="F18" i="18"/>
  <c r="F5" i="18"/>
  <c r="H23" i="18"/>
  <c r="H6" i="18"/>
  <c r="F20" i="18"/>
  <c r="F23" i="18"/>
  <c r="F6" i="18"/>
  <c r="H22" i="18"/>
  <c r="H15" i="18"/>
  <c r="H24" i="18"/>
  <c r="F10" i="20"/>
  <c r="F19" i="18"/>
  <c r="H12" i="18"/>
  <c r="H16" i="18"/>
  <c r="H18" i="18"/>
  <c r="H5" i="18"/>
  <c r="F22" i="18"/>
  <c r="F15" i="18"/>
  <c r="F24" i="18"/>
  <c r="H20" i="18"/>
  <c r="H14" i="18"/>
  <c r="H19" i="18"/>
  <c r="F14" i="18"/>
  <c r="F21" i="18"/>
  <c r="H21" i="21"/>
  <c r="H17" i="21"/>
  <c r="F13" i="18"/>
  <c r="H13" i="18"/>
  <c r="F8" i="20"/>
  <c r="H7" i="20"/>
  <c r="H17" i="19"/>
  <c r="F16" i="19"/>
  <c r="H16" i="21"/>
  <c r="F17" i="21"/>
  <c r="F23" i="21"/>
  <c r="H12" i="21"/>
  <c r="F16" i="21"/>
  <c r="F7" i="20"/>
  <c r="H16" i="19"/>
  <c r="H5" i="19"/>
  <c r="F17" i="19"/>
  <c r="H7" i="18"/>
  <c r="F7" i="18"/>
  <c r="F21" i="19"/>
  <c r="F10" i="18"/>
  <c r="H14" i="20"/>
  <c r="F15" i="20"/>
  <c r="H23" i="21"/>
  <c r="H11" i="20"/>
  <c r="F24" i="20"/>
  <c r="H21" i="20"/>
  <c r="H20" i="20"/>
  <c r="H16" i="20"/>
  <c r="F10" i="19"/>
  <c r="H22" i="19"/>
  <c r="H10" i="19"/>
  <c r="F22" i="19"/>
  <c r="H10" i="18"/>
  <c r="F11" i="18"/>
  <c r="H11" i="18"/>
  <c r="F9" i="18"/>
  <c r="H9" i="18"/>
  <c r="H14" i="21"/>
  <c r="F15" i="21"/>
  <c r="H15" i="20"/>
  <c r="F14" i="20"/>
  <c r="F14" i="21"/>
  <c r="F20" i="21"/>
  <c r="H15" i="21"/>
  <c r="H20" i="21"/>
  <c r="H12" i="20"/>
  <c r="F12" i="20"/>
  <c r="H13" i="19"/>
  <c r="F17" i="18"/>
  <c r="H8" i="18"/>
  <c r="F8" i="18"/>
  <c r="H17" i="18"/>
  <c r="F22" i="21"/>
  <c r="F13" i="21"/>
  <c r="F18" i="21"/>
  <c r="F22" i="20"/>
  <c r="H9" i="20"/>
  <c r="H18" i="20"/>
  <c r="H23" i="20"/>
  <c r="F14" i="19"/>
  <c r="F5" i="19"/>
  <c r="H6" i="19"/>
  <c r="F13" i="19"/>
  <c r="H14" i="19"/>
  <c r="F23" i="20"/>
  <c r="F9" i="20"/>
  <c r="F18" i="20"/>
  <c r="F19" i="20"/>
  <c r="H8" i="20"/>
  <c r="H17" i="20"/>
  <c r="H24" i="20"/>
  <c r="H10" i="20"/>
  <c r="H19" i="20"/>
  <c r="F21" i="20"/>
  <c r="F11" i="20"/>
  <c r="F20" i="20"/>
  <c r="H22" i="20"/>
  <c r="H19" i="21"/>
  <c r="H18" i="21"/>
  <c r="F19" i="21"/>
  <c r="F12" i="21"/>
  <c r="F21" i="21"/>
  <c r="H22" i="21"/>
  <c r="H13" i="21"/>
  <c r="G24" i="2"/>
  <c r="E24" i="2"/>
  <c r="E28" i="4"/>
  <c r="F28" i="20" s="1"/>
  <c r="E28" i="5"/>
  <c r="G28" i="5"/>
  <c r="G28" i="4"/>
  <c r="H28" i="20" s="1"/>
  <c r="K27" i="10"/>
  <c r="K26" i="10"/>
  <c r="K25" i="10"/>
  <c r="K24" i="10"/>
  <c r="K23" i="10"/>
  <c r="K22" i="10"/>
  <c r="K21" i="10"/>
  <c r="K20" i="10"/>
  <c r="K19" i="10"/>
  <c r="K18" i="10"/>
  <c r="K17" i="10"/>
  <c r="K16" i="10"/>
  <c r="K15" i="10"/>
  <c r="K14" i="10"/>
  <c r="K13" i="10"/>
  <c r="K12" i="10"/>
  <c r="K11" i="10"/>
  <c r="K10" i="10"/>
  <c r="K9" i="10"/>
  <c r="K8" i="10"/>
  <c r="K7" i="10"/>
  <c r="K6" i="10"/>
  <c r="K5" i="10"/>
  <c r="K4" i="10"/>
  <c r="K3" i="10"/>
  <c r="F4" i="21" l="1"/>
  <c r="F29" i="21"/>
  <c r="H4" i="21"/>
  <c r="H29" i="21"/>
  <c r="H4" i="19"/>
  <c r="H29" i="19"/>
  <c r="F4" i="19"/>
  <c r="F29" i="19"/>
  <c r="H4" i="18"/>
  <c r="H25" i="18"/>
  <c r="F4" i="18"/>
  <c r="F25" i="18"/>
  <c r="F4" i="20"/>
  <c r="F29" i="20"/>
  <c r="H4" i="20"/>
  <c r="H29" i="20"/>
  <c r="L4" i="10"/>
  <c r="L8" i="10"/>
  <c r="L12" i="10"/>
  <c r="L16" i="10"/>
  <c r="L20" i="10"/>
  <c r="L24" i="10"/>
  <c r="L5" i="10"/>
  <c r="L9" i="10"/>
  <c r="L13" i="10"/>
  <c r="L17" i="10"/>
  <c r="L21" i="10"/>
  <c r="L25" i="10"/>
  <c r="L6" i="10"/>
  <c r="L10" i="10"/>
  <c r="L14" i="10"/>
  <c r="L18" i="10"/>
  <c r="L22" i="10"/>
  <c r="L26" i="10"/>
  <c r="L3" i="10"/>
  <c r="L7" i="10"/>
  <c r="L11" i="10"/>
  <c r="L15" i="10"/>
  <c r="L19" i="10"/>
  <c r="L23" i="10"/>
  <c r="L27" i="10"/>
  <c r="K28" i="10"/>
  <c r="L28" i="10" l="1"/>
  <c r="B27" i="22" l="1"/>
  <c r="B23" i="22"/>
  <c r="B19" i="22"/>
  <c r="B15" i="22"/>
  <c r="B11" i="22"/>
  <c r="B7" i="22"/>
  <c r="B26" i="22"/>
  <c r="B22" i="22"/>
  <c r="B18" i="22"/>
  <c r="B14" i="22"/>
  <c r="B10" i="22"/>
  <c r="B6" i="22"/>
  <c r="B29" i="22"/>
  <c r="B25" i="22"/>
  <c r="B21" i="22"/>
  <c r="B17" i="22"/>
  <c r="B13" i="22"/>
  <c r="B9" i="22"/>
  <c r="B5" i="22"/>
  <c r="B28" i="22"/>
  <c r="B24" i="22"/>
  <c r="B20" i="22"/>
  <c r="B16" i="22"/>
  <c r="B12" i="22"/>
  <c r="B8" i="22"/>
  <c r="B4" i="22"/>
  <c r="K3" i="2"/>
  <c r="D27" i="22" l="1"/>
  <c r="D23" i="22"/>
  <c r="D19" i="22"/>
  <c r="D15" i="22"/>
  <c r="D11" i="22"/>
  <c r="D7" i="22"/>
  <c r="D26" i="22"/>
  <c r="D18" i="22"/>
  <c r="D14" i="22"/>
  <c r="D10" i="22"/>
  <c r="D29" i="22"/>
  <c r="D25" i="22"/>
  <c r="D28" i="22"/>
  <c r="D24" i="22"/>
  <c r="D20" i="22"/>
  <c r="D16" i="22"/>
  <c r="D12" i="22"/>
  <c r="D8" i="22"/>
  <c r="D4" i="22"/>
  <c r="D22" i="22"/>
  <c r="D6" i="22"/>
  <c r="D21" i="22"/>
  <c r="D5" i="22"/>
  <c r="D17" i="22"/>
  <c r="D13" i="22"/>
  <c r="D9" i="22"/>
  <c r="E24" i="22"/>
  <c r="F6" i="22"/>
  <c r="H8" i="22"/>
  <c r="C23" i="22"/>
  <c r="E25" i="22"/>
  <c r="E29" i="22"/>
  <c r="G6" i="22"/>
  <c r="F9" i="22"/>
  <c r="G18" i="22"/>
  <c r="F25" i="22"/>
  <c r="H27" i="22"/>
  <c r="C5" i="22"/>
  <c r="E7" i="22"/>
  <c r="C13" i="22"/>
  <c r="E15" i="22"/>
  <c r="C21" i="22"/>
  <c r="E23" i="22"/>
  <c r="C29" i="22"/>
  <c r="G11" i="22"/>
  <c r="G15" i="22"/>
  <c r="F18" i="22"/>
  <c r="H20" i="22"/>
  <c r="F21" i="22"/>
  <c r="H23" i="22"/>
  <c r="H5" i="22"/>
  <c r="G8" i="22"/>
  <c r="F11" i="22"/>
  <c r="H13" i="22"/>
  <c r="G16" i="22"/>
  <c r="F19" i="22"/>
  <c r="H21" i="22"/>
  <c r="G24" i="22"/>
  <c r="F27" i="22"/>
  <c r="H29" i="22"/>
  <c r="C7" i="22"/>
  <c r="E9" i="22"/>
  <c r="G23" i="22"/>
  <c r="F26" i="22"/>
  <c r="E4" i="22"/>
  <c r="G10" i="22"/>
  <c r="C26" i="22"/>
  <c r="E28" i="22"/>
  <c r="G5" i="22"/>
  <c r="F8" i="22"/>
  <c r="H10" i="22"/>
  <c r="G13" i="22"/>
  <c r="F16" i="22"/>
  <c r="H18" i="22"/>
  <c r="G21" i="22"/>
  <c r="F24" i="22"/>
  <c r="H26" i="22"/>
  <c r="G29" i="22"/>
  <c r="E13" i="22"/>
  <c r="C19" i="22"/>
  <c r="E21" i="22"/>
  <c r="F13" i="22"/>
  <c r="H15" i="22"/>
  <c r="C22" i="22"/>
  <c r="C4" i="22"/>
  <c r="E6" i="22"/>
  <c r="C12" i="22"/>
  <c r="E14" i="22"/>
  <c r="C20" i="22"/>
  <c r="E22" i="22"/>
  <c r="C28" i="22"/>
  <c r="H4" i="22"/>
  <c r="H28" i="22"/>
  <c r="G7" i="22"/>
  <c r="F10" i="22"/>
  <c r="G27" i="22"/>
  <c r="F5" i="22"/>
  <c r="H7" i="22"/>
  <c r="H11" i="22"/>
  <c r="H19" i="22"/>
  <c r="G26" i="22"/>
  <c r="F29" i="22"/>
  <c r="C9" i="22"/>
  <c r="E11" i="22"/>
  <c r="C17" i="22"/>
  <c r="E19" i="22"/>
  <c r="C25" i="22"/>
  <c r="E27" i="22"/>
  <c r="E5" i="22"/>
  <c r="F14" i="22"/>
  <c r="H16" i="22"/>
  <c r="G19" i="22"/>
  <c r="C27" i="22"/>
  <c r="C14" i="22"/>
  <c r="E16" i="22"/>
  <c r="G22" i="22"/>
  <c r="G4" i="22"/>
  <c r="F7" i="22"/>
  <c r="H9" i="22"/>
  <c r="G12" i="22"/>
  <c r="F15" i="22"/>
  <c r="H17" i="22"/>
  <c r="G20" i="22"/>
  <c r="F23" i="22"/>
  <c r="H25" i="22"/>
  <c r="G28" i="22"/>
  <c r="E12" i="22"/>
  <c r="H12" i="22"/>
  <c r="F22" i="22"/>
  <c r="H24" i="22"/>
  <c r="C6" i="22"/>
  <c r="E8" i="22"/>
  <c r="C18" i="22"/>
  <c r="E20" i="22"/>
  <c r="F4" i="22"/>
  <c r="H6" i="22"/>
  <c r="G9" i="22"/>
  <c r="F12" i="22"/>
  <c r="H14" i="22"/>
  <c r="G17" i="22"/>
  <c r="F20" i="22"/>
  <c r="H22" i="22"/>
  <c r="G25" i="22"/>
  <c r="F28" i="22"/>
  <c r="C11" i="22"/>
  <c r="C15" i="22"/>
  <c r="E17" i="22"/>
  <c r="C10" i="22"/>
  <c r="G14" i="22"/>
  <c r="F17" i="22"/>
  <c r="C8" i="22"/>
  <c r="E10" i="22"/>
  <c r="C16" i="22"/>
  <c r="E18" i="22"/>
  <c r="C24" i="22"/>
  <c r="E26" i="22"/>
  <c r="K2" i="2"/>
  <c r="L3" i="2" l="1"/>
  <c r="K22" i="2" l="1"/>
  <c r="K21" i="2"/>
  <c r="K20" i="2"/>
  <c r="K19" i="2"/>
  <c r="K18" i="2"/>
  <c r="K17" i="2"/>
  <c r="K16" i="2"/>
  <c r="K15" i="2"/>
  <c r="K14" i="2"/>
  <c r="K13" i="2"/>
  <c r="K12" i="2"/>
  <c r="K11" i="2"/>
  <c r="K9" i="2"/>
  <c r="K8" i="2"/>
  <c r="K7" i="2"/>
  <c r="K6" i="2"/>
  <c r="K5" i="2"/>
  <c r="K4" i="2"/>
  <c r="K28" i="2" l="1"/>
  <c r="L23" i="2"/>
  <c r="L22" i="2"/>
  <c r="L21" i="2"/>
  <c r="L20" i="2"/>
  <c r="L19" i="2"/>
  <c r="L18" i="2"/>
  <c r="L17" i="2"/>
  <c r="L16" i="2"/>
  <c r="L15" i="2"/>
  <c r="L14" i="2"/>
  <c r="L13" i="2"/>
  <c r="L12" i="2"/>
  <c r="L11" i="2"/>
  <c r="L10" i="2"/>
  <c r="L9" i="2"/>
  <c r="L8" i="2"/>
  <c r="L7" i="2"/>
  <c r="L6" i="2"/>
  <c r="L5" i="2"/>
  <c r="L4" i="2"/>
  <c r="J28" i="2" l="1"/>
  <c r="L28" i="2" s="1"/>
</calcChain>
</file>

<file path=xl/sharedStrings.xml><?xml version="1.0" encoding="utf-8"?>
<sst xmlns="http://schemas.openxmlformats.org/spreadsheetml/2006/main" count="479" uniqueCount="136">
  <si>
    <t>bieszczadzki</t>
  </si>
  <si>
    <t>brzozowski</t>
  </si>
  <si>
    <t>dębicki</t>
  </si>
  <si>
    <t>jarosławski</t>
  </si>
  <si>
    <t>jasielski</t>
  </si>
  <si>
    <t>kolbuszowski</t>
  </si>
  <si>
    <t>krośnieński</t>
  </si>
  <si>
    <t>leski</t>
  </si>
  <si>
    <t>leżajski</t>
  </si>
  <si>
    <t>lubaczowski</t>
  </si>
  <si>
    <t>łańcucki</t>
  </si>
  <si>
    <t>mielecki</t>
  </si>
  <si>
    <t>niżański</t>
  </si>
  <si>
    <t>przemyski</t>
  </si>
  <si>
    <t>przeworski</t>
  </si>
  <si>
    <t>ropczycko-sędziszowski</t>
  </si>
  <si>
    <t>rzeszowski</t>
  </si>
  <si>
    <t>sanocki</t>
  </si>
  <si>
    <t>stalowowolski</t>
  </si>
  <si>
    <t>strzyżowski</t>
  </si>
  <si>
    <t xml:space="preserve">tarnobrzeski </t>
  </si>
  <si>
    <t>Krosno</t>
  </si>
  <si>
    <t>Przemyśl</t>
  </si>
  <si>
    <t>Rzeszów</t>
  </si>
  <si>
    <t>Tarnobrzeg</t>
  </si>
  <si>
    <t>województwo</t>
  </si>
  <si>
    <t>wzrost/spadek do analogicznego okresu ubr.</t>
  </si>
  <si>
    <t>powiaty</t>
  </si>
  <si>
    <t>wzrost/spadek do poprzedniego  miesiąca</t>
  </si>
  <si>
    <t>---</t>
  </si>
  <si>
    <t>Oferty pracy (wolne miejsca pracy i miejsca aktywizacji zawodowej) wg powiatów</t>
  </si>
  <si>
    <t>Liczba bezrobotnych zamieszkłaych na wsi w województwie podkarpackim</t>
  </si>
  <si>
    <t>Liczba bezrobotnych w województwie podkarpackim wg powiatów</t>
  </si>
  <si>
    <t>POLSKA</t>
  </si>
  <si>
    <t>DOLNOŚLĄSKIE</t>
  </si>
  <si>
    <t>KUJAWSKO-POMORSKIE</t>
  </si>
  <si>
    <t>LUBELSKIE</t>
  </si>
  <si>
    <t>LUBUSKIE</t>
  </si>
  <si>
    <t>ŁÓDZKIE</t>
  </si>
  <si>
    <t>MAŁOPOLSKIE</t>
  </si>
  <si>
    <t>MAZOWIECKIE</t>
  </si>
  <si>
    <t>OPOLSKIE</t>
  </si>
  <si>
    <t>PODKARPACKIE</t>
  </si>
  <si>
    <t>PODLASKIE</t>
  </si>
  <si>
    <t>POMORSKIE</t>
  </si>
  <si>
    <t>ŚLĄSKIE</t>
  </si>
  <si>
    <t>ŚWIĘTOKRZYSKIE</t>
  </si>
  <si>
    <t>WARMIŃSKO-MAZURSKIE</t>
  </si>
  <si>
    <t>WIELKOPOLSKIE</t>
  </si>
  <si>
    <t>ZACHODNIOPOMORSKIE</t>
  </si>
  <si>
    <t>Powiat bieszczadzki</t>
  </si>
  <si>
    <t>Powiat brzozowski</t>
  </si>
  <si>
    <t>Powiat dębicki</t>
  </si>
  <si>
    <t>Powiat jarosławski</t>
  </si>
  <si>
    <t>Powiat jasielski</t>
  </si>
  <si>
    <t>Powiat kolbuszowski</t>
  </si>
  <si>
    <t>Powiat krośnieński</t>
  </si>
  <si>
    <t>Powiat leski</t>
  </si>
  <si>
    <t>Powiat leżajski</t>
  </si>
  <si>
    <t>Powiat lubaczowski</t>
  </si>
  <si>
    <t>Powiat łańcucki</t>
  </si>
  <si>
    <t>Powiat mielecki</t>
  </si>
  <si>
    <t>Powiat niżański</t>
  </si>
  <si>
    <t>Powiat przemyski</t>
  </si>
  <si>
    <t>Powiat przeworski</t>
  </si>
  <si>
    <t>Powiat ropczycko-sędziszowski</t>
  </si>
  <si>
    <t>Powiat rzeszowski</t>
  </si>
  <si>
    <t>Powiat sanocki</t>
  </si>
  <si>
    <t>Powiat stalowowolski</t>
  </si>
  <si>
    <t>Powiat strzyżowski</t>
  </si>
  <si>
    <t>Powiat tarnobrzeski</t>
  </si>
  <si>
    <t>Powiat m.Krosno</t>
  </si>
  <si>
    <t>Powiat m.Przemyśl</t>
  </si>
  <si>
    <t>Powiat m.Rzeszów</t>
  </si>
  <si>
    <t>Powiat m.Tarnobrzeg</t>
  </si>
  <si>
    <t>wzrost/spadek do poprzedniego miesiąca (pkt. proc.)</t>
  </si>
  <si>
    <t>wzrost/spadek do analogicznego okresu ubr. (pkt. proc.)</t>
  </si>
  <si>
    <t>wzrost/spadek do miesiąca poprzedniego</t>
  </si>
  <si>
    <t>w tym: kobiety</t>
  </si>
  <si>
    <t>Liczba bezrobotnych powyżej 12 miesięcy* - będących w szczególnej sytuacji na rynku pracy</t>
  </si>
  <si>
    <t>Bezrobotne kobiety zarejestrowane w PUP w woj. podkarpackim</t>
  </si>
  <si>
    <t>wzrost lub spadek do poprzedniego miesiąca (pkt. proc.)</t>
  </si>
  <si>
    <t>wzrost lub spadek do analogicznego okresu ubr. (pkt. proc.)</t>
  </si>
  <si>
    <t>Liczba bezrobotnych do 30 roku życia - w szczególnej sytuacji na rynku pracy</t>
  </si>
  <si>
    <t>Liczba bezrobotnych powyżej 50 roku życia - w szczególnej sytuacji na rynku pracy</t>
  </si>
  <si>
    <t>Bezrobotne kobiety zarejestrowane w PUP c.d.</t>
  </si>
  <si>
    <t>Liczba bezrobotnych zamieszkłaych na wsi c.d.</t>
  </si>
  <si>
    <t>Oferty pracy subsydiowanej (subsydiowane wolne miejsca pracy i miejsca aktywizacji zawodowej) wg powiatów</t>
  </si>
  <si>
    <t>lokata</t>
  </si>
  <si>
    <t>Stopa bezrobocia rejestrowanego - wg województw</t>
  </si>
  <si>
    <t>Stopa bezrobocia rejestrowanego - wg powiatów w województwie podkarpackim</t>
  </si>
  <si>
    <t>Liczba bezrobotnych powyżej 12 miesięcy* - w szczególnej sytuacji na rynku pracy</t>
  </si>
  <si>
    <t>** GUS, BDL http://www.stat.gov.pl</t>
  </si>
  <si>
    <t>Oferty pracy subsydiowanej wg powiatów</t>
  </si>
  <si>
    <t>(subsydiowane wolne miejsca pracy i miejsca aktywizacji zawodowej)</t>
  </si>
  <si>
    <t>w proc.</t>
  </si>
  <si>
    <t>proc. w stos. do ogółem bezrobotnych</t>
  </si>
  <si>
    <t>Liczba bezrobotnych do 30 roku życia - tj. będących w szczególnej sytuacji na rynku pracy</t>
  </si>
  <si>
    <r>
      <t xml:space="preserve">* </t>
    </r>
    <r>
      <rPr>
        <b/>
        <sz val="11"/>
        <color theme="1"/>
        <rFont val="Arial"/>
        <family val="2"/>
        <charset val="238"/>
      </rPr>
      <t>Bezrobotni długotrwale</t>
    </r>
    <r>
      <rPr>
        <sz val="11"/>
        <color theme="1"/>
        <rFont val="Arial"/>
        <family val="2"/>
        <charset val="238"/>
      </rPr>
      <t xml:space="preserve"> - w okresie ostatnich dwóch lat. </t>
    </r>
  </si>
  <si>
    <t>Definicja zawarta w ustawie o promocji zatrudnienia i instytucjach rynku pracy.</t>
  </si>
  <si>
    <t>Oferty pracy ogółem według stanu na koniec miesiąca</t>
  </si>
  <si>
    <t>(wolne miejsca pracy i miejsca aktywizacji zawodowej)</t>
  </si>
  <si>
    <t>Oferty pracy ogółem według stanu na koniec miesiąca (wolne miejsca pracy i miejsca aktywizacji zawodowej) wg powiatów</t>
  </si>
  <si>
    <t>https://stat.gov.pl/aktualnosci/informacja-gus-nt-planowanej-rewizji-miesiecznej-stopy-bezrobocia-rejestrowanego,449,1.html</t>
  </si>
  <si>
    <t>brak danych</t>
  </si>
  <si>
    <t>liczba bezrobotnych ogółem stan na 31 X '22 r.</t>
  </si>
  <si>
    <t>liczba bezrobotnych kobiet stan na 31 X '22 r.</t>
  </si>
  <si>
    <t>Stopa bezrobocia stan na 31 X '22 r. (w proc.)**</t>
  </si>
  <si>
    <t>liczba bezrobotnych zam. na wsi stan na 31 X '22 r.</t>
  </si>
  <si>
    <t>liczba bezrobotnych pow. 12 m-cy stan na 31 X '22 r.</t>
  </si>
  <si>
    <t>liczba bezrobotnych do 30 r. ż. stan na 31 X '22 r.</t>
  </si>
  <si>
    <t>liczba bezrobotnych 50+ stan na 31 X '22 r.</t>
  </si>
  <si>
    <t>liczba ofert w X '22 r.</t>
  </si>
  <si>
    <t>liczba bezrobotnych ogółem stan na 30 XI '22 r.</t>
  </si>
  <si>
    <t>liczba bezrobotnych ogółem stan na 30 XI '21 r.</t>
  </si>
  <si>
    <t>liczba bezrobotnych kobiet stan na 30 XI '22 r.</t>
  </si>
  <si>
    <t>liczba bezrobotnych kobiet stan na 30 XI '21 r.</t>
  </si>
  <si>
    <t>Stopa bezrobocia stan na 30 XI '22 r. (w proc.)**</t>
  </si>
  <si>
    <t>Stopa bezrobocia stan na 30 XI '21 r. (w proc.)*</t>
  </si>
  <si>
    <t>** GUS, BDL http://www.stat.gov.pl stopa bezrobocia rejestrowanego - zawiera dane jako skorygowane do NSP 2020.</t>
  </si>
  <si>
    <t>* Korekta GUS - udostępniona dla Polski i województw - link</t>
  </si>
  <si>
    <t>Stopa bezrobocia stan na 31 X '22 r. w proc. **</t>
  </si>
  <si>
    <t>Stopa bezrobocia stan na 30 XI '22 r. w proc.**</t>
  </si>
  <si>
    <t>Stopa bezrobocia stan na 30 XI '21 r. w proc.*</t>
  </si>
  <si>
    <t>* Dane wg powiatów przeliczone do NSP 2020 nie są dostepne.</t>
  </si>
  <si>
    <t>liczba bezrobotnych zam. na wsi stan na 30 XI '21 r.</t>
  </si>
  <si>
    <t>liczba bezrobotnych zam. na wsi stan na 30 XI '22 r.</t>
  </si>
  <si>
    <t>liczba bezrobotnych pow. 12 m-cy stan na 30 XI '22 r.</t>
  </si>
  <si>
    <t>liczba bezrobotnych pow. 12 m-cy,  stan na 30 XI '21 r.</t>
  </si>
  <si>
    <t>liczba bezrobotnych do 30 r. ż. stan na 30 XI '21 r.</t>
  </si>
  <si>
    <t>liczba bezrobotnych do 30 r. ż. stan na 30 XI '22 r.</t>
  </si>
  <si>
    <t>liczba bezrobotnych 50+ stan na 30 XI '21 r.</t>
  </si>
  <si>
    <t>liczba bezrobotnych 50+ stan na 30 XI '22 r.</t>
  </si>
  <si>
    <t>liczba ofert w XI '22 r.</t>
  </si>
  <si>
    <t>liczba ofert w XI '21 r.</t>
  </si>
  <si>
    <t>* Korekta GUS udostępniona dla Polski i województw - link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</si>
</sst>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"/>
  </numFmts>
  <fonts count="12" x14ac:knownFonts="1">
    <font>
      <sz val="11"/>
      <color theme="1"/>
      <name val="Calibri"/>
      <family val="2"/>
      <charset val="238"/>
      <scheme val="minor"/>
    </font>
    <font>
      <sz val="9"/>
      <color rgb="FF000000"/>
      <name val="Arial"/>
      <family val="2"/>
      <charset val="238"/>
    </font>
    <font>
      <sz val="11"/>
      <color theme="1"/>
      <name val="Arial"/>
      <family val="2"/>
      <charset val="238"/>
    </font>
    <font>
      <sz val="11"/>
      <name val="Arial"/>
      <family val="2"/>
      <charset val="238"/>
    </font>
    <font>
      <sz val="11"/>
      <color indexed="8"/>
      <name val="Arial"/>
      <family val="2"/>
      <charset val="238"/>
    </font>
    <font>
      <b/>
      <sz val="11"/>
      <color indexed="8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color rgb="FF000000"/>
      <name val="Arial"/>
      <family val="2"/>
      <charset val="238"/>
    </font>
    <font>
      <b/>
      <sz val="11"/>
      <name val="Arial"/>
      <family val="2"/>
      <charset val="238"/>
    </font>
    <font>
      <sz val="8"/>
      <color theme="1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u/>
      <sz val="8"/>
      <color theme="10"/>
      <name val="Arial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lightGray">
        <fgColor rgb="FF41AAC3"/>
        <bgColor theme="7" tint="0.79998168889431442"/>
      </patternFill>
    </fill>
    <fill>
      <patternFill patternType="solid">
        <fgColor theme="7" tint="0.59999389629810485"/>
        <bgColor indexed="64"/>
      </patternFill>
    </fill>
    <fill>
      <patternFill patternType="lightGray">
        <fgColor rgb="FF41AAC3"/>
        <bgColor theme="7" tint="0.59999389629810485"/>
      </patternFill>
    </fill>
    <fill>
      <patternFill patternType="solid">
        <fgColor rgb="FFEFECF4"/>
        <bgColor indexed="64"/>
      </patternFill>
    </fill>
    <fill>
      <patternFill patternType="lightGray">
        <fgColor rgb="FF41AAC3"/>
        <bgColor rgb="FFEFECF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0"/>
      </left>
      <right style="thin">
        <color indexed="0"/>
      </right>
      <top style="thin">
        <color indexed="64"/>
      </top>
      <bottom style="thin">
        <color indexed="0"/>
      </bottom>
      <diagonal/>
    </border>
    <border>
      <left/>
      <right/>
      <top style="thin">
        <color indexed="64"/>
      </top>
      <bottom style="thin">
        <color indexed="0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0"/>
      </top>
      <bottom style="thin">
        <color indexed="0"/>
      </bottom>
      <diagonal/>
    </border>
  </borders>
  <cellStyleXfs count="3">
    <xf numFmtId="0" fontId="0" fillId="0" borderId="0"/>
    <xf numFmtId="0" fontId="1" fillId="0" borderId="0">
      <alignment horizontal="right" vertical="center"/>
    </xf>
    <xf numFmtId="0" fontId="10" fillId="0" borderId="0" applyNumberFormat="0" applyFill="0" applyBorder="0" applyAlignment="0" applyProtection="0"/>
  </cellStyleXfs>
  <cellXfs count="84">
    <xf numFmtId="0" fontId="0" fillId="0" borderId="0" xfId="0"/>
    <xf numFmtId="0" fontId="2" fillId="2" borderId="2" xfId="0" applyFont="1" applyFill="1" applyBorder="1" applyAlignment="1">
      <alignment horizontal="left" vertical="center"/>
    </xf>
    <xf numFmtId="0" fontId="2" fillId="2" borderId="0" xfId="0" applyFont="1" applyFill="1" applyAlignment="1">
      <alignment horizontal="left" vertical="center"/>
    </xf>
    <xf numFmtId="0" fontId="2" fillId="2" borderId="0" xfId="0" applyFont="1" applyFill="1"/>
    <xf numFmtId="0" fontId="2" fillId="2" borderId="0" xfId="0" applyFont="1" applyFill="1" applyAlignment="1">
      <alignment vertical="center"/>
    </xf>
    <xf numFmtId="15" fontId="3" fillId="3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3" fillId="2" borderId="1" xfId="0" applyFont="1" applyFill="1" applyBorder="1"/>
    <xf numFmtId="3" fontId="2" fillId="4" borderId="1" xfId="0" applyNumberFormat="1" applyFont="1" applyFill="1" applyBorder="1" applyAlignment="1">
      <alignment horizontal="center" vertical="center" wrapText="1"/>
    </xf>
    <xf numFmtId="3" fontId="2" fillId="2" borderId="1" xfId="0" applyNumberFormat="1" applyFont="1" applyFill="1" applyBorder="1" applyAlignment="1">
      <alignment horizontal="center" vertical="center"/>
    </xf>
    <xf numFmtId="3" fontId="2" fillId="2" borderId="0" xfId="0" applyNumberFormat="1" applyFont="1" applyFill="1"/>
    <xf numFmtId="164" fontId="2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/>
    <xf numFmtId="164" fontId="2" fillId="2" borderId="0" xfId="0" applyNumberFormat="1" applyFont="1" applyFill="1"/>
    <xf numFmtId="0" fontId="5" fillId="3" borderId="1" xfId="0" applyFont="1" applyFill="1" applyBorder="1"/>
    <xf numFmtId="3" fontId="6" fillId="3" borderId="1" xfId="0" applyNumberFormat="1" applyFont="1" applyFill="1" applyBorder="1" applyAlignment="1">
      <alignment horizontal="center" vertical="center"/>
    </xf>
    <xf numFmtId="3" fontId="6" fillId="4" borderId="1" xfId="0" applyNumberFormat="1" applyFont="1" applyFill="1" applyBorder="1" applyAlignment="1">
      <alignment horizontal="center" vertical="center" wrapText="1"/>
    </xf>
    <xf numFmtId="0" fontId="2" fillId="2" borderId="1" xfId="0" quotePrefix="1" applyFont="1" applyFill="1" applyBorder="1" applyAlignment="1">
      <alignment horizontal="center"/>
    </xf>
    <xf numFmtId="164" fontId="2" fillId="2" borderId="1" xfId="0" quotePrefix="1" applyNumberFormat="1" applyFont="1" applyFill="1" applyBorder="1" applyAlignment="1">
      <alignment horizontal="center" vertical="center"/>
    </xf>
    <xf numFmtId="164" fontId="6" fillId="3" borderId="1" xfId="0" applyNumberFormat="1" applyFont="1" applyFill="1" applyBorder="1" applyAlignment="1">
      <alignment horizontal="center" vertical="center"/>
    </xf>
    <xf numFmtId="1" fontId="7" fillId="0" borderId="3" xfId="1" applyNumberFormat="1" applyFont="1" applyBorder="1" applyAlignment="1">
      <alignment horizontal="center" vertical="center" wrapText="1"/>
    </xf>
    <xf numFmtId="1" fontId="7" fillId="0" borderId="4" xfId="1" applyNumberFormat="1" applyFont="1" applyBorder="1" applyAlignment="1">
      <alignment horizontal="center" vertical="center" wrapText="1"/>
    </xf>
    <xf numFmtId="1" fontId="7" fillId="0" borderId="5" xfId="1" applyNumberFormat="1" applyFont="1" applyBorder="1" applyAlignment="1">
      <alignment horizontal="center" vertical="center" wrapText="1"/>
    </xf>
    <xf numFmtId="1" fontId="7" fillId="0" borderId="6" xfId="1" applyNumberFormat="1" applyFont="1" applyBorder="1" applyAlignment="1">
      <alignment horizontal="center" vertical="center" wrapText="1"/>
    </xf>
    <xf numFmtId="1" fontId="7" fillId="0" borderId="7" xfId="1" applyNumberFormat="1" applyFont="1" applyBorder="1" applyAlignment="1">
      <alignment horizontal="center" vertical="center" wrapText="1"/>
    </xf>
    <xf numFmtId="0" fontId="6" fillId="2" borderId="2" xfId="0" applyFont="1" applyFill="1" applyBorder="1" applyAlignment="1">
      <alignment vertical="center"/>
    </xf>
    <xf numFmtId="0" fontId="5" fillId="7" borderId="1" xfId="0" applyFont="1" applyFill="1" applyBorder="1"/>
    <xf numFmtId="3" fontId="6" fillId="7" borderId="1" xfId="0" applyNumberFormat="1" applyFont="1" applyFill="1" applyBorder="1" applyAlignment="1">
      <alignment horizontal="center" vertical="center"/>
    </xf>
    <xf numFmtId="3" fontId="6" fillId="8" borderId="1" xfId="0" applyNumberFormat="1" applyFont="1" applyFill="1" applyBorder="1" applyAlignment="1">
      <alignment horizontal="center" vertical="center"/>
    </xf>
    <xf numFmtId="3" fontId="2" fillId="2" borderId="0" xfId="0" applyNumberFormat="1" applyFont="1" applyFill="1" applyAlignment="1">
      <alignment horizontal="center" vertical="center"/>
    </xf>
    <xf numFmtId="0" fontId="6" fillId="2" borderId="0" xfId="0" applyFont="1" applyFill="1" applyAlignment="1">
      <alignment vertical="center"/>
    </xf>
    <xf numFmtId="0" fontId="2" fillId="2" borderId="0" xfId="0" applyNumberFormat="1" applyFont="1" applyFill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3" fontId="6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/>
    <xf numFmtId="165" fontId="2" fillId="2" borderId="1" xfId="0" applyNumberFormat="1" applyFont="1" applyFill="1" applyBorder="1" applyAlignment="1">
      <alignment horizontal="center" vertical="center"/>
    </xf>
    <xf numFmtId="3" fontId="6" fillId="4" borderId="1" xfId="0" applyNumberFormat="1" applyFont="1" applyFill="1" applyBorder="1" applyAlignment="1">
      <alignment horizontal="center" vertical="center"/>
    </xf>
    <xf numFmtId="165" fontId="6" fillId="3" borderId="1" xfId="0" applyNumberFormat="1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3" borderId="1" xfId="0" applyNumberFormat="1" applyFont="1" applyFill="1" applyBorder="1" applyAlignment="1">
      <alignment horizontal="center" vertical="center" wrapText="1"/>
    </xf>
    <xf numFmtId="0" fontId="2" fillId="4" borderId="1" xfId="0" applyNumberFormat="1" applyFont="1" applyFill="1" applyBorder="1" applyAlignment="1">
      <alignment horizontal="center" vertical="center" wrapText="1"/>
    </xf>
    <xf numFmtId="0" fontId="6" fillId="2" borderId="1" xfId="0" applyNumberFormat="1" applyFont="1" applyFill="1" applyBorder="1" applyAlignment="1">
      <alignment horizontal="left" vertical="center" wrapText="1"/>
    </xf>
    <xf numFmtId="164" fontId="6" fillId="2" borderId="1" xfId="0" applyNumberFormat="1" applyFont="1" applyFill="1" applyBorder="1" applyAlignment="1">
      <alignment horizontal="center" vertical="center" wrapText="1"/>
    </xf>
    <xf numFmtId="0" fontId="6" fillId="4" borderId="1" xfId="0" applyNumberFormat="1" applyFont="1" applyFill="1" applyBorder="1" applyAlignment="1">
      <alignment horizontal="center" vertical="center" wrapText="1"/>
    </xf>
    <xf numFmtId="164" fontId="6" fillId="4" borderId="1" xfId="0" applyNumberFormat="1" applyFont="1" applyFill="1" applyBorder="1" applyAlignment="1">
      <alignment horizontal="center" vertical="center" wrapText="1"/>
    </xf>
    <xf numFmtId="164" fontId="2" fillId="2" borderId="0" xfId="0" applyNumberFormat="1" applyFont="1" applyFill="1" applyAlignment="1">
      <alignment horizontal="center" vertical="center"/>
    </xf>
    <xf numFmtId="0" fontId="2" fillId="0" borderId="1" xfId="0" applyFont="1" applyFill="1" applyBorder="1"/>
    <xf numFmtId="164" fontId="2" fillId="0" borderId="1" xfId="0" applyNumberFormat="1" applyFont="1" applyFill="1" applyBorder="1" applyAlignment="1">
      <alignment horizontal="center" vertical="center"/>
    </xf>
    <xf numFmtId="164" fontId="2" fillId="4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left" vertical="center" wrapText="1"/>
    </xf>
    <xf numFmtId="164" fontId="6" fillId="5" borderId="1" xfId="0" applyNumberFormat="1" applyFont="1" applyFill="1" applyBorder="1" applyAlignment="1">
      <alignment horizontal="center" vertical="center" wrapText="1"/>
    </xf>
    <xf numFmtId="165" fontId="6" fillId="6" borderId="1" xfId="0" applyNumberFormat="1" applyFont="1" applyFill="1" applyBorder="1" applyAlignment="1">
      <alignment horizontal="center" vertical="center" wrapText="1"/>
    </xf>
    <xf numFmtId="165" fontId="6" fillId="5" borderId="1" xfId="0" applyNumberFormat="1" applyFont="1" applyFill="1" applyBorder="1" applyAlignment="1">
      <alignment horizontal="center" vertical="center" wrapText="1"/>
    </xf>
    <xf numFmtId="0" fontId="6" fillId="5" borderId="1" xfId="0" applyFont="1" applyFill="1" applyBorder="1"/>
    <xf numFmtId="164" fontId="6" fillId="5" borderId="1" xfId="0" applyNumberFormat="1" applyFont="1" applyFill="1" applyBorder="1" applyAlignment="1">
      <alignment horizontal="center" vertical="center"/>
    </xf>
    <xf numFmtId="165" fontId="2" fillId="4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/>
    <xf numFmtId="164" fontId="8" fillId="0" borderId="1" xfId="0" applyNumberFormat="1" applyFont="1" applyFill="1" applyBorder="1" applyAlignment="1">
      <alignment horizontal="center" vertical="center"/>
    </xf>
    <xf numFmtId="165" fontId="6" fillId="4" borderId="1" xfId="0" applyNumberFormat="1" applyFont="1" applyFill="1" applyBorder="1" applyAlignment="1">
      <alignment horizontal="center" vertical="center" wrapText="1"/>
    </xf>
    <xf numFmtId="164" fontId="6" fillId="2" borderId="1" xfId="0" applyNumberFormat="1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horizontal="center" vertical="center"/>
    </xf>
    <xf numFmtId="165" fontId="2" fillId="4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/>
    <xf numFmtId="0" fontId="3" fillId="2" borderId="1" xfId="0" applyNumberFormat="1" applyFont="1" applyFill="1" applyBorder="1"/>
    <xf numFmtId="165" fontId="6" fillId="2" borderId="1" xfId="0" applyNumberFormat="1" applyFont="1" applyFill="1" applyBorder="1" applyAlignment="1">
      <alignment horizontal="center" vertical="center"/>
    </xf>
    <xf numFmtId="1" fontId="2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left" vertical="center"/>
    </xf>
    <xf numFmtId="0" fontId="8" fillId="2" borderId="1" xfId="0" applyFont="1" applyFill="1" applyBorder="1"/>
    <xf numFmtId="0" fontId="6" fillId="2" borderId="2" xfId="0" applyFont="1" applyFill="1" applyBorder="1" applyAlignment="1">
      <alignment horizontal="left" vertical="center" wrapText="1"/>
    </xf>
    <xf numFmtId="3" fontId="2" fillId="2" borderId="1" xfId="0" applyNumberFormat="1" applyFont="1" applyFill="1" applyBorder="1" applyAlignment="1">
      <alignment horizontal="center"/>
    </xf>
    <xf numFmtId="0" fontId="6" fillId="2" borderId="2" xfId="0" applyFont="1" applyFill="1" applyBorder="1" applyAlignment="1">
      <alignment horizontal="left" vertical="center"/>
    </xf>
    <xf numFmtId="3" fontId="2" fillId="2" borderId="1" xfId="0" applyNumberFormat="1" applyFont="1" applyFill="1" applyBorder="1" applyAlignment="1">
      <alignment horizontal="center" vertical="center" wrapText="1"/>
    </xf>
    <xf numFmtId="3" fontId="6" fillId="3" borderId="1" xfId="0" applyNumberFormat="1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2" fillId="2" borderId="0" xfId="0" applyFont="1" applyFill="1" applyBorder="1"/>
    <xf numFmtId="0" fontId="2" fillId="2" borderId="0" xfId="0" applyFont="1" applyFill="1" applyBorder="1" applyAlignment="1">
      <alignment horizontal="left" vertical="center"/>
    </xf>
    <xf numFmtId="0" fontId="6" fillId="2" borderId="0" xfId="0" applyFont="1" applyFill="1" applyAlignment="1">
      <alignment horizontal="left" vertical="top"/>
    </xf>
    <xf numFmtId="164" fontId="6" fillId="0" borderId="1" xfId="0" applyNumberFormat="1" applyFont="1" applyFill="1" applyBorder="1" applyAlignment="1">
      <alignment horizontal="center" vertical="center" wrapText="1"/>
    </xf>
    <xf numFmtId="0" fontId="9" fillId="2" borderId="0" xfId="0" applyFont="1" applyFill="1"/>
    <xf numFmtId="0" fontId="11" fillId="2" borderId="0" xfId="2" applyFont="1" applyFill="1"/>
    <xf numFmtId="1" fontId="2" fillId="2" borderId="0" xfId="0" applyNumberFormat="1" applyFont="1" applyFill="1" applyAlignment="1">
      <alignment horizontal="center"/>
    </xf>
  </cellXfs>
  <cellStyles count="3">
    <cellStyle name="Hiperłącze" xfId="2" builtinId="8"/>
    <cellStyle name="Normalny" xfId="0" builtinId="0"/>
    <cellStyle name="S7" xfId="1" xr:uid="{00000000-0005-0000-0000-000001000000}"/>
  </cellStyles>
  <dxfs count="0"/>
  <tableStyles count="0" defaultTableStyle="TableStyleMedium2" defaultPivotStyle="PivotStyleLight16"/>
  <colors>
    <mruColors>
      <color rgb="FF60497A"/>
      <color rgb="FFCCC0DA"/>
      <color rgb="FF41AAC3"/>
      <color rgb="FFCCFFCC"/>
      <color rgb="FFD9FFD9"/>
      <color rgb="FF0000FF"/>
      <color rgb="FFEFECF4"/>
      <color rgb="FFFFFFE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l">
              <a:defRPr sz="800" b="0">
                <a:latin typeface="Arial" panose="020B0604020202020204" pitchFamily="34" charset="0"/>
                <a:cs typeface="Arial" panose="020B0604020202020204" pitchFamily="34" charset="0"/>
              </a:defRPr>
            </a:pPr>
            <a:r>
              <a:rPr lang="en-US" sz="800" b="0">
                <a:latin typeface="Arial" panose="020B0604020202020204" pitchFamily="34" charset="0"/>
                <a:cs typeface="Arial" panose="020B0604020202020204" pitchFamily="34" charset="0"/>
              </a:rPr>
              <a:t>Liczba bezrobotnych w województwie podkarpackim wg powiatów</a:t>
            </a:r>
          </a:p>
        </c:rich>
      </c:tx>
      <c:layout>
        <c:manualLayout>
          <c:xMode val="edge"/>
          <c:yMode val="edge"/>
          <c:x val="0.21175836008271273"/>
          <c:y val="2.77938571198779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2171417809544183"/>
          <c:y val="0.10611043571795144"/>
          <c:w val="0.72834094000673499"/>
          <c:h val="0.84086703703257903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'1_sort'!$B$1</c:f>
              <c:strCache>
                <c:ptCount val="1"/>
                <c:pt idx="0">
                  <c:v>Liczba bezrobotnych w województwie podkarpackim wg powiatów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  <a:ln w="1270">
              <a:solidFill>
                <a:schemeClr val="accent4">
                  <a:lumMod val="60000"/>
                  <a:lumOff val="40000"/>
                </a:schemeClr>
              </a:solidFill>
            </a:ln>
          </c:spPr>
          <c:invertIfNegative val="0"/>
          <c:dPt>
            <c:idx val="5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B599-4D79-AB39-F167CD5FD6A6}"/>
              </c:ext>
            </c:extLst>
          </c:dPt>
          <c:dPt>
            <c:idx val="9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1-B599-4D79-AB39-F167CD5FD6A6}"/>
              </c:ext>
            </c:extLst>
          </c:dPt>
          <c:dLbls>
            <c:dLbl>
              <c:idx val="13"/>
              <c:layout>
                <c:manualLayout>
                  <c:x val="9.6039205303000803E-4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B599-4D79-AB39-F167CD5FD6A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 b="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'1_sort'!$C$4:$C$28</c:f>
              <c:strCache>
                <c:ptCount val="25"/>
                <c:pt idx="0">
                  <c:v>Krosno</c:v>
                </c:pt>
                <c:pt idx="1">
                  <c:v>Tarnobrzeg</c:v>
                </c:pt>
                <c:pt idx="2">
                  <c:v>bieszczadzki</c:v>
                </c:pt>
                <c:pt idx="3">
                  <c:v>tarnobrzeski </c:v>
                </c:pt>
                <c:pt idx="4">
                  <c:v>kolbuszowski</c:v>
                </c:pt>
                <c:pt idx="5">
                  <c:v>leski</c:v>
                </c:pt>
                <c:pt idx="6">
                  <c:v>lubaczowski</c:v>
                </c:pt>
                <c:pt idx="7">
                  <c:v>stalowowolski</c:v>
                </c:pt>
                <c:pt idx="8">
                  <c:v>krośnieński</c:v>
                </c:pt>
                <c:pt idx="9">
                  <c:v>dębicki</c:v>
                </c:pt>
                <c:pt idx="10">
                  <c:v>Przemyśl</c:v>
                </c:pt>
                <c:pt idx="11">
                  <c:v>mielecki</c:v>
                </c:pt>
                <c:pt idx="12">
                  <c:v>łańcucki</c:v>
                </c:pt>
                <c:pt idx="13">
                  <c:v>sanocki</c:v>
                </c:pt>
                <c:pt idx="14">
                  <c:v>ropczycko-sędziszowski</c:v>
                </c:pt>
                <c:pt idx="15">
                  <c:v>przemyski</c:v>
                </c:pt>
                <c:pt idx="16">
                  <c:v>niżański</c:v>
                </c:pt>
                <c:pt idx="17">
                  <c:v>leżajski</c:v>
                </c:pt>
                <c:pt idx="18">
                  <c:v>strzyżowski</c:v>
                </c:pt>
                <c:pt idx="19">
                  <c:v>przeworski</c:v>
                </c:pt>
                <c:pt idx="20">
                  <c:v>brzozowski</c:v>
                </c:pt>
                <c:pt idx="21">
                  <c:v>jarosławski</c:v>
                </c:pt>
                <c:pt idx="22">
                  <c:v>jasielski</c:v>
                </c:pt>
                <c:pt idx="23">
                  <c:v>rzeszowski</c:v>
                </c:pt>
                <c:pt idx="24">
                  <c:v>Rzeszów</c:v>
                </c:pt>
              </c:strCache>
            </c:strRef>
          </c:cat>
          <c:val>
            <c:numRef>
              <c:f>'1_sort'!$D$4:$D$28</c:f>
              <c:numCache>
                <c:formatCode>#,##0</c:formatCode>
                <c:ptCount val="25"/>
                <c:pt idx="0" formatCode="General">
                  <c:v>699</c:v>
                </c:pt>
                <c:pt idx="1">
                  <c:v>1062</c:v>
                </c:pt>
                <c:pt idx="2">
                  <c:v>1070</c:v>
                </c:pt>
                <c:pt idx="3">
                  <c:v>1271</c:v>
                </c:pt>
                <c:pt idx="4">
                  <c:v>1563</c:v>
                </c:pt>
                <c:pt idx="5">
                  <c:v>1691</c:v>
                </c:pt>
                <c:pt idx="6">
                  <c:v>1797</c:v>
                </c:pt>
                <c:pt idx="7">
                  <c:v>1828</c:v>
                </c:pt>
                <c:pt idx="8">
                  <c:v>1933</c:v>
                </c:pt>
                <c:pt idx="9">
                  <c:v>2411</c:v>
                </c:pt>
                <c:pt idx="10">
                  <c:v>2436</c:v>
                </c:pt>
                <c:pt idx="11">
                  <c:v>2542</c:v>
                </c:pt>
                <c:pt idx="12">
                  <c:v>2583</c:v>
                </c:pt>
                <c:pt idx="13">
                  <c:v>2632</c:v>
                </c:pt>
                <c:pt idx="14">
                  <c:v>2764</c:v>
                </c:pt>
                <c:pt idx="15">
                  <c:v>2944</c:v>
                </c:pt>
                <c:pt idx="16">
                  <c:v>3043</c:v>
                </c:pt>
                <c:pt idx="17">
                  <c:v>3124</c:v>
                </c:pt>
                <c:pt idx="18">
                  <c:v>3198</c:v>
                </c:pt>
                <c:pt idx="19">
                  <c:v>3482</c:v>
                </c:pt>
                <c:pt idx="20">
                  <c:v>3972</c:v>
                </c:pt>
                <c:pt idx="21">
                  <c:v>4641</c:v>
                </c:pt>
                <c:pt idx="22">
                  <c:v>4859</c:v>
                </c:pt>
                <c:pt idx="23">
                  <c:v>4933</c:v>
                </c:pt>
                <c:pt idx="24">
                  <c:v>5553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599-4D79-AB39-F167CD5FD6A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1"/>
        <c:axId val="139111424"/>
        <c:axId val="139315072"/>
      </c:barChart>
      <c:catAx>
        <c:axId val="13911142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pl-PL"/>
          </a:p>
        </c:txPr>
        <c:crossAx val="139315072"/>
        <c:crosses val="autoZero"/>
        <c:auto val="1"/>
        <c:lblAlgn val="ctr"/>
        <c:lblOffset val="100"/>
        <c:noMultiLvlLbl val="0"/>
      </c:catAx>
      <c:valAx>
        <c:axId val="139315072"/>
        <c:scaling>
          <c:orientation val="minMax"/>
        </c:scaling>
        <c:delete val="0"/>
        <c:axPos val="b"/>
        <c:majorGridlines>
          <c:spPr>
            <a:ln w="3175">
              <a:solidFill>
                <a:schemeClr val="accent4">
                  <a:lumMod val="60000"/>
                  <a:lumOff val="40000"/>
                  <a:alpha val="64000"/>
                </a:schemeClr>
              </a:solidFill>
            </a:ln>
          </c:spPr>
        </c:majorGridlines>
        <c:minorGridlines>
          <c:spPr>
            <a:ln w="3175">
              <a:solidFill>
                <a:schemeClr val="accent4">
                  <a:lumMod val="75000"/>
                  <a:alpha val="17000"/>
                </a:schemeClr>
              </a:solidFill>
            </a:ln>
          </c:spPr>
        </c:minorGridlines>
        <c:numFmt formatCode="General" sourceLinked="0"/>
        <c:majorTickMark val="out"/>
        <c:minorTickMark val="none"/>
        <c:tickLblPos val="nextTo"/>
        <c:spPr>
          <a:ln w="6350">
            <a:solidFill>
              <a:schemeClr val="bg1">
                <a:lumMod val="65000"/>
              </a:schemeClr>
            </a:solidFill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pl-PL"/>
          </a:p>
        </c:txPr>
        <c:crossAx val="1391114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l">
              <a:defRPr sz="800" b="0">
                <a:latin typeface="Arial" panose="020B0604020202020204" pitchFamily="34" charset="0"/>
                <a:cs typeface="Arial" panose="020B0604020202020204" pitchFamily="34" charset="0"/>
              </a:defRPr>
            </a:pPr>
            <a:r>
              <a:rPr lang="en-US" sz="800" b="0">
                <a:latin typeface="Arial" panose="020B0604020202020204" pitchFamily="34" charset="0"/>
                <a:cs typeface="Arial" panose="020B0604020202020204" pitchFamily="34" charset="0"/>
              </a:rPr>
              <a:t>Oferty pracy subsydiowanej (subsydiowane wolne miejsca pracy i miejsca aktywizacji zawodowej) wg powiatów</a:t>
            </a:r>
          </a:p>
        </c:rich>
      </c:tx>
      <c:layout>
        <c:manualLayout>
          <c:xMode val="edge"/>
          <c:yMode val="edge"/>
          <c:x val="0.19857511688579463"/>
          <c:y val="2.1051090333212241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2171417809544183"/>
          <c:y val="0.10611043571795144"/>
          <c:w val="0.72834094000673499"/>
          <c:h val="0.84086703703257903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'10_sort'!$B$1</c:f>
              <c:strCache>
                <c:ptCount val="1"/>
                <c:pt idx="0">
                  <c:v>Oferty pracy subsydiowanej (subsydiowane wolne miejsca pracy i miejsca aktywizacji zawodowej) wg powiatów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  <a:ln w="1270">
              <a:solidFill>
                <a:schemeClr val="accent4">
                  <a:lumMod val="60000"/>
                  <a:lumOff val="40000"/>
                </a:schemeClr>
              </a:solidFill>
            </a:ln>
          </c:spPr>
          <c:invertIfNegative val="0"/>
          <c:dPt>
            <c:idx val="5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1843-47F9-BA64-A416F5B18192}"/>
              </c:ext>
            </c:extLst>
          </c:dPt>
          <c:dPt>
            <c:idx val="9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1-1843-47F9-BA64-A416F5B18192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'10_sort'!$C$4:$C$28</c:f>
              <c:strCache>
                <c:ptCount val="25"/>
                <c:pt idx="0">
                  <c:v>leżajski</c:v>
                </c:pt>
                <c:pt idx="1">
                  <c:v>bieszczadzki</c:v>
                </c:pt>
                <c:pt idx="2">
                  <c:v>leski</c:v>
                </c:pt>
                <c:pt idx="3">
                  <c:v>lubaczowski</c:v>
                </c:pt>
                <c:pt idx="4">
                  <c:v>dębicki</c:v>
                </c:pt>
                <c:pt idx="5">
                  <c:v>tarnobrzeski </c:v>
                </c:pt>
                <c:pt idx="6">
                  <c:v>Tarnobrzeg</c:v>
                </c:pt>
                <c:pt idx="7">
                  <c:v>przemyski</c:v>
                </c:pt>
                <c:pt idx="8">
                  <c:v>rzeszowski</c:v>
                </c:pt>
                <c:pt idx="9">
                  <c:v>Krosno</c:v>
                </c:pt>
                <c:pt idx="10">
                  <c:v>łańcucki</c:v>
                </c:pt>
                <c:pt idx="11">
                  <c:v>krośnieński</c:v>
                </c:pt>
                <c:pt idx="12">
                  <c:v>sanocki</c:v>
                </c:pt>
                <c:pt idx="13">
                  <c:v>jarosławski</c:v>
                </c:pt>
                <c:pt idx="14">
                  <c:v>kolbuszowski</c:v>
                </c:pt>
                <c:pt idx="15">
                  <c:v>jasielski</c:v>
                </c:pt>
                <c:pt idx="16">
                  <c:v>Przemyśl</c:v>
                </c:pt>
                <c:pt idx="17">
                  <c:v>stalowowolski</c:v>
                </c:pt>
                <c:pt idx="18">
                  <c:v>niżański</c:v>
                </c:pt>
                <c:pt idx="19">
                  <c:v>ropczycko-sędziszowski</c:v>
                </c:pt>
                <c:pt idx="20">
                  <c:v>strzyżowski</c:v>
                </c:pt>
                <c:pt idx="21">
                  <c:v>brzozowski</c:v>
                </c:pt>
                <c:pt idx="22">
                  <c:v>Rzeszów</c:v>
                </c:pt>
                <c:pt idx="23">
                  <c:v>przeworski</c:v>
                </c:pt>
                <c:pt idx="24">
                  <c:v>mielecki</c:v>
                </c:pt>
              </c:strCache>
            </c:strRef>
          </c:cat>
          <c:val>
            <c:numRef>
              <c:f>'10_sort'!$D$4:$D$28</c:f>
              <c:numCache>
                <c:formatCode>#,##0</c:formatCode>
                <c:ptCount val="25"/>
                <c:pt idx="0" formatCode="General">
                  <c:v>3</c:v>
                </c:pt>
                <c:pt idx="1">
                  <c:v>4</c:v>
                </c:pt>
                <c:pt idx="2">
                  <c:v>7</c:v>
                </c:pt>
                <c:pt idx="3">
                  <c:v>18</c:v>
                </c:pt>
                <c:pt idx="4">
                  <c:v>19</c:v>
                </c:pt>
                <c:pt idx="5">
                  <c:v>19</c:v>
                </c:pt>
                <c:pt idx="6">
                  <c:v>21</c:v>
                </c:pt>
                <c:pt idx="7">
                  <c:v>22</c:v>
                </c:pt>
                <c:pt idx="8">
                  <c:v>26</c:v>
                </c:pt>
                <c:pt idx="9">
                  <c:v>26</c:v>
                </c:pt>
                <c:pt idx="10">
                  <c:v>27</c:v>
                </c:pt>
                <c:pt idx="11">
                  <c:v>30</c:v>
                </c:pt>
                <c:pt idx="12">
                  <c:v>33</c:v>
                </c:pt>
                <c:pt idx="13">
                  <c:v>36</c:v>
                </c:pt>
                <c:pt idx="14">
                  <c:v>38</c:v>
                </c:pt>
                <c:pt idx="15">
                  <c:v>40</c:v>
                </c:pt>
                <c:pt idx="16">
                  <c:v>45</c:v>
                </c:pt>
                <c:pt idx="17">
                  <c:v>47</c:v>
                </c:pt>
                <c:pt idx="18">
                  <c:v>57</c:v>
                </c:pt>
                <c:pt idx="19">
                  <c:v>61</c:v>
                </c:pt>
                <c:pt idx="20">
                  <c:v>70</c:v>
                </c:pt>
                <c:pt idx="21">
                  <c:v>71</c:v>
                </c:pt>
                <c:pt idx="22">
                  <c:v>78</c:v>
                </c:pt>
                <c:pt idx="23">
                  <c:v>101</c:v>
                </c:pt>
                <c:pt idx="24">
                  <c:v>130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843-47F9-BA64-A416F5B181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1"/>
        <c:axId val="138471296"/>
        <c:axId val="138472832"/>
      </c:barChart>
      <c:catAx>
        <c:axId val="13847129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pl-PL"/>
          </a:p>
        </c:txPr>
        <c:crossAx val="138472832"/>
        <c:crosses val="autoZero"/>
        <c:auto val="1"/>
        <c:lblAlgn val="ctr"/>
        <c:lblOffset val="100"/>
        <c:noMultiLvlLbl val="0"/>
      </c:catAx>
      <c:valAx>
        <c:axId val="138472832"/>
        <c:scaling>
          <c:orientation val="minMax"/>
        </c:scaling>
        <c:delete val="0"/>
        <c:axPos val="b"/>
        <c:majorGridlines>
          <c:spPr>
            <a:ln w="3175">
              <a:solidFill>
                <a:schemeClr val="accent4">
                  <a:lumMod val="60000"/>
                  <a:lumOff val="40000"/>
                  <a:alpha val="64000"/>
                </a:schemeClr>
              </a:solidFill>
            </a:ln>
          </c:spPr>
        </c:majorGridlines>
        <c:minorGridlines>
          <c:spPr>
            <a:ln w="3175">
              <a:solidFill>
                <a:schemeClr val="accent4">
                  <a:lumMod val="75000"/>
                  <a:alpha val="17000"/>
                </a:schemeClr>
              </a:solidFill>
            </a:ln>
          </c:spPr>
        </c:minorGridlines>
        <c:numFmt formatCode="General" sourceLinked="0"/>
        <c:majorTickMark val="out"/>
        <c:minorTickMark val="none"/>
        <c:tickLblPos val="nextTo"/>
        <c:spPr>
          <a:ln w="6350">
            <a:solidFill>
              <a:schemeClr val="bg1">
                <a:lumMod val="65000"/>
              </a:schemeClr>
            </a:solidFill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pl-PL"/>
          </a:p>
        </c:txPr>
        <c:crossAx val="1384712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l">
              <a:defRPr sz="800" b="0">
                <a:latin typeface="Arial" panose="020B0604020202020204" pitchFamily="34" charset="0"/>
                <a:cs typeface="Arial" panose="020B0604020202020204" pitchFamily="34" charset="0"/>
              </a:defRPr>
            </a:pPr>
            <a:r>
              <a:rPr lang="en-US" sz="800" b="0">
                <a:latin typeface="Arial" panose="020B0604020202020204" pitchFamily="34" charset="0"/>
                <a:cs typeface="Arial" panose="020B0604020202020204" pitchFamily="34" charset="0"/>
              </a:rPr>
              <a:t>Oferty pracy </a:t>
            </a:r>
            <a:r>
              <a:rPr lang="pl-PL" sz="800" b="0">
                <a:latin typeface="Arial" panose="020B0604020202020204" pitchFamily="34" charset="0"/>
                <a:cs typeface="Arial" panose="020B0604020202020204" pitchFamily="34" charset="0"/>
              </a:rPr>
              <a:t>ogółem według stanu</a:t>
            </a:r>
            <a:r>
              <a:rPr lang="pl-PL" sz="800" b="0" baseline="0">
                <a:latin typeface="Arial" panose="020B0604020202020204" pitchFamily="34" charset="0"/>
                <a:cs typeface="Arial" panose="020B0604020202020204" pitchFamily="34" charset="0"/>
              </a:rPr>
              <a:t> na koniec miesiąca</a:t>
            </a:r>
            <a:r>
              <a:rPr lang="en-US" sz="800" b="0">
                <a:latin typeface="Arial" panose="020B0604020202020204" pitchFamily="34" charset="0"/>
                <a:cs typeface="Arial" panose="020B0604020202020204" pitchFamily="34" charset="0"/>
              </a:rPr>
              <a:t> (</a:t>
            </a:r>
            <a:r>
              <a:rPr lang="pl-PL" sz="800" b="0">
                <a:latin typeface="Arial" panose="020B0604020202020204" pitchFamily="34" charset="0"/>
                <a:cs typeface="Arial" panose="020B0604020202020204" pitchFamily="34" charset="0"/>
              </a:rPr>
              <a:t>w</a:t>
            </a:r>
            <a:r>
              <a:rPr lang="en-US" sz="800" b="0">
                <a:latin typeface="Arial" panose="020B0604020202020204" pitchFamily="34" charset="0"/>
                <a:cs typeface="Arial" panose="020B0604020202020204" pitchFamily="34" charset="0"/>
              </a:rPr>
              <a:t>olne miejsca pracy</a:t>
            </a:r>
            <a:endParaRPr lang="pl-PL" sz="800" b="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l">
              <a:defRPr sz="800" b="0">
                <a:latin typeface="Arial" panose="020B0604020202020204" pitchFamily="34" charset="0"/>
                <a:cs typeface="Arial" panose="020B0604020202020204" pitchFamily="34" charset="0"/>
              </a:defRPr>
            </a:pPr>
            <a:r>
              <a:rPr lang="en-US" sz="800" b="0">
                <a:latin typeface="Arial" panose="020B0604020202020204" pitchFamily="34" charset="0"/>
                <a:cs typeface="Arial" panose="020B0604020202020204" pitchFamily="34" charset="0"/>
              </a:rPr>
              <a:t>i miejsca aktywizacji zawodowej) wg powiatów</a:t>
            </a:r>
          </a:p>
        </c:rich>
      </c:tx>
      <c:layout>
        <c:manualLayout>
          <c:xMode val="edge"/>
          <c:yMode val="edge"/>
          <c:x val="0.21044161596800967"/>
          <c:y val="0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2171417809544183"/>
          <c:y val="0.10611043571795144"/>
          <c:w val="0.72834094000673499"/>
          <c:h val="0.84086703703257903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'11_sort'!$B$1</c:f>
              <c:strCache>
                <c:ptCount val="1"/>
                <c:pt idx="0">
                  <c:v>Oferty pracy ogółem według stanu na koniec miesiąca (wolne miejsca pracy i miejsca aktywizacji zawodowej) wg powiatów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  <a:ln w="1270">
              <a:solidFill>
                <a:schemeClr val="accent4">
                  <a:lumMod val="60000"/>
                  <a:lumOff val="40000"/>
                </a:schemeClr>
              </a:solidFill>
            </a:ln>
          </c:spPr>
          <c:invertIfNegative val="0"/>
          <c:dPt>
            <c:idx val="5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E379-4153-AE4E-564F77501531}"/>
              </c:ext>
            </c:extLst>
          </c:dPt>
          <c:dPt>
            <c:idx val="9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1-E379-4153-AE4E-564F77501531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'11_sort'!$C$4:$C$28</c:f>
              <c:strCache>
                <c:ptCount val="25"/>
                <c:pt idx="0">
                  <c:v>brzozowski</c:v>
                </c:pt>
                <c:pt idx="1">
                  <c:v>przemyski</c:v>
                </c:pt>
                <c:pt idx="2">
                  <c:v>krośnieński</c:v>
                </c:pt>
                <c:pt idx="3">
                  <c:v>bieszczadzki</c:v>
                </c:pt>
                <c:pt idx="4">
                  <c:v>Przemyśl</c:v>
                </c:pt>
                <c:pt idx="5">
                  <c:v>lubaczowski</c:v>
                </c:pt>
                <c:pt idx="6">
                  <c:v>łańcucki</c:v>
                </c:pt>
                <c:pt idx="7">
                  <c:v>Krosno</c:v>
                </c:pt>
                <c:pt idx="8">
                  <c:v>tarnobrzeski </c:v>
                </c:pt>
                <c:pt idx="9">
                  <c:v>strzyżowski</c:v>
                </c:pt>
                <c:pt idx="10">
                  <c:v>Tarnobrzeg</c:v>
                </c:pt>
                <c:pt idx="11">
                  <c:v>sanocki</c:v>
                </c:pt>
                <c:pt idx="12">
                  <c:v>leski</c:v>
                </c:pt>
                <c:pt idx="13">
                  <c:v>leżajski</c:v>
                </c:pt>
                <c:pt idx="14">
                  <c:v>niżański</c:v>
                </c:pt>
                <c:pt idx="15">
                  <c:v>rzeszowski</c:v>
                </c:pt>
                <c:pt idx="16">
                  <c:v>kolbuszowski</c:v>
                </c:pt>
                <c:pt idx="17">
                  <c:v>stalowowolski</c:v>
                </c:pt>
                <c:pt idx="18">
                  <c:v>jarosławski</c:v>
                </c:pt>
                <c:pt idx="19">
                  <c:v>ropczycko-sędziszowski</c:v>
                </c:pt>
                <c:pt idx="20">
                  <c:v>przeworski</c:v>
                </c:pt>
                <c:pt idx="21">
                  <c:v>dębicki</c:v>
                </c:pt>
                <c:pt idx="22">
                  <c:v>mielecki</c:v>
                </c:pt>
                <c:pt idx="23">
                  <c:v>jasielski</c:v>
                </c:pt>
                <c:pt idx="24">
                  <c:v>Rzeszów</c:v>
                </c:pt>
              </c:strCache>
            </c:strRef>
          </c:cat>
          <c:val>
            <c:numRef>
              <c:f>'11_sort'!$D$4:$D$28</c:f>
              <c:numCache>
                <c:formatCode>#,##0</c:formatCode>
                <c:ptCount val="25"/>
                <c:pt idx="0" formatCode="General">
                  <c:v>4</c:v>
                </c:pt>
                <c:pt idx="1">
                  <c:v>5</c:v>
                </c:pt>
                <c:pt idx="2">
                  <c:v>10</c:v>
                </c:pt>
                <c:pt idx="3">
                  <c:v>19</c:v>
                </c:pt>
                <c:pt idx="4">
                  <c:v>24</c:v>
                </c:pt>
                <c:pt idx="5">
                  <c:v>29</c:v>
                </c:pt>
                <c:pt idx="6">
                  <c:v>31</c:v>
                </c:pt>
                <c:pt idx="7">
                  <c:v>32</c:v>
                </c:pt>
                <c:pt idx="8">
                  <c:v>39</c:v>
                </c:pt>
                <c:pt idx="9">
                  <c:v>49</c:v>
                </c:pt>
                <c:pt idx="10">
                  <c:v>51</c:v>
                </c:pt>
                <c:pt idx="11">
                  <c:v>65</c:v>
                </c:pt>
                <c:pt idx="12">
                  <c:v>67</c:v>
                </c:pt>
                <c:pt idx="13">
                  <c:v>71</c:v>
                </c:pt>
                <c:pt idx="14">
                  <c:v>71</c:v>
                </c:pt>
                <c:pt idx="15">
                  <c:v>74</c:v>
                </c:pt>
                <c:pt idx="16">
                  <c:v>89</c:v>
                </c:pt>
                <c:pt idx="17">
                  <c:v>117</c:v>
                </c:pt>
                <c:pt idx="18">
                  <c:v>131</c:v>
                </c:pt>
                <c:pt idx="19">
                  <c:v>132</c:v>
                </c:pt>
                <c:pt idx="20">
                  <c:v>134</c:v>
                </c:pt>
                <c:pt idx="21">
                  <c:v>166</c:v>
                </c:pt>
                <c:pt idx="22">
                  <c:v>188</c:v>
                </c:pt>
                <c:pt idx="23">
                  <c:v>212</c:v>
                </c:pt>
                <c:pt idx="24">
                  <c:v>307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379-4153-AE4E-564F7750153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1"/>
        <c:axId val="138471296"/>
        <c:axId val="138472832"/>
      </c:barChart>
      <c:catAx>
        <c:axId val="13847129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pl-PL"/>
          </a:p>
        </c:txPr>
        <c:crossAx val="138472832"/>
        <c:crosses val="autoZero"/>
        <c:auto val="1"/>
        <c:lblAlgn val="ctr"/>
        <c:lblOffset val="100"/>
        <c:noMultiLvlLbl val="0"/>
      </c:catAx>
      <c:valAx>
        <c:axId val="138472832"/>
        <c:scaling>
          <c:orientation val="minMax"/>
        </c:scaling>
        <c:delete val="0"/>
        <c:axPos val="b"/>
        <c:majorGridlines>
          <c:spPr>
            <a:ln w="3175">
              <a:solidFill>
                <a:schemeClr val="accent4">
                  <a:lumMod val="60000"/>
                  <a:lumOff val="40000"/>
                  <a:alpha val="64000"/>
                </a:schemeClr>
              </a:solidFill>
            </a:ln>
          </c:spPr>
        </c:majorGridlines>
        <c:minorGridlines>
          <c:spPr>
            <a:ln w="3175">
              <a:solidFill>
                <a:schemeClr val="accent4">
                  <a:lumMod val="75000"/>
                  <a:alpha val="17000"/>
                </a:schemeClr>
              </a:solidFill>
            </a:ln>
          </c:spPr>
        </c:minorGridlines>
        <c:numFmt formatCode="General" sourceLinked="0"/>
        <c:majorTickMark val="out"/>
        <c:minorTickMark val="none"/>
        <c:tickLblPos val="nextTo"/>
        <c:spPr>
          <a:ln w="6350">
            <a:solidFill>
              <a:schemeClr val="bg1">
                <a:lumMod val="65000"/>
              </a:schemeClr>
            </a:solidFill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pl-PL"/>
          </a:p>
        </c:txPr>
        <c:crossAx val="1384712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l">
              <a:defRPr sz="800" b="0">
                <a:latin typeface="Arial" panose="020B0604020202020204" pitchFamily="34" charset="0"/>
                <a:cs typeface="Arial" panose="020B0604020202020204" pitchFamily="34" charset="0"/>
              </a:defRPr>
            </a:pPr>
            <a:r>
              <a:rPr lang="en-US" sz="800" b="0">
                <a:latin typeface="Arial" panose="020B0604020202020204" pitchFamily="34" charset="0"/>
                <a:cs typeface="Arial" panose="020B0604020202020204" pitchFamily="34" charset="0"/>
              </a:rPr>
              <a:t>Bezrobotne kobiety zarejestrowane w PUP w woj. podkarpackim</a:t>
            </a:r>
          </a:p>
        </c:rich>
      </c:tx>
      <c:layout>
        <c:manualLayout>
          <c:xMode val="edge"/>
          <c:yMode val="edge"/>
          <c:x val="0.2156363544471164"/>
          <c:y val="2.77938571198779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2171417809544183"/>
          <c:y val="0.10611043571795144"/>
          <c:w val="0.71717939459898095"/>
          <c:h val="0.84086703703257903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'2_sort'!$B$1:$C$1</c:f>
              <c:strCache>
                <c:ptCount val="1"/>
                <c:pt idx="0">
                  <c:v>Bezrobotne kobiety zarejestrowane w PUP w woj. podkarpackim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  <a:ln w="1270">
              <a:solidFill>
                <a:schemeClr val="accent4">
                  <a:lumMod val="60000"/>
                  <a:lumOff val="40000"/>
                </a:schemeClr>
              </a:solidFill>
            </a:ln>
          </c:spPr>
          <c:invertIfNegative val="0"/>
          <c:dPt>
            <c:idx val="5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4D3C-4037-B1E0-F7AD38217C7E}"/>
              </c:ext>
            </c:extLst>
          </c:dPt>
          <c:dPt>
            <c:idx val="9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1-4D3C-4037-B1E0-F7AD38217C7E}"/>
              </c:ext>
            </c:extLst>
          </c:dPt>
          <c:dLbls>
            <c:dLbl>
              <c:idx val="13"/>
              <c:layout>
                <c:manualLayout>
                  <c:x val="1.8867924528301945E-2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4D3C-4037-B1E0-F7AD38217C7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 b="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'2_sort'!$C$4:$C$28</c:f>
              <c:strCache>
                <c:ptCount val="25"/>
                <c:pt idx="0">
                  <c:v>Krosno</c:v>
                </c:pt>
                <c:pt idx="1">
                  <c:v>bieszczadzki</c:v>
                </c:pt>
                <c:pt idx="2">
                  <c:v>Tarnobrzeg</c:v>
                </c:pt>
                <c:pt idx="3">
                  <c:v>tarnobrzeski </c:v>
                </c:pt>
                <c:pt idx="4">
                  <c:v>kolbuszowski</c:v>
                </c:pt>
                <c:pt idx="5">
                  <c:v>leski</c:v>
                </c:pt>
                <c:pt idx="6">
                  <c:v>lubaczowski</c:v>
                </c:pt>
                <c:pt idx="7">
                  <c:v>stalowowolski</c:v>
                </c:pt>
                <c:pt idx="8">
                  <c:v>krośnieński</c:v>
                </c:pt>
                <c:pt idx="9">
                  <c:v>Przemyśl</c:v>
                </c:pt>
                <c:pt idx="10">
                  <c:v>łańcucki</c:v>
                </c:pt>
                <c:pt idx="11">
                  <c:v>sanocki</c:v>
                </c:pt>
                <c:pt idx="12">
                  <c:v>mielecki</c:v>
                </c:pt>
                <c:pt idx="13">
                  <c:v>ropczycko-sędziszowski</c:v>
                </c:pt>
                <c:pt idx="14">
                  <c:v>dębicki</c:v>
                </c:pt>
                <c:pt idx="15">
                  <c:v>przemyski</c:v>
                </c:pt>
                <c:pt idx="16">
                  <c:v>niżański</c:v>
                </c:pt>
                <c:pt idx="17">
                  <c:v>leżajski</c:v>
                </c:pt>
                <c:pt idx="18">
                  <c:v>strzyżowski</c:v>
                </c:pt>
                <c:pt idx="19">
                  <c:v>przeworski</c:v>
                </c:pt>
                <c:pt idx="20">
                  <c:v>brzozowski</c:v>
                </c:pt>
                <c:pt idx="21">
                  <c:v>jarosławski</c:v>
                </c:pt>
                <c:pt idx="22">
                  <c:v>rzeszowski</c:v>
                </c:pt>
                <c:pt idx="23">
                  <c:v>jasielski</c:v>
                </c:pt>
                <c:pt idx="24">
                  <c:v>Rzeszów</c:v>
                </c:pt>
              </c:strCache>
            </c:strRef>
          </c:cat>
          <c:val>
            <c:numRef>
              <c:f>'2_sort'!$D$4:$D$28</c:f>
              <c:numCache>
                <c:formatCode>#,##0</c:formatCode>
                <c:ptCount val="25"/>
                <c:pt idx="0" formatCode="General">
                  <c:v>383</c:v>
                </c:pt>
                <c:pt idx="1">
                  <c:v>535</c:v>
                </c:pt>
                <c:pt idx="2">
                  <c:v>562</c:v>
                </c:pt>
                <c:pt idx="3">
                  <c:v>683</c:v>
                </c:pt>
                <c:pt idx="4">
                  <c:v>795</c:v>
                </c:pt>
                <c:pt idx="5">
                  <c:v>800</c:v>
                </c:pt>
                <c:pt idx="6">
                  <c:v>831</c:v>
                </c:pt>
                <c:pt idx="7">
                  <c:v>1011</c:v>
                </c:pt>
                <c:pt idx="8">
                  <c:v>1075</c:v>
                </c:pt>
                <c:pt idx="9">
                  <c:v>1191</c:v>
                </c:pt>
                <c:pt idx="10">
                  <c:v>1276</c:v>
                </c:pt>
                <c:pt idx="11">
                  <c:v>1318</c:v>
                </c:pt>
                <c:pt idx="12">
                  <c:v>1329</c:v>
                </c:pt>
                <c:pt idx="13">
                  <c:v>1499</c:v>
                </c:pt>
                <c:pt idx="14">
                  <c:v>1508</c:v>
                </c:pt>
                <c:pt idx="15">
                  <c:v>1556</c:v>
                </c:pt>
                <c:pt idx="16">
                  <c:v>1594</c:v>
                </c:pt>
                <c:pt idx="17">
                  <c:v>1615</c:v>
                </c:pt>
                <c:pt idx="18">
                  <c:v>1693</c:v>
                </c:pt>
                <c:pt idx="19">
                  <c:v>1977</c:v>
                </c:pt>
                <c:pt idx="20">
                  <c:v>2067</c:v>
                </c:pt>
                <c:pt idx="21">
                  <c:v>2461</c:v>
                </c:pt>
                <c:pt idx="22">
                  <c:v>2486</c:v>
                </c:pt>
                <c:pt idx="23">
                  <c:v>2833</c:v>
                </c:pt>
                <c:pt idx="24">
                  <c:v>2902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D3C-4037-B1E0-F7AD38217C7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1"/>
        <c:axId val="208241792"/>
        <c:axId val="208243712"/>
      </c:barChart>
      <c:catAx>
        <c:axId val="20824179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pl-PL"/>
          </a:p>
        </c:txPr>
        <c:crossAx val="208243712"/>
        <c:crosses val="autoZero"/>
        <c:auto val="1"/>
        <c:lblAlgn val="ctr"/>
        <c:lblOffset val="100"/>
        <c:noMultiLvlLbl val="0"/>
      </c:catAx>
      <c:valAx>
        <c:axId val="208243712"/>
        <c:scaling>
          <c:orientation val="minMax"/>
        </c:scaling>
        <c:delete val="0"/>
        <c:axPos val="b"/>
        <c:majorGridlines>
          <c:spPr>
            <a:ln w="3175">
              <a:solidFill>
                <a:schemeClr val="accent4">
                  <a:lumMod val="60000"/>
                  <a:lumOff val="40000"/>
                  <a:alpha val="64000"/>
                </a:schemeClr>
              </a:solidFill>
            </a:ln>
          </c:spPr>
        </c:majorGridlines>
        <c:minorGridlines>
          <c:spPr>
            <a:ln w="3175">
              <a:solidFill>
                <a:schemeClr val="accent4">
                  <a:lumMod val="75000"/>
                  <a:alpha val="17000"/>
                </a:schemeClr>
              </a:solidFill>
            </a:ln>
          </c:spPr>
        </c:minorGridlines>
        <c:numFmt formatCode="General" sourceLinked="0"/>
        <c:majorTickMark val="out"/>
        <c:minorTickMark val="none"/>
        <c:tickLblPos val="nextTo"/>
        <c:spPr>
          <a:ln w="6350">
            <a:solidFill>
              <a:schemeClr val="bg1">
                <a:lumMod val="65000"/>
              </a:schemeClr>
            </a:solidFill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pl-PL"/>
          </a:p>
        </c:txPr>
        <c:crossAx val="2082417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>
                <a:latin typeface="Arial" panose="020B0604020202020204" pitchFamily="34" charset="0"/>
                <a:cs typeface="Arial" panose="020B0604020202020204" pitchFamily="34" charset="0"/>
              </a:defRPr>
            </a:pPr>
            <a:r>
              <a:rPr lang="en-US" sz="800" b="0">
                <a:latin typeface="Arial" panose="020B0604020202020204" pitchFamily="34" charset="0"/>
                <a:cs typeface="Arial" panose="020B0604020202020204" pitchFamily="34" charset="0"/>
              </a:rPr>
              <a:t>Stopa bezrobocia rejestrowanego - wg województw</a:t>
            </a:r>
          </a:p>
        </c:rich>
      </c:tx>
      <c:layout>
        <c:manualLayout>
          <c:xMode val="edge"/>
          <c:yMode val="edge"/>
          <c:x val="0.27654538642851895"/>
          <c:y val="3.4742370126544242E-2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0.2171417809544183"/>
          <c:y val="0.10611043571795144"/>
          <c:w val="0.72834094000673499"/>
          <c:h val="0.84086703703257903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'3_sort'!$B$1</c:f>
              <c:strCache>
                <c:ptCount val="1"/>
                <c:pt idx="0">
                  <c:v>Stopa bezrobocia rejestrowanego - wg województw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  <a:ln w="1270">
              <a:solidFill>
                <a:schemeClr val="accent4">
                  <a:lumMod val="60000"/>
                  <a:lumOff val="40000"/>
                </a:schemeClr>
              </a:solidFill>
            </a:ln>
          </c:spPr>
          <c:invertIfNegative val="0"/>
          <c:dPt>
            <c:idx val="5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F151-4BBA-97F7-B4F2CAA94FA1}"/>
              </c:ext>
            </c:extLst>
          </c:dPt>
          <c:dPt>
            <c:idx val="6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1-F151-4BBA-97F7-B4F2CAA94FA1}"/>
              </c:ext>
            </c:extLst>
          </c:dPt>
          <c:dPt>
            <c:idx val="7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2-F151-4BBA-97F7-B4F2CAA94FA1}"/>
              </c:ext>
            </c:extLst>
          </c:dPt>
          <c:dPt>
            <c:idx val="9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3-F151-4BBA-97F7-B4F2CAA94FA1}"/>
              </c:ext>
            </c:extLst>
          </c:dPt>
          <c:dPt>
            <c:idx val="15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4-F151-4BBA-97F7-B4F2CAA94FA1}"/>
              </c:ext>
            </c:extLst>
          </c:dPt>
          <c:dLbls>
            <c:numFmt formatCode="#,##0.0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0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'3_sort'!$C$4:$C$20</c:f>
              <c:strCache>
                <c:ptCount val="17"/>
                <c:pt idx="0">
                  <c:v>WIELKOPOLSKIE</c:v>
                </c:pt>
                <c:pt idx="1">
                  <c:v>ŚLĄSKIE</c:v>
                </c:pt>
                <c:pt idx="2">
                  <c:v>MAZOWIECKIE</c:v>
                </c:pt>
                <c:pt idx="3">
                  <c:v>LUBUSKIE</c:v>
                </c:pt>
                <c:pt idx="4">
                  <c:v>DOLNOŚLĄSKIE</c:v>
                </c:pt>
                <c:pt idx="5">
                  <c:v>MAŁOPOLSKIE</c:v>
                </c:pt>
                <c:pt idx="6">
                  <c:v>POMORSKIE</c:v>
                </c:pt>
                <c:pt idx="7">
                  <c:v>POLSKA</c:v>
                </c:pt>
                <c:pt idx="8">
                  <c:v>ŁÓDZKIE</c:v>
                </c:pt>
                <c:pt idx="9">
                  <c:v>OPOLSKIE</c:v>
                </c:pt>
                <c:pt idx="10">
                  <c:v>ZACHODNIOPOMORSKIE</c:v>
                </c:pt>
                <c:pt idx="11">
                  <c:v>KUJAWSKO-POMORSKIE</c:v>
                </c:pt>
                <c:pt idx="12">
                  <c:v>PODLASKIE</c:v>
                </c:pt>
                <c:pt idx="13">
                  <c:v>ŚWIĘTOKRZYSKIE</c:v>
                </c:pt>
                <c:pt idx="14">
                  <c:v>LUBELSKIE</c:v>
                </c:pt>
                <c:pt idx="15">
                  <c:v>WARMIŃSKO-MAZURSKIE</c:v>
                </c:pt>
                <c:pt idx="16">
                  <c:v>PODKARPACKIE</c:v>
                </c:pt>
              </c:strCache>
            </c:strRef>
          </c:cat>
          <c:val>
            <c:numRef>
              <c:f>'3_sort'!$D$4:$D$20</c:f>
              <c:numCache>
                <c:formatCode>0.0</c:formatCode>
                <c:ptCount val="17"/>
                <c:pt idx="0">
                  <c:v>2.9</c:v>
                </c:pt>
                <c:pt idx="1">
                  <c:v>3.6</c:v>
                </c:pt>
                <c:pt idx="2">
                  <c:v>4.2</c:v>
                </c:pt>
                <c:pt idx="3">
                  <c:v>4.3</c:v>
                </c:pt>
                <c:pt idx="4">
                  <c:v>4.4000000000000004</c:v>
                </c:pt>
                <c:pt idx="5">
                  <c:v>4.5</c:v>
                </c:pt>
                <c:pt idx="6">
                  <c:v>4.5</c:v>
                </c:pt>
                <c:pt idx="7">
                  <c:v>5.0999999999999996</c:v>
                </c:pt>
                <c:pt idx="8">
                  <c:v>5.4</c:v>
                </c:pt>
                <c:pt idx="9">
                  <c:v>5.9</c:v>
                </c:pt>
                <c:pt idx="10">
                  <c:v>6.6</c:v>
                </c:pt>
                <c:pt idx="11">
                  <c:v>7.2</c:v>
                </c:pt>
                <c:pt idx="12">
                  <c:v>7.2</c:v>
                </c:pt>
                <c:pt idx="13">
                  <c:v>7.5</c:v>
                </c:pt>
                <c:pt idx="14">
                  <c:v>7.9</c:v>
                </c:pt>
                <c:pt idx="15">
                  <c:v>8.5</c:v>
                </c:pt>
                <c:pt idx="16">
                  <c:v>8.6999999999999993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F151-4BBA-97F7-B4F2CAA94FA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1"/>
        <c:axId val="43823488"/>
        <c:axId val="43825024"/>
      </c:barChart>
      <c:catAx>
        <c:axId val="4382348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pl-PL"/>
          </a:p>
        </c:txPr>
        <c:crossAx val="43825024"/>
        <c:crosses val="autoZero"/>
        <c:auto val="1"/>
        <c:lblAlgn val="ctr"/>
        <c:lblOffset val="100"/>
        <c:noMultiLvlLbl val="0"/>
      </c:catAx>
      <c:valAx>
        <c:axId val="43825024"/>
        <c:scaling>
          <c:orientation val="minMax"/>
        </c:scaling>
        <c:delete val="0"/>
        <c:axPos val="b"/>
        <c:majorGridlines>
          <c:spPr>
            <a:ln w="3175">
              <a:solidFill>
                <a:schemeClr val="accent4">
                  <a:lumMod val="60000"/>
                  <a:lumOff val="40000"/>
                  <a:alpha val="64000"/>
                </a:schemeClr>
              </a:solidFill>
            </a:ln>
          </c:spPr>
        </c:majorGridlines>
        <c:minorGridlines>
          <c:spPr>
            <a:ln w="3175">
              <a:solidFill>
                <a:schemeClr val="accent4">
                  <a:lumMod val="75000"/>
                  <a:alpha val="17000"/>
                </a:schemeClr>
              </a:solidFill>
            </a:ln>
          </c:spPr>
        </c:minorGridlines>
        <c:numFmt formatCode="#,##0.0" sourceLinked="0"/>
        <c:majorTickMark val="out"/>
        <c:minorTickMark val="none"/>
        <c:tickLblPos val="nextTo"/>
        <c:spPr>
          <a:ln w="6350">
            <a:solidFill>
              <a:schemeClr val="bg1">
                <a:lumMod val="65000"/>
              </a:schemeClr>
            </a:solidFill>
          </a:ln>
        </c:spPr>
        <c:crossAx val="438234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900"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l">
              <a:defRPr sz="800" b="0">
                <a:latin typeface="Arial" panose="020B0604020202020204" pitchFamily="34" charset="0"/>
                <a:cs typeface="Arial" panose="020B0604020202020204" pitchFamily="34" charset="0"/>
              </a:defRPr>
            </a:pPr>
            <a:r>
              <a:rPr lang="en-US" sz="800" b="0">
                <a:latin typeface="Arial" panose="020B0604020202020204" pitchFamily="34" charset="0"/>
                <a:cs typeface="Arial" panose="020B0604020202020204" pitchFamily="34" charset="0"/>
              </a:rPr>
              <a:t>Stopa bezrobocia rejestrowanego - wg powiatów w województwie podkarpackim</a:t>
            </a:r>
          </a:p>
        </c:rich>
      </c:tx>
      <c:layout>
        <c:manualLayout>
          <c:xMode val="edge"/>
          <c:yMode val="edge"/>
          <c:x val="0.28801292390590288"/>
          <c:y val="3.1937859191030191E-2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0.2171417809544183"/>
          <c:y val="0.10611043571795144"/>
          <c:w val="0.75435292930213782"/>
          <c:h val="0.84086703703257903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'4_sort'!$B$1</c:f>
              <c:strCache>
                <c:ptCount val="1"/>
                <c:pt idx="0">
                  <c:v>Stopa bezrobocia rejestrowanego - wg powiatów w województwie podkarpackim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  <a:ln w="1270">
              <a:solidFill>
                <a:schemeClr val="accent4">
                  <a:lumMod val="60000"/>
                  <a:lumOff val="40000"/>
                </a:schemeClr>
              </a:solidFill>
            </a:ln>
          </c:spPr>
          <c:invertIfNegative val="0"/>
          <c:dPt>
            <c:idx val="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9E62-495A-B5ED-EB078D5C989D}"/>
              </c:ext>
            </c:extLst>
          </c:dPt>
          <c:dPt>
            <c:idx val="4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1-9E62-495A-B5ED-EB078D5C989D}"/>
              </c:ext>
            </c:extLst>
          </c:dPt>
          <c:dPt>
            <c:idx val="5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2-9E62-495A-B5ED-EB078D5C989D}"/>
              </c:ext>
            </c:extLst>
          </c:dPt>
          <c:dPt>
            <c:idx val="9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3-9E62-495A-B5ED-EB078D5C989D}"/>
              </c:ext>
            </c:extLst>
          </c:dPt>
          <c:dPt>
            <c:idx val="1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4-9E62-495A-B5ED-EB078D5C989D}"/>
              </c:ext>
            </c:extLst>
          </c:dPt>
          <c:dPt>
            <c:idx val="1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5-9E62-495A-B5ED-EB078D5C989D}"/>
              </c:ext>
            </c:extLst>
          </c:dPt>
          <c:dLbls>
            <c:numFmt formatCode="#,##0.0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9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'4_sort'!$C$4:$C$30</c:f>
              <c:strCache>
                <c:ptCount val="27"/>
                <c:pt idx="0">
                  <c:v>Powiat m.Krosno</c:v>
                </c:pt>
                <c:pt idx="1">
                  <c:v>Powiat m.Rzeszów</c:v>
                </c:pt>
                <c:pt idx="2">
                  <c:v>Powiat mielecki</c:v>
                </c:pt>
                <c:pt idx="3">
                  <c:v>Powiat stalowowolski</c:v>
                </c:pt>
                <c:pt idx="4">
                  <c:v>Powiat dębicki</c:v>
                </c:pt>
                <c:pt idx="5">
                  <c:v>POLSKA</c:v>
                </c:pt>
                <c:pt idx="6">
                  <c:v>Powiat m.Tarnobrzeg</c:v>
                </c:pt>
                <c:pt idx="7">
                  <c:v>Powiat tarnobrzeski</c:v>
                </c:pt>
                <c:pt idx="8">
                  <c:v>Powiat krośnieński</c:v>
                </c:pt>
                <c:pt idx="9">
                  <c:v>Powiat sanocki</c:v>
                </c:pt>
                <c:pt idx="10">
                  <c:v>Powiat kolbuszowski</c:v>
                </c:pt>
                <c:pt idx="11">
                  <c:v>Powiat rzeszowski</c:v>
                </c:pt>
                <c:pt idx="12">
                  <c:v>PODKARPACKIE</c:v>
                </c:pt>
                <c:pt idx="13">
                  <c:v>Powiat m.Przemyśl</c:v>
                </c:pt>
                <c:pt idx="14">
                  <c:v>Powiat łańcucki</c:v>
                </c:pt>
                <c:pt idx="15">
                  <c:v>Powiat lubaczowski</c:v>
                </c:pt>
                <c:pt idx="16">
                  <c:v>Powiat ropczycko-sędziszowski</c:v>
                </c:pt>
                <c:pt idx="17">
                  <c:v>Powiat jarosławski</c:v>
                </c:pt>
                <c:pt idx="18">
                  <c:v>Powiat jasielski</c:v>
                </c:pt>
                <c:pt idx="19">
                  <c:v>Powiat przeworski</c:v>
                </c:pt>
                <c:pt idx="20">
                  <c:v>Powiat leżajski</c:v>
                </c:pt>
                <c:pt idx="21">
                  <c:v>Powiat bieszczadzki</c:v>
                </c:pt>
                <c:pt idx="22">
                  <c:v>Powiat przemyski</c:v>
                </c:pt>
                <c:pt idx="23">
                  <c:v>Powiat niżański</c:v>
                </c:pt>
                <c:pt idx="24">
                  <c:v>Powiat strzyżowski</c:v>
                </c:pt>
                <c:pt idx="25">
                  <c:v>Powiat leski</c:v>
                </c:pt>
                <c:pt idx="26">
                  <c:v>Powiat brzozowski</c:v>
                </c:pt>
              </c:strCache>
            </c:strRef>
          </c:cat>
          <c:val>
            <c:numRef>
              <c:f>'4_sort'!$D$4:$D$30</c:f>
              <c:numCache>
                <c:formatCode>0.0</c:formatCode>
                <c:ptCount val="27"/>
                <c:pt idx="0">
                  <c:v>2.4</c:v>
                </c:pt>
                <c:pt idx="1">
                  <c:v>4.3</c:v>
                </c:pt>
                <c:pt idx="2">
                  <c:v>4.4000000000000004</c:v>
                </c:pt>
                <c:pt idx="3">
                  <c:v>4.5999999999999996</c:v>
                </c:pt>
                <c:pt idx="4">
                  <c:v>4.7</c:v>
                </c:pt>
                <c:pt idx="5">
                  <c:v>5.0999999999999996</c:v>
                </c:pt>
                <c:pt idx="6">
                  <c:v>6.8</c:v>
                </c:pt>
                <c:pt idx="7">
                  <c:v>7.2</c:v>
                </c:pt>
                <c:pt idx="8">
                  <c:v>7.5</c:v>
                </c:pt>
                <c:pt idx="9">
                  <c:v>7.7</c:v>
                </c:pt>
                <c:pt idx="10">
                  <c:v>8.4</c:v>
                </c:pt>
                <c:pt idx="11">
                  <c:v>8.6</c:v>
                </c:pt>
                <c:pt idx="12">
                  <c:v>8.6999999999999993</c:v>
                </c:pt>
                <c:pt idx="13">
                  <c:v>9.3000000000000007</c:v>
                </c:pt>
                <c:pt idx="14">
                  <c:v>9.8000000000000007</c:v>
                </c:pt>
                <c:pt idx="15">
                  <c:v>11</c:v>
                </c:pt>
                <c:pt idx="16">
                  <c:v>11.4</c:v>
                </c:pt>
                <c:pt idx="17">
                  <c:v>11.5</c:v>
                </c:pt>
                <c:pt idx="18">
                  <c:v>12.7</c:v>
                </c:pt>
                <c:pt idx="19">
                  <c:v>14.4</c:v>
                </c:pt>
                <c:pt idx="20">
                  <c:v>15.1</c:v>
                </c:pt>
                <c:pt idx="21">
                  <c:v>15.8</c:v>
                </c:pt>
                <c:pt idx="22">
                  <c:v>16.899999999999999</c:v>
                </c:pt>
                <c:pt idx="23">
                  <c:v>17.2</c:v>
                </c:pt>
                <c:pt idx="24">
                  <c:v>17.7</c:v>
                </c:pt>
                <c:pt idx="25">
                  <c:v>18.899999999999999</c:v>
                </c:pt>
                <c:pt idx="26">
                  <c:v>20.9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9E62-495A-B5ED-EB078D5C989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1"/>
        <c:axId val="45009920"/>
        <c:axId val="45011712"/>
      </c:barChart>
      <c:catAx>
        <c:axId val="4500992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pl-PL"/>
          </a:p>
        </c:txPr>
        <c:crossAx val="45011712"/>
        <c:crosses val="autoZero"/>
        <c:auto val="1"/>
        <c:lblAlgn val="ctr"/>
        <c:lblOffset val="100"/>
        <c:noMultiLvlLbl val="0"/>
      </c:catAx>
      <c:valAx>
        <c:axId val="45011712"/>
        <c:scaling>
          <c:orientation val="minMax"/>
        </c:scaling>
        <c:delete val="0"/>
        <c:axPos val="b"/>
        <c:majorGridlines>
          <c:spPr>
            <a:ln w="3175">
              <a:solidFill>
                <a:schemeClr val="accent4">
                  <a:lumMod val="60000"/>
                  <a:lumOff val="40000"/>
                  <a:alpha val="64000"/>
                </a:schemeClr>
              </a:solidFill>
            </a:ln>
          </c:spPr>
        </c:majorGridlines>
        <c:minorGridlines>
          <c:spPr>
            <a:ln w="3175">
              <a:solidFill>
                <a:schemeClr val="accent4">
                  <a:lumMod val="75000"/>
                  <a:alpha val="17000"/>
                </a:schemeClr>
              </a:solidFill>
            </a:ln>
          </c:spPr>
        </c:minorGridlines>
        <c:numFmt formatCode="#,##0.0" sourceLinked="0"/>
        <c:majorTickMark val="out"/>
        <c:minorTickMark val="none"/>
        <c:tickLblPos val="nextTo"/>
        <c:spPr>
          <a:ln w="6350">
            <a:solidFill>
              <a:schemeClr val="bg1">
                <a:lumMod val="65000"/>
              </a:schemeClr>
            </a:solidFill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pl-PL"/>
          </a:p>
        </c:txPr>
        <c:crossAx val="450099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/>
            </a:pPr>
            <a:r>
              <a:rPr lang="en-US" sz="800" b="0">
                <a:latin typeface="Arial" panose="020B0604020202020204" pitchFamily="34" charset="0"/>
                <a:cs typeface="Arial" panose="020B0604020202020204" pitchFamily="34" charset="0"/>
              </a:rPr>
              <a:t>Liczba bezrobotnych zamieszkłaych na wsi w województwie podkarpackim</a:t>
            </a:r>
          </a:p>
        </c:rich>
      </c:tx>
      <c:layout>
        <c:manualLayout>
          <c:xMode val="edge"/>
          <c:yMode val="edge"/>
          <c:x val="0.30270230792241981"/>
          <c:y val="2.9015198297837469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2171417809544183"/>
          <c:y val="0.10611043571795144"/>
          <c:w val="0.72834094000673499"/>
          <c:h val="0.84086703703257903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'5_sort'!$B$1</c:f>
              <c:strCache>
                <c:ptCount val="1"/>
                <c:pt idx="0">
                  <c:v>Liczba bezrobotnych zamieszkłaych na wsi w województwie podkarpackim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  <a:ln w="1270">
              <a:solidFill>
                <a:schemeClr val="accent4">
                  <a:lumMod val="60000"/>
                  <a:lumOff val="40000"/>
                </a:schemeClr>
              </a:solidFill>
            </a:ln>
          </c:spPr>
          <c:invertIfNegative val="0"/>
          <c:dPt>
            <c:idx val="5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AEF6-4CD7-AD3E-E88E51C3A65C}"/>
              </c:ext>
            </c:extLst>
          </c:dPt>
          <c:dPt>
            <c:idx val="9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1-AEF6-4CD7-AD3E-E88E51C3A65C}"/>
              </c:ext>
            </c:extLst>
          </c:dPt>
          <c:dLbls>
            <c:dLbl>
              <c:idx val="13"/>
              <c:layout>
                <c:manualLayout>
                  <c:x val="1.8867924528301945E-2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AEF6-4CD7-AD3E-E88E51C3A65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 b="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'5_sort'!$C$4:$C$24</c:f>
              <c:strCache>
                <c:ptCount val="21"/>
                <c:pt idx="0">
                  <c:v>bieszczadzki</c:v>
                </c:pt>
                <c:pt idx="1">
                  <c:v>stalowowolski</c:v>
                </c:pt>
                <c:pt idx="2">
                  <c:v>tarnobrzeski </c:v>
                </c:pt>
                <c:pt idx="3">
                  <c:v>lubaczowski</c:v>
                </c:pt>
                <c:pt idx="4">
                  <c:v>mielecki</c:v>
                </c:pt>
                <c:pt idx="5">
                  <c:v>kolbuszowski</c:v>
                </c:pt>
                <c:pt idx="6">
                  <c:v>leski</c:v>
                </c:pt>
                <c:pt idx="7">
                  <c:v>dębicki</c:v>
                </c:pt>
                <c:pt idx="8">
                  <c:v>sanocki</c:v>
                </c:pt>
                <c:pt idx="9">
                  <c:v>krośnieński</c:v>
                </c:pt>
                <c:pt idx="10">
                  <c:v>ropczycko-sędziszowski</c:v>
                </c:pt>
                <c:pt idx="11">
                  <c:v>niżański</c:v>
                </c:pt>
                <c:pt idx="12">
                  <c:v>łańcucki</c:v>
                </c:pt>
                <c:pt idx="13">
                  <c:v>leżajski</c:v>
                </c:pt>
                <c:pt idx="14">
                  <c:v>przeworski</c:v>
                </c:pt>
                <c:pt idx="15">
                  <c:v>strzyżowski</c:v>
                </c:pt>
                <c:pt idx="16">
                  <c:v>jarosławski</c:v>
                </c:pt>
                <c:pt idx="17">
                  <c:v>przemyski</c:v>
                </c:pt>
                <c:pt idx="18">
                  <c:v>jasielski</c:v>
                </c:pt>
                <c:pt idx="19">
                  <c:v>brzozowski</c:v>
                </c:pt>
                <c:pt idx="20">
                  <c:v>rzeszowski</c:v>
                </c:pt>
              </c:strCache>
            </c:strRef>
          </c:cat>
          <c:val>
            <c:numRef>
              <c:f>'5_sort'!$D$4:$D$24</c:f>
              <c:numCache>
                <c:formatCode>#,##0</c:formatCode>
                <c:ptCount val="21"/>
                <c:pt idx="0" formatCode="General">
                  <c:v>673</c:v>
                </c:pt>
                <c:pt idx="1">
                  <c:v>732</c:v>
                </c:pt>
                <c:pt idx="2">
                  <c:v>1028</c:v>
                </c:pt>
                <c:pt idx="3">
                  <c:v>1196</c:v>
                </c:pt>
                <c:pt idx="4">
                  <c:v>1280</c:v>
                </c:pt>
                <c:pt idx="5">
                  <c:v>1361</c:v>
                </c:pt>
                <c:pt idx="6">
                  <c:v>1376</c:v>
                </c:pt>
                <c:pt idx="7">
                  <c:v>1464</c:v>
                </c:pt>
                <c:pt idx="8">
                  <c:v>1515</c:v>
                </c:pt>
                <c:pt idx="9">
                  <c:v>1736</c:v>
                </c:pt>
                <c:pt idx="10">
                  <c:v>1772</c:v>
                </c:pt>
                <c:pt idx="11">
                  <c:v>1952</c:v>
                </c:pt>
                <c:pt idx="12">
                  <c:v>2023</c:v>
                </c:pt>
                <c:pt idx="13">
                  <c:v>2355</c:v>
                </c:pt>
                <c:pt idx="14">
                  <c:v>2666</c:v>
                </c:pt>
                <c:pt idx="15">
                  <c:v>2845</c:v>
                </c:pt>
                <c:pt idx="16">
                  <c:v>2898</c:v>
                </c:pt>
                <c:pt idx="17">
                  <c:v>2921</c:v>
                </c:pt>
                <c:pt idx="18">
                  <c:v>3432</c:v>
                </c:pt>
                <c:pt idx="19">
                  <c:v>3642</c:v>
                </c:pt>
                <c:pt idx="20">
                  <c:v>3904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EF6-4CD7-AD3E-E88E51C3A6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1"/>
        <c:axId val="45204992"/>
        <c:axId val="45206528"/>
      </c:barChart>
      <c:catAx>
        <c:axId val="4520499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pl-PL"/>
          </a:p>
        </c:txPr>
        <c:crossAx val="45206528"/>
        <c:crosses val="autoZero"/>
        <c:auto val="1"/>
        <c:lblAlgn val="ctr"/>
        <c:lblOffset val="100"/>
        <c:noMultiLvlLbl val="0"/>
      </c:catAx>
      <c:valAx>
        <c:axId val="45206528"/>
        <c:scaling>
          <c:orientation val="minMax"/>
        </c:scaling>
        <c:delete val="0"/>
        <c:axPos val="b"/>
        <c:majorGridlines>
          <c:spPr>
            <a:ln w="3175">
              <a:solidFill>
                <a:schemeClr val="accent4">
                  <a:lumMod val="60000"/>
                  <a:lumOff val="40000"/>
                  <a:alpha val="64000"/>
                </a:schemeClr>
              </a:solidFill>
            </a:ln>
          </c:spPr>
        </c:majorGridlines>
        <c:minorGridlines>
          <c:spPr>
            <a:ln w="3175">
              <a:solidFill>
                <a:schemeClr val="accent4">
                  <a:lumMod val="75000"/>
                  <a:alpha val="17000"/>
                </a:schemeClr>
              </a:solidFill>
            </a:ln>
          </c:spPr>
        </c:minorGridlines>
        <c:numFmt formatCode="General" sourceLinked="0"/>
        <c:majorTickMark val="out"/>
        <c:minorTickMark val="none"/>
        <c:tickLblPos val="nextTo"/>
        <c:spPr>
          <a:ln w="6350">
            <a:solidFill>
              <a:schemeClr val="bg1">
                <a:lumMod val="65000"/>
              </a:schemeClr>
            </a:solidFill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pl-PL"/>
          </a:p>
        </c:txPr>
        <c:crossAx val="452049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l">
              <a:defRPr sz="800" b="0"/>
            </a:pPr>
            <a:r>
              <a:rPr lang="en-US" sz="800" b="0">
                <a:latin typeface="Arial" panose="020B0604020202020204" pitchFamily="34" charset="0"/>
                <a:cs typeface="Arial" panose="020B0604020202020204" pitchFamily="34" charset="0"/>
              </a:rPr>
              <a:t>Liczba bezrobotnych pow</a:t>
            </a:r>
            <a:r>
              <a:rPr lang="pl-PL" sz="800" b="0">
                <a:latin typeface="Arial" panose="020B0604020202020204" pitchFamily="34" charset="0"/>
                <a:cs typeface="Arial" panose="020B0604020202020204" pitchFamily="34" charset="0"/>
              </a:rPr>
              <a:t>.</a:t>
            </a:r>
            <a:r>
              <a:rPr lang="en-US" sz="800" b="0">
                <a:latin typeface="Arial" panose="020B0604020202020204" pitchFamily="34" charset="0"/>
                <a:cs typeface="Arial" panose="020B0604020202020204" pitchFamily="34" charset="0"/>
              </a:rPr>
              <a:t> 12 m</a:t>
            </a:r>
            <a:r>
              <a:rPr lang="pl-PL" sz="800" b="0">
                <a:latin typeface="Arial" panose="020B0604020202020204" pitchFamily="34" charset="0"/>
                <a:cs typeface="Arial" panose="020B0604020202020204" pitchFamily="34" charset="0"/>
              </a:rPr>
              <a:t>-</a:t>
            </a:r>
            <a:r>
              <a:rPr lang="en-US" sz="800" b="0">
                <a:latin typeface="Arial" panose="020B0604020202020204" pitchFamily="34" charset="0"/>
                <a:cs typeface="Arial" panose="020B0604020202020204" pitchFamily="34" charset="0"/>
              </a:rPr>
              <a:t>cy</a:t>
            </a:r>
            <a:r>
              <a:rPr lang="pl-PL" sz="800" b="0">
                <a:latin typeface="Arial" panose="020B0604020202020204" pitchFamily="34" charset="0"/>
                <a:cs typeface="Arial" panose="020B0604020202020204" pitchFamily="34" charset="0"/>
              </a:rPr>
              <a:t> </a:t>
            </a:r>
            <a:r>
              <a:rPr lang="en-US" sz="800" b="0">
                <a:latin typeface="Arial" panose="020B0604020202020204" pitchFamily="34" charset="0"/>
                <a:cs typeface="Arial" panose="020B0604020202020204" pitchFamily="34" charset="0"/>
              </a:rPr>
              <a:t>*</a:t>
            </a:r>
            <a:r>
              <a:rPr lang="pl-PL" sz="800" b="0">
                <a:latin typeface="Arial" panose="020B0604020202020204" pitchFamily="34" charset="0"/>
                <a:cs typeface="Arial" panose="020B0604020202020204" pitchFamily="34" charset="0"/>
              </a:rPr>
              <a:t> (w</a:t>
            </a:r>
            <a:r>
              <a:rPr lang="en-US" sz="800" b="0">
                <a:latin typeface="Arial" panose="020B0604020202020204" pitchFamily="34" charset="0"/>
                <a:cs typeface="Arial" panose="020B0604020202020204" pitchFamily="34" charset="0"/>
              </a:rPr>
              <a:t> szczególnej syt</a:t>
            </a:r>
            <a:r>
              <a:rPr lang="pl-PL" sz="800" b="0">
                <a:latin typeface="Arial" panose="020B0604020202020204" pitchFamily="34" charset="0"/>
                <a:cs typeface="Arial" panose="020B0604020202020204" pitchFamily="34" charset="0"/>
              </a:rPr>
              <a:t>.</a:t>
            </a:r>
            <a:r>
              <a:rPr lang="en-US" sz="800" b="0">
                <a:latin typeface="Arial" panose="020B0604020202020204" pitchFamily="34" charset="0"/>
                <a:cs typeface="Arial" panose="020B0604020202020204" pitchFamily="34" charset="0"/>
              </a:rPr>
              <a:t> na rynku pracy</a:t>
            </a:r>
            <a:r>
              <a:rPr lang="pl-PL" sz="800" b="0">
                <a:latin typeface="Arial" panose="020B0604020202020204" pitchFamily="34" charset="0"/>
                <a:cs typeface="Arial" panose="020B0604020202020204" pitchFamily="34" charset="0"/>
              </a:rPr>
              <a:t>)</a:t>
            </a:r>
            <a:endParaRPr lang="en-US" sz="800" b="0">
              <a:latin typeface="Arial" panose="020B0604020202020204" pitchFamily="34" charset="0"/>
              <a:cs typeface="Arial" panose="020B0604020202020204" pitchFamily="34" charset="0"/>
            </a:endParaRPr>
          </a:p>
        </c:rich>
      </c:tx>
      <c:layout>
        <c:manualLayout>
          <c:xMode val="edge"/>
          <c:yMode val="edge"/>
          <c:x val="0.20608225946856062"/>
          <c:y val="2.80411159129296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2171417809544183"/>
          <c:y val="0.10611043571795144"/>
          <c:w val="0.72834094000673499"/>
          <c:h val="0.84086703703257903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'6_sort'!$B$1</c:f>
              <c:strCache>
                <c:ptCount val="1"/>
                <c:pt idx="0">
                  <c:v>Liczba bezrobotnych powyżej 12 miesięcy* - w szczególnej sytuacji na rynku pracy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  <a:ln w="1270">
              <a:solidFill>
                <a:schemeClr val="accent4">
                  <a:lumMod val="60000"/>
                  <a:lumOff val="40000"/>
                </a:schemeClr>
              </a:solidFill>
            </a:ln>
          </c:spPr>
          <c:invertIfNegative val="0"/>
          <c:dPt>
            <c:idx val="5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8E6E-4E84-AD9E-6E14E79C3697}"/>
              </c:ext>
            </c:extLst>
          </c:dPt>
          <c:dPt>
            <c:idx val="9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1-8E6E-4E84-AD9E-6E14E79C3697}"/>
              </c:ext>
            </c:extLst>
          </c:dPt>
          <c:dLbls>
            <c:dLbl>
              <c:idx val="13"/>
              <c:layout>
                <c:manualLayout>
                  <c:x val="1.8867924528301945E-2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8E6E-4E84-AD9E-6E14E79C369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 b="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'6_sort'!$C$4:$C$28</c:f>
              <c:strCache>
                <c:ptCount val="25"/>
                <c:pt idx="0">
                  <c:v>Krosno</c:v>
                </c:pt>
                <c:pt idx="1">
                  <c:v>Tarnobrzeg</c:v>
                </c:pt>
                <c:pt idx="2">
                  <c:v>bieszczadzki</c:v>
                </c:pt>
                <c:pt idx="3">
                  <c:v>tarnobrzeski </c:v>
                </c:pt>
                <c:pt idx="4">
                  <c:v>stalowowolski</c:v>
                </c:pt>
                <c:pt idx="5">
                  <c:v>kolbuszowski</c:v>
                </c:pt>
                <c:pt idx="6">
                  <c:v>krośnieński</c:v>
                </c:pt>
                <c:pt idx="7">
                  <c:v>lubaczowski</c:v>
                </c:pt>
                <c:pt idx="8">
                  <c:v>leski</c:v>
                </c:pt>
                <c:pt idx="9">
                  <c:v>dębicki</c:v>
                </c:pt>
                <c:pt idx="10">
                  <c:v>mielecki</c:v>
                </c:pt>
                <c:pt idx="11">
                  <c:v>sanocki</c:v>
                </c:pt>
                <c:pt idx="12">
                  <c:v>łańcucki</c:v>
                </c:pt>
                <c:pt idx="13">
                  <c:v>Przemyśl</c:v>
                </c:pt>
                <c:pt idx="14">
                  <c:v>ropczycko-sędziszowski</c:v>
                </c:pt>
                <c:pt idx="15">
                  <c:v>niżański</c:v>
                </c:pt>
                <c:pt idx="16">
                  <c:v>przemyski</c:v>
                </c:pt>
                <c:pt idx="17">
                  <c:v>leżajski</c:v>
                </c:pt>
                <c:pt idx="18">
                  <c:v>strzyżowski</c:v>
                </c:pt>
                <c:pt idx="19">
                  <c:v>przeworski</c:v>
                </c:pt>
                <c:pt idx="20">
                  <c:v>brzozowski</c:v>
                </c:pt>
                <c:pt idx="21">
                  <c:v>jarosławski</c:v>
                </c:pt>
                <c:pt idx="22">
                  <c:v>rzeszowski</c:v>
                </c:pt>
                <c:pt idx="23">
                  <c:v>jasielski</c:v>
                </c:pt>
                <c:pt idx="24">
                  <c:v>Rzeszów</c:v>
                </c:pt>
              </c:strCache>
            </c:strRef>
          </c:cat>
          <c:val>
            <c:numRef>
              <c:f>'6_sort'!$D$4:$D$28</c:f>
              <c:numCache>
                <c:formatCode>#,##0</c:formatCode>
                <c:ptCount val="25"/>
                <c:pt idx="0" formatCode="General">
                  <c:v>322</c:v>
                </c:pt>
                <c:pt idx="1">
                  <c:v>622</c:v>
                </c:pt>
                <c:pt idx="2">
                  <c:v>641</c:v>
                </c:pt>
                <c:pt idx="3">
                  <c:v>697</c:v>
                </c:pt>
                <c:pt idx="4">
                  <c:v>779</c:v>
                </c:pt>
                <c:pt idx="5">
                  <c:v>803</c:v>
                </c:pt>
                <c:pt idx="6">
                  <c:v>941</c:v>
                </c:pt>
                <c:pt idx="7">
                  <c:v>982</c:v>
                </c:pt>
                <c:pt idx="8">
                  <c:v>1039</c:v>
                </c:pt>
                <c:pt idx="9">
                  <c:v>1078</c:v>
                </c:pt>
                <c:pt idx="10">
                  <c:v>1232</c:v>
                </c:pt>
                <c:pt idx="11">
                  <c:v>1294</c:v>
                </c:pt>
                <c:pt idx="12">
                  <c:v>1382</c:v>
                </c:pt>
                <c:pt idx="13">
                  <c:v>1596</c:v>
                </c:pt>
                <c:pt idx="14">
                  <c:v>1608</c:v>
                </c:pt>
                <c:pt idx="15">
                  <c:v>1749</c:v>
                </c:pt>
                <c:pt idx="16">
                  <c:v>1825</c:v>
                </c:pt>
                <c:pt idx="17">
                  <c:v>1921</c:v>
                </c:pt>
                <c:pt idx="18">
                  <c:v>2058</c:v>
                </c:pt>
                <c:pt idx="19">
                  <c:v>2173</c:v>
                </c:pt>
                <c:pt idx="20">
                  <c:v>2592</c:v>
                </c:pt>
                <c:pt idx="21">
                  <c:v>2849</c:v>
                </c:pt>
                <c:pt idx="22">
                  <c:v>3034</c:v>
                </c:pt>
                <c:pt idx="23">
                  <c:v>3068</c:v>
                </c:pt>
                <c:pt idx="24">
                  <c:v>3436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E6E-4E84-AD9E-6E14E79C369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1"/>
        <c:axId val="45280640"/>
        <c:axId val="134677632"/>
      </c:barChart>
      <c:catAx>
        <c:axId val="4528064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pl-PL"/>
          </a:p>
        </c:txPr>
        <c:crossAx val="134677632"/>
        <c:crosses val="autoZero"/>
        <c:auto val="1"/>
        <c:lblAlgn val="ctr"/>
        <c:lblOffset val="100"/>
        <c:noMultiLvlLbl val="0"/>
      </c:catAx>
      <c:valAx>
        <c:axId val="134677632"/>
        <c:scaling>
          <c:orientation val="minMax"/>
        </c:scaling>
        <c:delete val="0"/>
        <c:axPos val="b"/>
        <c:majorGridlines>
          <c:spPr>
            <a:ln w="3175">
              <a:solidFill>
                <a:schemeClr val="accent4">
                  <a:lumMod val="60000"/>
                  <a:lumOff val="40000"/>
                  <a:alpha val="64000"/>
                </a:schemeClr>
              </a:solidFill>
            </a:ln>
          </c:spPr>
        </c:majorGridlines>
        <c:minorGridlines>
          <c:spPr>
            <a:ln w="3175">
              <a:solidFill>
                <a:schemeClr val="accent4">
                  <a:lumMod val="75000"/>
                  <a:alpha val="17000"/>
                </a:schemeClr>
              </a:solidFill>
            </a:ln>
          </c:spPr>
        </c:minorGridlines>
        <c:numFmt formatCode="General" sourceLinked="0"/>
        <c:majorTickMark val="out"/>
        <c:minorTickMark val="none"/>
        <c:tickLblPos val="nextTo"/>
        <c:spPr>
          <a:ln w="6350">
            <a:solidFill>
              <a:schemeClr val="bg1">
                <a:lumMod val="65000"/>
              </a:schemeClr>
            </a:solidFill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pl-PL"/>
          </a:p>
        </c:txPr>
        <c:crossAx val="452806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l">
              <a:defRPr sz="800" b="0"/>
            </a:pPr>
            <a:r>
              <a:rPr lang="pl-PL" sz="800" b="0">
                <a:latin typeface="Arial" panose="020B0604020202020204" pitchFamily="34" charset="0"/>
                <a:cs typeface="Arial" panose="020B0604020202020204" pitchFamily="34" charset="0"/>
              </a:rPr>
              <a:t>Liczba bezrobotnych do 30 roku życia (w szczególnej sytuacji na rynku pracy)</a:t>
            </a:r>
          </a:p>
        </c:rich>
      </c:tx>
      <c:layout>
        <c:manualLayout>
          <c:xMode val="edge"/>
          <c:yMode val="edge"/>
          <c:x val="0.21171269709515514"/>
          <c:y val="2.389052126437366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2171417809544183"/>
          <c:y val="0.10611043571795144"/>
          <c:w val="0.75120092694797425"/>
          <c:h val="0.84086703703257903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'7_sort'!$B$1</c:f>
              <c:strCache>
                <c:ptCount val="1"/>
                <c:pt idx="0">
                  <c:v>Liczba bezrobotnych do 30 roku życia - w szczególnej sytuacji na rynku pracy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  <a:ln w="1270">
              <a:solidFill>
                <a:schemeClr val="accent4">
                  <a:lumMod val="60000"/>
                  <a:lumOff val="40000"/>
                </a:schemeClr>
              </a:solidFill>
            </a:ln>
          </c:spPr>
          <c:invertIfNegative val="0"/>
          <c:dPt>
            <c:idx val="5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8F08-4446-B601-462C57B2D81C}"/>
              </c:ext>
            </c:extLst>
          </c:dPt>
          <c:dPt>
            <c:idx val="9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1-8F08-4446-B601-462C57B2D81C}"/>
              </c:ext>
            </c:extLst>
          </c:dPt>
          <c:dLbls>
            <c:dLbl>
              <c:idx val="13"/>
              <c:layout>
                <c:manualLayout>
                  <c:x val="1.8867924528301945E-2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8F08-4446-B601-462C57B2D81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 b="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'7_sort'!$C$4:$C$28</c:f>
              <c:strCache>
                <c:ptCount val="25"/>
                <c:pt idx="0">
                  <c:v>Krosno</c:v>
                </c:pt>
                <c:pt idx="1">
                  <c:v>Tarnobrzeg</c:v>
                </c:pt>
                <c:pt idx="2">
                  <c:v>bieszczadzki</c:v>
                </c:pt>
                <c:pt idx="3">
                  <c:v>tarnobrzeski </c:v>
                </c:pt>
                <c:pt idx="4">
                  <c:v>Przemyśl</c:v>
                </c:pt>
                <c:pt idx="5">
                  <c:v>kolbuszowski</c:v>
                </c:pt>
                <c:pt idx="6">
                  <c:v>leski</c:v>
                </c:pt>
                <c:pt idx="7">
                  <c:v>stalowowolski</c:v>
                </c:pt>
                <c:pt idx="8">
                  <c:v>krośnieński</c:v>
                </c:pt>
                <c:pt idx="9">
                  <c:v>lubaczowski</c:v>
                </c:pt>
                <c:pt idx="10">
                  <c:v>mielecki</c:v>
                </c:pt>
                <c:pt idx="11">
                  <c:v>dębicki</c:v>
                </c:pt>
                <c:pt idx="12">
                  <c:v>sanocki</c:v>
                </c:pt>
                <c:pt idx="13">
                  <c:v>łańcucki</c:v>
                </c:pt>
                <c:pt idx="14">
                  <c:v>przemyski</c:v>
                </c:pt>
                <c:pt idx="15">
                  <c:v>ropczycko-sędziszowski</c:v>
                </c:pt>
                <c:pt idx="16">
                  <c:v>niżański</c:v>
                </c:pt>
                <c:pt idx="17">
                  <c:v>leżajski</c:v>
                </c:pt>
                <c:pt idx="18">
                  <c:v>strzyżowski</c:v>
                </c:pt>
                <c:pt idx="19">
                  <c:v>przeworski</c:v>
                </c:pt>
                <c:pt idx="20">
                  <c:v>brzozowski</c:v>
                </c:pt>
                <c:pt idx="21">
                  <c:v>Rzeszów</c:v>
                </c:pt>
                <c:pt idx="22">
                  <c:v>jasielski</c:v>
                </c:pt>
                <c:pt idx="23">
                  <c:v>jarosławski</c:v>
                </c:pt>
                <c:pt idx="24">
                  <c:v>rzeszowski</c:v>
                </c:pt>
              </c:strCache>
            </c:strRef>
          </c:cat>
          <c:val>
            <c:numRef>
              <c:f>'7_sort'!$D$4:$D$28</c:f>
              <c:numCache>
                <c:formatCode>#,##0</c:formatCode>
                <c:ptCount val="25"/>
                <c:pt idx="0" formatCode="General">
                  <c:v>121</c:v>
                </c:pt>
                <c:pt idx="1">
                  <c:v>209</c:v>
                </c:pt>
                <c:pt idx="2">
                  <c:v>299</c:v>
                </c:pt>
                <c:pt idx="3">
                  <c:v>332</c:v>
                </c:pt>
                <c:pt idx="4">
                  <c:v>418</c:v>
                </c:pt>
                <c:pt idx="5">
                  <c:v>439</c:v>
                </c:pt>
                <c:pt idx="6">
                  <c:v>441</c:v>
                </c:pt>
                <c:pt idx="7">
                  <c:v>479</c:v>
                </c:pt>
                <c:pt idx="8">
                  <c:v>492</c:v>
                </c:pt>
                <c:pt idx="9">
                  <c:v>516</c:v>
                </c:pt>
                <c:pt idx="10">
                  <c:v>687</c:v>
                </c:pt>
                <c:pt idx="11">
                  <c:v>736</c:v>
                </c:pt>
                <c:pt idx="12">
                  <c:v>744</c:v>
                </c:pt>
                <c:pt idx="13">
                  <c:v>762</c:v>
                </c:pt>
                <c:pt idx="14">
                  <c:v>787</c:v>
                </c:pt>
                <c:pt idx="15">
                  <c:v>792</c:v>
                </c:pt>
                <c:pt idx="16">
                  <c:v>848</c:v>
                </c:pt>
                <c:pt idx="17">
                  <c:v>906</c:v>
                </c:pt>
                <c:pt idx="18">
                  <c:v>923</c:v>
                </c:pt>
                <c:pt idx="19">
                  <c:v>995</c:v>
                </c:pt>
                <c:pt idx="20">
                  <c:v>1017</c:v>
                </c:pt>
                <c:pt idx="21">
                  <c:v>1059</c:v>
                </c:pt>
                <c:pt idx="22">
                  <c:v>1211</c:v>
                </c:pt>
                <c:pt idx="23">
                  <c:v>1249</c:v>
                </c:pt>
                <c:pt idx="24">
                  <c:v>1346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F08-4446-B601-462C57B2D81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1"/>
        <c:axId val="134739840"/>
        <c:axId val="134741376"/>
      </c:barChart>
      <c:catAx>
        <c:axId val="13473984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pl-PL"/>
          </a:p>
        </c:txPr>
        <c:crossAx val="134741376"/>
        <c:crosses val="autoZero"/>
        <c:auto val="1"/>
        <c:lblAlgn val="ctr"/>
        <c:lblOffset val="100"/>
        <c:noMultiLvlLbl val="0"/>
      </c:catAx>
      <c:valAx>
        <c:axId val="134741376"/>
        <c:scaling>
          <c:orientation val="minMax"/>
        </c:scaling>
        <c:delete val="0"/>
        <c:axPos val="b"/>
        <c:majorGridlines>
          <c:spPr>
            <a:ln w="3175">
              <a:solidFill>
                <a:schemeClr val="accent4">
                  <a:lumMod val="60000"/>
                  <a:lumOff val="40000"/>
                  <a:alpha val="64000"/>
                </a:schemeClr>
              </a:solidFill>
            </a:ln>
          </c:spPr>
        </c:majorGridlines>
        <c:minorGridlines>
          <c:spPr>
            <a:ln w="3175">
              <a:solidFill>
                <a:schemeClr val="accent4">
                  <a:lumMod val="75000"/>
                  <a:alpha val="17000"/>
                </a:schemeClr>
              </a:solidFill>
            </a:ln>
          </c:spPr>
        </c:minorGridlines>
        <c:numFmt formatCode="General" sourceLinked="0"/>
        <c:majorTickMark val="out"/>
        <c:minorTickMark val="none"/>
        <c:tickLblPos val="nextTo"/>
        <c:spPr>
          <a:ln w="6350">
            <a:solidFill>
              <a:schemeClr val="bg1">
                <a:lumMod val="65000"/>
              </a:schemeClr>
            </a:solidFill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pl-PL"/>
          </a:p>
        </c:txPr>
        <c:crossAx val="1347398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l">
              <a:defRPr sz="800" b="0"/>
            </a:pPr>
            <a:r>
              <a:rPr lang="en-US" sz="800" b="0">
                <a:latin typeface="Arial" panose="020B0604020202020204" pitchFamily="34" charset="0"/>
                <a:cs typeface="Arial" panose="020B0604020202020204" pitchFamily="34" charset="0"/>
              </a:rPr>
              <a:t>Liczba bezrobotnych pow</a:t>
            </a:r>
            <a:r>
              <a:rPr lang="pl-PL" sz="800" b="0">
                <a:latin typeface="Arial" panose="020B0604020202020204" pitchFamily="34" charset="0"/>
                <a:cs typeface="Arial" panose="020B0604020202020204" pitchFamily="34" charset="0"/>
              </a:rPr>
              <a:t>.</a:t>
            </a:r>
            <a:r>
              <a:rPr lang="en-US" sz="800" b="0">
                <a:latin typeface="Arial" panose="020B0604020202020204" pitchFamily="34" charset="0"/>
                <a:cs typeface="Arial" panose="020B0604020202020204" pitchFamily="34" charset="0"/>
              </a:rPr>
              <a:t> 50 roku życia </a:t>
            </a:r>
            <a:r>
              <a:rPr lang="pl-PL" sz="800" b="0">
                <a:latin typeface="Arial" panose="020B0604020202020204" pitchFamily="34" charset="0"/>
                <a:cs typeface="Arial" panose="020B0604020202020204" pitchFamily="34" charset="0"/>
              </a:rPr>
              <a:t>(</a:t>
            </a:r>
            <a:r>
              <a:rPr lang="en-US" sz="800" b="0">
                <a:latin typeface="Arial" panose="020B0604020202020204" pitchFamily="34" charset="0"/>
                <a:cs typeface="Arial" panose="020B0604020202020204" pitchFamily="34" charset="0"/>
              </a:rPr>
              <a:t>w szczególnej sytuacji na rynku pracy</a:t>
            </a:r>
            <a:r>
              <a:rPr lang="pl-PL" sz="800" b="0">
                <a:latin typeface="Arial" panose="020B0604020202020204" pitchFamily="34" charset="0"/>
                <a:cs typeface="Arial" panose="020B0604020202020204" pitchFamily="34" charset="0"/>
              </a:rPr>
              <a:t>)</a:t>
            </a:r>
            <a:endParaRPr lang="en-US" sz="800" b="0">
              <a:latin typeface="Arial" panose="020B0604020202020204" pitchFamily="34" charset="0"/>
              <a:cs typeface="Arial" panose="020B0604020202020204" pitchFamily="34" charset="0"/>
            </a:endParaRPr>
          </a:p>
        </c:rich>
      </c:tx>
      <c:layout>
        <c:manualLayout>
          <c:xMode val="edge"/>
          <c:yMode val="edge"/>
          <c:x val="0.21622374139943246"/>
          <c:y val="1.085531640246881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2171417809544183"/>
          <c:y val="0.10611043571795144"/>
          <c:w val="0.72834094000673499"/>
          <c:h val="0.84086703703257903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'8_sort'!$B$1</c:f>
              <c:strCache>
                <c:ptCount val="1"/>
                <c:pt idx="0">
                  <c:v>Liczba bezrobotnych powyżej 50 roku życia - w szczególnej sytuacji na rynku pracy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  <a:ln w="1270">
              <a:solidFill>
                <a:schemeClr val="accent4">
                  <a:lumMod val="60000"/>
                  <a:lumOff val="40000"/>
                </a:schemeClr>
              </a:solidFill>
            </a:ln>
          </c:spPr>
          <c:invertIfNegative val="0"/>
          <c:dPt>
            <c:idx val="5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3F13-48FD-9FD4-90757E06598B}"/>
              </c:ext>
            </c:extLst>
          </c:dPt>
          <c:dPt>
            <c:idx val="9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1-3F13-48FD-9FD4-90757E06598B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'8_sort'!$C$4:$C$28</c:f>
              <c:strCache>
                <c:ptCount val="25"/>
                <c:pt idx="0">
                  <c:v>Krosno</c:v>
                </c:pt>
                <c:pt idx="1">
                  <c:v>bieszczadzki</c:v>
                </c:pt>
                <c:pt idx="2">
                  <c:v>Tarnobrzeg</c:v>
                </c:pt>
                <c:pt idx="3">
                  <c:v>tarnobrzeski </c:v>
                </c:pt>
                <c:pt idx="4">
                  <c:v>leski</c:v>
                </c:pt>
                <c:pt idx="5">
                  <c:v>kolbuszowski</c:v>
                </c:pt>
                <c:pt idx="6">
                  <c:v>lubaczowski</c:v>
                </c:pt>
                <c:pt idx="7">
                  <c:v>krośnieński</c:v>
                </c:pt>
                <c:pt idx="8">
                  <c:v>stalowowolski</c:v>
                </c:pt>
                <c:pt idx="9">
                  <c:v>dębicki</c:v>
                </c:pt>
                <c:pt idx="10">
                  <c:v>sanocki</c:v>
                </c:pt>
                <c:pt idx="11">
                  <c:v>ropczycko-sędziszowski</c:v>
                </c:pt>
                <c:pt idx="12">
                  <c:v>łańcucki</c:v>
                </c:pt>
                <c:pt idx="13">
                  <c:v>mielecki</c:v>
                </c:pt>
                <c:pt idx="14">
                  <c:v>leżajski</c:v>
                </c:pt>
                <c:pt idx="15">
                  <c:v>przeworski</c:v>
                </c:pt>
                <c:pt idx="16">
                  <c:v>Przemyśl</c:v>
                </c:pt>
                <c:pt idx="17">
                  <c:v>przemyski</c:v>
                </c:pt>
                <c:pt idx="18">
                  <c:v>niżański</c:v>
                </c:pt>
                <c:pt idx="19">
                  <c:v>strzyżowski</c:v>
                </c:pt>
                <c:pt idx="20">
                  <c:v>brzozowski</c:v>
                </c:pt>
                <c:pt idx="21">
                  <c:v>jarosławski</c:v>
                </c:pt>
                <c:pt idx="22">
                  <c:v>jasielski</c:v>
                </c:pt>
                <c:pt idx="23">
                  <c:v>rzeszowski</c:v>
                </c:pt>
                <c:pt idx="24">
                  <c:v>Rzeszów</c:v>
                </c:pt>
              </c:strCache>
            </c:strRef>
          </c:cat>
          <c:val>
            <c:numRef>
              <c:f>'8_sort'!$D$4:$D$28</c:f>
              <c:numCache>
                <c:formatCode>#,##0</c:formatCode>
                <c:ptCount val="25"/>
                <c:pt idx="0" formatCode="General">
                  <c:v>162</c:v>
                </c:pt>
                <c:pt idx="1">
                  <c:v>258</c:v>
                </c:pt>
                <c:pt idx="2">
                  <c:v>323</c:v>
                </c:pt>
                <c:pt idx="3">
                  <c:v>360</c:v>
                </c:pt>
                <c:pt idx="4">
                  <c:v>411</c:v>
                </c:pt>
                <c:pt idx="5">
                  <c:v>436</c:v>
                </c:pt>
                <c:pt idx="6">
                  <c:v>503</c:v>
                </c:pt>
                <c:pt idx="7">
                  <c:v>511</c:v>
                </c:pt>
                <c:pt idx="8">
                  <c:v>512</c:v>
                </c:pt>
                <c:pt idx="9">
                  <c:v>571</c:v>
                </c:pt>
                <c:pt idx="10">
                  <c:v>602</c:v>
                </c:pt>
                <c:pt idx="11">
                  <c:v>607</c:v>
                </c:pt>
                <c:pt idx="12">
                  <c:v>623</c:v>
                </c:pt>
                <c:pt idx="13">
                  <c:v>668</c:v>
                </c:pt>
                <c:pt idx="14">
                  <c:v>698</c:v>
                </c:pt>
                <c:pt idx="15">
                  <c:v>715</c:v>
                </c:pt>
                <c:pt idx="16">
                  <c:v>721</c:v>
                </c:pt>
                <c:pt idx="17">
                  <c:v>727</c:v>
                </c:pt>
                <c:pt idx="18">
                  <c:v>754</c:v>
                </c:pt>
                <c:pt idx="19">
                  <c:v>763</c:v>
                </c:pt>
                <c:pt idx="20">
                  <c:v>989</c:v>
                </c:pt>
                <c:pt idx="21">
                  <c:v>1109</c:v>
                </c:pt>
                <c:pt idx="22">
                  <c:v>1149</c:v>
                </c:pt>
                <c:pt idx="23">
                  <c:v>1236</c:v>
                </c:pt>
                <c:pt idx="24">
                  <c:v>1466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F13-48FD-9FD4-90757E06598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1"/>
        <c:axId val="137716480"/>
        <c:axId val="137718016"/>
      </c:barChart>
      <c:catAx>
        <c:axId val="13771648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pl-PL"/>
          </a:p>
        </c:txPr>
        <c:crossAx val="137718016"/>
        <c:crosses val="autoZero"/>
        <c:auto val="1"/>
        <c:lblAlgn val="ctr"/>
        <c:lblOffset val="100"/>
        <c:noMultiLvlLbl val="0"/>
      </c:catAx>
      <c:valAx>
        <c:axId val="137718016"/>
        <c:scaling>
          <c:orientation val="minMax"/>
        </c:scaling>
        <c:delete val="0"/>
        <c:axPos val="b"/>
        <c:majorGridlines>
          <c:spPr>
            <a:ln w="3175">
              <a:solidFill>
                <a:schemeClr val="accent4">
                  <a:lumMod val="60000"/>
                  <a:lumOff val="40000"/>
                  <a:alpha val="64000"/>
                </a:schemeClr>
              </a:solidFill>
            </a:ln>
          </c:spPr>
        </c:majorGridlines>
        <c:minorGridlines>
          <c:spPr>
            <a:ln w="3175">
              <a:solidFill>
                <a:schemeClr val="accent4">
                  <a:lumMod val="75000"/>
                  <a:alpha val="17000"/>
                </a:schemeClr>
              </a:solidFill>
            </a:ln>
          </c:spPr>
        </c:minorGridlines>
        <c:numFmt formatCode="General" sourceLinked="0"/>
        <c:majorTickMark val="out"/>
        <c:minorTickMark val="none"/>
        <c:tickLblPos val="nextTo"/>
        <c:spPr>
          <a:ln w="6350">
            <a:solidFill>
              <a:schemeClr val="bg1">
                <a:lumMod val="65000"/>
              </a:schemeClr>
            </a:solidFill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pl-PL"/>
          </a:p>
        </c:txPr>
        <c:crossAx val="1377164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l">
              <a:defRPr sz="800" b="0"/>
            </a:pPr>
            <a:r>
              <a:rPr lang="en-US" sz="800" b="0">
                <a:latin typeface="Arial" panose="020B0604020202020204" pitchFamily="34" charset="0"/>
                <a:cs typeface="Arial" panose="020B0604020202020204" pitchFamily="34" charset="0"/>
              </a:rPr>
              <a:t>Oferty pracy (wolne miejsca pracy i miejsca aktywizacji zawodowej) wg powiatów</a:t>
            </a:r>
          </a:p>
        </c:rich>
      </c:tx>
      <c:layout>
        <c:manualLayout>
          <c:xMode val="edge"/>
          <c:yMode val="edge"/>
          <c:x val="0.21857800421632848"/>
          <c:y val="3.174369534939588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2171417809544183"/>
          <c:y val="0.10611043571795144"/>
          <c:w val="0.72834094000673499"/>
          <c:h val="0.84086703703257903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'9_sort'!$B$1</c:f>
              <c:strCache>
                <c:ptCount val="1"/>
                <c:pt idx="0">
                  <c:v>Oferty pracy (wolne miejsca pracy i miejsca aktywizacji zawodowej) wg powiatów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  <a:ln w="1270">
              <a:solidFill>
                <a:schemeClr val="accent4">
                  <a:lumMod val="60000"/>
                  <a:lumOff val="40000"/>
                </a:schemeClr>
              </a:solidFill>
            </a:ln>
          </c:spPr>
          <c:invertIfNegative val="0"/>
          <c:dPt>
            <c:idx val="5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14C5-4D00-A09D-0401A1EB00D1}"/>
              </c:ext>
            </c:extLst>
          </c:dPt>
          <c:dPt>
            <c:idx val="9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1-14C5-4D00-A09D-0401A1EB00D1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'9_sort'!$C$4:$C$28</c:f>
              <c:strCache>
                <c:ptCount val="25"/>
                <c:pt idx="0">
                  <c:v>bieszczadzki</c:v>
                </c:pt>
                <c:pt idx="1">
                  <c:v>przemyski</c:v>
                </c:pt>
                <c:pt idx="2">
                  <c:v>lubaczowski</c:v>
                </c:pt>
                <c:pt idx="3">
                  <c:v>krośnieński</c:v>
                </c:pt>
                <c:pt idx="4">
                  <c:v>leżajski</c:v>
                </c:pt>
                <c:pt idx="5">
                  <c:v>tarnobrzeski </c:v>
                </c:pt>
                <c:pt idx="6">
                  <c:v>Krosno</c:v>
                </c:pt>
                <c:pt idx="7">
                  <c:v>Przemyśl</c:v>
                </c:pt>
                <c:pt idx="8">
                  <c:v>leski</c:v>
                </c:pt>
                <c:pt idx="9">
                  <c:v>niżański</c:v>
                </c:pt>
                <c:pt idx="10">
                  <c:v>brzozowski</c:v>
                </c:pt>
                <c:pt idx="11">
                  <c:v>sanocki</c:v>
                </c:pt>
                <c:pt idx="12">
                  <c:v>strzyżowski</c:v>
                </c:pt>
                <c:pt idx="13">
                  <c:v>rzeszowski</c:v>
                </c:pt>
                <c:pt idx="14">
                  <c:v>Tarnobrzeg</c:v>
                </c:pt>
                <c:pt idx="15">
                  <c:v>kolbuszowski</c:v>
                </c:pt>
                <c:pt idx="16">
                  <c:v>łańcucki</c:v>
                </c:pt>
                <c:pt idx="17">
                  <c:v>jarosławski</c:v>
                </c:pt>
                <c:pt idx="18">
                  <c:v>ropczycko-sędziszowski</c:v>
                </c:pt>
                <c:pt idx="19">
                  <c:v>stalowowolski</c:v>
                </c:pt>
                <c:pt idx="20">
                  <c:v>przeworski</c:v>
                </c:pt>
                <c:pt idx="21">
                  <c:v>dębicki</c:v>
                </c:pt>
                <c:pt idx="22">
                  <c:v>jasielski</c:v>
                </c:pt>
                <c:pt idx="23">
                  <c:v>mielecki</c:v>
                </c:pt>
                <c:pt idx="24">
                  <c:v>Rzeszów</c:v>
                </c:pt>
              </c:strCache>
            </c:strRef>
          </c:cat>
          <c:val>
            <c:numRef>
              <c:f>'9_sort'!$D$4:$D$28</c:f>
              <c:numCache>
                <c:formatCode>#,##0</c:formatCode>
                <c:ptCount val="25"/>
                <c:pt idx="0" formatCode="General">
                  <c:v>8</c:v>
                </c:pt>
                <c:pt idx="1">
                  <c:v>25</c:v>
                </c:pt>
                <c:pt idx="2">
                  <c:v>36</c:v>
                </c:pt>
                <c:pt idx="3">
                  <c:v>40</c:v>
                </c:pt>
                <c:pt idx="4">
                  <c:v>49</c:v>
                </c:pt>
                <c:pt idx="5">
                  <c:v>55</c:v>
                </c:pt>
                <c:pt idx="6">
                  <c:v>61</c:v>
                </c:pt>
                <c:pt idx="7">
                  <c:v>64</c:v>
                </c:pt>
                <c:pt idx="8">
                  <c:v>67</c:v>
                </c:pt>
                <c:pt idx="9">
                  <c:v>73</c:v>
                </c:pt>
                <c:pt idx="10">
                  <c:v>78</c:v>
                </c:pt>
                <c:pt idx="11">
                  <c:v>88</c:v>
                </c:pt>
                <c:pt idx="12">
                  <c:v>104</c:v>
                </c:pt>
                <c:pt idx="13">
                  <c:v>117</c:v>
                </c:pt>
                <c:pt idx="14">
                  <c:v>120</c:v>
                </c:pt>
                <c:pt idx="15">
                  <c:v>128</c:v>
                </c:pt>
                <c:pt idx="16">
                  <c:v>132</c:v>
                </c:pt>
                <c:pt idx="17">
                  <c:v>150</c:v>
                </c:pt>
                <c:pt idx="18">
                  <c:v>172</c:v>
                </c:pt>
                <c:pt idx="19">
                  <c:v>207</c:v>
                </c:pt>
                <c:pt idx="20">
                  <c:v>210</c:v>
                </c:pt>
                <c:pt idx="21">
                  <c:v>226</c:v>
                </c:pt>
                <c:pt idx="22">
                  <c:v>277</c:v>
                </c:pt>
                <c:pt idx="23">
                  <c:v>287</c:v>
                </c:pt>
                <c:pt idx="24">
                  <c:v>473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4C5-4D00-A09D-0401A1EB00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1"/>
        <c:axId val="138157440"/>
        <c:axId val="138183808"/>
      </c:barChart>
      <c:catAx>
        <c:axId val="13815744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pl-PL"/>
          </a:p>
        </c:txPr>
        <c:crossAx val="138183808"/>
        <c:crosses val="autoZero"/>
        <c:auto val="1"/>
        <c:lblAlgn val="ctr"/>
        <c:lblOffset val="100"/>
        <c:noMultiLvlLbl val="0"/>
      </c:catAx>
      <c:valAx>
        <c:axId val="138183808"/>
        <c:scaling>
          <c:orientation val="minMax"/>
        </c:scaling>
        <c:delete val="0"/>
        <c:axPos val="b"/>
        <c:majorGridlines>
          <c:spPr>
            <a:ln w="3175">
              <a:solidFill>
                <a:schemeClr val="accent4">
                  <a:lumMod val="60000"/>
                  <a:lumOff val="40000"/>
                  <a:alpha val="64000"/>
                </a:schemeClr>
              </a:solidFill>
            </a:ln>
          </c:spPr>
        </c:majorGridlines>
        <c:minorGridlines>
          <c:spPr>
            <a:ln w="3175">
              <a:solidFill>
                <a:schemeClr val="accent4">
                  <a:lumMod val="75000"/>
                  <a:alpha val="17000"/>
                </a:schemeClr>
              </a:solidFill>
            </a:ln>
          </c:spPr>
        </c:minorGridlines>
        <c:numFmt formatCode="General" sourceLinked="0"/>
        <c:majorTickMark val="out"/>
        <c:minorTickMark val="none"/>
        <c:tickLblPos val="nextTo"/>
        <c:spPr>
          <a:ln w="6350">
            <a:solidFill>
              <a:schemeClr val="bg1">
                <a:lumMod val="65000"/>
              </a:schemeClr>
            </a:solidFill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pl-PL"/>
          </a:p>
        </c:txPr>
        <c:crossAx val="1381574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361949</xdr:colOff>
      <xdr:row>1</xdr:row>
      <xdr:rowOff>76200</xdr:rowOff>
    </xdr:from>
    <xdr:to>
      <xdr:col>3</xdr:col>
      <xdr:colOff>590550</xdr:colOff>
      <xdr:row>1</xdr:row>
      <xdr:rowOff>209550</xdr:rowOff>
    </xdr:to>
    <xdr:sp macro="" textlink="">
      <xdr:nvSpPr>
        <xdr:cNvPr id="2" name="Schemat blokowy: scalani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1885949" y="314325"/>
          <a:ext cx="228601" cy="133350"/>
        </a:xfrm>
        <a:prstGeom prst="flowChartMerge">
          <a:avLst/>
        </a:prstGeom>
        <a:solidFill>
          <a:srgbClr val="C00000"/>
        </a:solidFill>
        <a:ln w="63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8</xdr:col>
      <xdr:colOff>41275</xdr:colOff>
      <xdr:row>1</xdr:row>
      <xdr:rowOff>81491</xdr:rowOff>
    </xdr:from>
    <xdr:to>
      <xdr:col>19</xdr:col>
      <xdr:colOff>116418</xdr:colOff>
      <xdr:row>16</xdr:row>
      <xdr:rowOff>146050</xdr:rowOff>
    </xdr:to>
    <xdr:graphicFrame macro="">
      <xdr:nvGraphicFramePr>
        <xdr:cNvPr id="3" name="Wykres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361949</xdr:colOff>
      <xdr:row>1</xdr:row>
      <xdr:rowOff>76200</xdr:rowOff>
    </xdr:from>
    <xdr:to>
      <xdr:col>3</xdr:col>
      <xdr:colOff>590550</xdr:colOff>
      <xdr:row>1</xdr:row>
      <xdr:rowOff>209550</xdr:rowOff>
    </xdr:to>
    <xdr:sp macro="" textlink="">
      <xdr:nvSpPr>
        <xdr:cNvPr id="2" name="Schemat blokowy: scalanie 1">
          <a:extLst>
            <a:ext uri="{FF2B5EF4-FFF2-40B4-BE49-F238E27FC236}">
              <a16:creationId xmlns:a16="http://schemas.microsoft.com/office/drawing/2014/main" id="{00000000-0008-0000-1300-000002000000}"/>
            </a:ext>
          </a:extLst>
        </xdr:cNvPr>
        <xdr:cNvSpPr/>
      </xdr:nvSpPr>
      <xdr:spPr>
        <a:xfrm>
          <a:off x="2581274" y="314325"/>
          <a:ext cx="228601" cy="133350"/>
        </a:xfrm>
        <a:prstGeom prst="flowChartMerge">
          <a:avLst/>
        </a:prstGeom>
        <a:solidFill>
          <a:srgbClr val="C00000"/>
        </a:solidFill>
        <a:ln w="63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7</xdr:col>
      <xdr:colOff>1024467</xdr:colOff>
      <xdr:row>2</xdr:row>
      <xdr:rowOff>49742</xdr:rowOff>
    </xdr:from>
    <xdr:to>
      <xdr:col>19</xdr:col>
      <xdr:colOff>135468</xdr:colOff>
      <xdr:row>19</xdr:row>
      <xdr:rowOff>85726</xdr:rowOff>
    </xdr:to>
    <xdr:graphicFrame macro="">
      <xdr:nvGraphicFramePr>
        <xdr:cNvPr id="3" name="Wykres 2">
          <a:extLst>
            <a:ext uri="{FF2B5EF4-FFF2-40B4-BE49-F238E27FC236}">
              <a16:creationId xmlns:a16="http://schemas.microsoft.com/office/drawing/2014/main" id="{00000000-0008-0000-13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361949</xdr:colOff>
      <xdr:row>1</xdr:row>
      <xdr:rowOff>76200</xdr:rowOff>
    </xdr:from>
    <xdr:to>
      <xdr:col>3</xdr:col>
      <xdr:colOff>590550</xdr:colOff>
      <xdr:row>1</xdr:row>
      <xdr:rowOff>209550</xdr:rowOff>
    </xdr:to>
    <xdr:sp macro="" textlink="">
      <xdr:nvSpPr>
        <xdr:cNvPr id="2" name="Schemat blokowy: scalanie 1">
          <a:extLst>
            <a:ext uri="{FF2B5EF4-FFF2-40B4-BE49-F238E27FC236}">
              <a16:creationId xmlns:a16="http://schemas.microsoft.com/office/drawing/2014/main" id="{516A7468-C1FD-4298-8E7C-C0BD29F96BC7}"/>
            </a:ext>
          </a:extLst>
        </xdr:cNvPr>
        <xdr:cNvSpPr/>
      </xdr:nvSpPr>
      <xdr:spPr>
        <a:xfrm>
          <a:off x="2714624" y="314325"/>
          <a:ext cx="228601" cy="114300"/>
        </a:xfrm>
        <a:prstGeom prst="flowChartMerge">
          <a:avLst/>
        </a:prstGeom>
        <a:solidFill>
          <a:srgbClr val="C00000"/>
        </a:solidFill>
        <a:ln w="63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7</xdr:col>
      <xdr:colOff>1131623</xdr:colOff>
      <xdr:row>2</xdr:row>
      <xdr:rowOff>37835</xdr:rowOff>
    </xdr:from>
    <xdr:to>
      <xdr:col>19</xdr:col>
      <xdr:colOff>242624</xdr:colOff>
      <xdr:row>19</xdr:row>
      <xdr:rowOff>73819</xdr:rowOff>
    </xdr:to>
    <xdr:graphicFrame macro="">
      <xdr:nvGraphicFramePr>
        <xdr:cNvPr id="3" name="Wykres 2">
          <a:extLst>
            <a:ext uri="{FF2B5EF4-FFF2-40B4-BE49-F238E27FC236}">
              <a16:creationId xmlns:a16="http://schemas.microsoft.com/office/drawing/2014/main" id="{7EF57E43-C5FB-4B72-BA24-C746B8A7AD1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361949</xdr:colOff>
      <xdr:row>1</xdr:row>
      <xdr:rowOff>76200</xdr:rowOff>
    </xdr:from>
    <xdr:to>
      <xdr:col>3</xdr:col>
      <xdr:colOff>590550</xdr:colOff>
      <xdr:row>1</xdr:row>
      <xdr:rowOff>209550</xdr:rowOff>
    </xdr:to>
    <xdr:sp macro="" textlink="">
      <xdr:nvSpPr>
        <xdr:cNvPr id="3" name="Schemat blokowy: scalanie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SpPr/>
      </xdr:nvSpPr>
      <xdr:spPr>
        <a:xfrm>
          <a:off x="2285999" y="314325"/>
          <a:ext cx="228601" cy="133350"/>
        </a:xfrm>
        <a:prstGeom prst="flowChartMerge">
          <a:avLst/>
        </a:prstGeom>
        <a:solidFill>
          <a:srgbClr val="C00000"/>
        </a:solidFill>
        <a:ln w="63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8</xdr:col>
      <xdr:colOff>39689</xdr:colOff>
      <xdr:row>1</xdr:row>
      <xdr:rowOff>61384</xdr:rowOff>
    </xdr:from>
    <xdr:to>
      <xdr:col>18</xdr:col>
      <xdr:colOff>137584</xdr:colOff>
      <xdr:row>17</xdr:row>
      <xdr:rowOff>49743</xdr:rowOff>
    </xdr:to>
    <xdr:graphicFrame macro="">
      <xdr:nvGraphicFramePr>
        <xdr:cNvPr id="4" name="Wykres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361949</xdr:colOff>
      <xdr:row>1</xdr:row>
      <xdr:rowOff>76200</xdr:rowOff>
    </xdr:from>
    <xdr:to>
      <xdr:col>3</xdr:col>
      <xdr:colOff>590550</xdr:colOff>
      <xdr:row>1</xdr:row>
      <xdr:rowOff>209550</xdr:rowOff>
    </xdr:to>
    <xdr:sp macro="" textlink="">
      <xdr:nvSpPr>
        <xdr:cNvPr id="2" name="Schemat blokowy: scalanie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SpPr/>
      </xdr:nvSpPr>
      <xdr:spPr>
        <a:xfrm>
          <a:off x="2581274" y="314325"/>
          <a:ext cx="228601" cy="133350"/>
        </a:xfrm>
        <a:prstGeom prst="flowChartMerge">
          <a:avLst/>
        </a:prstGeom>
        <a:solidFill>
          <a:srgbClr val="C00000"/>
        </a:solidFill>
        <a:ln w="63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8</xdr:col>
      <xdr:colOff>342633</xdr:colOff>
      <xdr:row>2</xdr:row>
      <xdr:rowOff>1059</xdr:rowOff>
    </xdr:from>
    <xdr:to>
      <xdr:col>18</xdr:col>
      <xdr:colOff>474927</xdr:colOff>
      <xdr:row>18</xdr:row>
      <xdr:rowOff>166688</xdr:rowOff>
    </xdr:to>
    <xdr:graphicFrame macro="">
      <xdr:nvGraphicFramePr>
        <xdr:cNvPr id="3" name="Wykres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361949</xdr:colOff>
      <xdr:row>1</xdr:row>
      <xdr:rowOff>76200</xdr:rowOff>
    </xdr:from>
    <xdr:to>
      <xdr:col>3</xdr:col>
      <xdr:colOff>590550</xdr:colOff>
      <xdr:row>1</xdr:row>
      <xdr:rowOff>209550</xdr:rowOff>
    </xdr:to>
    <xdr:sp macro="" textlink="">
      <xdr:nvSpPr>
        <xdr:cNvPr id="2" name="Schemat blokowy: scalanie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SpPr/>
      </xdr:nvSpPr>
      <xdr:spPr>
        <a:xfrm>
          <a:off x="2581274" y="314325"/>
          <a:ext cx="228601" cy="133350"/>
        </a:xfrm>
        <a:prstGeom prst="flowChartMerge">
          <a:avLst/>
        </a:prstGeom>
        <a:solidFill>
          <a:srgbClr val="C00000"/>
        </a:solidFill>
        <a:ln w="63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8</xdr:col>
      <xdr:colOff>25400</xdr:colOff>
      <xdr:row>2</xdr:row>
      <xdr:rowOff>3175</xdr:rowOff>
    </xdr:from>
    <xdr:to>
      <xdr:col>18</xdr:col>
      <xdr:colOff>190501</xdr:colOff>
      <xdr:row>19</xdr:row>
      <xdr:rowOff>116417</xdr:rowOff>
    </xdr:to>
    <xdr:graphicFrame macro="">
      <xdr:nvGraphicFramePr>
        <xdr:cNvPr id="3" name="Wykres 2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361949</xdr:colOff>
      <xdr:row>1</xdr:row>
      <xdr:rowOff>76200</xdr:rowOff>
    </xdr:from>
    <xdr:to>
      <xdr:col>3</xdr:col>
      <xdr:colOff>590550</xdr:colOff>
      <xdr:row>1</xdr:row>
      <xdr:rowOff>209550</xdr:rowOff>
    </xdr:to>
    <xdr:sp macro="" textlink="">
      <xdr:nvSpPr>
        <xdr:cNvPr id="2" name="Schemat blokowy: scalanie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SpPr/>
      </xdr:nvSpPr>
      <xdr:spPr>
        <a:xfrm>
          <a:off x="2581274" y="314325"/>
          <a:ext cx="228601" cy="133350"/>
        </a:xfrm>
        <a:prstGeom prst="flowChartMerge">
          <a:avLst/>
        </a:prstGeom>
        <a:solidFill>
          <a:srgbClr val="C00000"/>
        </a:solidFill>
        <a:ln w="63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8</xdr:col>
      <xdr:colOff>296862</xdr:colOff>
      <xdr:row>1</xdr:row>
      <xdr:rowOff>134142</xdr:rowOff>
    </xdr:from>
    <xdr:to>
      <xdr:col>19</xdr:col>
      <xdr:colOff>202406</xdr:colOff>
      <xdr:row>18</xdr:row>
      <xdr:rowOff>166686</xdr:rowOff>
    </xdr:to>
    <xdr:graphicFrame macro="">
      <xdr:nvGraphicFramePr>
        <xdr:cNvPr id="3" name="Wykres 2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361949</xdr:colOff>
      <xdr:row>1</xdr:row>
      <xdr:rowOff>76200</xdr:rowOff>
    </xdr:from>
    <xdr:to>
      <xdr:col>3</xdr:col>
      <xdr:colOff>590550</xdr:colOff>
      <xdr:row>1</xdr:row>
      <xdr:rowOff>209550</xdr:rowOff>
    </xdr:to>
    <xdr:sp macro="" textlink="">
      <xdr:nvSpPr>
        <xdr:cNvPr id="2" name="Schemat blokowy: scalanie 1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SpPr/>
      </xdr:nvSpPr>
      <xdr:spPr>
        <a:xfrm>
          <a:off x="2581274" y="314325"/>
          <a:ext cx="228601" cy="133350"/>
        </a:xfrm>
        <a:prstGeom prst="flowChartMerge">
          <a:avLst/>
        </a:prstGeom>
        <a:solidFill>
          <a:srgbClr val="C00000"/>
        </a:solidFill>
        <a:ln w="63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8</xdr:col>
      <xdr:colOff>52917</xdr:colOff>
      <xdr:row>2</xdr:row>
      <xdr:rowOff>21167</xdr:rowOff>
    </xdr:from>
    <xdr:to>
      <xdr:col>18</xdr:col>
      <xdr:colOff>412749</xdr:colOff>
      <xdr:row>17</xdr:row>
      <xdr:rowOff>28576</xdr:rowOff>
    </xdr:to>
    <xdr:graphicFrame macro="">
      <xdr:nvGraphicFramePr>
        <xdr:cNvPr id="3" name="Wykres 2">
          <a:extLst>
            <a:ext uri="{FF2B5EF4-FFF2-40B4-BE49-F238E27FC236}">
              <a16:creationId xmlns:a16="http://schemas.microsoft.com/office/drawing/2014/main" id="{00000000-0008-0000-0B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361949</xdr:colOff>
      <xdr:row>1</xdr:row>
      <xdr:rowOff>76200</xdr:rowOff>
    </xdr:from>
    <xdr:to>
      <xdr:col>3</xdr:col>
      <xdr:colOff>590550</xdr:colOff>
      <xdr:row>1</xdr:row>
      <xdr:rowOff>209550</xdr:rowOff>
    </xdr:to>
    <xdr:sp macro="" textlink="">
      <xdr:nvSpPr>
        <xdr:cNvPr id="2" name="Schemat blokowy: scalanie 1">
          <a:extLst>
            <a:ext uri="{FF2B5EF4-FFF2-40B4-BE49-F238E27FC236}">
              <a16:creationId xmlns:a16="http://schemas.microsoft.com/office/drawing/2014/main" id="{00000000-0008-0000-0D00-000002000000}"/>
            </a:ext>
          </a:extLst>
        </xdr:cNvPr>
        <xdr:cNvSpPr/>
      </xdr:nvSpPr>
      <xdr:spPr>
        <a:xfrm>
          <a:off x="2581274" y="314325"/>
          <a:ext cx="228601" cy="133350"/>
        </a:xfrm>
        <a:prstGeom prst="flowChartMerge">
          <a:avLst/>
        </a:prstGeom>
        <a:solidFill>
          <a:srgbClr val="C00000"/>
        </a:solidFill>
        <a:ln w="63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8</xdr:col>
      <xdr:colOff>107951</xdr:colOff>
      <xdr:row>1</xdr:row>
      <xdr:rowOff>20108</xdr:rowOff>
    </xdr:from>
    <xdr:to>
      <xdr:col>18</xdr:col>
      <xdr:colOff>296334</xdr:colOff>
      <xdr:row>16</xdr:row>
      <xdr:rowOff>45509</xdr:rowOff>
    </xdr:to>
    <xdr:graphicFrame macro="">
      <xdr:nvGraphicFramePr>
        <xdr:cNvPr id="3" name="Wykres 2">
          <a:extLst>
            <a:ext uri="{FF2B5EF4-FFF2-40B4-BE49-F238E27FC236}">
              <a16:creationId xmlns:a16="http://schemas.microsoft.com/office/drawing/2014/main" id="{00000000-0008-0000-0D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361949</xdr:colOff>
      <xdr:row>1</xdr:row>
      <xdr:rowOff>76200</xdr:rowOff>
    </xdr:from>
    <xdr:to>
      <xdr:col>3</xdr:col>
      <xdr:colOff>590550</xdr:colOff>
      <xdr:row>1</xdr:row>
      <xdr:rowOff>209550</xdr:rowOff>
    </xdr:to>
    <xdr:sp macro="" textlink="">
      <xdr:nvSpPr>
        <xdr:cNvPr id="2" name="Schemat blokowy: scalanie 1">
          <a:extLst>
            <a:ext uri="{FF2B5EF4-FFF2-40B4-BE49-F238E27FC236}">
              <a16:creationId xmlns:a16="http://schemas.microsoft.com/office/drawing/2014/main" id="{00000000-0008-0000-0F00-000002000000}"/>
            </a:ext>
          </a:extLst>
        </xdr:cNvPr>
        <xdr:cNvSpPr/>
      </xdr:nvSpPr>
      <xdr:spPr>
        <a:xfrm>
          <a:off x="2581274" y="314325"/>
          <a:ext cx="228601" cy="133350"/>
        </a:xfrm>
        <a:prstGeom prst="flowChartMerge">
          <a:avLst/>
        </a:prstGeom>
        <a:solidFill>
          <a:srgbClr val="C00000"/>
        </a:solidFill>
        <a:ln w="63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7</xdr:col>
      <xdr:colOff>1016000</xdr:colOff>
      <xdr:row>1</xdr:row>
      <xdr:rowOff>184149</xdr:rowOff>
    </xdr:from>
    <xdr:to>
      <xdr:col>19</xdr:col>
      <xdr:colOff>168275</xdr:colOff>
      <xdr:row>18</xdr:row>
      <xdr:rowOff>29633</xdr:rowOff>
    </xdr:to>
    <xdr:graphicFrame macro="">
      <xdr:nvGraphicFramePr>
        <xdr:cNvPr id="3" name="Wykres 2">
          <a:extLst>
            <a:ext uri="{FF2B5EF4-FFF2-40B4-BE49-F238E27FC236}">
              <a16:creationId xmlns:a16="http://schemas.microsoft.com/office/drawing/2014/main" id="{00000000-0008-0000-0F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361949</xdr:colOff>
      <xdr:row>1</xdr:row>
      <xdr:rowOff>76200</xdr:rowOff>
    </xdr:from>
    <xdr:to>
      <xdr:col>3</xdr:col>
      <xdr:colOff>590550</xdr:colOff>
      <xdr:row>1</xdr:row>
      <xdr:rowOff>209550</xdr:rowOff>
    </xdr:to>
    <xdr:sp macro="" textlink="">
      <xdr:nvSpPr>
        <xdr:cNvPr id="2" name="Schemat blokowy: scalanie 1">
          <a:extLst>
            <a:ext uri="{FF2B5EF4-FFF2-40B4-BE49-F238E27FC236}">
              <a16:creationId xmlns:a16="http://schemas.microsoft.com/office/drawing/2014/main" id="{00000000-0008-0000-1100-000002000000}"/>
            </a:ext>
          </a:extLst>
        </xdr:cNvPr>
        <xdr:cNvSpPr/>
      </xdr:nvSpPr>
      <xdr:spPr>
        <a:xfrm>
          <a:off x="2581274" y="314325"/>
          <a:ext cx="228601" cy="133350"/>
        </a:xfrm>
        <a:prstGeom prst="flowChartMerge">
          <a:avLst/>
        </a:prstGeom>
        <a:solidFill>
          <a:srgbClr val="C00000"/>
        </a:solidFill>
        <a:ln w="63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7</xdr:col>
      <xdr:colOff>1045633</xdr:colOff>
      <xdr:row>1</xdr:row>
      <xdr:rowOff>223309</xdr:rowOff>
    </xdr:from>
    <xdr:to>
      <xdr:col>19</xdr:col>
      <xdr:colOff>15876</xdr:colOff>
      <xdr:row>19</xdr:row>
      <xdr:rowOff>21168</xdr:rowOff>
    </xdr:to>
    <xdr:graphicFrame macro="">
      <xdr:nvGraphicFramePr>
        <xdr:cNvPr id="3" name="Wykres 2">
          <a:extLst>
            <a:ext uri="{FF2B5EF4-FFF2-40B4-BE49-F238E27FC236}">
              <a16:creationId xmlns:a16="http://schemas.microsoft.com/office/drawing/2014/main" id="{00000000-0008-0000-11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20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https://stat.gov.pl/aktualnosci/informacja-gus-nt-planowanej-rewizji-miesiecznej-stopy-bezrobocia-rejestrowanego,449,1.html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https://stat.gov.pl/aktualnosci/informacja-gus-nt-planowanej-rewizji-miesiecznej-stopy-bezrobocia-rejestrowanego,449,1.html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7" tint="0.59999389629810485"/>
    <pageSetUpPr fitToPage="1"/>
  </sheetPr>
  <dimension ref="B1:G29"/>
  <sheetViews>
    <sheetView tabSelected="1" zoomScale="80" zoomScaleNormal="80" workbookViewId="0">
      <selection activeCell="B1" sqref="B1"/>
    </sheetView>
  </sheetViews>
  <sheetFormatPr defaultRowHeight="14.25" x14ac:dyDescent="0.2"/>
  <cols>
    <col min="1" max="1" width="1.5703125" style="3" customWidth="1"/>
    <col min="2" max="2" width="24.5703125" style="3" customWidth="1"/>
    <col min="3" max="3" width="15.7109375" style="3" customWidth="1"/>
    <col min="4" max="4" width="15.28515625" style="3" customWidth="1"/>
    <col min="5" max="5" width="17.42578125" style="3" customWidth="1"/>
    <col min="6" max="6" width="15.28515625" style="3" customWidth="1"/>
    <col min="7" max="7" width="17.42578125" style="3" customWidth="1"/>
    <col min="8" max="8" width="6.28515625" style="3" customWidth="1"/>
    <col min="9" max="16384" width="9.140625" style="3"/>
  </cols>
  <sheetData>
    <row r="1" spans="2:7" ht="17.25" customHeight="1" x14ac:dyDescent="0.2">
      <c r="B1" s="1" t="s">
        <v>32</v>
      </c>
      <c r="C1" s="26"/>
      <c r="D1" s="26"/>
      <c r="E1" s="26"/>
      <c r="F1" s="26"/>
      <c r="G1" s="26"/>
    </row>
    <row r="2" spans="2:7" ht="57" x14ac:dyDescent="0.2">
      <c r="B2" s="5" t="s">
        <v>27</v>
      </c>
      <c r="C2" s="6" t="s">
        <v>113</v>
      </c>
      <c r="D2" s="7" t="s">
        <v>105</v>
      </c>
      <c r="E2" s="6" t="s">
        <v>77</v>
      </c>
      <c r="F2" s="7" t="s">
        <v>114</v>
      </c>
      <c r="G2" s="6" t="s">
        <v>26</v>
      </c>
    </row>
    <row r="3" spans="2:7" x14ac:dyDescent="0.2">
      <c r="B3" s="8" t="s">
        <v>0</v>
      </c>
      <c r="C3" s="10">
        <v>1070</v>
      </c>
      <c r="D3" s="9">
        <v>1023</v>
      </c>
      <c r="E3" s="10">
        <f>SUM(C3)-D3</f>
        <v>47</v>
      </c>
      <c r="F3" s="9">
        <v>1140</v>
      </c>
      <c r="G3" s="10">
        <f>SUM(C3)-F3</f>
        <v>-70</v>
      </c>
    </row>
    <row r="4" spans="2:7" x14ac:dyDescent="0.2">
      <c r="B4" s="8" t="s">
        <v>1</v>
      </c>
      <c r="C4" s="10">
        <v>3972</v>
      </c>
      <c r="D4" s="9">
        <v>3900</v>
      </c>
      <c r="E4" s="10">
        <f t="shared" ref="E4:E27" si="0">SUM(C4)-D4</f>
        <v>72</v>
      </c>
      <c r="F4" s="9">
        <v>4142</v>
      </c>
      <c r="G4" s="10">
        <f t="shared" ref="G4:G27" si="1">SUM(C4)-F4</f>
        <v>-170</v>
      </c>
    </row>
    <row r="5" spans="2:7" x14ac:dyDescent="0.2">
      <c r="B5" s="8" t="s">
        <v>2</v>
      </c>
      <c r="C5" s="10">
        <v>2411</v>
      </c>
      <c r="D5" s="9">
        <v>2371</v>
      </c>
      <c r="E5" s="10">
        <f t="shared" si="0"/>
        <v>40</v>
      </c>
      <c r="F5" s="9">
        <v>2646</v>
      </c>
      <c r="G5" s="10">
        <f t="shared" si="1"/>
        <v>-235</v>
      </c>
    </row>
    <row r="6" spans="2:7" x14ac:dyDescent="0.2">
      <c r="B6" s="8" t="s">
        <v>3</v>
      </c>
      <c r="C6" s="10">
        <v>4641</v>
      </c>
      <c r="D6" s="9">
        <v>4635</v>
      </c>
      <c r="E6" s="10">
        <f t="shared" si="0"/>
        <v>6</v>
      </c>
      <c r="F6" s="9">
        <v>5284</v>
      </c>
      <c r="G6" s="10">
        <f t="shared" si="1"/>
        <v>-643</v>
      </c>
    </row>
    <row r="7" spans="2:7" x14ac:dyDescent="0.2">
      <c r="B7" s="8" t="s">
        <v>4</v>
      </c>
      <c r="C7" s="10">
        <v>4859</v>
      </c>
      <c r="D7" s="9">
        <v>4770</v>
      </c>
      <c r="E7" s="10">
        <f t="shared" si="0"/>
        <v>89</v>
      </c>
      <c r="F7" s="9">
        <v>5410</v>
      </c>
      <c r="G7" s="10">
        <f t="shared" si="1"/>
        <v>-551</v>
      </c>
    </row>
    <row r="8" spans="2:7" x14ac:dyDescent="0.2">
      <c r="B8" s="8" t="s">
        <v>5</v>
      </c>
      <c r="C8" s="10">
        <v>1563</v>
      </c>
      <c r="D8" s="9">
        <v>1526</v>
      </c>
      <c r="E8" s="10">
        <f t="shared" si="0"/>
        <v>37</v>
      </c>
      <c r="F8" s="9">
        <v>1714</v>
      </c>
      <c r="G8" s="10">
        <f t="shared" si="1"/>
        <v>-151</v>
      </c>
    </row>
    <row r="9" spans="2:7" x14ac:dyDescent="0.2">
      <c r="B9" s="13" t="s">
        <v>6</v>
      </c>
      <c r="C9" s="10">
        <v>1933</v>
      </c>
      <c r="D9" s="9">
        <v>1838</v>
      </c>
      <c r="E9" s="10">
        <f t="shared" si="0"/>
        <v>95</v>
      </c>
      <c r="F9" s="9">
        <v>2035</v>
      </c>
      <c r="G9" s="10">
        <f t="shared" si="1"/>
        <v>-102</v>
      </c>
    </row>
    <row r="10" spans="2:7" x14ac:dyDescent="0.2">
      <c r="B10" s="8" t="s">
        <v>7</v>
      </c>
      <c r="C10" s="10">
        <v>1691</v>
      </c>
      <c r="D10" s="9">
        <v>1625</v>
      </c>
      <c r="E10" s="10">
        <f t="shared" si="0"/>
        <v>66</v>
      </c>
      <c r="F10" s="9">
        <v>1687</v>
      </c>
      <c r="G10" s="10">
        <f t="shared" si="1"/>
        <v>4</v>
      </c>
    </row>
    <row r="11" spans="2:7" x14ac:dyDescent="0.2">
      <c r="B11" s="8" t="s">
        <v>8</v>
      </c>
      <c r="C11" s="10">
        <v>3124</v>
      </c>
      <c r="D11" s="9">
        <v>3124</v>
      </c>
      <c r="E11" s="10">
        <f t="shared" si="0"/>
        <v>0</v>
      </c>
      <c r="F11" s="9">
        <v>3636</v>
      </c>
      <c r="G11" s="10">
        <f t="shared" si="1"/>
        <v>-512</v>
      </c>
    </row>
    <row r="12" spans="2:7" x14ac:dyDescent="0.2">
      <c r="B12" s="8" t="s">
        <v>9</v>
      </c>
      <c r="C12" s="10">
        <v>1797</v>
      </c>
      <c r="D12" s="9">
        <v>1731</v>
      </c>
      <c r="E12" s="10">
        <f t="shared" si="0"/>
        <v>66</v>
      </c>
      <c r="F12" s="9">
        <v>2013</v>
      </c>
      <c r="G12" s="10">
        <f t="shared" si="1"/>
        <v>-216</v>
      </c>
    </row>
    <row r="13" spans="2:7" x14ac:dyDescent="0.2">
      <c r="B13" s="8" t="s">
        <v>10</v>
      </c>
      <c r="C13" s="10">
        <v>2583</v>
      </c>
      <c r="D13" s="9">
        <v>2576</v>
      </c>
      <c r="E13" s="10">
        <f t="shared" si="0"/>
        <v>7</v>
      </c>
      <c r="F13" s="9">
        <v>3293</v>
      </c>
      <c r="G13" s="10">
        <f t="shared" si="1"/>
        <v>-710</v>
      </c>
    </row>
    <row r="14" spans="2:7" x14ac:dyDescent="0.2">
      <c r="B14" s="8" t="s">
        <v>11</v>
      </c>
      <c r="C14" s="10">
        <v>2542</v>
      </c>
      <c r="D14" s="9">
        <v>2559</v>
      </c>
      <c r="E14" s="10">
        <f t="shared" si="0"/>
        <v>-17</v>
      </c>
      <c r="F14" s="9">
        <v>2918</v>
      </c>
      <c r="G14" s="10">
        <f t="shared" si="1"/>
        <v>-376</v>
      </c>
    </row>
    <row r="15" spans="2:7" x14ac:dyDescent="0.2">
      <c r="B15" s="8" t="s">
        <v>12</v>
      </c>
      <c r="C15" s="10">
        <v>3043</v>
      </c>
      <c r="D15" s="9">
        <v>3062</v>
      </c>
      <c r="E15" s="10">
        <f t="shared" si="0"/>
        <v>-19</v>
      </c>
      <c r="F15" s="9">
        <v>3256</v>
      </c>
      <c r="G15" s="10">
        <f t="shared" si="1"/>
        <v>-213</v>
      </c>
    </row>
    <row r="16" spans="2:7" x14ac:dyDescent="0.2">
      <c r="B16" s="8" t="s">
        <v>13</v>
      </c>
      <c r="C16" s="10">
        <v>2944</v>
      </c>
      <c r="D16" s="9">
        <v>2864</v>
      </c>
      <c r="E16" s="10">
        <f t="shared" si="0"/>
        <v>80</v>
      </c>
      <c r="F16" s="9">
        <v>3603</v>
      </c>
      <c r="G16" s="10">
        <f t="shared" si="1"/>
        <v>-659</v>
      </c>
    </row>
    <row r="17" spans="2:7" x14ac:dyDescent="0.2">
      <c r="B17" s="8" t="s">
        <v>14</v>
      </c>
      <c r="C17" s="10">
        <v>3482</v>
      </c>
      <c r="D17" s="9">
        <v>3475</v>
      </c>
      <c r="E17" s="10">
        <f t="shared" si="0"/>
        <v>7</v>
      </c>
      <c r="F17" s="9">
        <v>3765</v>
      </c>
      <c r="G17" s="10">
        <f t="shared" si="1"/>
        <v>-283</v>
      </c>
    </row>
    <row r="18" spans="2:7" x14ac:dyDescent="0.2">
      <c r="B18" s="8" t="s">
        <v>15</v>
      </c>
      <c r="C18" s="10">
        <v>2764</v>
      </c>
      <c r="D18" s="9">
        <v>2825</v>
      </c>
      <c r="E18" s="10">
        <f t="shared" si="0"/>
        <v>-61</v>
      </c>
      <c r="F18" s="9">
        <v>3199</v>
      </c>
      <c r="G18" s="10">
        <f t="shared" si="1"/>
        <v>-435</v>
      </c>
    </row>
    <row r="19" spans="2:7" x14ac:dyDescent="0.2">
      <c r="B19" s="8" t="s">
        <v>16</v>
      </c>
      <c r="C19" s="10">
        <v>4933</v>
      </c>
      <c r="D19" s="9">
        <v>4879</v>
      </c>
      <c r="E19" s="10">
        <f t="shared" si="0"/>
        <v>54</v>
      </c>
      <c r="F19" s="9">
        <v>5720</v>
      </c>
      <c r="G19" s="10">
        <f t="shared" si="1"/>
        <v>-787</v>
      </c>
    </row>
    <row r="20" spans="2:7" x14ac:dyDescent="0.2">
      <c r="B20" s="8" t="s">
        <v>17</v>
      </c>
      <c r="C20" s="10">
        <v>2632</v>
      </c>
      <c r="D20" s="9">
        <v>2576</v>
      </c>
      <c r="E20" s="10">
        <f t="shared" si="0"/>
        <v>56</v>
      </c>
      <c r="F20" s="9">
        <v>2536</v>
      </c>
      <c r="G20" s="10">
        <f t="shared" si="1"/>
        <v>96</v>
      </c>
    </row>
    <row r="21" spans="2:7" x14ac:dyDescent="0.2">
      <c r="B21" s="8" t="s">
        <v>18</v>
      </c>
      <c r="C21" s="10">
        <v>1828</v>
      </c>
      <c r="D21" s="9">
        <v>1858</v>
      </c>
      <c r="E21" s="10">
        <f t="shared" si="0"/>
        <v>-30</v>
      </c>
      <c r="F21" s="9">
        <v>2193</v>
      </c>
      <c r="G21" s="10">
        <f t="shared" si="1"/>
        <v>-365</v>
      </c>
    </row>
    <row r="22" spans="2:7" x14ac:dyDescent="0.2">
      <c r="B22" s="8" t="s">
        <v>19</v>
      </c>
      <c r="C22" s="10">
        <v>3198</v>
      </c>
      <c r="D22" s="9">
        <v>3179</v>
      </c>
      <c r="E22" s="10">
        <f t="shared" si="0"/>
        <v>19</v>
      </c>
      <c r="F22" s="9">
        <v>3439</v>
      </c>
      <c r="G22" s="10">
        <f t="shared" si="1"/>
        <v>-241</v>
      </c>
    </row>
    <row r="23" spans="2:7" x14ac:dyDescent="0.2">
      <c r="B23" s="8" t="s">
        <v>20</v>
      </c>
      <c r="C23" s="10">
        <v>1271</v>
      </c>
      <c r="D23" s="9">
        <v>1259</v>
      </c>
      <c r="E23" s="10">
        <f t="shared" si="0"/>
        <v>12</v>
      </c>
      <c r="F23" s="9">
        <v>1642</v>
      </c>
      <c r="G23" s="10">
        <f t="shared" si="1"/>
        <v>-371</v>
      </c>
    </row>
    <row r="24" spans="2:7" x14ac:dyDescent="0.2">
      <c r="B24" s="8" t="s">
        <v>21</v>
      </c>
      <c r="C24" s="10">
        <v>699</v>
      </c>
      <c r="D24" s="9">
        <v>680</v>
      </c>
      <c r="E24" s="10">
        <f t="shared" si="0"/>
        <v>19</v>
      </c>
      <c r="F24" s="9">
        <v>725</v>
      </c>
      <c r="G24" s="10">
        <f t="shared" si="1"/>
        <v>-26</v>
      </c>
    </row>
    <row r="25" spans="2:7" x14ac:dyDescent="0.2">
      <c r="B25" s="8" t="s">
        <v>22</v>
      </c>
      <c r="C25" s="10">
        <v>2436</v>
      </c>
      <c r="D25" s="9">
        <v>2414</v>
      </c>
      <c r="E25" s="10">
        <f t="shared" si="0"/>
        <v>22</v>
      </c>
      <c r="F25" s="9">
        <v>2872</v>
      </c>
      <c r="G25" s="10">
        <f t="shared" si="1"/>
        <v>-436</v>
      </c>
    </row>
    <row r="26" spans="2:7" x14ac:dyDescent="0.2">
      <c r="B26" s="8" t="s">
        <v>23</v>
      </c>
      <c r="C26" s="10">
        <v>5553</v>
      </c>
      <c r="D26" s="9">
        <v>5585</v>
      </c>
      <c r="E26" s="10">
        <f t="shared" si="0"/>
        <v>-32</v>
      </c>
      <c r="F26" s="9">
        <v>6407</v>
      </c>
      <c r="G26" s="10">
        <f t="shared" si="1"/>
        <v>-854</v>
      </c>
    </row>
    <row r="27" spans="2:7" x14ac:dyDescent="0.2">
      <c r="B27" s="8" t="s">
        <v>24</v>
      </c>
      <c r="C27" s="10">
        <v>1062</v>
      </c>
      <c r="D27" s="9">
        <v>1076</v>
      </c>
      <c r="E27" s="10">
        <f t="shared" si="0"/>
        <v>-14</v>
      </c>
      <c r="F27" s="9">
        <v>1451</v>
      </c>
      <c r="G27" s="10">
        <f t="shared" si="1"/>
        <v>-389</v>
      </c>
    </row>
    <row r="28" spans="2:7" ht="15" x14ac:dyDescent="0.25">
      <c r="B28" s="27" t="s">
        <v>25</v>
      </c>
      <c r="C28" s="28">
        <f>SUM(C3:C27)</f>
        <v>68031</v>
      </c>
      <c r="D28" s="29">
        <f>SUM(D3:D27)</f>
        <v>67410</v>
      </c>
      <c r="E28" s="28">
        <f>SUM(C28)-D28</f>
        <v>621</v>
      </c>
      <c r="F28" s="29">
        <f>SUM(F3:F27)</f>
        <v>76726</v>
      </c>
      <c r="G28" s="28">
        <f>SUM(C28)-F28</f>
        <v>-8695</v>
      </c>
    </row>
    <row r="29" spans="2:7" x14ac:dyDescent="0.2">
      <c r="E29" s="30"/>
      <c r="G29" s="30"/>
    </row>
  </sheetData>
  <printOptions horizontalCentered="1" verticalCentered="1"/>
  <pageMargins left="0" right="0" top="0.31496062992125984" bottom="0.31496062992125984" header="0" footer="0"/>
  <pageSetup paperSize="9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theme="7" tint="-0.249977111117893"/>
  </sheetPr>
  <dimension ref="A1:H25"/>
  <sheetViews>
    <sheetView zoomScale="80" zoomScaleNormal="80" workbookViewId="0">
      <selection activeCell="B1" sqref="B1"/>
    </sheetView>
  </sheetViews>
  <sheetFormatPr defaultRowHeight="14.25" x14ac:dyDescent="0.2"/>
  <cols>
    <col min="1" max="1" width="3.42578125" style="3" customWidth="1"/>
    <col min="2" max="2" width="6.7109375" style="3" customWidth="1"/>
    <col min="3" max="3" width="23.5703125" style="3" customWidth="1"/>
    <col min="4" max="5" width="14.85546875" style="3" customWidth="1"/>
    <col min="6" max="6" width="17" style="3" customWidth="1"/>
    <col min="7" max="7" width="15.140625" style="3" customWidth="1"/>
    <col min="8" max="8" width="17.7109375" style="3" customWidth="1"/>
    <col min="9" max="9" width="5.140625" style="3" customWidth="1"/>
    <col min="10" max="18" width="9.140625" style="3"/>
    <col min="19" max="19" width="6.140625" style="3" customWidth="1"/>
    <col min="20" max="20" width="3.140625" style="3" customWidth="1"/>
    <col min="21" max="16384" width="9.140625" style="3"/>
  </cols>
  <sheetData>
    <row r="1" spans="1:8" x14ac:dyDescent="0.2">
      <c r="B1" s="2" t="s">
        <v>31</v>
      </c>
    </row>
    <row r="2" spans="1:8" ht="15" x14ac:dyDescent="0.2">
      <c r="C2" s="31"/>
      <c r="D2" s="32"/>
    </row>
    <row r="3" spans="1:8" ht="57" x14ac:dyDescent="0.2">
      <c r="B3" s="33" t="s">
        <v>88</v>
      </c>
      <c r="C3" s="5" t="str">
        <f>T('2_kob.'!B2)</f>
        <v>powiaty</v>
      </c>
      <c r="D3" s="5" t="str">
        <f>T('2_kob.'!C2)</f>
        <v>liczba bezrobotnych kobiet stan na 30 XI '22 r.</v>
      </c>
      <c r="E3" s="5" t="str">
        <f>T('2_kob.'!D2)</f>
        <v>liczba bezrobotnych kobiet stan na 31 X '22 r.</v>
      </c>
      <c r="F3" s="5" t="str">
        <f>T('2_kob.'!E2)</f>
        <v>wzrost/spadek do poprzedniego  miesiąca</v>
      </c>
      <c r="G3" s="5" t="str">
        <f>T('2_kob.'!F2)</f>
        <v>liczba bezrobotnych kobiet stan na 30 XI '21 r.</v>
      </c>
      <c r="H3" s="5" t="str">
        <f>T('2_kob.'!G2)</f>
        <v>wzrost/spadek do analogicznego okresu ubr.</v>
      </c>
    </row>
    <row r="4" spans="1:8" x14ac:dyDescent="0.2">
      <c r="A4" s="3">
        <v>1</v>
      </c>
      <c r="B4" s="10">
        <f>RANK('5_bezr. na wsi'!C3,'5_bezr. na wsi'!$C$3:'5_bezr. na wsi'!$C$28,1)+COUNTIF('5_bezr. na wsi'!$C$3:'5_bezr. na wsi'!C3,'5_bezr. na wsi'!C3)-1</f>
        <v>1</v>
      </c>
      <c r="C4" s="8" t="str">
        <f>INDEX('5_bezr. na wsi'!B3:G28,MATCH(1,B4:B25,0),1)</f>
        <v>bieszczadzki</v>
      </c>
      <c r="D4" s="39">
        <f>INDEX('5_bezr. na wsi'!B3:G28,MATCH(1,B4:B25,0),2)</f>
        <v>673</v>
      </c>
      <c r="E4" s="9">
        <f>INDEX('5_bezr. na wsi'!B3:G28,MATCH(1,B4:B25,0),3)</f>
        <v>650</v>
      </c>
      <c r="F4" s="10">
        <f>INDEX('5_bezr. na wsi'!B3:G28,MATCH(1,B4:B25,0),4)</f>
        <v>23</v>
      </c>
      <c r="G4" s="9">
        <f>INDEX('5_bezr. na wsi'!B3:G28,MATCH(1,B4:B25,0),5)</f>
        <v>732</v>
      </c>
      <c r="H4" s="10">
        <f>INDEX('5_bezr. na wsi'!B3:G28,MATCH(1,B4:B25,0),6)</f>
        <v>-59</v>
      </c>
    </row>
    <row r="5" spans="1:8" x14ac:dyDescent="0.2">
      <c r="A5" s="3">
        <v>2</v>
      </c>
      <c r="B5" s="10">
        <f>RANK('5_bezr. na wsi'!C4,'5_bezr. na wsi'!$C$3:'5_bezr. na wsi'!$C$28,1)+COUNTIF('5_bezr. na wsi'!$C$3:'5_bezr. na wsi'!C4,'5_bezr. na wsi'!C4)-1</f>
        <v>20</v>
      </c>
      <c r="C5" s="8" t="str">
        <f>INDEX('5_bezr. na wsi'!B3:G28,MATCH(2,B4:B25,0),1)</f>
        <v>stalowowolski</v>
      </c>
      <c r="D5" s="10">
        <f>INDEX('5_bezr. na wsi'!B3:G28,MATCH(2,B4:B25,0),2)</f>
        <v>732</v>
      </c>
      <c r="E5" s="9">
        <f>INDEX('5_bezr. na wsi'!B3:G28,MATCH(2,B4:B25,0),3)</f>
        <v>721</v>
      </c>
      <c r="F5" s="10">
        <f>INDEX('5_bezr. na wsi'!B3:G28,MATCH(2,B4:B25,0),4)</f>
        <v>11</v>
      </c>
      <c r="G5" s="9">
        <f>INDEX('5_bezr. na wsi'!B3:G28,MATCH(2,B4:B25,0),5)</f>
        <v>876</v>
      </c>
      <c r="H5" s="10">
        <f>INDEX('5_bezr. na wsi'!B3:G28,MATCH(2,B4:B25,0),6)</f>
        <v>-144</v>
      </c>
    </row>
    <row r="6" spans="1:8" x14ac:dyDescent="0.2">
      <c r="A6" s="3">
        <v>3</v>
      </c>
      <c r="B6" s="10">
        <f>RANK('5_bezr. na wsi'!C5,'5_bezr. na wsi'!$C$3:'5_bezr. na wsi'!$C$28,1)+COUNTIF('5_bezr. na wsi'!$C$3:'5_bezr. na wsi'!C5,'5_bezr. na wsi'!C5)-1</f>
        <v>8</v>
      </c>
      <c r="C6" s="8" t="str">
        <f>INDEX('5_bezr. na wsi'!B3:G28,MATCH(3,B4:B25,0),1)</f>
        <v xml:space="preserve">tarnobrzeski </v>
      </c>
      <c r="D6" s="10">
        <f>INDEX('5_bezr. na wsi'!B3:G28,MATCH(3,B4:B25,0),2)</f>
        <v>1028</v>
      </c>
      <c r="E6" s="9">
        <f>INDEX('5_bezr. na wsi'!B3:G28,MATCH(3,B4:B25,0),3)</f>
        <v>1026</v>
      </c>
      <c r="F6" s="10">
        <f>INDEX('5_bezr. na wsi'!B3:G28,MATCH(3,B4:B25,0),4)</f>
        <v>2</v>
      </c>
      <c r="G6" s="9">
        <f>INDEX('5_bezr. na wsi'!B3:G28,MATCH(3,B4:B25,0),5)</f>
        <v>1340</v>
      </c>
      <c r="H6" s="10">
        <f>INDEX('5_bezr. na wsi'!B3:G28,MATCH(3,B4:B25,0),6)</f>
        <v>-312</v>
      </c>
    </row>
    <row r="7" spans="1:8" x14ac:dyDescent="0.2">
      <c r="A7" s="3">
        <v>4</v>
      </c>
      <c r="B7" s="10">
        <f>RANK('5_bezr. na wsi'!C6,'5_bezr. na wsi'!$C$3:'5_bezr. na wsi'!$C$28,1)+COUNTIF('5_bezr. na wsi'!$C$3:'5_bezr. na wsi'!C6,'5_bezr. na wsi'!C6)-1</f>
        <v>17</v>
      </c>
      <c r="C7" s="8" t="str">
        <f>INDEX('5_bezr. na wsi'!B3:G28,MATCH(4,B4:B25,0),1)</f>
        <v>lubaczowski</v>
      </c>
      <c r="D7" s="10">
        <f>INDEX('5_bezr. na wsi'!B3:G28,MATCH(4,B4:B25,0),2)</f>
        <v>1196</v>
      </c>
      <c r="E7" s="9">
        <f>INDEX('5_bezr. na wsi'!B3:G28,MATCH(4,B4:B25,0),3)</f>
        <v>1143</v>
      </c>
      <c r="F7" s="10">
        <f>INDEX('5_bezr. na wsi'!B3:G28,MATCH(4,B4:B25,0),4)</f>
        <v>53</v>
      </c>
      <c r="G7" s="9">
        <f>INDEX('5_bezr. na wsi'!B3:G28,MATCH(4,B4:B25,0),5)</f>
        <v>1293</v>
      </c>
      <c r="H7" s="10">
        <f>INDEX('5_bezr. na wsi'!B3:G28,MATCH(4,B4:B25,0),6)</f>
        <v>-97</v>
      </c>
    </row>
    <row r="8" spans="1:8" x14ac:dyDescent="0.2">
      <c r="A8" s="3">
        <v>5</v>
      </c>
      <c r="B8" s="10">
        <f>RANK('5_bezr. na wsi'!C7,'5_bezr. na wsi'!$C$3:'5_bezr. na wsi'!$C$28,1)+COUNTIF('5_bezr. na wsi'!$C$3:'5_bezr. na wsi'!C7,'5_bezr. na wsi'!C7)-1</f>
        <v>19</v>
      </c>
      <c r="C8" s="8" t="str">
        <f>INDEX('5_bezr. na wsi'!B3:G28,MATCH(5,B4:B25,0),1)</f>
        <v>mielecki</v>
      </c>
      <c r="D8" s="10">
        <f>INDEX('5_bezr. na wsi'!B3:G28,MATCH(5,B4:B25,0),2)</f>
        <v>1280</v>
      </c>
      <c r="E8" s="9">
        <f>INDEX('5_bezr. na wsi'!B3:G28,MATCH(5,B4:B25,0),3)</f>
        <v>1293</v>
      </c>
      <c r="F8" s="10">
        <f>INDEX('5_bezr. na wsi'!B3:G28,MATCH(5,B4:B25,0),4)</f>
        <v>-13</v>
      </c>
      <c r="G8" s="9">
        <f>INDEX('5_bezr. na wsi'!B3:G28,MATCH(5,B4:B25,0),5)</f>
        <v>1431</v>
      </c>
      <c r="H8" s="10">
        <f>INDEX('5_bezr. na wsi'!B3:G28,MATCH(5,B4:B25,0),6)</f>
        <v>-151</v>
      </c>
    </row>
    <row r="9" spans="1:8" x14ac:dyDescent="0.2">
      <c r="A9" s="3">
        <v>6</v>
      </c>
      <c r="B9" s="10">
        <f>RANK('5_bezr. na wsi'!C8,'5_bezr. na wsi'!$C$3:'5_bezr. na wsi'!$C$28,1)+COUNTIF('5_bezr. na wsi'!$C$3:'5_bezr. na wsi'!C8,'5_bezr. na wsi'!C8)-1</f>
        <v>6</v>
      </c>
      <c r="C9" s="8" t="str">
        <f>INDEX('5_bezr. na wsi'!B3:G28,MATCH(6,B4:B25,0),1)</f>
        <v>kolbuszowski</v>
      </c>
      <c r="D9" s="10">
        <f>INDEX('5_bezr. na wsi'!B3:G28,MATCH(6,B4:B25,0),2)</f>
        <v>1361</v>
      </c>
      <c r="E9" s="9">
        <f>INDEX('5_bezr. na wsi'!B3:G28,MATCH(6,B4:B25,0),3)</f>
        <v>1329</v>
      </c>
      <c r="F9" s="10">
        <f>INDEX('5_bezr. na wsi'!B3:G28,MATCH(6,B4:B25,0),4)</f>
        <v>32</v>
      </c>
      <c r="G9" s="9">
        <f>INDEX('5_bezr. na wsi'!B3:G28,MATCH(6,B4:B25,0),5)</f>
        <v>1505</v>
      </c>
      <c r="H9" s="10">
        <f>INDEX('5_bezr. na wsi'!B3:G28,MATCH(6,B4:B25,0),6)</f>
        <v>-144</v>
      </c>
    </row>
    <row r="10" spans="1:8" x14ac:dyDescent="0.2">
      <c r="A10" s="3">
        <v>7</v>
      </c>
      <c r="B10" s="10">
        <f>RANK('5_bezr. na wsi'!C9,'5_bezr. na wsi'!$C$3:'5_bezr. na wsi'!$C$28,1)+COUNTIF('5_bezr. na wsi'!$C$3:'5_bezr. na wsi'!C9,'5_bezr. na wsi'!C9)-1</f>
        <v>10</v>
      </c>
      <c r="C10" s="13" t="str">
        <f>INDEX('5_bezr. na wsi'!B3:G28,MATCH(7,B4:B25,0),1)</f>
        <v>leski</v>
      </c>
      <c r="D10" s="10">
        <f>INDEX('5_bezr. na wsi'!B3:G28,MATCH(7,B4:B25,0),2)</f>
        <v>1376</v>
      </c>
      <c r="E10" s="9">
        <f>INDEX('5_bezr. na wsi'!B3:G28,MATCH(7,B4:B25,0),3)</f>
        <v>1318</v>
      </c>
      <c r="F10" s="10">
        <f>INDEX('5_bezr. na wsi'!B3:G28,MATCH(7,B4:B25,0),4)</f>
        <v>58</v>
      </c>
      <c r="G10" s="9">
        <f>INDEX('5_bezr. na wsi'!B3:G28,MATCH(7,B4:B25,0),5)</f>
        <v>1382</v>
      </c>
      <c r="H10" s="10">
        <f>INDEX('5_bezr. na wsi'!B3:G28,MATCH(7,B4:B25,0),6)</f>
        <v>-6</v>
      </c>
    </row>
    <row r="11" spans="1:8" x14ac:dyDescent="0.2">
      <c r="A11" s="3">
        <v>8</v>
      </c>
      <c r="B11" s="10">
        <f>RANK('5_bezr. na wsi'!C10,'5_bezr. na wsi'!$C$3:'5_bezr. na wsi'!$C$28,1)+COUNTIF('5_bezr. na wsi'!$C$3:'5_bezr. na wsi'!C10,'5_bezr. na wsi'!C10)-1</f>
        <v>7</v>
      </c>
      <c r="C11" s="8" t="str">
        <f>INDEX('5_bezr. na wsi'!B3:G28,MATCH(8,B4:B25,0),1)</f>
        <v>dębicki</v>
      </c>
      <c r="D11" s="10">
        <f>INDEX('5_bezr. na wsi'!B3:G28,MATCH(8,B4:B25,0),2)</f>
        <v>1464</v>
      </c>
      <c r="E11" s="9">
        <f>INDEX('5_bezr. na wsi'!B3:G28,MATCH(8,B4:B25,0),3)</f>
        <v>1442</v>
      </c>
      <c r="F11" s="10">
        <f>INDEX('5_bezr. na wsi'!B3:G28,MATCH(8,B4:B25,0),4)</f>
        <v>22</v>
      </c>
      <c r="G11" s="9">
        <f>INDEX('5_bezr. na wsi'!B3:G28,MATCH(8,B4:B25,0),5)</f>
        <v>1556</v>
      </c>
      <c r="H11" s="10">
        <f>INDEX('5_bezr. na wsi'!B3:G28,MATCH(8,B4:B25,0),6)</f>
        <v>-92</v>
      </c>
    </row>
    <row r="12" spans="1:8" x14ac:dyDescent="0.2">
      <c r="A12" s="3">
        <v>9</v>
      </c>
      <c r="B12" s="10">
        <f>RANK('5_bezr. na wsi'!C11,'5_bezr. na wsi'!$C$3:'5_bezr. na wsi'!$C$28,1)+COUNTIF('5_bezr. na wsi'!$C$3:'5_bezr. na wsi'!C11,'5_bezr. na wsi'!C11)-1</f>
        <v>14</v>
      </c>
      <c r="C12" s="8" t="str">
        <f>INDEX('5_bezr. na wsi'!B3:G28,MATCH(9,B4:B25,0),1)</f>
        <v>sanocki</v>
      </c>
      <c r="D12" s="10">
        <f>INDEX('5_bezr. na wsi'!B3:G28,MATCH(9,B4:B25,0),2)</f>
        <v>1515</v>
      </c>
      <c r="E12" s="9">
        <f>INDEX('5_bezr. na wsi'!B3:G28,MATCH(9,B4:B25,0),3)</f>
        <v>1475</v>
      </c>
      <c r="F12" s="10">
        <f>INDEX('5_bezr. na wsi'!B3:G28,MATCH(9,B4:B25,0),4)</f>
        <v>40</v>
      </c>
      <c r="G12" s="9">
        <f>INDEX('5_bezr. na wsi'!B3:G28,MATCH(9,B4:B25,0),5)</f>
        <v>1445</v>
      </c>
      <c r="H12" s="10">
        <f>INDEX('5_bezr. na wsi'!B3:G28,MATCH(9,B4:B25,0),6)</f>
        <v>70</v>
      </c>
    </row>
    <row r="13" spans="1:8" x14ac:dyDescent="0.2">
      <c r="A13" s="3">
        <v>10</v>
      </c>
      <c r="B13" s="10">
        <f>RANK('5_bezr. na wsi'!C12,'5_bezr. na wsi'!$C$3:'5_bezr. na wsi'!$C$28,1)+COUNTIF('5_bezr. na wsi'!$C$3:'5_bezr. na wsi'!C12,'5_bezr. na wsi'!C12)-1</f>
        <v>4</v>
      </c>
      <c r="C13" s="8" t="str">
        <f>INDEX('5_bezr. na wsi'!B3:G28,MATCH(10,B4:B25,0),1)</f>
        <v>krośnieński</v>
      </c>
      <c r="D13" s="10">
        <f>INDEX('5_bezr. na wsi'!B3:G28,MATCH(10,B4:B25,0),2)</f>
        <v>1736</v>
      </c>
      <c r="E13" s="9">
        <f>INDEX('5_bezr. na wsi'!B3:G28,MATCH(10,B4:B25,0),3)</f>
        <v>1656</v>
      </c>
      <c r="F13" s="10">
        <f>INDEX('5_bezr. na wsi'!B3:G28,MATCH(10,B4:B25,0),4)</f>
        <v>80</v>
      </c>
      <c r="G13" s="9">
        <f>INDEX('5_bezr. na wsi'!B3:G28,MATCH(10,B4:B25,0),5)</f>
        <v>1824</v>
      </c>
      <c r="H13" s="10">
        <f>INDEX('5_bezr. na wsi'!B3:G28,MATCH(10,B4:B25,0),6)</f>
        <v>-88</v>
      </c>
    </row>
    <row r="14" spans="1:8" x14ac:dyDescent="0.2">
      <c r="A14" s="3">
        <v>11</v>
      </c>
      <c r="B14" s="10">
        <f>RANK('5_bezr. na wsi'!C13,'5_bezr. na wsi'!$C$3:'5_bezr. na wsi'!$C$28,1)+COUNTIF('5_bezr. na wsi'!$C$3:'5_bezr. na wsi'!C13,'5_bezr. na wsi'!C13)-1</f>
        <v>13</v>
      </c>
      <c r="C14" s="8" t="str">
        <f>INDEX('5_bezr. na wsi'!B3:G28,MATCH(11,B4:B25,0),1)</f>
        <v>ropczycko-sędziszowski</v>
      </c>
      <c r="D14" s="10">
        <f>INDEX('5_bezr. na wsi'!B3:G28,MATCH(11,B4:B25,0),2)</f>
        <v>1772</v>
      </c>
      <c r="E14" s="9">
        <f>INDEX('5_bezr. na wsi'!B3:G28,MATCH(11,B4:B25,0),3)</f>
        <v>1825</v>
      </c>
      <c r="F14" s="10">
        <f>INDEX('5_bezr. na wsi'!B3:G28,MATCH(11,B4:B25,0),4)</f>
        <v>-53</v>
      </c>
      <c r="G14" s="9">
        <f>INDEX('5_bezr. na wsi'!B3:G28,MATCH(11,B4:B25,0),5)</f>
        <v>2070</v>
      </c>
      <c r="H14" s="10">
        <f>INDEX('5_bezr. na wsi'!B3:G28,MATCH(11,B4:B25,0),6)</f>
        <v>-298</v>
      </c>
    </row>
    <row r="15" spans="1:8" x14ac:dyDescent="0.2">
      <c r="A15" s="3">
        <v>12</v>
      </c>
      <c r="B15" s="10">
        <f>RANK('5_bezr. na wsi'!C14,'5_bezr. na wsi'!$C$3:'5_bezr. na wsi'!$C$28,1)+COUNTIF('5_bezr. na wsi'!$C$3:'5_bezr. na wsi'!C14,'5_bezr. na wsi'!C14)-1</f>
        <v>5</v>
      </c>
      <c r="C15" s="8" t="str">
        <f>INDEX('5_bezr. na wsi'!B3:G28,MATCH(12,B4:B25,0),1)</f>
        <v>niżański</v>
      </c>
      <c r="D15" s="10">
        <f>INDEX('5_bezr. na wsi'!B3:G28,MATCH(12,B4:B25,0),2)</f>
        <v>1952</v>
      </c>
      <c r="E15" s="9">
        <f>INDEX('5_bezr. na wsi'!B3:G28,MATCH(12,B4:B25,0),3)</f>
        <v>1987</v>
      </c>
      <c r="F15" s="10">
        <f>INDEX('5_bezr. na wsi'!B3:G28,MATCH(12,B4:B25,0),4)</f>
        <v>-35</v>
      </c>
      <c r="G15" s="9">
        <f>INDEX('5_bezr. na wsi'!B3:G28,MATCH(12,B4:B25,0),5)</f>
        <v>2075</v>
      </c>
      <c r="H15" s="10">
        <f>INDEX('5_bezr. na wsi'!B3:G28,MATCH(12,B4:B25,0),6)</f>
        <v>-123</v>
      </c>
    </row>
    <row r="16" spans="1:8" x14ac:dyDescent="0.2">
      <c r="A16" s="3">
        <v>13</v>
      </c>
      <c r="B16" s="10">
        <f>RANK('5_bezr. na wsi'!C15,'5_bezr. na wsi'!$C$3:'5_bezr. na wsi'!$C$28,1)+COUNTIF('5_bezr. na wsi'!$C$3:'5_bezr. na wsi'!C15,'5_bezr. na wsi'!C15)-1</f>
        <v>12</v>
      </c>
      <c r="C16" s="8" t="str">
        <f>INDEX('5_bezr. na wsi'!B3:G28,MATCH(13,B4:B25,0),1)</f>
        <v>łańcucki</v>
      </c>
      <c r="D16" s="10">
        <f>INDEX('5_bezr. na wsi'!B3:G28,MATCH(13,B4:B25,0),2)</f>
        <v>2023</v>
      </c>
      <c r="E16" s="9">
        <f>INDEX('5_bezr. na wsi'!B3:G28,MATCH(13,B4:B25,0),3)</f>
        <v>2025</v>
      </c>
      <c r="F16" s="10">
        <f>INDEX('5_bezr. na wsi'!B3:G28,MATCH(13,B4:B25,0),4)</f>
        <v>-2</v>
      </c>
      <c r="G16" s="9">
        <f>INDEX('5_bezr. na wsi'!B3:G28,MATCH(13,B4:B25,0),5)</f>
        <v>2648</v>
      </c>
      <c r="H16" s="10">
        <f>INDEX('5_bezr. na wsi'!B3:G28,MATCH(13,B4:B25,0),6)</f>
        <v>-625</v>
      </c>
    </row>
    <row r="17" spans="1:8" x14ac:dyDescent="0.2">
      <c r="A17" s="3">
        <v>14</v>
      </c>
      <c r="B17" s="10">
        <f>RANK('5_bezr. na wsi'!C16,'5_bezr. na wsi'!$C$3:'5_bezr. na wsi'!$C$28,1)+COUNTIF('5_bezr. na wsi'!$C$3:'5_bezr. na wsi'!C16,'5_bezr. na wsi'!C16)-1</f>
        <v>18</v>
      </c>
      <c r="C17" s="8" t="str">
        <f>INDEX('5_bezr. na wsi'!B3:G28,MATCH(14,B4:B25,0),1)</f>
        <v>leżajski</v>
      </c>
      <c r="D17" s="10">
        <f>INDEX('5_bezr. na wsi'!B3:G28,MATCH(14,B4:B25,0),2)</f>
        <v>2355</v>
      </c>
      <c r="E17" s="9">
        <f>INDEX('5_bezr. na wsi'!B3:G28,MATCH(14,B4:B25,0),3)</f>
        <v>2362</v>
      </c>
      <c r="F17" s="10">
        <f>INDEX('5_bezr. na wsi'!B3:G28,MATCH(14,B4:B25,0),4)</f>
        <v>-7</v>
      </c>
      <c r="G17" s="9">
        <f>INDEX('5_bezr. na wsi'!B3:G28,MATCH(14,B4:B25,0),5)</f>
        <v>2798</v>
      </c>
      <c r="H17" s="10">
        <f>INDEX('5_bezr. na wsi'!B3:G28,MATCH(14,B4:B25,0),6)</f>
        <v>-443</v>
      </c>
    </row>
    <row r="18" spans="1:8" x14ac:dyDescent="0.2">
      <c r="A18" s="3">
        <v>15</v>
      </c>
      <c r="B18" s="10">
        <f>RANK('5_bezr. na wsi'!C17,'5_bezr. na wsi'!$C$3:'5_bezr. na wsi'!$C$28,1)+COUNTIF('5_bezr. na wsi'!$C$3:'5_bezr. na wsi'!C17,'5_bezr. na wsi'!C17)-1</f>
        <v>15</v>
      </c>
      <c r="C18" s="8" t="str">
        <f>INDEX('5_bezr. na wsi'!B3:G28,MATCH(15,B4:B25,0),1)</f>
        <v>przeworski</v>
      </c>
      <c r="D18" s="10">
        <f>INDEX('5_bezr. na wsi'!B3:G28,MATCH(15,B4:B25,0),2)</f>
        <v>2666</v>
      </c>
      <c r="E18" s="9">
        <f>INDEX('5_bezr. na wsi'!B3:G28,MATCH(15,B4:B25,0),3)</f>
        <v>2655</v>
      </c>
      <c r="F18" s="10">
        <f>INDEX('5_bezr. na wsi'!B3:G28,MATCH(15,B4:B25,0),4)</f>
        <v>11</v>
      </c>
      <c r="G18" s="9">
        <f>INDEX('5_bezr. na wsi'!B3:G28,MATCH(15,B4:B25,0),5)</f>
        <v>2826</v>
      </c>
      <c r="H18" s="10">
        <f>INDEX('5_bezr. na wsi'!B3:G28,MATCH(15,B4:B25,0),6)</f>
        <v>-160</v>
      </c>
    </row>
    <row r="19" spans="1:8" x14ac:dyDescent="0.2">
      <c r="A19" s="3">
        <v>16</v>
      </c>
      <c r="B19" s="10">
        <f>RANK('5_bezr. na wsi'!C18,'5_bezr. na wsi'!$C$3:'5_bezr. na wsi'!$C$28,1)+COUNTIF('5_bezr. na wsi'!$C$3:'5_bezr. na wsi'!C18,'5_bezr. na wsi'!C18)-1</f>
        <v>11</v>
      </c>
      <c r="C19" s="8" t="str">
        <f>INDEX('5_bezr. na wsi'!B3:G28,MATCH(16,B4:B25,0),1)</f>
        <v>strzyżowski</v>
      </c>
      <c r="D19" s="10">
        <f>INDEX('5_bezr. na wsi'!B3:G28,MATCH(16,B4:B25,0),2)</f>
        <v>2845</v>
      </c>
      <c r="E19" s="9">
        <f>INDEX('5_bezr. na wsi'!B3:G28,MATCH(16,B4:B25,0),3)</f>
        <v>2828</v>
      </c>
      <c r="F19" s="10">
        <f>INDEX('5_bezr. na wsi'!B3:G28,MATCH(16,B4:B25,0),4)</f>
        <v>17</v>
      </c>
      <c r="G19" s="9">
        <f>INDEX('5_bezr. na wsi'!B3:G28,MATCH(16,B4:B25,0),5)</f>
        <v>3057</v>
      </c>
      <c r="H19" s="10">
        <f>INDEX('5_bezr. na wsi'!B3:G28,MATCH(16,B4:B25,0),6)</f>
        <v>-212</v>
      </c>
    </row>
    <row r="20" spans="1:8" x14ac:dyDescent="0.2">
      <c r="A20" s="3">
        <v>17</v>
      </c>
      <c r="B20" s="10">
        <f>RANK('5_bezr. na wsi'!C19,'5_bezr. na wsi'!$C$3:'5_bezr. na wsi'!$C$28,1)+COUNTIF('5_bezr. na wsi'!$C$3:'5_bezr. na wsi'!C19,'5_bezr. na wsi'!C19)-1</f>
        <v>21</v>
      </c>
      <c r="C20" s="8" t="str">
        <f>INDEX('5_bezr. na wsi'!B3:G28,MATCH(17,B4:B25,0),1)</f>
        <v>jarosławski</v>
      </c>
      <c r="D20" s="10">
        <f>INDEX('5_bezr. na wsi'!B3:G28,MATCH(17,B4:B25,0),2)</f>
        <v>2898</v>
      </c>
      <c r="E20" s="9">
        <f>INDEX('5_bezr. na wsi'!B3:G28,MATCH(17,B4:B25,0),3)</f>
        <v>2875</v>
      </c>
      <c r="F20" s="10">
        <f>INDEX('5_bezr. na wsi'!B3:G28,MATCH(17,B4:B25,0),4)</f>
        <v>23</v>
      </c>
      <c r="G20" s="9">
        <f>INDEX('5_bezr. na wsi'!B3:G28,MATCH(17,B4:B25,0),5)</f>
        <v>3313</v>
      </c>
      <c r="H20" s="10">
        <f>INDEX('5_bezr. na wsi'!B3:G28,MATCH(17,B4:B25,0),6)</f>
        <v>-415</v>
      </c>
    </row>
    <row r="21" spans="1:8" x14ac:dyDescent="0.2">
      <c r="A21" s="3">
        <v>18</v>
      </c>
      <c r="B21" s="10">
        <f>RANK('5_bezr. na wsi'!C20,'5_bezr. na wsi'!$C$3:'5_bezr. na wsi'!$C$28,1)+COUNTIF('5_bezr. na wsi'!$C$3:'5_bezr. na wsi'!C20,'5_bezr. na wsi'!C20)-1</f>
        <v>9</v>
      </c>
      <c r="C21" s="8" t="str">
        <f>INDEX('5_bezr. na wsi'!B3:G28,MATCH(18,B4:B25,0),1)</f>
        <v>przemyski</v>
      </c>
      <c r="D21" s="10">
        <f>INDEX('5_bezr. na wsi'!B3:G28,MATCH(18,B4:B25,0),2)</f>
        <v>2921</v>
      </c>
      <c r="E21" s="9">
        <f>INDEX('5_bezr. na wsi'!B3:G28,MATCH(18,B4:B25,0),3)</f>
        <v>2840</v>
      </c>
      <c r="F21" s="10">
        <f>INDEX('5_bezr. na wsi'!B3:G28,MATCH(18,B4:B25,0),4)</f>
        <v>81</v>
      </c>
      <c r="G21" s="9">
        <f>INDEX('5_bezr. na wsi'!B3:G28,MATCH(18,B4:B25,0),5)</f>
        <v>3572</v>
      </c>
      <c r="H21" s="10">
        <f>INDEX('5_bezr. na wsi'!B3:G28,MATCH(18,B4:B25,0),6)</f>
        <v>-651</v>
      </c>
    </row>
    <row r="22" spans="1:8" x14ac:dyDescent="0.2">
      <c r="A22" s="3">
        <v>19</v>
      </c>
      <c r="B22" s="10">
        <f>RANK('5_bezr. na wsi'!C21,'5_bezr. na wsi'!$C$3:'5_bezr. na wsi'!$C$28,1)+COUNTIF('5_bezr. na wsi'!$C$3:'5_bezr. na wsi'!C21,'5_bezr. na wsi'!C21)-1</f>
        <v>2</v>
      </c>
      <c r="C22" s="8" t="str">
        <f>INDEX('5_bezr. na wsi'!B3:G28,MATCH(19,B4:B25,0),1)</f>
        <v>jasielski</v>
      </c>
      <c r="D22" s="10">
        <f>INDEX('5_bezr. na wsi'!B3:G28,MATCH(19,B4:B25,0),2)</f>
        <v>3432</v>
      </c>
      <c r="E22" s="9">
        <f>INDEX('5_bezr. na wsi'!B3:G28,MATCH(19,B4:B25,0),3)</f>
        <v>3362</v>
      </c>
      <c r="F22" s="10">
        <f>INDEX('5_bezr. na wsi'!B3:G28,MATCH(19,B4:B25,0),4)</f>
        <v>70</v>
      </c>
      <c r="G22" s="9">
        <f>INDEX('5_bezr. na wsi'!B3:G28,MATCH(19,B4:B25,0),5)</f>
        <v>3767</v>
      </c>
      <c r="H22" s="10">
        <f>INDEX('5_bezr. na wsi'!B3:G28,MATCH(19,B4:B25,0),6)</f>
        <v>-335</v>
      </c>
    </row>
    <row r="23" spans="1:8" x14ac:dyDescent="0.2">
      <c r="A23" s="3">
        <v>20</v>
      </c>
      <c r="B23" s="10">
        <f>RANK('5_bezr. na wsi'!C22,'5_bezr. na wsi'!$C$3:'5_bezr. na wsi'!$C$28,1)+COUNTIF('5_bezr. na wsi'!$C$3:'5_bezr. na wsi'!C22,'5_bezr. na wsi'!C22)-1</f>
        <v>16</v>
      </c>
      <c r="C23" s="8" t="str">
        <f>INDEX('5_bezr. na wsi'!B3:G28,MATCH(20,B4:B25,0),1)</f>
        <v>brzozowski</v>
      </c>
      <c r="D23" s="10">
        <f>INDEX('5_bezr. na wsi'!B3:G28,MATCH(20,B4:B25,0),2)</f>
        <v>3642</v>
      </c>
      <c r="E23" s="9">
        <f>INDEX('5_bezr. na wsi'!B3:G28,MATCH(20,B4:B25,0),3)</f>
        <v>3578</v>
      </c>
      <c r="F23" s="10">
        <f>INDEX('5_bezr. na wsi'!B3:G28,MATCH(20,B4:B25,0),4)</f>
        <v>64</v>
      </c>
      <c r="G23" s="9">
        <f>INDEX('5_bezr. na wsi'!B3:G28,MATCH(20,B4:B25,0),5)</f>
        <v>3815</v>
      </c>
      <c r="H23" s="10">
        <f>INDEX('5_bezr. na wsi'!B3:G28,MATCH(20,B4:B25,0),6)</f>
        <v>-173</v>
      </c>
    </row>
    <row r="24" spans="1:8" x14ac:dyDescent="0.2">
      <c r="A24" s="3">
        <v>21</v>
      </c>
      <c r="B24" s="10">
        <f>RANK('5_bezr. na wsi'!C23,'5_bezr. na wsi'!$C$3:'5_bezr. na wsi'!$C$28,1)+COUNTIF('5_bezr. na wsi'!$C$3:'5_bezr. na wsi'!C23,'5_bezr. na wsi'!C23)-1</f>
        <v>3</v>
      </c>
      <c r="C24" s="8" t="str">
        <f>INDEX('5_bezr. na wsi'!B3:G28,MATCH(21,B4:B25,0),1)</f>
        <v>rzeszowski</v>
      </c>
      <c r="D24" s="10">
        <f>INDEX('5_bezr. na wsi'!B3:G28,MATCH(21,B4:B25,0),2)</f>
        <v>3904</v>
      </c>
      <c r="E24" s="9">
        <f>INDEX('5_bezr. na wsi'!B3:G28,MATCH(21,B4:B25,0),3)</f>
        <v>3864</v>
      </c>
      <c r="F24" s="10">
        <f>INDEX('5_bezr. na wsi'!B3:G28,MATCH(21,B4:B25,0),4)</f>
        <v>40</v>
      </c>
      <c r="G24" s="9">
        <f>INDEX('5_bezr. na wsi'!B3:G28,MATCH(21,B4:B25,0),5)</f>
        <v>4582</v>
      </c>
      <c r="H24" s="10">
        <f>INDEX('5_bezr. na wsi'!B3:G28,MATCH(21,B4:B25,0),6)</f>
        <v>-678</v>
      </c>
    </row>
    <row r="25" spans="1:8" ht="15" x14ac:dyDescent="0.25">
      <c r="A25" s="3">
        <v>22</v>
      </c>
      <c r="B25" s="34">
        <f>RANK('5_bezr. na wsi'!C24,'5_bezr. na wsi'!$C$3:'5_bezr. na wsi'!$C$28,1)+COUNTIF('5_bezr. na wsi'!$C$3:'5_bezr. na wsi'!C24,'5_bezr. na wsi'!C24)-1</f>
        <v>22</v>
      </c>
      <c r="C25" s="69" t="str">
        <f>INDEX('5_bezr. na wsi'!B3:G28,MATCH(22,B4:B25,0),1)</f>
        <v>województwo</v>
      </c>
      <c r="D25" s="34">
        <f>INDEX('5_bezr. na wsi'!B3:G28,MATCH(22,B4:B25,0),2)</f>
        <v>42771</v>
      </c>
      <c r="E25" s="17">
        <f>INDEX('5_bezr. na wsi'!B3:G28,MATCH(22,B4:B25,0),3)</f>
        <v>42254</v>
      </c>
      <c r="F25" s="34">
        <f>INDEX('5_bezr. na wsi'!B3:G28,MATCH(22,B4:B25,0),4)</f>
        <v>517</v>
      </c>
      <c r="G25" s="17">
        <f>INDEX('5_bezr. na wsi'!B3:G28,MATCH(22,B4:B25,0),5)</f>
        <v>47907</v>
      </c>
      <c r="H25" s="34">
        <f>INDEX('5_bezr. na wsi'!B3:G28,MATCH(22,B4:B25,0),6)</f>
        <v>-5136</v>
      </c>
    </row>
  </sheetData>
  <pageMargins left="0" right="0" top="0.31496062992125984" bottom="0" header="0" footer="0"/>
  <pageSetup paperSize="9" scale="77" orientation="landscape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theme="7" tint="0.59999389629810485"/>
    <pageSetUpPr fitToPage="1"/>
  </sheetPr>
  <dimension ref="B1:H30"/>
  <sheetViews>
    <sheetView zoomScale="80" zoomScaleNormal="80" workbookViewId="0">
      <selection activeCell="B1" sqref="B1"/>
    </sheetView>
  </sheetViews>
  <sheetFormatPr defaultRowHeight="14.25" x14ac:dyDescent="0.2"/>
  <cols>
    <col min="1" max="1" width="1.5703125" style="3" customWidth="1"/>
    <col min="2" max="2" width="24.85546875" style="3" customWidth="1"/>
    <col min="3" max="3" width="19.140625" style="3" customWidth="1"/>
    <col min="4" max="4" width="18.7109375" style="3" customWidth="1"/>
    <col min="5" max="5" width="17.5703125" style="3" customWidth="1"/>
    <col min="6" max="6" width="19.28515625" style="3" customWidth="1"/>
    <col min="7" max="7" width="17.28515625" style="3" customWidth="1"/>
    <col min="8" max="16384" width="9.140625" style="3"/>
  </cols>
  <sheetData>
    <row r="1" spans="2:8" ht="19.5" customHeight="1" x14ac:dyDescent="0.2">
      <c r="B1" s="1" t="s">
        <v>79</v>
      </c>
      <c r="C1" s="70"/>
      <c r="D1" s="70"/>
      <c r="E1" s="70"/>
      <c r="F1" s="70"/>
      <c r="G1" s="70"/>
    </row>
    <row r="2" spans="2:8" ht="57" x14ac:dyDescent="0.2">
      <c r="B2" s="5" t="s">
        <v>27</v>
      </c>
      <c r="C2" s="6" t="s">
        <v>127</v>
      </c>
      <c r="D2" s="7" t="s">
        <v>109</v>
      </c>
      <c r="E2" s="6" t="s">
        <v>28</v>
      </c>
      <c r="F2" s="7" t="s">
        <v>128</v>
      </c>
      <c r="G2" s="6" t="s">
        <v>26</v>
      </c>
    </row>
    <row r="3" spans="2:8" x14ac:dyDescent="0.2">
      <c r="B3" s="8" t="s">
        <v>0</v>
      </c>
      <c r="C3" s="10">
        <v>641</v>
      </c>
      <c r="D3" s="9">
        <v>623</v>
      </c>
      <c r="E3" s="10">
        <f t="shared" ref="E3:E27" si="0">SUM(C3)-D3</f>
        <v>18</v>
      </c>
      <c r="F3" s="9">
        <v>752</v>
      </c>
      <c r="G3" s="10">
        <f t="shared" ref="G3:G27" si="1">SUM(C3)-F3</f>
        <v>-111</v>
      </c>
      <c r="H3" s="11"/>
    </row>
    <row r="4" spans="2:8" x14ac:dyDescent="0.2">
      <c r="B4" s="8" t="s">
        <v>1</v>
      </c>
      <c r="C4" s="10">
        <v>2592</v>
      </c>
      <c r="D4" s="9">
        <v>2568</v>
      </c>
      <c r="E4" s="10">
        <f t="shared" si="0"/>
        <v>24</v>
      </c>
      <c r="F4" s="9">
        <v>2763</v>
      </c>
      <c r="G4" s="10">
        <f t="shared" si="1"/>
        <v>-171</v>
      </c>
      <c r="H4" s="11"/>
    </row>
    <row r="5" spans="2:8" x14ac:dyDescent="0.2">
      <c r="B5" s="8" t="s">
        <v>2</v>
      </c>
      <c r="C5" s="10">
        <v>1078</v>
      </c>
      <c r="D5" s="9">
        <v>1077</v>
      </c>
      <c r="E5" s="10">
        <f t="shared" si="0"/>
        <v>1</v>
      </c>
      <c r="F5" s="9">
        <v>1330</v>
      </c>
      <c r="G5" s="10">
        <f t="shared" si="1"/>
        <v>-252</v>
      </c>
      <c r="H5" s="11"/>
    </row>
    <row r="6" spans="2:8" x14ac:dyDescent="0.2">
      <c r="B6" s="8" t="s">
        <v>3</v>
      </c>
      <c r="C6" s="10">
        <v>2849</v>
      </c>
      <c r="D6" s="9">
        <v>2851</v>
      </c>
      <c r="E6" s="10">
        <f t="shared" si="0"/>
        <v>-2</v>
      </c>
      <c r="F6" s="9">
        <v>3340</v>
      </c>
      <c r="G6" s="10">
        <f t="shared" si="1"/>
        <v>-491</v>
      </c>
      <c r="H6" s="11"/>
    </row>
    <row r="7" spans="2:8" x14ac:dyDescent="0.2">
      <c r="B7" s="8" t="s">
        <v>4</v>
      </c>
      <c r="C7" s="10">
        <v>3068</v>
      </c>
      <c r="D7" s="9">
        <v>3060</v>
      </c>
      <c r="E7" s="10">
        <f t="shared" si="0"/>
        <v>8</v>
      </c>
      <c r="F7" s="9">
        <v>3667</v>
      </c>
      <c r="G7" s="10">
        <f t="shared" si="1"/>
        <v>-599</v>
      </c>
      <c r="H7" s="11"/>
    </row>
    <row r="8" spans="2:8" x14ac:dyDescent="0.2">
      <c r="B8" s="8" t="s">
        <v>5</v>
      </c>
      <c r="C8" s="10">
        <v>803</v>
      </c>
      <c r="D8" s="9">
        <v>801</v>
      </c>
      <c r="E8" s="10">
        <f t="shared" si="0"/>
        <v>2</v>
      </c>
      <c r="F8" s="9">
        <v>894</v>
      </c>
      <c r="G8" s="10">
        <f t="shared" si="1"/>
        <v>-91</v>
      </c>
      <c r="H8" s="11"/>
    </row>
    <row r="9" spans="2:8" x14ac:dyDescent="0.2">
      <c r="B9" s="13" t="s">
        <v>6</v>
      </c>
      <c r="C9" s="10">
        <v>941</v>
      </c>
      <c r="D9" s="9">
        <v>921</v>
      </c>
      <c r="E9" s="10">
        <f t="shared" si="0"/>
        <v>20</v>
      </c>
      <c r="F9" s="9">
        <v>1014</v>
      </c>
      <c r="G9" s="10">
        <f t="shared" si="1"/>
        <v>-73</v>
      </c>
      <c r="H9" s="11"/>
    </row>
    <row r="10" spans="2:8" x14ac:dyDescent="0.2">
      <c r="B10" s="8" t="s">
        <v>7</v>
      </c>
      <c r="C10" s="10">
        <v>1039</v>
      </c>
      <c r="D10" s="9">
        <v>1031</v>
      </c>
      <c r="E10" s="10">
        <f t="shared" si="0"/>
        <v>8</v>
      </c>
      <c r="F10" s="9">
        <v>1075</v>
      </c>
      <c r="G10" s="10">
        <f t="shared" si="1"/>
        <v>-36</v>
      </c>
      <c r="H10" s="11"/>
    </row>
    <row r="11" spans="2:8" x14ac:dyDescent="0.2">
      <c r="B11" s="8" t="s">
        <v>8</v>
      </c>
      <c r="C11" s="10">
        <v>1921</v>
      </c>
      <c r="D11" s="9">
        <v>1953</v>
      </c>
      <c r="E11" s="10">
        <f t="shared" si="0"/>
        <v>-32</v>
      </c>
      <c r="F11" s="9">
        <v>2263</v>
      </c>
      <c r="G11" s="10">
        <f t="shared" si="1"/>
        <v>-342</v>
      </c>
      <c r="H11" s="11"/>
    </row>
    <row r="12" spans="2:8" x14ac:dyDescent="0.2">
      <c r="B12" s="8" t="s">
        <v>9</v>
      </c>
      <c r="C12" s="10">
        <v>982</v>
      </c>
      <c r="D12" s="9">
        <v>964</v>
      </c>
      <c r="E12" s="10">
        <f t="shared" si="0"/>
        <v>18</v>
      </c>
      <c r="F12" s="9">
        <v>1134</v>
      </c>
      <c r="G12" s="10">
        <f t="shared" si="1"/>
        <v>-152</v>
      </c>
      <c r="H12" s="11"/>
    </row>
    <row r="13" spans="2:8" x14ac:dyDescent="0.2">
      <c r="B13" s="8" t="s">
        <v>10</v>
      </c>
      <c r="C13" s="10">
        <v>1382</v>
      </c>
      <c r="D13" s="9">
        <v>1407</v>
      </c>
      <c r="E13" s="10">
        <f t="shared" si="0"/>
        <v>-25</v>
      </c>
      <c r="F13" s="9">
        <v>1958</v>
      </c>
      <c r="G13" s="10">
        <f t="shared" si="1"/>
        <v>-576</v>
      </c>
      <c r="H13" s="11"/>
    </row>
    <row r="14" spans="2:8" x14ac:dyDescent="0.2">
      <c r="B14" s="8" t="s">
        <v>11</v>
      </c>
      <c r="C14" s="10">
        <v>1232</v>
      </c>
      <c r="D14" s="9">
        <v>1244</v>
      </c>
      <c r="E14" s="10">
        <f t="shared" si="0"/>
        <v>-12</v>
      </c>
      <c r="F14" s="9">
        <v>1452</v>
      </c>
      <c r="G14" s="10">
        <f t="shared" si="1"/>
        <v>-220</v>
      </c>
      <c r="H14" s="11"/>
    </row>
    <row r="15" spans="2:8" x14ac:dyDescent="0.2">
      <c r="B15" s="8" t="s">
        <v>12</v>
      </c>
      <c r="C15" s="10">
        <v>1749</v>
      </c>
      <c r="D15" s="9">
        <v>1786</v>
      </c>
      <c r="E15" s="10">
        <f t="shared" si="0"/>
        <v>-37</v>
      </c>
      <c r="F15" s="9">
        <v>2031</v>
      </c>
      <c r="G15" s="10">
        <f t="shared" si="1"/>
        <v>-282</v>
      </c>
      <c r="H15" s="11"/>
    </row>
    <row r="16" spans="2:8" x14ac:dyDescent="0.2">
      <c r="B16" s="8" t="s">
        <v>13</v>
      </c>
      <c r="C16" s="10">
        <v>1825</v>
      </c>
      <c r="D16" s="9">
        <v>1818</v>
      </c>
      <c r="E16" s="10">
        <f t="shared" si="0"/>
        <v>7</v>
      </c>
      <c r="F16" s="9">
        <v>2248</v>
      </c>
      <c r="G16" s="10">
        <f t="shared" si="1"/>
        <v>-423</v>
      </c>
      <c r="H16" s="11"/>
    </row>
    <row r="17" spans="2:8" x14ac:dyDescent="0.2">
      <c r="B17" s="8" t="s">
        <v>14</v>
      </c>
      <c r="C17" s="10">
        <v>2173</v>
      </c>
      <c r="D17" s="9">
        <v>2180</v>
      </c>
      <c r="E17" s="10">
        <f t="shared" si="0"/>
        <v>-7</v>
      </c>
      <c r="F17" s="9">
        <v>2420</v>
      </c>
      <c r="G17" s="10">
        <f t="shared" si="1"/>
        <v>-247</v>
      </c>
      <c r="H17" s="11"/>
    </row>
    <row r="18" spans="2:8" x14ac:dyDescent="0.2">
      <c r="B18" s="8" t="s">
        <v>15</v>
      </c>
      <c r="C18" s="10">
        <v>1608</v>
      </c>
      <c r="D18" s="9">
        <v>1650</v>
      </c>
      <c r="E18" s="10">
        <f t="shared" si="0"/>
        <v>-42</v>
      </c>
      <c r="F18" s="9">
        <v>1900</v>
      </c>
      <c r="G18" s="10">
        <f t="shared" si="1"/>
        <v>-292</v>
      </c>
      <c r="H18" s="11"/>
    </row>
    <row r="19" spans="2:8" x14ac:dyDescent="0.2">
      <c r="B19" s="8" t="s">
        <v>16</v>
      </c>
      <c r="C19" s="10">
        <v>3034</v>
      </c>
      <c r="D19" s="9">
        <v>3040</v>
      </c>
      <c r="E19" s="10">
        <f t="shared" si="0"/>
        <v>-6</v>
      </c>
      <c r="F19" s="9">
        <v>3640</v>
      </c>
      <c r="G19" s="10">
        <f t="shared" si="1"/>
        <v>-606</v>
      </c>
      <c r="H19" s="11"/>
    </row>
    <row r="20" spans="2:8" x14ac:dyDescent="0.2">
      <c r="B20" s="8" t="s">
        <v>17</v>
      </c>
      <c r="C20" s="10">
        <v>1294</v>
      </c>
      <c r="D20" s="9">
        <v>1280</v>
      </c>
      <c r="E20" s="10">
        <f t="shared" si="0"/>
        <v>14</v>
      </c>
      <c r="F20" s="9">
        <v>1387</v>
      </c>
      <c r="G20" s="10">
        <f t="shared" si="1"/>
        <v>-93</v>
      </c>
      <c r="H20" s="11"/>
    </row>
    <row r="21" spans="2:8" x14ac:dyDescent="0.2">
      <c r="B21" s="8" t="s">
        <v>18</v>
      </c>
      <c r="C21" s="10">
        <v>779</v>
      </c>
      <c r="D21" s="9">
        <v>792</v>
      </c>
      <c r="E21" s="10">
        <f t="shared" si="0"/>
        <v>-13</v>
      </c>
      <c r="F21" s="9">
        <v>1013</v>
      </c>
      <c r="G21" s="10">
        <f t="shared" si="1"/>
        <v>-234</v>
      </c>
      <c r="H21" s="11"/>
    </row>
    <row r="22" spans="2:8" x14ac:dyDescent="0.2">
      <c r="B22" s="8" t="s">
        <v>19</v>
      </c>
      <c r="C22" s="10">
        <v>2058</v>
      </c>
      <c r="D22" s="9">
        <v>2071</v>
      </c>
      <c r="E22" s="10">
        <f t="shared" si="0"/>
        <v>-13</v>
      </c>
      <c r="F22" s="9">
        <v>2306</v>
      </c>
      <c r="G22" s="10">
        <f t="shared" si="1"/>
        <v>-248</v>
      </c>
      <c r="H22" s="11"/>
    </row>
    <row r="23" spans="2:8" x14ac:dyDescent="0.2">
      <c r="B23" s="8" t="s">
        <v>20</v>
      </c>
      <c r="C23" s="10">
        <v>697</v>
      </c>
      <c r="D23" s="9">
        <v>706</v>
      </c>
      <c r="E23" s="10">
        <f t="shared" si="0"/>
        <v>-9</v>
      </c>
      <c r="F23" s="9">
        <v>897</v>
      </c>
      <c r="G23" s="10">
        <f t="shared" si="1"/>
        <v>-200</v>
      </c>
      <c r="H23" s="11"/>
    </row>
    <row r="24" spans="2:8" x14ac:dyDescent="0.2">
      <c r="B24" s="8" t="s">
        <v>21</v>
      </c>
      <c r="C24" s="10">
        <v>322</v>
      </c>
      <c r="D24" s="9">
        <v>334</v>
      </c>
      <c r="E24" s="10">
        <f t="shared" si="0"/>
        <v>-12</v>
      </c>
      <c r="F24" s="9">
        <v>331</v>
      </c>
      <c r="G24" s="10">
        <f t="shared" si="1"/>
        <v>-9</v>
      </c>
      <c r="H24" s="11"/>
    </row>
    <row r="25" spans="2:8" x14ac:dyDescent="0.2">
      <c r="B25" s="8" t="s">
        <v>22</v>
      </c>
      <c r="C25" s="71">
        <v>1596</v>
      </c>
      <c r="D25" s="9">
        <v>1605</v>
      </c>
      <c r="E25" s="71">
        <f t="shared" si="0"/>
        <v>-9</v>
      </c>
      <c r="F25" s="9">
        <v>1975</v>
      </c>
      <c r="G25" s="10">
        <f t="shared" si="1"/>
        <v>-379</v>
      </c>
      <c r="H25" s="11"/>
    </row>
    <row r="26" spans="2:8" x14ac:dyDescent="0.2">
      <c r="B26" s="8" t="s">
        <v>23</v>
      </c>
      <c r="C26" s="71">
        <v>3436</v>
      </c>
      <c r="D26" s="9">
        <v>3505</v>
      </c>
      <c r="E26" s="71">
        <f t="shared" si="0"/>
        <v>-69</v>
      </c>
      <c r="F26" s="9">
        <v>4261</v>
      </c>
      <c r="G26" s="10">
        <f t="shared" si="1"/>
        <v>-825</v>
      </c>
      <c r="H26" s="11"/>
    </row>
    <row r="27" spans="2:8" x14ac:dyDescent="0.2">
      <c r="B27" s="8" t="s">
        <v>24</v>
      </c>
      <c r="C27" s="71">
        <v>622</v>
      </c>
      <c r="D27" s="9">
        <v>618</v>
      </c>
      <c r="E27" s="71">
        <f t="shared" si="0"/>
        <v>4</v>
      </c>
      <c r="F27" s="9">
        <v>773</v>
      </c>
      <c r="G27" s="10">
        <f t="shared" si="1"/>
        <v>-151</v>
      </c>
      <c r="H27" s="11"/>
    </row>
    <row r="28" spans="2:8" ht="15" x14ac:dyDescent="0.25">
      <c r="B28" s="15" t="s">
        <v>25</v>
      </c>
      <c r="C28" s="16">
        <f>SUM(C3:C27)</f>
        <v>39721</v>
      </c>
      <c r="D28" s="37">
        <f>SUM(D3:D27)</f>
        <v>39885</v>
      </c>
      <c r="E28" s="16">
        <f>SUM(E3:E27)</f>
        <v>-164</v>
      </c>
      <c r="F28" s="37">
        <f>SUM(F3:F27)</f>
        <v>46824</v>
      </c>
      <c r="G28" s="16">
        <f>SUM(G3:G27)</f>
        <v>-7103</v>
      </c>
      <c r="H28" s="11"/>
    </row>
    <row r="29" spans="2:8" ht="15" x14ac:dyDescent="0.25">
      <c r="B29" s="3" t="s">
        <v>98</v>
      </c>
      <c r="E29" s="30"/>
      <c r="F29" s="11"/>
      <c r="G29" s="11"/>
    </row>
    <row r="30" spans="2:8" x14ac:dyDescent="0.2">
      <c r="B30" s="3" t="s">
        <v>99</v>
      </c>
    </row>
  </sheetData>
  <printOptions horizontalCentered="1" verticalCentered="1"/>
  <pageMargins left="0" right="0" top="0.59055118110236227" bottom="0" header="0" footer="0"/>
  <pageSetup paperSize="9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theme="7" tint="-0.249977111117893"/>
  </sheetPr>
  <dimension ref="B1:H29"/>
  <sheetViews>
    <sheetView zoomScale="80" zoomScaleNormal="80" workbookViewId="0">
      <selection activeCell="B1" sqref="B1"/>
    </sheetView>
  </sheetViews>
  <sheetFormatPr defaultRowHeight="14.25" x14ac:dyDescent="0.2"/>
  <cols>
    <col min="1" max="1" width="2.85546875" style="3" customWidth="1"/>
    <col min="2" max="2" width="7.28515625" style="3" customWidth="1"/>
    <col min="3" max="3" width="24.28515625" style="3" customWidth="1"/>
    <col min="4" max="4" width="14.7109375" style="3" customWidth="1"/>
    <col min="5" max="5" width="15" style="3" customWidth="1"/>
    <col min="6" max="6" width="16" style="3" customWidth="1"/>
    <col min="7" max="7" width="15.140625" style="3" customWidth="1"/>
    <col min="8" max="8" width="17.140625" style="3" customWidth="1"/>
    <col min="9" max="9" width="5.7109375" style="3" customWidth="1"/>
    <col min="10" max="10" width="6" style="3" customWidth="1"/>
    <col min="11" max="18" width="9.140625" style="3"/>
    <col min="19" max="19" width="8.140625" style="3" customWidth="1"/>
    <col min="20" max="20" width="4.85546875" style="3" customWidth="1"/>
    <col min="21" max="16384" width="9.140625" style="3"/>
  </cols>
  <sheetData>
    <row r="1" spans="2:8" x14ac:dyDescent="0.2">
      <c r="B1" s="2" t="s">
        <v>91</v>
      </c>
    </row>
    <row r="2" spans="2:8" ht="15" x14ac:dyDescent="0.2">
      <c r="C2" s="31"/>
      <c r="D2" s="32"/>
    </row>
    <row r="3" spans="2:8" ht="71.25" x14ac:dyDescent="0.2">
      <c r="B3" s="33" t="s">
        <v>88</v>
      </c>
      <c r="C3" s="5" t="str">
        <f>T('6_długot.'!B2)</f>
        <v>powiaty</v>
      </c>
      <c r="D3" s="5" t="str">
        <f>T('6_długot.'!C2)</f>
        <v>liczba bezrobotnych pow. 12 m-cy stan na 30 XI '22 r.</v>
      </c>
      <c r="E3" s="5" t="str">
        <f>T('6_długot.'!D2)</f>
        <v>liczba bezrobotnych pow. 12 m-cy stan na 31 X '22 r.</v>
      </c>
      <c r="F3" s="5" t="str">
        <f>T('6_długot.'!E2)</f>
        <v>wzrost/spadek do poprzedniego  miesiąca</v>
      </c>
      <c r="G3" s="5" t="str">
        <f>T('6_długot.'!F2)</f>
        <v>liczba bezrobotnych pow. 12 m-cy,  stan na 30 XI '21 r.</v>
      </c>
      <c r="H3" s="5" t="str">
        <f>T('6_długot.'!G2)</f>
        <v>wzrost/spadek do analogicznego okresu ubr.</v>
      </c>
    </row>
    <row r="4" spans="2:8" x14ac:dyDescent="0.2">
      <c r="B4" s="10">
        <f>RANK('6_długot.'!C3,'6_długot.'!$C$3:'6_długot.'!$C$28,1)+COUNTIF('6_długot.'!$C$3:'6_długot.'!C3,'6_długot.'!C3)-1</f>
        <v>3</v>
      </c>
      <c r="C4" s="8" t="str">
        <f>INDEX('6_długot.'!B3:G28,MATCH(1,B4:B29,0),1)</f>
        <v>Krosno</v>
      </c>
      <c r="D4" s="39">
        <f>INDEX('6_długot.'!B3:G28,MATCH(1,B4:B29,0),2)</f>
        <v>322</v>
      </c>
      <c r="E4" s="9">
        <f>INDEX('6_długot.'!B3:G28,MATCH(1,B4:B29,0),3)</f>
        <v>334</v>
      </c>
      <c r="F4" s="10">
        <f>INDEX('6_długot.'!B3:G28,MATCH(1,B4:B29,0),4)</f>
        <v>-12</v>
      </c>
      <c r="G4" s="9">
        <f>INDEX('6_długot.'!B3:G28,MATCH(1,B4:B29,0),5)</f>
        <v>331</v>
      </c>
      <c r="H4" s="10">
        <f>INDEX('6_długot.'!B3:G28,MATCH(1,B4:B29,0),6)</f>
        <v>-9</v>
      </c>
    </row>
    <row r="5" spans="2:8" x14ac:dyDescent="0.2">
      <c r="B5" s="10">
        <f>RANK('6_długot.'!C4,'6_długot.'!$C$3:'6_długot.'!$C$28,1)+COUNTIF('6_długot.'!$C$3:'6_długot.'!C4,'6_długot.'!C4)-1</f>
        <v>21</v>
      </c>
      <c r="C5" s="8" t="str">
        <f>INDEX('6_długot.'!B3:G28,MATCH(2,B4:B29,0),1)</f>
        <v>Tarnobrzeg</v>
      </c>
      <c r="D5" s="10">
        <f>INDEX('6_długot.'!B3:G28,MATCH(2,B4:B29,0),2)</f>
        <v>622</v>
      </c>
      <c r="E5" s="9">
        <f>INDEX('6_długot.'!B3:G28,MATCH(2,B4:B29,0),3)</f>
        <v>618</v>
      </c>
      <c r="F5" s="10">
        <f>INDEX('6_długot.'!B3:G28,MATCH(2,B4:B29,0),4)</f>
        <v>4</v>
      </c>
      <c r="G5" s="9">
        <f>INDEX('6_długot.'!B3:G28,MATCH(2,B4:B29,0),5)</f>
        <v>773</v>
      </c>
      <c r="H5" s="10">
        <f>INDEX('6_długot.'!B3:G28,MATCH(2,B4:B29,0),6)</f>
        <v>-151</v>
      </c>
    </row>
    <row r="6" spans="2:8" x14ac:dyDescent="0.2">
      <c r="B6" s="10">
        <f>RANK('6_długot.'!C5,'6_długot.'!$C$3:'6_długot.'!$C$28,1)+COUNTIF('6_długot.'!$C$3:'6_długot.'!C5,'6_długot.'!C5)-1</f>
        <v>10</v>
      </c>
      <c r="C6" s="8" t="str">
        <f>INDEX('6_długot.'!B3:G28,MATCH(3,B4:B29,0),1)</f>
        <v>bieszczadzki</v>
      </c>
      <c r="D6" s="10">
        <f>INDEX('6_długot.'!B3:G28,MATCH(3,B4:B29,0),2)</f>
        <v>641</v>
      </c>
      <c r="E6" s="9">
        <f>INDEX('6_długot.'!B3:G28,MATCH(3,B4:B29,0),3)</f>
        <v>623</v>
      </c>
      <c r="F6" s="10">
        <f>INDEX('6_długot.'!B3:G28,MATCH(3,B4:B29,0),4)</f>
        <v>18</v>
      </c>
      <c r="G6" s="9">
        <f>INDEX('6_długot.'!B3:G28,MATCH(3,B4:B29,0),5)</f>
        <v>752</v>
      </c>
      <c r="H6" s="10">
        <f>INDEX('6_długot.'!B3:G28,MATCH(3,B4:B29,0),6)</f>
        <v>-111</v>
      </c>
    </row>
    <row r="7" spans="2:8" x14ac:dyDescent="0.2">
      <c r="B7" s="10">
        <f>RANK('6_długot.'!C6,'6_długot.'!$C$3:'6_długot.'!$C$28,1)+COUNTIF('6_długot.'!$C$3:'6_długot.'!C6,'6_długot.'!C6)-1</f>
        <v>22</v>
      </c>
      <c r="C7" s="8" t="str">
        <f>INDEX('6_długot.'!B3:G28,MATCH(4,B4:B29,0),1)</f>
        <v xml:space="preserve">tarnobrzeski </v>
      </c>
      <c r="D7" s="10">
        <f>INDEX('6_długot.'!B3:G28,MATCH(4,B4:B29,0),2)</f>
        <v>697</v>
      </c>
      <c r="E7" s="9">
        <f>INDEX('6_długot.'!B3:G28,MATCH(4,B4:B29,0),3)</f>
        <v>706</v>
      </c>
      <c r="F7" s="10">
        <f>INDEX('6_długot.'!B3:G28,MATCH(4,B4:B29,0),4)</f>
        <v>-9</v>
      </c>
      <c r="G7" s="9">
        <f>INDEX('6_długot.'!B3:G28,MATCH(4,B4:B29,0),5)</f>
        <v>897</v>
      </c>
      <c r="H7" s="10">
        <f>INDEX('6_długot.'!B3:G28,MATCH(4,B4:B29,0),6)</f>
        <v>-200</v>
      </c>
    </row>
    <row r="8" spans="2:8" x14ac:dyDescent="0.2">
      <c r="B8" s="10">
        <f>RANK('6_długot.'!C7,'6_długot.'!$C$3:'6_długot.'!$C$28,1)+COUNTIF('6_długot.'!$C$3:'6_długot.'!C7,'6_długot.'!C7)-1</f>
        <v>24</v>
      </c>
      <c r="C8" s="8" t="str">
        <f>INDEX('6_długot.'!B3:G28,MATCH(5,B4:B29,0),1)</f>
        <v>stalowowolski</v>
      </c>
      <c r="D8" s="10">
        <f>INDEX('6_długot.'!B3:G28,MATCH(5,B4:B29,0),2)</f>
        <v>779</v>
      </c>
      <c r="E8" s="9">
        <f>INDEX('6_długot.'!B3:G28,MATCH(5,B4:B29,0),3)</f>
        <v>792</v>
      </c>
      <c r="F8" s="10">
        <f>INDEX('6_długot.'!B3:G28,MATCH(5,B4:B29,0),4)</f>
        <v>-13</v>
      </c>
      <c r="G8" s="9">
        <f>INDEX('6_długot.'!B3:G28,MATCH(5,B4:B29,0),5)</f>
        <v>1013</v>
      </c>
      <c r="H8" s="10">
        <f>INDEX('6_długot.'!B3:G28,MATCH(5,B4:B29,0),6)</f>
        <v>-234</v>
      </c>
    </row>
    <row r="9" spans="2:8" x14ac:dyDescent="0.2">
      <c r="B9" s="10">
        <f>RANK('6_długot.'!C8,'6_długot.'!$C$3:'6_długot.'!$C$28,1)+COUNTIF('6_długot.'!$C$3:'6_długot.'!C8,'6_długot.'!C8)-1</f>
        <v>6</v>
      </c>
      <c r="C9" s="8" t="str">
        <f>INDEX('6_długot.'!B3:G28,MATCH(6,B4:B29,0),1)</f>
        <v>kolbuszowski</v>
      </c>
      <c r="D9" s="10">
        <f>INDEX('6_długot.'!B3:G28,MATCH(6,B4:B29,0),2)</f>
        <v>803</v>
      </c>
      <c r="E9" s="9">
        <f>INDEX('6_długot.'!B3:G28,MATCH(6,B4:B29,0),3)</f>
        <v>801</v>
      </c>
      <c r="F9" s="10">
        <f>INDEX('6_długot.'!B3:G28,MATCH(6,B4:B29,0),4)</f>
        <v>2</v>
      </c>
      <c r="G9" s="9">
        <f>INDEX('6_długot.'!B3:G28,MATCH(6,B4:B29,0),5)</f>
        <v>894</v>
      </c>
      <c r="H9" s="10">
        <f>INDEX('6_długot.'!B3:G28,MATCH(6,B4:B29,0),6)</f>
        <v>-91</v>
      </c>
    </row>
    <row r="10" spans="2:8" x14ac:dyDescent="0.2">
      <c r="B10" s="10">
        <f>RANK('6_długot.'!C9,'6_długot.'!$C$3:'6_długot.'!$C$28,1)+COUNTIF('6_długot.'!$C$3:'6_długot.'!C9,'6_długot.'!C9)-1</f>
        <v>7</v>
      </c>
      <c r="C10" s="13" t="str">
        <f>INDEX('6_długot.'!B3:G28,MATCH(7,B4:B29,0),1)</f>
        <v>krośnieński</v>
      </c>
      <c r="D10" s="10">
        <f>INDEX('6_długot.'!B3:G28,MATCH(7,B4:B29,0),2)</f>
        <v>941</v>
      </c>
      <c r="E10" s="9">
        <f>INDEX('6_długot.'!B3:G28,MATCH(7,B4:B29,0),3)</f>
        <v>921</v>
      </c>
      <c r="F10" s="10">
        <f>INDEX('6_długot.'!B3:G28,MATCH(7,B4:B29,0),4)</f>
        <v>20</v>
      </c>
      <c r="G10" s="9">
        <f>INDEX('6_długot.'!B3:G28,MATCH(7,B4:B29,0),5)</f>
        <v>1014</v>
      </c>
      <c r="H10" s="10">
        <f>INDEX('6_długot.'!B3:G28,MATCH(7,B4:B29,0),6)</f>
        <v>-73</v>
      </c>
    </row>
    <row r="11" spans="2:8" x14ac:dyDescent="0.2">
      <c r="B11" s="10">
        <f>RANK('6_długot.'!C10,'6_długot.'!$C$3:'6_długot.'!$C$28,1)+COUNTIF('6_długot.'!$C$3:'6_długot.'!C10,'6_długot.'!C10)-1</f>
        <v>9</v>
      </c>
      <c r="C11" s="8" t="str">
        <f>INDEX('6_długot.'!B3:G28,MATCH(8,B4:B29,0),1)</f>
        <v>lubaczowski</v>
      </c>
      <c r="D11" s="10">
        <f>INDEX('6_długot.'!B3:G28,MATCH(8,B4:B29,0),2)</f>
        <v>982</v>
      </c>
      <c r="E11" s="9">
        <f>INDEX('6_długot.'!B3:G28,MATCH(8,B4:B29,0),3)</f>
        <v>964</v>
      </c>
      <c r="F11" s="10">
        <f>INDEX('6_długot.'!B3:G28,MATCH(8,B4:B29,0),4)</f>
        <v>18</v>
      </c>
      <c r="G11" s="9">
        <f>INDEX('6_długot.'!B3:G28,MATCH(8,B4:B29,0),5)</f>
        <v>1134</v>
      </c>
      <c r="H11" s="10">
        <f>INDEX('6_długot.'!B3:G28,MATCH(8,B4:B29,0),6)</f>
        <v>-152</v>
      </c>
    </row>
    <row r="12" spans="2:8" x14ac:dyDescent="0.2">
      <c r="B12" s="10">
        <f>RANK('6_długot.'!C11,'6_długot.'!$C$3:'6_długot.'!$C$28,1)+COUNTIF('6_długot.'!$C$3:'6_długot.'!C11,'6_długot.'!C11)-1</f>
        <v>18</v>
      </c>
      <c r="C12" s="8" t="str">
        <f>INDEX('6_długot.'!B3:G28,MATCH(9,B4:B29,0),1)</f>
        <v>leski</v>
      </c>
      <c r="D12" s="10">
        <f>INDEX('6_długot.'!B3:G28,MATCH(9,B4:B29,0),2)</f>
        <v>1039</v>
      </c>
      <c r="E12" s="9">
        <f>INDEX('6_długot.'!B3:G28,MATCH(9,B4:B29,0),3)</f>
        <v>1031</v>
      </c>
      <c r="F12" s="10">
        <f>INDEX('6_długot.'!B3:G28,MATCH(9,B4:B29,0),4)</f>
        <v>8</v>
      </c>
      <c r="G12" s="9">
        <f>INDEX('6_długot.'!B3:G28,MATCH(9,B4:B29,0),5)</f>
        <v>1075</v>
      </c>
      <c r="H12" s="10">
        <f>INDEX('6_długot.'!B3:G28,MATCH(9,B4:B29,0),6)</f>
        <v>-36</v>
      </c>
    </row>
    <row r="13" spans="2:8" x14ac:dyDescent="0.2">
      <c r="B13" s="10">
        <f>RANK('6_długot.'!C12,'6_długot.'!$C$3:'6_długot.'!$C$28,1)+COUNTIF('6_długot.'!$C$3:'6_długot.'!C12,'6_długot.'!C12)-1</f>
        <v>8</v>
      </c>
      <c r="C13" s="8" t="str">
        <f>INDEX('6_długot.'!B3:G28,MATCH(10,B4:B29,0),1)</f>
        <v>dębicki</v>
      </c>
      <c r="D13" s="10">
        <f>INDEX('6_długot.'!B3:G28,MATCH(10,B4:B29,0),2)</f>
        <v>1078</v>
      </c>
      <c r="E13" s="9">
        <f>INDEX('6_długot.'!B3:G28,MATCH(10,B4:B29,0),3)</f>
        <v>1077</v>
      </c>
      <c r="F13" s="10">
        <f>INDEX('6_długot.'!B3:G28,MATCH(10,B4:B29,0),4)</f>
        <v>1</v>
      </c>
      <c r="G13" s="9">
        <f>INDEX('6_długot.'!B3:G28,MATCH(10,B4:B29,0),5)</f>
        <v>1330</v>
      </c>
      <c r="H13" s="10">
        <f>INDEX('6_długot.'!B3:G28,MATCH(10,B4:B29,0),6)</f>
        <v>-252</v>
      </c>
    </row>
    <row r="14" spans="2:8" x14ac:dyDescent="0.2">
      <c r="B14" s="10">
        <f>RANK('6_długot.'!C13,'6_długot.'!$C$3:'6_długot.'!$C$28,1)+COUNTIF('6_długot.'!$C$3:'6_długot.'!C13,'6_długot.'!C13)-1</f>
        <v>13</v>
      </c>
      <c r="C14" s="8" t="str">
        <f>INDEX('6_długot.'!B3:G28,MATCH(11,B4:B29,0),1)</f>
        <v>mielecki</v>
      </c>
      <c r="D14" s="10">
        <f>INDEX('6_długot.'!B3:G28,MATCH(11,B4:B29,0),2)</f>
        <v>1232</v>
      </c>
      <c r="E14" s="9">
        <f>INDEX('6_długot.'!B3:G28,MATCH(11,B4:B29,0),3)</f>
        <v>1244</v>
      </c>
      <c r="F14" s="10">
        <f>INDEX('6_długot.'!B3:G28,MATCH(11,B4:B29,0),4)</f>
        <v>-12</v>
      </c>
      <c r="G14" s="9">
        <f>INDEX('6_długot.'!B3:G28,MATCH(11,B4:B29,0),5)</f>
        <v>1452</v>
      </c>
      <c r="H14" s="10">
        <f>INDEX('6_długot.'!B3:G28,MATCH(11,B4:B29,0),6)</f>
        <v>-220</v>
      </c>
    </row>
    <row r="15" spans="2:8" x14ac:dyDescent="0.2">
      <c r="B15" s="10">
        <f>RANK('6_długot.'!C14,'6_długot.'!$C$3:'6_długot.'!$C$28,1)+COUNTIF('6_długot.'!$C$3:'6_długot.'!C14,'6_długot.'!C14)-1</f>
        <v>11</v>
      </c>
      <c r="C15" s="8" t="str">
        <f>INDEX('6_długot.'!B3:G28,MATCH(12,B4:B29,0),1)</f>
        <v>sanocki</v>
      </c>
      <c r="D15" s="10">
        <f>INDEX('6_długot.'!B3:G28,MATCH(12,B4:B29,0),2)</f>
        <v>1294</v>
      </c>
      <c r="E15" s="9">
        <f>INDEX('6_długot.'!B3:G28,MATCH(12,B4:B29,0),3)</f>
        <v>1280</v>
      </c>
      <c r="F15" s="10">
        <f>INDEX('6_długot.'!B3:G28,MATCH(12,B4:B29,0),4)</f>
        <v>14</v>
      </c>
      <c r="G15" s="9">
        <f>INDEX('6_długot.'!B3:G28,MATCH(12,B4:B29,0),5)</f>
        <v>1387</v>
      </c>
      <c r="H15" s="10">
        <f>INDEX('6_długot.'!B3:G28,MATCH(12,B4:B29,0),6)</f>
        <v>-93</v>
      </c>
    </row>
    <row r="16" spans="2:8" x14ac:dyDescent="0.2">
      <c r="B16" s="10">
        <f>RANK('6_długot.'!C15,'6_długot.'!$C$3:'6_długot.'!$C$28,1)+COUNTIF('6_długot.'!$C$3:'6_długot.'!C15,'6_długot.'!C15)-1</f>
        <v>16</v>
      </c>
      <c r="C16" s="8" t="str">
        <f>INDEX('6_długot.'!B3:G28,MATCH(13,B4:B29,0),1)</f>
        <v>łańcucki</v>
      </c>
      <c r="D16" s="10">
        <f>INDEX('6_długot.'!B3:G28,MATCH(13,B4:B29,0),2)</f>
        <v>1382</v>
      </c>
      <c r="E16" s="9">
        <f>INDEX('6_długot.'!B3:G28,MATCH(13,B4:B29,0),3)</f>
        <v>1407</v>
      </c>
      <c r="F16" s="10">
        <f>INDEX('6_długot.'!B3:G28,MATCH(13,B4:B29,0),4)</f>
        <v>-25</v>
      </c>
      <c r="G16" s="9">
        <f>INDEX('6_długot.'!B3:G28,MATCH(13,B4:B29,0),5)</f>
        <v>1958</v>
      </c>
      <c r="H16" s="10">
        <f>INDEX('6_długot.'!B3:G28,MATCH(13,B4:B29,0),6)</f>
        <v>-576</v>
      </c>
    </row>
    <row r="17" spans="2:8" x14ac:dyDescent="0.2">
      <c r="B17" s="10">
        <f>RANK('6_długot.'!C16,'6_długot.'!$C$3:'6_długot.'!$C$28,1)+COUNTIF('6_długot.'!$C$3:'6_długot.'!C16,'6_długot.'!C16)-1</f>
        <v>17</v>
      </c>
      <c r="C17" s="8" t="str">
        <f>INDEX('6_długot.'!B3:G28,MATCH(14,B4:B29,0),1)</f>
        <v>Przemyśl</v>
      </c>
      <c r="D17" s="10">
        <f>INDEX('6_długot.'!B3:G28,MATCH(14,B4:B29,0),2)</f>
        <v>1596</v>
      </c>
      <c r="E17" s="9">
        <f>INDEX('6_długot.'!B3:G28,MATCH(14,B4:B29,0),3)</f>
        <v>1605</v>
      </c>
      <c r="F17" s="10">
        <f>INDEX('6_długot.'!B3:G28,MATCH(14,B4:B29,0),4)</f>
        <v>-9</v>
      </c>
      <c r="G17" s="9">
        <f>INDEX('6_długot.'!B3:G28,MATCH(14,B4:B29,0),5)</f>
        <v>1975</v>
      </c>
      <c r="H17" s="10">
        <f>INDEX('6_długot.'!B3:G28,MATCH(14,B4:B29,0),6)</f>
        <v>-379</v>
      </c>
    </row>
    <row r="18" spans="2:8" x14ac:dyDescent="0.2">
      <c r="B18" s="10">
        <f>RANK('6_długot.'!C17,'6_długot.'!$C$3:'6_długot.'!$C$28,1)+COUNTIF('6_długot.'!$C$3:'6_długot.'!C17,'6_długot.'!C17)-1</f>
        <v>20</v>
      </c>
      <c r="C18" s="8" t="str">
        <f>INDEX('6_długot.'!B3:G28,MATCH(15,B4:B29,0),1)</f>
        <v>ropczycko-sędziszowski</v>
      </c>
      <c r="D18" s="10">
        <f>INDEX('6_długot.'!B3:G28,MATCH(15,B4:B29,0),2)</f>
        <v>1608</v>
      </c>
      <c r="E18" s="9">
        <f>INDEX('6_długot.'!B3:G28,MATCH(15,B4:B29,0),3)</f>
        <v>1650</v>
      </c>
      <c r="F18" s="10">
        <f>INDEX('6_długot.'!B3:G28,MATCH(15,B4:B29,0),4)</f>
        <v>-42</v>
      </c>
      <c r="G18" s="9">
        <f>INDEX('6_długot.'!B3:G28,MATCH(15,B4:B29,0),5)</f>
        <v>1900</v>
      </c>
      <c r="H18" s="10">
        <f>INDEX('6_długot.'!B3:G28,MATCH(15,B4:B29,0),6)</f>
        <v>-292</v>
      </c>
    </row>
    <row r="19" spans="2:8" x14ac:dyDescent="0.2">
      <c r="B19" s="10">
        <f>RANK('6_długot.'!C18,'6_długot.'!$C$3:'6_długot.'!$C$28,1)+COUNTIF('6_długot.'!$C$3:'6_długot.'!C18,'6_długot.'!C18)-1</f>
        <v>15</v>
      </c>
      <c r="C19" s="8" t="str">
        <f>INDEX('6_długot.'!B3:G28,MATCH(16,B4:B29,0),1)</f>
        <v>niżański</v>
      </c>
      <c r="D19" s="10">
        <f>INDEX('6_długot.'!B3:G28,MATCH(16,B4:B29,0),2)</f>
        <v>1749</v>
      </c>
      <c r="E19" s="9">
        <f>INDEX('6_długot.'!B3:G28,MATCH(16,B4:B29,0),3)</f>
        <v>1786</v>
      </c>
      <c r="F19" s="10">
        <f>INDEX('6_długot.'!B3:G28,MATCH(16,B4:B29,0),4)</f>
        <v>-37</v>
      </c>
      <c r="G19" s="9">
        <f>INDEX('6_długot.'!B3:G28,MATCH(16,B4:B29,0),5)</f>
        <v>2031</v>
      </c>
      <c r="H19" s="10">
        <f>INDEX('6_długot.'!B3:G28,MATCH(16,B4:B29,0),6)</f>
        <v>-282</v>
      </c>
    </row>
    <row r="20" spans="2:8" x14ac:dyDescent="0.2">
      <c r="B20" s="10">
        <f>RANK('6_długot.'!C19,'6_długot.'!$C$3:'6_długot.'!$C$28,1)+COUNTIF('6_długot.'!$C$3:'6_długot.'!C19,'6_długot.'!C19)-1</f>
        <v>23</v>
      </c>
      <c r="C20" s="8" t="str">
        <f>INDEX('6_długot.'!B3:G28,MATCH(17,B4:B29,0),1)</f>
        <v>przemyski</v>
      </c>
      <c r="D20" s="10">
        <f>INDEX('6_długot.'!B3:G28,MATCH(17,B4:B29,0),2)</f>
        <v>1825</v>
      </c>
      <c r="E20" s="9">
        <f>INDEX('6_długot.'!B3:G28,MATCH(17,B4:B29,0),3)</f>
        <v>1818</v>
      </c>
      <c r="F20" s="10">
        <f>INDEX('6_długot.'!B3:G28,MATCH(17,B4:B29,0),4)</f>
        <v>7</v>
      </c>
      <c r="G20" s="9">
        <f>INDEX('6_długot.'!B3:G28,MATCH(17,B4:B29,0),5)</f>
        <v>2248</v>
      </c>
      <c r="H20" s="10">
        <f>INDEX('6_długot.'!B3:G28,MATCH(17,B4:B29,0),6)</f>
        <v>-423</v>
      </c>
    </row>
    <row r="21" spans="2:8" x14ac:dyDescent="0.2">
      <c r="B21" s="10">
        <f>RANK('6_długot.'!C20,'6_długot.'!$C$3:'6_długot.'!$C$28,1)+COUNTIF('6_długot.'!$C$3:'6_długot.'!C20,'6_długot.'!C20)-1</f>
        <v>12</v>
      </c>
      <c r="C21" s="8" t="str">
        <f>INDEX('6_długot.'!B3:G28,MATCH(18,B4:B29,0),1)</f>
        <v>leżajski</v>
      </c>
      <c r="D21" s="10">
        <f>INDEX('6_długot.'!B3:G28,MATCH(18,B4:B29,0),2)</f>
        <v>1921</v>
      </c>
      <c r="E21" s="9">
        <f>INDEX('6_długot.'!B3:G28,MATCH(18,B4:B29,0),3)</f>
        <v>1953</v>
      </c>
      <c r="F21" s="10">
        <f>INDEX('6_długot.'!B3:G28,MATCH(18,B4:B29,0),4)</f>
        <v>-32</v>
      </c>
      <c r="G21" s="9">
        <f>INDEX('6_długot.'!B3:G28,MATCH(18,B4:B29,0),5)</f>
        <v>2263</v>
      </c>
      <c r="H21" s="10">
        <f>INDEX('6_długot.'!B3:G28,MATCH(18,B4:B29,0),6)</f>
        <v>-342</v>
      </c>
    </row>
    <row r="22" spans="2:8" x14ac:dyDescent="0.2">
      <c r="B22" s="10">
        <f>RANK('6_długot.'!C21,'6_długot.'!$C$3:'6_długot.'!$C$28,1)+COUNTIF('6_długot.'!$C$3:'6_długot.'!C21,'6_długot.'!C21)-1</f>
        <v>5</v>
      </c>
      <c r="C22" s="8" t="str">
        <f>INDEX('6_długot.'!B3:G28,MATCH(19,B4:B29,0),1)</f>
        <v>strzyżowski</v>
      </c>
      <c r="D22" s="10">
        <f>INDEX('6_długot.'!B3:G28,MATCH(19,B4:B29,0),2)</f>
        <v>2058</v>
      </c>
      <c r="E22" s="9">
        <f>INDEX('6_długot.'!B3:G28,MATCH(19,B4:B29,0),3)</f>
        <v>2071</v>
      </c>
      <c r="F22" s="10">
        <f>INDEX('6_długot.'!B3:G28,MATCH(19,B4:B29,0),4)</f>
        <v>-13</v>
      </c>
      <c r="G22" s="9">
        <f>INDEX('6_długot.'!B3:G28,MATCH(19,B4:B29,0),5)</f>
        <v>2306</v>
      </c>
      <c r="H22" s="10">
        <f>INDEX('6_długot.'!B3:G28,MATCH(19,B4:B29,0),6)</f>
        <v>-248</v>
      </c>
    </row>
    <row r="23" spans="2:8" x14ac:dyDescent="0.2">
      <c r="B23" s="10">
        <f>RANK('6_długot.'!C22,'6_długot.'!$C$3:'6_długot.'!$C$28,1)+COUNTIF('6_długot.'!$C$3:'6_długot.'!C22,'6_długot.'!C22)-1</f>
        <v>19</v>
      </c>
      <c r="C23" s="8" t="str">
        <f>INDEX('6_długot.'!B3:G28,MATCH(20,B4:B29,0),1)</f>
        <v>przeworski</v>
      </c>
      <c r="D23" s="10">
        <f>INDEX('6_długot.'!B3:G28,MATCH(20,B4:B29,0),2)</f>
        <v>2173</v>
      </c>
      <c r="E23" s="9">
        <f>INDEX('6_długot.'!B3:G28,MATCH(20,B4:B29,0),3)</f>
        <v>2180</v>
      </c>
      <c r="F23" s="10">
        <f>INDEX('6_długot.'!B3:G28,MATCH(20,B4:B29,0),4)</f>
        <v>-7</v>
      </c>
      <c r="G23" s="9">
        <f>INDEX('6_długot.'!B3:G28,MATCH(20,B4:B29,0),5)</f>
        <v>2420</v>
      </c>
      <c r="H23" s="10">
        <f>INDEX('6_długot.'!B3:G28,MATCH(20,B4:B29,0),6)</f>
        <v>-247</v>
      </c>
    </row>
    <row r="24" spans="2:8" x14ac:dyDescent="0.2">
      <c r="B24" s="10">
        <f>RANK('6_długot.'!C23,'6_długot.'!$C$3:'6_długot.'!$C$28,1)+COUNTIF('6_długot.'!$C$3:'6_długot.'!C23,'6_długot.'!C23)-1</f>
        <v>4</v>
      </c>
      <c r="C24" s="8" t="str">
        <f>INDEX('6_długot.'!B3:G28,MATCH(21,B4:B29,0),1)</f>
        <v>brzozowski</v>
      </c>
      <c r="D24" s="10">
        <f>INDEX('6_długot.'!B3:G28,MATCH(21,B4:B29,0),2)</f>
        <v>2592</v>
      </c>
      <c r="E24" s="9">
        <f>INDEX('6_długot.'!B3:G28,MATCH(21,B4:B29,0),3)</f>
        <v>2568</v>
      </c>
      <c r="F24" s="10">
        <f>INDEX('6_długot.'!B3:G28,MATCH(21,B4:B29,0),4)</f>
        <v>24</v>
      </c>
      <c r="G24" s="9">
        <f>INDEX('6_długot.'!B3:G28,MATCH(21,B4:B29,0),5)</f>
        <v>2763</v>
      </c>
      <c r="H24" s="10">
        <f>INDEX('6_długot.'!B3:G28,MATCH(21,B4:B29,0),6)</f>
        <v>-171</v>
      </c>
    </row>
    <row r="25" spans="2:8" x14ac:dyDescent="0.2">
      <c r="B25" s="10">
        <f>RANK('6_długot.'!C24,'6_długot.'!$C$3:'6_długot.'!$C$28,1)+COUNTIF('6_długot.'!$C$3:'6_długot.'!C24,'6_długot.'!C24)-1</f>
        <v>1</v>
      </c>
      <c r="C25" s="8" t="str">
        <f>INDEX('6_długot.'!B3:G28,MATCH(22,B4:B29,0),1)</f>
        <v>jarosławski</v>
      </c>
      <c r="D25" s="10">
        <f>INDEX('6_długot.'!B3:G28,MATCH(22,B4:B29,0),2)</f>
        <v>2849</v>
      </c>
      <c r="E25" s="9">
        <f>INDEX('6_długot.'!B3:G28,MATCH(22,B4:B29,0),3)</f>
        <v>2851</v>
      </c>
      <c r="F25" s="10">
        <f>INDEX('6_długot.'!B3:G28,MATCH(22,B4:B29,0),4)</f>
        <v>-2</v>
      </c>
      <c r="G25" s="9">
        <f>INDEX('6_długot.'!B3:G28,MATCH(22,B4:B29,0),5)</f>
        <v>3340</v>
      </c>
      <c r="H25" s="10">
        <f>INDEX('6_długot.'!B3:G28,MATCH(22,B4:B29,0),6)</f>
        <v>-491</v>
      </c>
    </row>
    <row r="26" spans="2:8" x14ac:dyDescent="0.2">
      <c r="B26" s="10">
        <f>RANK('6_długot.'!C25,'6_długot.'!$C$3:'6_długot.'!$C$28,1)+COUNTIF('6_długot.'!$C$3:'6_długot.'!C25,'6_długot.'!C25)-1</f>
        <v>14</v>
      </c>
      <c r="C26" s="8" t="str">
        <f>INDEX('6_długot.'!B3:G28,MATCH(23,B4:B29,0),1)</f>
        <v>rzeszowski</v>
      </c>
      <c r="D26" s="10">
        <f>INDEX('6_długot.'!B3:G28,MATCH(23,B4:B29,0),2)</f>
        <v>3034</v>
      </c>
      <c r="E26" s="9">
        <f>INDEX('6_długot.'!B3:G28,MATCH(23,B4:B29,0),3)</f>
        <v>3040</v>
      </c>
      <c r="F26" s="10">
        <f>INDEX('6_długot.'!B3:G28,MATCH(23,B4:B29,0),4)</f>
        <v>-6</v>
      </c>
      <c r="G26" s="9">
        <f>INDEX('6_długot.'!B3:G28,MATCH(23,B4:B29,0),5)</f>
        <v>3640</v>
      </c>
      <c r="H26" s="10">
        <f>INDEX('6_długot.'!B3:G28,MATCH(23,B4:B29,0),6)</f>
        <v>-606</v>
      </c>
    </row>
    <row r="27" spans="2:8" x14ac:dyDescent="0.2">
      <c r="B27" s="10">
        <f>RANK('6_długot.'!C26,'6_długot.'!$C$3:'6_długot.'!$C$28,1)+COUNTIF('6_długot.'!$C$3:'6_długot.'!C26,'6_długot.'!C26)-1</f>
        <v>25</v>
      </c>
      <c r="C27" s="8" t="str">
        <f>INDEX('6_długot.'!B3:G28,MATCH(24,B4:B29,0),1)</f>
        <v>jasielski</v>
      </c>
      <c r="D27" s="10">
        <f>INDEX('6_długot.'!B3:G28,MATCH(24,B4:B29,0),2)</f>
        <v>3068</v>
      </c>
      <c r="E27" s="9">
        <f>INDEX('6_długot.'!B3:G28,MATCH(24,B4:B29,0),3)</f>
        <v>3060</v>
      </c>
      <c r="F27" s="10">
        <f>INDEX('6_długot.'!B3:G28,MATCH(24,B4:B29,0),4)</f>
        <v>8</v>
      </c>
      <c r="G27" s="9">
        <f>INDEX('6_długot.'!B3:G28,MATCH(24,B4:B29,0),5)</f>
        <v>3667</v>
      </c>
      <c r="H27" s="10">
        <f>INDEX('6_długot.'!B3:G28,MATCH(24,B4:B29,0),6)</f>
        <v>-599</v>
      </c>
    </row>
    <row r="28" spans="2:8" x14ac:dyDescent="0.2">
      <c r="B28" s="10">
        <f>RANK('6_długot.'!C27,'6_długot.'!$C$3:'6_długot.'!$C$28,1)+COUNTIF('6_długot.'!$C$3:'6_długot.'!C27,'6_długot.'!C27)-1</f>
        <v>2</v>
      </c>
      <c r="C28" s="8" t="str">
        <f>INDEX('6_długot.'!B3:G28,MATCH(25,B4:B29,0),1)</f>
        <v>Rzeszów</v>
      </c>
      <c r="D28" s="10">
        <f>INDEX('6_długot.'!B3:G28,MATCH(25,B4:B29,0),2)</f>
        <v>3436</v>
      </c>
      <c r="E28" s="9">
        <f>INDEX('6_długot.'!B3:G28,MATCH(25,B4:B29,0),3)</f>
        <v>3505</v>
      </c>
      <c r="F28" s="10">
        <f>INDEX('6_długot.'!B3:G28,MATCH(25,B4:B29,0),4)</f>
        <v>-69</v>
      </c>
      <c r="G28" s="9">
        <f>INDEX('6_długot.'!B3:G28,MATCH(25,B4:B29,0),5)</f>
        <v>4261</v>
      </c>
      <c r="H28" s="10">
        <f>INDEX('6_długot.'!B3:G28,MATCH(25,B4:B29,0),6)</f>
        <v>-825</v>
      </c>
    </row>
    <row r="29" spans="2:8" ht="15" x14ac:dyDescent="0.25">
      <c r="B29" s="34">
        <f>RANK('6_długot.'!C28,'6_długot.'!$C$3:'6_długot.'!$C$28,1)+COUNTIF('6_długot.'!$C$3:'6_długot.'!C28,'6_długot.'!C28)-1</f>
        <v>26</v>
      </c>
      <c r="C29" s="35" t="str">
        <f>INDEX('6_długot.'!B3:G28,MATCH(26,B4:B29,0),1)</f>
        <v>województwo</v>
      </c>
      <c r="D29" s="34">
        <f>INDEX('6_długot.'!B3:G28,MATCH(26,B4:B29,0),2)</f>
        <v>39721</v>
      </c>
      <c r="E29" s="17">
        <f>INDEX('6_długot.'!B3:G28,MATCH(26,B4:B29,0),3)</f>
        <v>39885</v>
      </c>
      <c r="F29" s="34">
        <f>INDEX('6_długot.'!B3:G28,MATCH(26,B4:B29,0),4)</f>
        <v>-164</v>
      </c>
      <c r="G29" s="17">
        <f>INDEX('6_długot.'!B3:G28,MATCH(26,B4:B29,0),5)</f>
        <v>46824</v>
      </c>
      <c r="H29" s="34">
        <f>INDEX('6_długot.'!B3:G28,MATCH(26,B4:B29,0),6)</f>
        <v>-7103</v>
      </c>
    </row>
  </sheetData>
  <pageMargins left="0" right="0" top="0.31496062992125984" bottom="0" header="0" footer="0"/>
  <pageSetup paperSize="9" scale="71" orientation="landscape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theme="7" tint="0.59999389629810485"/>
    <pageSetUpPr fitToPage="1"/>
  </sheetPr>
  <dimension ref="B1:H29"/>
  <sheetViews>
    <sheetView zoomScale="80" zoomScaleNormal="80" workbookViewId="0">
      <selection activeCell="B1" sqref="B1"/>
    </sheetView>
  </sheetViews>
  <sheetFormatPr defaultRowHeight="14.25" x14ac:dyDescent="0.2"/>
  <cols>
    <col min="1" max="1" width="2.42578125" style="3" customWidth="1"/>
    <col min="2" max="2" width="25.5703125" style="3" customWidth="1"/>
    <col min="3" max="3" width="15.42578125" style="3" customWidth="1"/>
    <col min="4" max="4" width="15.28515625" style="3" customWidth="1"/>
    <col min="5" max="5" width="16.28515625" style="3" customWidth="1"/>
    <col min="6" max="6" width="15" style="3" customWidth="1"/>
    <col min="7" max="7" width="17.85546875" style="3" customWidth="1"/>
    <col min="8" max="16384" width="9.140625" style="3"/>
  </cols>
  <sheetData>
    <row r="1" spans="2:8" ht="20.25" customHeight="1" x14ac:dyDescent="0.2">
      <c r="B1" s="1" t="s">
        <v>97</v>
      </c>
      <c r="C1" s="72"/>
      <c r="D1" s="72"/>
      <c r="E1" s="72"/>
      <c r="F1" s="72"/>
      <c r="G1" s="72"/>
    </row>
    <row r="2" spans="2:8" ht="57" x14ac:dyDescent="0.2">
      <c r="B2" s="5" t="s">
        <v>27</v>
      </c>
      <c r="C2" s="6" t="s">
        <v>130</v>
      </c>
      <c r="D2" s="7" t="s">
        <v>110</v>
      </c>
      <c r="E2" s="6" t="s">
        <v>28</v>
      </c>
      <c r="F2" s="7" t="s">
        <v>129</v>
      </c>
      <c r="G2" s="6" t="s">
        <v>26</v>
      </c>
    </row>
    <row r="3" spans="2:8" x14ac:dyDescent="0.2">
      <c r="B3" s="8" t="s">
        <v>0</v>
      </c>
      <c r="C3" s="73">
        <v>299</v>
      </c>
      <c r="D3" s="9">
        <v>285</v>
      </c>
      <c r="E3" s="73">
        <f t="shared" ref="E3:E27" si="0">SUM(C3)-D3</f>
        <v>14</v>
      </c>
      <c r="F3" s="9">
        <v>325</v>
      </c>
      <c r="G3" s="73">
        <f t="shared" ref="G3:G27" si="1">SUM(C3)-F3</f>
        <v>-26</v>
      </c>
      <c r="H3" s="11"/>
    </row>
    <row r="4" spans="2:8" x14ac:dyDescent="0.2">
      <c r="B4" s="8" t="s">
        <v>1</v>
      </c>
      <c r="C4" s="73">
        <v>1017</v>
      </c>
      <c r="D4" s="9">
        <v>996</v>
      </c>
      <c r="E4" s="73">
        <f t="shared" si="0"/>
        <v>21</v>
      </c>
      <c r="F4" s="9">
        <v>1066</v>
      </c>
      <c r="G4" s="73">
        <f t="shared" si="1"/>
        <v>-49</v>
      </c>
      <c r="H4" s="11"/>
    </row>
    <row r="5" spans="2:8" x14ac:dyDescent="0.2">
      <c r="B5" s="8" t="s">
        <v>2</v>
      </c>
      <c r="C5" s="73">
        <v>736</v>
      </c>
      <c r="D5" s="9">
        <v>725</v>
      </c>
      <c r="E5" s="73">
        <f t="shared" si="0"/>
        <v>11</v>
      </c>
      <c r="F5" s="9">
        <v>763</v>
      </c>
      <c r="G5" s="73">
        <f t="shared" si="1"/>
        <v>-27</v>
      </c>
      <c r="H5" s="11"/>
    </row>
    <row r="6" spans="2:8" x14ac:dyDescent="0.2">
      <c r="B6" s="8" t="s">
        <v>3</v>
      </c>
      <c r="C6" s="73">
        <v>1249</v>
      </c>
      <c r="D6" s="9">
        <v>1267</v>
      </c>
      <c r="E6" s="73">
        <f t="shared" si="0"/>
        <v>-18</v>
      </c>
      <c r="F6" s="9">
        <v>1461</v>
      </c>
      <c r="G6" s="73">
        <f t="shared" si="1"/>
        <v>-212</v>
      </c>
      <c r="H6" s="11"/>
    </row>
    <row r="7" spans="2:8" x14ac:dyDescent="0.2">
      <c r="B7" s="8" t="s">
        <v>4</v>
      </c>
      <c r="C7" s="73">
        <v>1211</v>
      </c>
      <c r="D7" s="9">
        <v>1167</v>
      </c>
      <c r="E7" s="73">
        <f t="shared" si="0"/>
        <v>44</v>
      </c>
      <c r="F7" s="9">
        <v>1318</v>
      </c>
      <c r="G7" s="73">
        <f t="shared" si="1"/>
        <v>-107</v>
      </c>
      <c r="H7" s="11"/>
    </row>
    <row r="8" spans="2:8" x14ac:dyDescent="0.2">
      <c r="B8" s="8" t="s">
        <v>5</v>
      </c>
      <c r="C8" s="73">
        <v>439</v>
      </c>
      <c r="D8" s="9">
        <v>419</v>
      </c>
      <c r="E8" s="73">
        <f t="shared" si="0"/>
        <v>20</v>
      </c>
      <c r="F8" s="9">
        <v>481</v>
      </c>
      <c r="G8" s="73">
        <f t="shared" si="1"/>
        <v>-42</v>
      </c>
      <c r="H8" s="11"/>
    </row>
    <row r="9" spans="2:8" x14ac:dyDescent="0.2">
      <c r="B9" s="13" t="s">
        <v>6</v>
      </c>
      <c r="C9" s="73">
        <v>492</v>
      </c>
      <c r="D9" s="9">
        <v>449</v>
      </c>
      <c r="E9" s="73">
        <f t="shared" si="0"/>
        <v>43</v>
      </c>
      <c r="F9" s="9">
        <v>481</v>
      </c>
      <c r="G9" s="73">
        <f t="shared" si="1"/>
        <v>11</v>
      </c>
      <c r="H9" s="11"/>
    </row>
    <row r="10" spans="2:8" x14ac:dyDescent="0.2">
      <c r="B10" s="8" t="s">
        <v>7</v>
      </c>
      <c r="C10" s="73">
        <v>441</v>
      </c>
      <c r="D10" s="9">
        <v>429</v>
      </c>
      <c r="E10" s="73">
        <f t="shared" si="0"/>
        <v>12</v>
      </c>
      <c r="F10" s="9">
        <v>465</v>
      </c>
      <c r="G10" s="73">
        <f t="shared" si="1"/>
        <v>-24</v>
      </c>
      <c r="H10" s="11"/>
    </row>
    <row r="11" spans="2:8" x14ac:dyDescent="0.2">
      <c r="B11" s="8" t="s">
        <v>8</v>
      </c>
      <c r="C11" s="73">
        <v>906</v>
      </c>
      <c r="D11" s="9">
        <v>923</v>
      </c>
      <c r="E11" s="73">
        <f t="shared" si="0"/>
        <v>-17</v>
      </c>
      <c r="F11" s="9">
        <v>1104</v>
      </c>
      <c r="G11" s="73">
        <f t="shared" si="1"/>
        <v>-198</v>
      </c>
      <c r="H11" s="11"/>
    </row>
    <row r="12" spans="2:8" x14ac:dyDescent="0.2">
      <c r="B12" s="8" t="s">
        <v>9</v>
      </c>
      <c r="C12" s="73">
        <v>516</v>
      </c>
      <c r="D12" s="9">
        <v>486</v>
      </c>
      <c r="E12" s="73">
        <f t="shared" si="0"/>
        <v>30</v>
      </c>
      <c r="F12" s="9">
        <v>565</v>
      </c>
      <c r="G12" s="73">
        <f t="shared" si="1"/>
        <v>-49</v>
      </c>
      <c r="H12" s="11"/>
    </row>
    <row r="13" spans="2:8" x14ac:dyDescent="0.2">
      <c r="B13" s="8" t="s">
        <v>10</v>
      </c>
      <c r="C13" s="73">
        <v>762</v>
      </c>
      <c r="D13" s="9">
        <v>737</v>
      </c>
      <c r="E13" s="73">
        <f t="shared" si="0"/>
        <v>25</v>
      </c>
      <c r="F13" s="9">
        <v>947</v>
      </c>
      <c r="G13" s="73">
        <f t="shared" si="1"/>
        <v>-185</v>
      </c>
      <c r="H13" s="11"/>
    </row>
    <row r="14" spans="2:8" x14ac:dyDescent="0.2">
      <c r="B14" s="8" t="s">
        <v>11</v>
      </c>
      <c r="C14" s="73">
        <v>687</v>
      </c>
      <c r="D14" s="9">
        <v>691</v>
      </c>
      <c r="E14" s="73">
        <f t="shared" si="0"/>
        <v>-4</v>
      </c>
      <c r="F14" s="9">
        <v>790</v>
      </c>
      <c r="G14" s="73">
        <f t="shared" si="1"/>
        <v>-103</v>
      </c>
      <c r="H14" s="11"/>
    </row>
    <row r="15" spans="2:8" x14ac:dyDescent="0.2">
      <c r="B15" s="8" t="s">
        <v>12</v>
      </c>
      <c r="C15" s="73">
        <v>848</v>
      </c>
      <c r="D15" s="9">
        <v>866</v>
      </c>
      <c r="E15" s="73">
        <f t="shared" si="0"/>
        <v>-18</v>
      </c>
      <c r="F15" s="9">
        <v>919</v>
      </c>
      <c r="G15" s="73">
        <f t="shared" si="1"/>
        <v>-71</v>
      </c>
      <c r="H15" s="11"/>
    </row>
    <row r="16" spans="2:8" x14ac:dyDescent="0.2">
      <c r="B16" s="8" t="s">
        <v>13</v>
      </c>
      <c r="C16" s="73">
        <v>787</v>
      </c>
      <c r="D16" s="9">
        <v>777</v>
      </c>
      <c r="E16" s="73">
        <f t="shared" si="0"/>
        <v>10</v>
      </c>
      <c r="F16" s="9">
        <v>1082</v>
      </c>
      <c r="G16" s="73">
        <f t="shared" si="1"/>
        <v>-295</v>
      </c>
      <c r="H16" s="11"/>
    </row>
    <row r="17" spans="2:8" x14ac:dyDescent="0.2">
      <c r="B17" s="8" t="s">
        <v>14</v>
      </c>
      <c r="C17" s="73">
        <v>995</v>
      </c>
      <c r="D17" s="9">
        <v>999</v>
      </c>
      <c r="E17" s="73">
        <f t="shared" si="0"/>
        <v>-4</v>
      </c>
      <c r="F17" s="9">
        <v>1059</v>
      </c>
      <c r="G17" s="73">
        <f t="shared" si="1"/>
        <v>-64</v>
      </c>
      <c r="H17" s="11"/>
    </row>
    <row r="18" spans="2:8" x14ac:dyDescent="0.2">
      <c r="B18" s="8" t="s">
        <v>15</v>
      </c>
      <c r="C18" s="73">
        <v>792</v>
      </c>
      <c r="D18" s="9">
        <v>847</v>
      </c>
      <c r="E18" s="73">
        <f t="shared" si="0"/>
        <v>-55</v>
      </c>
      <c r="F18" s="9">
        <v>925</v>
      </c>
      <c r="G18" s="73">
        <f t="shared" si="1"/>
        <v>-133</v>
      </c>
      <c r="H18" s="11"/>
    </row>
    <row r="19" spans="2:8" x14ac:dyDescent="0.2">
      <c r="B19" s="8" t="s">
        <v>16</v>
      </c>
      <c r="C19" s="73">
        <v>1346</v>
      </c>
      <c r="D19" s="9">
        <v>1339</v>
      </c>
      <c r="E19" s="73">
        <f t="shared" si="0"/>
        <v>7</v>
      </c>
      <c r="F19" s="9">
        <v>1606</v>
      </c>
      <c r="G19" s="73">
        <f t="shared" si="1"/>
        <v>-260</v>
      </c>
      <c r="H19" s="11"/>
    </row>
    <row r="20" spans="2:8" x14ac:dyDescent="0.2">
      <c r="B20" s="8" t="s">
        <v>17</v>
      </c>
      <c r="C20" s="73">
        <v>744</v>
      </c>
      <c r="D20" s="9">
        <v>733</v>
      </c>
      <c r="E20" s="73">
        <f t="shared" si="0"/>
        <v>11</v>
      </c>
      <c r="F20" s="9">
        <v>708</v>
      </c>
      <c r="G20" s="73">
        <f t="shared" si="1"/>
        <v>36</v>
      </c>
      <c r="H20" s="11"/>
    </row>
    <row r="21" spans="2:8" x14ac:dyDescent="0.2">
      <c r="B21" s="8" t="s">
        <v>18</v>
      </c>
      <c r="C21" s="73">
        <v>479</v>
      </c>
      <c r="D21" s="9">
        <v>509</v>
      </c>
      <c r="E21" s="73">
        <f t="shared" si="0"/>
        <v>-30</v>
      </c>
      <c r="F21" s="9">
        <v>595</v>
      </c>
      <c r="G21" s="73">
        <f t="shared" si="1"/>
        <v>-116</v>
      </c>
      <c r="H21" s="11"/>
    </row>
    <row r="22" spans="2:8" x14ac:dyDescent="0.2">
      <c r="B22" s="8" t="s">
        <v>19</v>
      </c>
      <c r="C22" s="73">
        <v>923</v>
      </c>
      <c r="D22" s="9">
        <v>923</v>
      </c>
      <c r="E22" s="73">
        <f t="shared" si="0"/>
        <v>0</v>
      </c>
      <c r="F22" s="9">
        <v>953</v>
      </c>
      <c r="G22" s="73">
        <f t="shared" si="1"/>
        <v>-30</v>
      </c>
      <c r="H22" s="11"/>
    </row>
    <row r="23" spans="2:8" x14ac:dyDescent="0.2">
      <c r="B23" s="8" t="s">
        <v>20</v>
      </c>
      <c r="C23" s="73">
        <v>332</v>
      </c>
      <c r="D23" s="9">
        <v>338</v>
      </c>
      <c r="E23" s="73">
        <f t="shared" si="0"/>
        <v>-6</v>
      </c>
      <c r="F23" s="9">
        <v>448</v>
      </c>
      <c r="G23" s="73">
        <f t="shared" si="1"/>
        <v>-116</v>
      </c>
      <c r="H23" s="11"/>
    </row>
    <row r="24" spans="2:8" x14ac:dyDescent="0.2">
      <c r="B24" s="8" t="s">
        <v>21</v>
      </c>
      <c r="C24" s="73">
        <v>121</v>
      </c>
      <c r="D24" s="9">
        <v>119</v>
      </c>
      <c r="E24" s="73">
        <f t="shared" si="0"/>
        <v>2</v>
      </c>
      <c r="F24" s="9">
        <v>135</v>
      </c>
      <c r="G24" s="73">
        <f t="shared" si="1"/>
        <v>-14</v>
      </c>
      <c r="H24" s="11"/>
    </row>
    <row r="25" spans="2:8" x14ac:dyDescent="0.2">
      <c r="B25" s="8" t="s">
        <v>22</v>
      </c>
      <c r="C25" s="73">
        <v>418</v>
      </c>
      <c r="D25" s="9">
        <v>401</v>
      </c>
      <c r="E25" s="73">
        <f t="shared" si="0"/>
        <v>17</v>
      </c>
      <c r="F25" s="9">
        <v>500</v>
      </c>
      <c r="G25" s="73">
        <f t="shared" si="1"/>
        <v>-82</v>
      </c>
      <c r="H25" s="11"/>
    </row>
    <row r="26" spans="2:8" x14ac:dyDescent="0.2">
      <c r="B26" s="8" t="s">
        <v>23</v>
      </c>
      <c r="C26" s="73">
        <v>1059</v>
      </c>
      <c r="D26" s="9">
        <v>1032</v>
      </c>
      <c r="E26" s="73">
        <f t="shared" si="0"/>
        <v>27</v>
      </c>
      <c r="F26" s="9">
        <v>1262</v>
      </c>
      <c r="G26" s="73">
        <f t="shared" si="1"/>
        <v>-203</v>
      </c>
      <c r="H26" s="11"/>
    </row>
    <row r="27" spans="2:8" x14ac:dyDescent="0.2">
      <c r="B27" s="8" t="s">
        <v>24</v>
      </c>
      <c r="C27" s="73">
        <v>209</v>
      </c>
      <c r="D27" s="9">
        <v>211</v>
      </c>
      <c r="E27" s="73">
        <f t="shared" si="0"/>
        <v>-2</v>
      </c>
      <c r="F27" s="9">
        <v>284</v>
      </c>
      <c r="G27" s="73">
        <f t="shared" si="1"/>
        <v>-75</v>
      </c>
      <c r="H27" s="11"/>
    </row>
    <row r="28" spans="2:8" ht="15" x14ac:dyDescent="0.25">
      <c r="B28" s="15" t="s">
        <v>25</v>
      </c>
      <c r="C28" s="74">
        <f>SUM(C3:C27)</f>
        <v>17808</v>
      </c>
      <c r="D28" s="17">
        <f>SUM(D3:D27)</f>
        <v>17668</v>
      </c>
      <c r="E28" s="74">
        <f>SUM(E3:E27)</f>
        <v>140</v>
      </c>
      <c r="F28" s="17">
        <f>SUM(F3:F27)</f>
        <v>20242</v>
      </c>
      <c r="G28" s="74">
        <f>SUM(G3:G27)</f>
        <v>-2434</v>
      </c>
      <c r="H28" s="11"/>
    </row>
    <row r="29" spans="2:8" x14ac:dyDescent="0.2">
      <c r="E29" s="30"/>
      <c r="F29" s="30"/>
      <c r="G29" s="11"/>
    </row>
  </sheetData>
  <printOptions horizontalCentered="1" verticalCentered="1"/>
  <pageMargins left="0" right="0" top="0.31496062992125984" bottom="0" header="0" footer="0"/>
  <pageSetup paperSize="9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theme="7" tint="-0.249977111117893"/>
  </sheetPr>
  <dimension ref="B1:H29"/>
  <sheetViews>
    <sheetView zoomScale="80" zoomScaleNormal="80" workbookViewId="0">
      <selection activeCell="B1" sqref="B1"/>
    </sheetView>
  </sheetViews>
  <sheetFormatPr defaultRowHeight="14.25" x14ac:dyDescent="0.2"/>
  <cols>
    <col min="1" max="1" width="3" style="3" customWidth="1"/>
    <col min="2" max="2" width="6.5703125" style="3" customWidth="1"/>
    <col min="3" max="3" width="23.85546875" style="3" customWidth="1"/>
    <col min="4" max="4" width="14" style="3" customWidth="1"/>
    <col min="5" max="5" width="13.5703125" style="3" customWidth="1"/>
    <col min="6" max="6" width="15.85546875" style="3" customWidth="1"/>
    <col min="7" max="7" width="14.28515625" style="3" customWidth="1"/>
    <col min="8" max="8" width="17.5703125" style="3" customWidth="1"/>
    <col min="9" max="9" width="5.5703125" style="3" customWidth="1"/>
    <col min="10" max="10" width="7.5703125" style="3" customWidth="1"/>
    <col min="11" max="18" width="9.140625" style="3"/>
    <col min="19" max="19" width="6.85546875" style="3" customWidth="1"/>
    <col min="20" max="20" width="2.5703125" style="3" customWidth="1"/>
    <col min="21" max="16384" width="9.140625" style="3"/>
  </cols>
  <sheetData>
    <row r="1" spans="2:8" x14ac:dyDescent="0.2">
      <c r="B1" s="2" t="s">
        <v>83</v>
      </c>
    </row>
    <row r="2" spans="2:8" ht="15" x14ac:dyDescent="0.2">
      <c r="C2" s="31"/>
      <c r="D2" s="32"/>
    </row>
    <row r="3" spans="2:8" ht="71.25" x14ac:dyDescent="0.2">
      <c r="B3" s="33" t="s">
        <v>88</v>
      </c>
      <c r="C3" s="5" t="str">
        <f>T('7_do 30 r.ż.'!B2)</f>
        <v>powiaty</v>
      </c>
      <c r="D3" s="5" t="str">
        <f>T('7_do 30 r.ż.'!C2)</f>
        <v>liczba bezrobotnych do 30 r. ż. stan na 30 XI '22 r.</v>
      </c>
      <c r="E3" s="5" t="str">
        <f>T('7_do 30 r.ż.'!D2)</f>
        <v>liczba bezrobotnych do 30 r. ż. stan na 31 X '22 r.</v>
      </c>
      <c r="F3" s="5" t="str">
        <f>T('7_do 30 r.ż.'!E2)</f>
        <v>wzrost/spadek do poprzedniego  miesiąca</v>
      </c>
      <c r="G3" s="5" t="str">
        <f>T('7_do 30 r.ż.'!F2)</f>
        <v>liczba bezrobotnych do 30 r. ż. stan na 30 XI '21 r.</v>
      </c>
      <c r="H3" s="5" t="str">
        <f>T('7_do 30 r.ż.'!G2)</f>
        <v>wzrost/spadek do analogicznego okresu ubr.</v>
      </c>
    </row>
    <row r="4" spans="2:8" x14ac:dyDescent="0.2">
      <c r="B4" s="10">
        <f>RANK('7_do 30 r.ż.'!C3,'7_do 30 r.ż.'!$C$3:'7_do 30 r.ż.'!$C$28,1)+COUNTIF('7_do 30 r.ż.'!$C$3:'7_do 30 r.ż.'!C3,'7_do 30 r.ż.'!C3)-1</f>
        <v>3</v>
      </c>
      <c r="C4" s="8" t="str">
        <f>INDEX('7_do 30 r.ż.'!B3:G28,MATCH(1,B4:B29,0),1)</f>
        <v>Krosno</v>
      </c>
      <c r="D4" s="39">
        <f>INDEX('7_do 30 r.ż.'!B3:G28,MATCH(1,B4:B29,0),2)</f>
        <v>121</v>
      </c>
      <c r="E4" s="9">
        <f>INDEX('7_do 30 r.ż.'!B3:G28,MATCH(1,B4:B29,0),3)</f>
        <v>119</v>
      </c>
      <c r="F4" s="10">
        <f>INDEX('7_do 30 r.ż.'!B3:G28,MATCH(1,B4:B29,0),4)</f>
        <v>2</v>
      </c>
      <c r="G4" s="9">
        <f>INDEX('7_do 30 r.ż.'!B3:G28,MATCH(1,B4:B29,0),5)</f>
        <v>135</v>
      </c>
      <c r="H4" s="10">
        <f>INDEX('7_do 30 r.ż.'!B3:G28,MATCH(1,B4:B29,0),6)</f>
        <v>-14</v>
      </c>
    </row>
    <row r="5" spans="2:8" x14ac:dyDescent="0.2">
      <c r="B5" s="10">
        <f>RANK('7_do 30 r.ż.'!C4,'7_do 30 r.ż.'!$C$3:'7_do 30 r.ż.'!$C$28,1)+COUNTIF('7_do 30 r.ż.'!$C$3:'7_do 30 r.ż.'!C4,'7_do 30 r.ż.'!C4)-1</f>
        <v>21</v>
      </c>
      <c r="C5" s="8" t="str">
        <f>INDEX('7_do 30 r.ż.'!B3:G28,MATCH(2,B4:B29,0),1)</f>
        <v>Tarnobrzeg</v>
      </c>
      <c r="D5" s="10">
        <f>INDEX('7_do 30 r.ż.'!B3:G28,MATCH(2,B4:B29,0),2)</f>
        <v>209</v>
      </c>
      <c r="E5" s="9">
        <f>INDEX('7_do 30 r.ż.'!B3:G28,MATCH(2,B4:B29,0),3)</f>
        <v>211</v>
      </c>
      <c r="F5" s="10">
        <f>INDEX('7_do 30 r.ż.'!B3:G28,MATCH(2,B4:B29,0),4)</f>
        <v>-2</v>
      </c>
      <c r="G5" s="9">
        <f>INDEX('7_do 30 r.ż.'!B3:G28,MATCH(2,B4:B29,0),5)</f>
        <v>284</v>
      </c>
      <c r="H5" s="10">
        <f>INDEX('7_do 30 r.ż.'!B3:G28,MATCH(2,B4:B29,0),6)</f>
        <v>-75</v>
      </c>
    </row>
    <row r="6" spans="2:8" x14ac:dyDescent="0.2">
      <c r="B6" s="10">
        <f>RANK('7_do 30 r.ż.'!C5,'7_do 30 r.ż.'!$C$3:'7_do 30 r.ż.'!$C$28,1)+COUNTIF('7_do 30 r.ż.'!$C$3:'7_do 30 r.ż.'!C5,'7_do 30 r.ż.'!C5)-1</f>
        <v>12</v>
      </c>
      <c r="C6" s="8" t="str">
        <f>INDEX('7_do 30 r.ż.'!B3:G28,MATCH(3,B4:B29,0),1)</f>
        <v>bieszczadzki</v>
      </c>
      <c r="D6" s="10">
        <f>INDEX('7_do 30 r.ż.'!B3:G28,MATCH(3,B4:B29,0),2)</f>
        <v>299</v>
      </c>
      <c r="E6" s="9">
        <f>INDEX('7_do 30 r.ż.'!B3:G28,MATCH(3,B4:B29,0),3)</f>
        <v>285</v>
      </c>
      <c r="F6" s="10">
        <f>INDEX('7_do 30 r.ż.'!B3:G28,MATCH(3,B4:B29,0),4)</f>
        <v>14</v>
      </c>
      <c r="G6" s="9">
        <f>INDEX('7_do 30 r.ż.'!B3:G28,MATCH(3,B4:B29,0),5)</f>
        <v>325</v>
      </c>
      <c r="H6" s="10">
        <f>INDEX('7_do 30 r.ż.'!B3:G28,MATCH(3,B4:B29,0),6)</f>
        <v>-26</v>
      </c>
    </row>
    <row r="7" spans="2:8" x14ac:dyDescent="0.2">
      <c r="B7" s="10">
        <f>RANK('7_do 30 r.ż.'!C6,'7_do 30 r.ż.'!$C$3:'7_do 30 r.ż.'!$C$28,1)+COUNTIF('7_do 30 r.ż.'!$C$3:'7_do 30 r.ż.'!C6,'7_do 30 r.ż.'!C6)-1</f>
        <v>24</v>
      </c>
      <c r="C7" s="8" t="str">
        <f>INDEX('7_do 30 r.ż.'!B3:G28,MATCH(4,B4:B29,0),1)</f>
        <v xml:space="preserve">tarnobrzeski </v>
      </c>
      <c r="D7" s="10">
        <f>INDEX('7_do 30 r.ż.'!B3:G28,MATCH(4,B4:B29,0),2)</f>
        <v>332</v>
      </c>
      <c r="E7" s="9">
        <f>INDEX('7_do 30 r.ż.'!B3:G28,MATCH(4,B4:B29,0),3)</f>
        <v>338</v>
      </c>
      <c r="F7" s="10">
        <f>INDEX('7_do 30 r.ż.'!B3:G28,MATCH(4,B4:B29,0),4)</f>
        <v>-6</v>
      </c>
      <c r="G7" s="9">
        <f>INDEX('7_do 30 r.ż.'!B3:G28,MATCH(4,B4:B29,0),5)</f>
        <v>448</v>
      </c>
      <c r="H7" s="10">
        <f>INDEX('7_do 30 r.ż.'!B3:G28,MATCH(4,B4:B29,0),6)</f>
        <v>-116</v>
      </c>
    </row>
    <row r="8" spans="2:8" x14ac:dyDescent="0.2">
      <c r="B8" s="10">
        <f>RANK('7_do 30 r.ż.'!C7,'7_do 30 r.ż.'!$C$3:'7_do 30 r.ż.'!$C$28,1)+COUNTIF('7_do 30 r.ż.'!$C$3:'7_do 30 r.ż.'!C7,'7_do 30 r.ż.'!C7)-1</f>
        <v>23</v>
      </c>
      <c r="C8" s="8" t="str">
        <f>INDEX('7_do 30 r.ż.'!B3:G28,MATCH(5,B4:B29,0),1)</f>
        <v>Przemyśl</v>
      </c>
      <c r="D8" s="10">
        <f>INDEX('7_do 30 r.ż.'!B3:G28,MATCH(5,B4:B29,0),2)</f>
        <v>418</v>
      </c>
      <c r="E8" s="9">
        <f>INDEX('7_do 30 r.ż.'!B3:G28,MATCH(5,B4:B29,0),3)</f>
        <v>401</v>
      </c>
      <c r="F8" s="10">
        <f>INDEX('7_do 30 r.ż.'!B3:G28,MATCH(5,B4:B29,0),4)</f>
        <v>17</v>
      </c>
      <c r="G8" s="9">
        <f>INDEX('7_do 30 r.ż.'!B3:G28,MATCH(5,B4:B29,0),5)</f>
        <v>500</v>
      </c>
      <c r="H8" s="10">
        <f>INDEX('7_do 30 r.ż.'!B3:G28,MATCH(5,B4:B29,0),6)</f>
        <v>-82</v>
      </c>
    </row>
    <row r="9" spans="2:8" x14ac:dyDescent="0.2">
      <c r="B9" s="10">
        <f>RANK('7_do 30 r.ż.'!C8,'7_do 30 r.ż.'!$C$3:'7_do 30 r.ż.'!$C$28,1)+COUNTIF('7_do 30 r.ż.'!$C$3:'7_do 30 r.ż.'!C8,'7_do 30 r.ż.'!C8)-1</f>
        <v>6</v>
      </c>
      <c r="C9" s="8" t="str">
        <f>INDEX('7_do 30 r.ż.'!B3:G28,MATCH(6,B4:B29,0),1)</f>
        <v>kolbuszowski</v>
      </c>
      <c r="D9" s="10">
        <f>INDEX('7_do 30 r.ż.'!B3:G28,MATCH(6,B4:B29,0),2)</f>
        <v>439</v>
      </c>
      <c r="E9" s="9">
        <f>INDEX('7_do 30 r.ż.'!B3:G28,MATCH(6,B4:B29,0),3)</f>
        <v>419</v>
      </c>
      <c r="F9" s="10">
        <f>INDEX('7_do 30 r.ż.'!B3:G28,MATCH(6,B4:B29,0),4)</f>
        <v>20</v>
      </c>
      <c r="G9" s="9">
        <f>INDEX('7_do 30 r.ż.'!B3:G28,MATCH(6,B4:B29,0),5)</f>
        <v>481</v>
      </c>
      <c r="H9" s="10">
        <f>INDEX('7_do 30 r.ż.'!B3:G28,MATCH(6,B4:B29,0),6)</f>
        <v>-42</v>
      </c>
    </row>
    <row r="10" spans="2:8" x14ac:dyDescent="0.2">
      <c r="B10" s="10">
        <f>RANK('7_do 30 r.ż.'!C9,'7_do 30 r.ż.'!$C$3:'7_do 30 r.ż.'!$C$28,1)+COUNTIF('7_do 30 r.ż.'!$C$3:'7_do 30 r.ż.'!C9,'7_do 30 r.ż.'!C9)-1</f>
        <v>9</v>
      </c>
      <c r="C10" s="13" t="str">
        <f>INDEX('7_do 30 r.ż.'!B3:G28,MATCH(7,B4:B29,0),1)</f>
        <v>leski</v>
      </c>
      <c r="D10" s="10">
        <f>INDEX('7_do 30 r.ż.'!B3:G28,MATCH(7,B4:B29,0),2)</f>
        <v>441</v>
      </c>
      <c r="E10" s="9">
        <f>INDEX('7_do 30 r.ż.'!B3:G28,MATCH(7,B4:B29,0),3)</f>
        <v>429</v>
      </c>
      <c r="F10" s="10">
        <f>INDEX('7_do 30 r.ż.'!B3:G28,MATCH(7,B4:B29,0),4)</f>
        <v>12</v>
      </c>
      <c r="G10" s="9">
        <f>INDEX('7_do 30 r.ż.'!B3:G28,MATCH(7,B4:B29,0),5)</f>
        <v>465</v>
      </c>
      <c r="H10" s="10">
        <f>INDEX('7_do 30 r.ż.'!B3:G28,MATCH(7,B4:B29,0),6)</f>
        <v>-24</v>
      </c>
    </row>
    <row r="11" spans="2:8" x14ac:dyDescent="0.2">
      <c r="B11" s="10">
        <f>RANK('7_do 30 r.ż.'!C10,'7_do 30 r.ż.'!$C$3:'7_do 30 r.ż.'!$C$28,1)+COUNTIF('7_do 30 r.ż.'!$C$3:'7_do 30 r.ż.'!C10,'7_do 30 r.ż.'!C10)-1</f>
        <v>7</v>
      </c>
      <c r="C11" s="8" t="str">
        <f>INDEX('7_do 30 r.ż.'!B3:G28,MATCH(8,B4:B29,0),1)</f>
        <v>stalowowolski</v>
      </c>
      <c r="D11" s="10">
        <f>INDEX('7_do 30 r.ż.'!B3:G28,MATCH(8,B4:B29,0),2)</f>
        <v>479</v>
      </c>
      <c r="E11" s="9">
        <f>INDEX('7_do 30 r.ż.'!B3:G28,MATCH(8,B4:B29,0),3)</f>
        <v>509</v>
      </c>
      <c r="F11" s="10">
        <f>INDEX('7_do 30 r.ż.'!B3:G28,MATCH(8,B4:B29,0),4)</f>
        <v>-30</v>
      </c>
      <c r="G11" s="9">
        <f>INDEX('7_do 30 r.ż.'!B3:G28,MATCH(8,B4:B29,0),5)</f>
        <v>595</v>
      </c>
      <c r="H11" s="10">
        <f>INDEX('7_do 30 r.ż.'!B3:G28,MATCH(8,B4:B29,0),6)</f>
        <v>-116</v>
      </c>
    </row>
    <row r="12" spans="2:8" x14ac:dyDescent="0.2">
      <c r="B12" s="10">
        <f>RANK('7_do 30 r.ż.'!C11,'7_do 30 r.ż.'!$C$3:'7_do 30 r.ż.'!$C$28,1)+COUNTIF('7_do 30 r.ż.'!$C$3:'7_do 30 r.ż.'!C11,'7_do 30 r.ż.'!C11)-1</f>
        <v>18</v>
      </c>
      <c r="C12" s="8" t="str">
        <f>INDEX('7_do 30 r.ż.'!B3:G28,MATCH(9,B4:B29,0),1)</f>
        <v>krośnieński</v>
      </c>
      <c r="D12" s="10">
        <f>INDEX('7_do 30 r.ż.'!B3:G28,MATCH(9,B4:B29,0),2)</f>
        <v>492</v>
      </c>
      <c r="E12" s="9">
        <f>INDEX('7_do 30 r.ż.'!B3:G28,MATCH(9,B4:B29,0),3)</f>
        <v>449</v>
      </c>
      <c r="F12" s="10">
        <f>INDEX('7_do 30 r.ż.'!B3:G28,MATCH(9,B4:B29,0),4)</f>
        <v>43</v>
      </c>
      <c r="G12" s="9">
        <f>INDEX('7_do 30 r.ż.'!B3:G28,MATCH(9,B4:B29,0),5)</f>
        <v>481</v>
      </c>
      <c r="H12" s="10">
        <f>INDEX('7_do 30 r.ż.'!B3:G28,MATCH(9,B4:B29,0),6)</f>
        <v>11</v>
      </c>
    </row>
    <row r="13" spans="2:8" x14ac:dyDescent="0.2">
      <c r="B13" s="10">
        <f>RANK('7_do 30 r.ż.'!C12,'7_do 30 r.ż.'!$C$3:'7_do 30 r.ż.'!$C$28,1)+COUNTIF('7_do 30 r.ż.'!$C$3:'7_do 30 r.ż.'!C12,'7_do 30 r.ż.'!C12)-1</f>
        <v>10</v>
      </c>
      <c r="C13" s="8" t="str">
        <f>INDEX('7_do 30 r.ż.'!B3:G28,MATCH(10,B4:B29,0),1)</f>
        <v>lubaczowski</v>
      </c>
      <c r="D13" s="10">
        <f>INDEX('7_do 30 r.ż.'!B3:G28,MATCH(10,B4:B29,0),2)</f>
        <v>516</v>
      </c>
      <c r="E13" s="9">
        <f>INDEX('7_do 30 r.ż.'!B3:G28,MATCH(10,B4:B29,0),3)</f>
        <v>486</v>
      </c>
      <c r="F13" s="10">
        <f>INDEX('7_do 30 r.ż.'!B3:G28,MATCH(10,B4:B29,0),4)</f>
        <v>30</v>
      </c>
      <c r="G13" s="9">
        <f>INDEX('7_do 30 r.ż.'!B3:G28,MATCH(10,B4:B29,0),5)</f>
        <v>565</v>
      </c>
      <c r="H13" s="10">
        <f>INDEX('7_do 30 r.ż.'!B3:G28,MATCH(10,B4:B29,0),6)</f>
        <v>-49</v>
      </c>
    </row>
    <row r="14" spans="2:8" x14ac:dyDescent="0.2">
      <c r="B14" s="10">
        <f>RANK('7_do 30 r.ż.'!C13,'7_do 30 r.ż.'!$C$3:'7_do 30 r.ż.'!$C$28,1)+COUNTIF('7_do 30 r.ż.'!$C$3:'7_do 30 r.ż.'!C13,'7_do 30 r.ż.'!C13)-1</f>
        <v>14</v>
      </c>
      <c r="C14" s="8" t="str">
        <f>INDEX('7_do 30 r.ż.'!B3:G28,MATCH(11,B4:B29,0),1)</f>
        <v>mielecki</v>
      </c>
      <c r="D14" s="10">
        <f>INDEX('7_do 30 r.ż.'!B3:G28,MATCH(11,B4:B29,0),2)</f>
        <v>687</v>
      </c>
      <c r="E14" s="9">
        <f>INDEX('7_do 30 r.ż.'!B3:G28,MATCH(11,B4:B29,0),3)</f>
        <v>691</v>
      </c>
      <c r="F14" s="10">
        <f>INDEX('7_do 30 r.ż.'!B3:G28,MATCH(11,B4:B29,0),4)</f>
        <v>-4</v>
      </c>
      <c r="G14" s="9">
        <f>INDEX('7_do 30 r.ż.'!B3:G28,MATCH(11,B4:B29,0),5)</f>
        <v>790</v>
      </c>
      <c r="H14" s="10">
        <f>INDEX('7_do 30 r.ż.'!B3:G28,MATCH(11,B4:B29,0),6)</f>
        <v>-103</v>
      </c>
    </row>
    <row r="15" spans="2:8" x14ac:dyDescent="0.2">
      <c r="B15" s="10">
        <f>RANK('7_do 30 r.ż.'!C14,'7_do 30 r.ż.'!$C$3:'7_do 30 r.ż.'!$C$28,1)+COUNTIF('7_do 30 r.ż.'!$C$3:'7_do 30 r.ż.'!C14,'7_do 30 r.ż.'!C14)-1</f>
        <v>11</v>
      </c>
      <c r="C15" s="8" t="str">
        <f>INDEX('7_do 30 r.ż.'!B3:G28,MATCH(12,B4:B29,0),1)</f>
        <v>dębicki</v>
      </c>
      <c r="D15" s="10">
        <f>INDEX('7_do 30 r.ż.'!B3:G28,MATCH(12,B4:B29,0),2)</f>
        <v>736</v>
      </c>
      <c r="E15" s="9">
        <f>INDEX('7_do 30 r.ż.'!B3:G28,MATCH(12,B4:B29,0),3)</f>
        <v>725</v>
      </c>
      <c r="F15" s="10">
        <f>INDEX('7_do 30 r.ż.'!B3:G28,MATCH(12,B4:B29,0),4)</f>
        <v>11</v>
      </c>
      <c r="G15" s="9">
        <f>INDEX('7_do 30 r.ż.'!B3:G28,MATCH(12,B4:B29,0),5)</f>
        <v>763</v>
      </c>
      <c r="H15" s="10">
        <f>INDEX('7_do 30 r.ż.'!B3:G28,MATCH(12,B4:B29,0),6)</f>
        <v>-27</v>
      </c>
    </row>
    <row r="16" spans="2:8" x14ac:dyDescent="0.2">
      <c r="B16" s="10">
        <f>RANK('7_do 30 r.ż.'!C15,'7_do 30 r.ż.'!$C$3:'7_do 30 r.ż.'!$C$28,1)+COUNTIF('7_do 30 r.ż.'!$C$3:'7_do 30 r.ż.'!C15,'7_do 30 r.ż.'!C15)-1</f>
        <v>17</v>
      </c>
      <c r="C16" s="8" t="str">
        <f>INDEX('7_do 30 r.ż.'!B3:G28,MATCH(13,B4:B29,0),1)</f>
        <v>sanocki</v>
      </c>
      <c r="D16" s="10">
        <f>INDEX('7_do 30 r.ż.'!B3:G28,MATCH(13,B4:B29,0),2)</f>
        <v>744</v>
      </c>
      <c r="E16" s="9">
        <f>INDEX('7_do 30 r.ż.'!B3:G28,MATCH(13,B4:B29,0),3)</f>
        <v>733</v>
      </c>
      <c r="F16" s="10">
        <f>INDEX('7_do 30 r.ż.'!B3:G28,MATCH(13,B4:B29,0),4)</f>
        <v>11</v>
      </c>
      <c r="G16" s="9">
        <f>INDEX('7_do 30 r.ż.'!B3:G28,MATCH(13,B4:B29,0),5)</f>
        <v>708</v>
      </c>
      <c r="H16" s="10">
        <f>INDEX('7_do 30 r.ż.'!B3:G28,MATCH(13,B4:B29,0),6)</f>
        <v>36</v>
      </c>
    </row>
    <row r="17" spans="2:8" x14ac:dyDescent="0.2">
      <c r="B17" s="10">
        <f>RANK('7_do 30 r.ż.'!C16,'7_do 30 r.ż.'!$C$3:'7_do 30 r.ż.'!$C$28,1)+COUNTIF('7_do 30 r.ż.'!$C$3:'7_do 30 r.ż.'!C16,'7_do 30 r.ż.'!C16)-1</f>
        <v>15</v>
      </c>
      <c r="C17" s="8" t="str">
        <f>INDEX('7_do 30 r.ż.'!B3:G28,MATCH(14,B4:B29,0),1)</f>
        <v>łańcucki</v>
      </c>
      <c r="D17" s="10">
        <f>INDEX('7_do 30 r.ż.'!B3:G28,MATCH(14,B4:B29,0),2)</f>
        <v>762</v>
      </c>
      <c r="E17" s="9">
        <f>INDEX('7_do 30 r.ż.'!B3:G28,MATCH(14,B4:B29,0),3)</f>
        <v>737</v>
      </c>
      <c r="F17" s="10">
        <f>INDEX('7_do 30 r.ż.'!B3:G28,MATCH(14,B4:B29,0),4)</f>
        <v>25</v>
      </c>
      <c r="G17" s="9">
        <f>INDEX('7_do 30 r.ż.'!B3:G28,MATCH(14,B4:B29,0),5)</f>
        <v>947</v>
      </c>
      <c r="H17" s="10">
        <f>INDEX('7_do 30 r.ż.'!B3:G28,MATCH(14,B4:B29,0),6)</f>
        <v>-185</v>
      </c>
    </row>
    <row r="18" spans="2:8" x14ac:dyDescent="0.2">
      <c r="B18" s="10">
        <f>RANK('7_do 30 r.ż.'!C17,'7_do 30 r.ż.'!$C$3:'7_do 30 r.ż.'!$C$28,1)+COUNTIF('7_do 30 r.ż.'!$C$3:'7_do 30 r.ż.'!C17,'7_do 30 r.ż.'!C17)-1</f>
        <v>20</v>
      </c>
      <c r="C18" s="8" t="str">
        <f>INDEX('7_do 30 r.ż.'!B3:G28,MATCH(15,B4:B29,0),1)</f>
        <v>przemyski</v>
      </c>
      <c r="D18" s="10">
        <f>INDEX('7_do 30 r.ż.'!B3:G28,MATCH(15,B4:B29,0),2)</f>
        <v>787</v>
      </c>
      <c r="E18" s="9">
        <f>INDEX('7_do 30 r.ż.'!B3:G28,MATCH(15,B4:B29,0),3)</f>
        <v>777</v>
      </c>
      <c r="F18" s="10">
        <f>INDEX('7_do 30 r.ż.'!B3:G28,MATCH(15,B4:B29,0),4)</f>
        <v>10</v>
      </c>
      <c r="G18" s="9">
        <f>INDEX('7_do 30 r.ż.'!B3:G28,MATCH(15,B4:B29,0),5)</f>
        <v>1082</v>
      </c>
      <c r="H18" s="10">
        <f>INDEX('7_do 30 r.ż.'!B3:G28,MATCH(15,B4:B29,0),6)</f>
        <v>-295</v>
      </c>
    </row>
    <row r="19" spans="2:8" x14ac:dyDescent="0.2">
      <c r="B19" s="10">
        <f>RANK('7_do 30 r.ż.'!C18,'7_do 30 r.ż.'!$C$3:'7_do 30 r.ż.'!$C$28,1)+COUNTIF('7_do 30 r.ż.'!$C$3:'7_do 30 r.ż.'!C18,'7_do 30 r.ż.'!C18)-1</f>
        <v>16</v>
      </c>
      <c r="C19" s="8" t="str">
        <f>INDEX('7_do 30 r.ż.'!B3:G28,MATCH(16,B4:B29,0),1)</f>
        <v>ropczycko-sędziszowski</v>
      </c>
      <c r="D19" s="10">
        <f>INDEX('7_do 30 r.ż.'!B3:G28,MATCH(16,B4:B29,0),2)</f>
        <v>792</v>
      </c>
      <c r="E19" s="9">
        <f>INDEX('7_do 30 r.ż.'!B3:G28,MATCH(16,B4:B29,0),3)</f>
        <v>847</v>
      </c>
      <c r="F19" s="10">
        <f>INDEX('7_do 30 r.ż.'!B3:G28,MATCH(16,B4:B29,0),4)</f>
        <v>-55</v>
      </c>
      <c r="G19" s="9">
        <f>INDEX('7_do 30 r.ż.'!B3:G28,MATCH(16,B4:B29,0),5)</f>
        <v>925</v>
      </c>
      <c r="H19" s="10">
        <f>INDEX('7_do 30 r.ż.'!B3:G28,MATCH(16,B4:B29,0),6)</f>
        <v>-133</v>
      </c>
    </row>
    <row r="20" spans="2:8" x14ac:dyDescent="0.2">
      <c r="B20" s="10">
        <f>RANK('7_do 30 r.ż.'!C19,'7_do 30 r.ż.'!$C$3:'7_do 30 r.ż.'!$C$28,1)+COUNTIF('7_do 30 r.ż.'!$C$3:'7_do 30 r.ż.'!C19,'7_do 30 r.ż.'!C19)-1</f>
        <v>25</v>
      </c>
      <c r="C20" s="8" t="str">
        <f>INDEX('7_do 30 r.ż.'!B3:G28,MATCH(17,B4:B29,0),1)</f>
        <v>niżański</v>
      </c>
      <c r="D20" s="10">
        <f>INDEX('7_do 30 r.ż.'!B3:G28,MATCH(17,B4:B29,0),2)</f>
        <v>848</v>
      </c>
      <c r="E20" s="9">
        <f>INDEX('7_do 30 r.ż.'!B3:G28,MATCH(17,B4:B29,0),3)</f>
        <v>866</v>
      </c>
      <c r="F20" s="10">
        <f>INDEX('7_do 30 r.ż.'!B3:G28,MATCH(17,B4:B29,0),4)</f>
        <v>-18</v>
      </c>
      <c r="G20" s="9">
        <f>INDEX('7_do 30 r.ż.'!B3:G28,MATCH(17,B4:B29,0),5)</f>
        <v>919</v>
      </c>
      <c r="H20" s="10">
        <f>INDEX('7_do 30 r.ż.'!B3:G28,MATCH(17,B4:B29,0),6)</f>
        <v>-71</v>
      </c>
    </row>
    <row r="21" spans="2:8" x14ac:dyDescent="0.2">
      <c r="B21" s="10">
        <f>RANK('7_do 30 r.ż.'!C20,'7_do 30 r.ż.'!$C$3:'7_do 30 r.ż.'!$C$28,1)+COUNTIF('7_do 30 r.ż.'!$C$3:'7_do 30 r.ż.'!C20,'7_do 30 r.ż.'!C20)-1</f>
        <v>13</v>
      </c>
      <c r="C21" s="8" t="str">
        <f>INDEX('7_do 30 r.ż.'!B3:G28,MATCH(18,B4:B29,0),1)</f>
        <v>leżajski</v>
      </c>
      <c r="D21" s="10">
        <f>INDEX('7_do 30 r.ż.'!B3:G28,MATCH(18,B4:B29,0),2)</f>
        <v>906</v>
      </c>
      <c r="E21" s="9">
        <f>INDEX('7_do 30 r.ż.'!B3:G28,MATCH(18,B4:B29,0),3)</f>
        <v>923</v>
      </c>
      <c r="F21" s="10">
        <f>INDEX('7_do 30 r.ż.'!B3:G28,MATCH(18,B4:B29,0),4)</f>
        <v>-17</v>
      </c>
      <c r="G21" s="9">
        <f>INDEX('7_do 30 r.ż.'!B3:G28,MATCH(18,B4:B29,0),5)</f>
        <v>1104</v>
      </c>
      <c r="H21" s="10">
        <f>INDEX('7_do 30 r.ż.'!B3:G28,MATCH(18,B4:B29,0),6)</f>
        <v>-198</v>
      </c>
    </row>
    <row r="22" spans="2:8" x14ac:dyDescent="0.2">
      <c r="B22" s="10">
        <f>RANK('7_do 30 r.ż.'!C21,'7_do 30 r.ż.'!$C$3:'7_do 30 r.ż.'!$C$28,1)+COUNTIF('7_do 30 r.ż.'!$C$3:'7_do 30 r.ż.'!C21,'7_do 30 r.ż.'!C21)-1</f>
        <v>8</v>
      </c>
      <c r="C22" s="8" t="str">
        <f>INDEX('7_do 30 r.ż.'!B3:G28,MATCH(19,B4:B29,0),1)</f>
        <v>strzyżowski</v>
      </c>
      <c r="D22" s="10">
        <f>INDEX('7_do 30 r.ż.'!B3:G28,MATCH(19,B4:B29,0),2)</f>
        <v>923</v>
      </c>
      <c r="E22" s="9">
        <f>INDEX('7_do 30 r.ż.'!B3:G28,MATCH(19,B4:B29,0),3)</f>
        <v>923</v>
      </c>
      <c r="F22" s="10">
        <f>INDEX('7_do 30 r.ż.'!B3:G28,MATCH(19,B4:B29,0),4)</f>
        <v>0</v>
      </c>
      <c r="G22" s="9">
        <f>INDEX('7_do 30 r.ż.'!B3:G28,MATCH(19,B4:B29,0),5)</f>
        <v>953</v>
      </c>
      <c r="H22" s="10">
        <f>INDEX('7_do 30 r.ż.'!B3:G28,MATCH(19,B4:B29,0),6)</f>
        <v>-30</v>
      </c>
    </row>
    <row r="23" spans="2:8" x14ac:dyDescent="0.2">
      <c r="B23" s="10">
        <f>RANK('7_do 30 r.ż.'!C22,'7_do 30 r.ż.'!$C$3:'7_do 30 r.ż.'!$C$28,1)+COUNTIF('7_do 30 r.ż.'!$C$3:'7_do 30 r.ż.'!C22,'7_do 30 r.ż.'!C22)-1</f>
        <v>19</v>
      </c>
      <c r="C23" s="8" t="str">
        <f>INDEX('7_do 30 r.ż.'!B3:G28,MATCH(20,B4:B29,0),1)</f>
        <v>przeworski</v>
      </c>
      <c r="D23" s="10">
        <f>INDEX('7_do 30 r.ż.'!B3:G28,MATCH(20,B4:B29,0),2)</f>
        <v>995</v>
      </c>
      <c r="E23" s="9">
        <f>INDEX('7_do 30 r.ż.'!B3:G28,MATCH(20,B4:B29,0),3)</f>
        <v>999</v>
      </c>
      <c r="F23" s="10">
        <f>INDEX('7_do 30 r.ż.'!B3:G28,MATCH(20,B4:B29,0),4)</f>
        <v>-4</v>
      </c>
      <c r="G23" s="9">
        <f>INDEX('7_do 30 r.ż.'!B3:G28,MATCH(20,B4:B29,0),5)</f>
        <v>1059</v>
      </c>
      <c r="H23" s="10">
        <f>INDEX('7_do 30 r.ż.'!B3:G28,MATCH(20,B4:B29,0),6)</f>
        <v>-64</v>
      </c>
    </row>
    <row r="24" spans="2:8" x14ac:dyDescent="0.2">
      <c r="B24" s="10">
        <f>RANK('7_do 30 r.ż.'!C23,'7_do 30 r.ż.'!$C$3:'7_do 30 r.ż.'!$C$28,1)+COUNTIF('7_do 30 r.ż.'!$C$3:'7_do 30 r.ż.'!C23,'7_do 30 r.ż.'!C23)-1</f>
        <v>4</v>
      </c>
      <c r="C24" s="8" t="str">
        <f>INDEX('7_do 30 r.ż.'!B3:G28,MATCH(21,B4:B29,0),1)</f>
        <v>brzozowski</v>
      </c>
      <c r="D24" s="10">
        <f>INDEX('7_do 30 r.ż.'!B3:G28,MATCH(21,B4:B29,0),2)</f>
        <v>1017</v>
      </c>
      <c r="E24" s="9">
        <f>INDEX('7_do 30 r.ż.'!B3:G28,MATCH(21,B4:B29,0),3)</f>
        <v>996</v>
      </c>
      <c r="F24" s="10">
        <f>INDEX('7_do 30 r.ż.'!B3:G28,MATCH(21,B4:B29,0),4)</f>
        <v>21</v>
      </c>
      <c r="G24" s="9">
        <f>INDEX('7_do 30 r.ż.'!B3:G28,MATCH(21,B4:B29,0),5)</f>
        <v>1066</v>
      </c>
      <c r="H24" s="10">
        <f>INDEX('7_do 30 r.ż.'!B3:G28,MATCH(21,B4:B29,0),6)</f>
        <v>-49</v>
      </c>
    </row>
    <row r="25" spans="2:8" x14ac:dyDescent="0.2">
      <c r="B25" s="10">
        <f>RANK('7_do 30 r.ż.'!C24,'7_do 30 r.ż.'!$C$3:'7_do 30 r.ż.'!$C$28,1)+COUNTIF('7_do 30 r.ż.'!$C$3:'7_do 30 r.ż.'!C24,'7_do 30 r.ż.'!C24)-1</f>
        <v>1</v>
      </c>
      <c r="C25" s="8" t="str">
        <f>INDEX('7_do 30 r.ż.'!B3:G28,MATCH(22,B4:B29,0),1)</f>
        <v>Rzeszów</v>
      </c>
      <c r="D25" s="10">
        <f>INDEX('7_do 30 r.ż.'!B3:G28,MATCH(22,B4:B29,0),2)</f>
        <v>1059</v>
      </c>
      <c r="E25" s="9">
        <f>INDEX('7_do 30 r.ż.'!B3:G28,MATCH(22,B4:B29,0),3)</f>
        <v>1032</v>
      </c>
      <c r="F25" s="10">
        <f>INDEX('7_do 30 r.ż.'!B3:G28,MATCH(22,B4:B29,0),4)</f>
        <v>27</v>
      </c>
      <c r="G25" s="9">
        <f>INDEX('7_do 30 r.ż.'!B3:G28,MATCH(22,B4:B29,0),5)</f>
        <v>1262</v>
      </c>
      <c r="H25" s="10">
        <f>INDEX('7_do 30 r.ż.'!B3:G28,MATCH(22,B4:B29,0),6)</f>
        <v>-203</v>
      </c>
    </row>
    <row r="26" spans="2:8" x14ac:dyDescent="0.2">
      <c r="B26" s="10">
        <f>RANK('7_do 30 r.ż.'!C25,'7_do 30 r.ż.'!$C$3:'7_do 30 r.ż.'!$C$28,1)+COUNTIF('7_do 30 r.ż.'!$C$3:'7_do 30 r.ż.'!C25,'7_do 30 r.ż.'!C25)-1</f>
        <v>5</v>
      </c>
      <c r="C26" s="8" t="str">
        <f>INDEX('7_do 30 r.ż.'!B3:G28,MATCH(23,B4:B29,0),1)</f>
        <v>jasielski</v>
      </c>
      <c r="D26" s="10">
        <f>INDEX('7_do 30 r.ż.'!B3:G28,MATCH(23,B4:B29,0),2)</f>
        <v>1211</v>
      </c>
      <c r="E26" s="9">
        <f>INDEX('7_do 30 r.ż.'!B3:G28,MATCH(23,B4:B29,0),3)</f>
        <v>1167</v>
      </c>
      <c r="F26" s="10">
        <f>INDEX('7_do 30 r.ż.'!B3:G28,MATCH(23,B4:B29,0),4)</f>
        <v>44</v>
      </c>
      <c r="G26" s="9">
        <f>INDEX('7_do 30 r.ż.'!B3:G28,MATCH(23,B4:B29,0),5)</f>
        <v>1318</v>
      </c>
      <c r="H26" s="10">
        <f>INDEX('7_do 30 r.ż.'!B3:G28,MATCH(23,B4:B29,0),6)</f>
        <v>-107</v>
      </c>
    </row>
    <row r="27" spans="2:8" x14ac:dyDescent="0.2">
      <c r="B27" s="10">
        <f>RANK('7_do 30 r.ż.'!C26,'7_do 30 r.ż.'!$C$3:'7_do 30 r.ż.'!$C$28,1)+COUNTIF('7_do 30 r.ż.'!$C$3:'7_do 30 r.ż.'!C26,'7_do 30 r.ż.'!C26)-1</f>
        <v>22</v>
      </c>
      <c r="C27" s="8" t="str">
        <f>INDEX('7_do 30 r.ż.'!B3:G28,MATCH(24,B4:B29,0),1)</f>
        <v>jarosławski</v>
      </c>
      <c r="D27" s="10">
        <f>INDEX('7_do 30 r.ż.'!B3:G28,MATCH(24,B4:B29,0),2)</f>
        <v>1249</v>
      </c>
      <c r="E27" s="9">
        <f>INDEX('7_do 30 r.ż.'!B3:G28,MATCH(24,B4:B29,0),3)</f>
        <v>1267</v>
      </c>
      <c r="F27" s="10">
        <f>INDEX('7_do 30 r.ż.'!B3:G28,MATCH(24,B4:B29,0),4)</f>
        <v>-18</v>
      </c>
      <c r="G27" s="9">
        <f>INDEX('7_do 30 r.ż.'!B3:G28,MATCH(24,B4:B29,0),5)</f>
        <v>1461</v>
      </c>
      <c r="H27" s="10">
        <f>INDEX('7_do 30 r.ż.'!B3:G28,MATCH(24,B4:B29,0),6)</f>
        <v>-212</v>
      </c>
    </row>
    <row r="28" spans="2:8" x14ac:dyDescent="0.2">
      <c r="B28" s="10">
        <f>RANK('7_do 30 r.ż.'!C27,'7_do 30 r.ż.'!$C$3:'7_do 30 r.ż.'!$C$28,1)+COUNTIF('7_do 30 r.ż.'!$C$3:'7_do 30 r.ż.'!C27,'7_do 30 r.ż.'!C27)-1</f>
        <v>2</v>
      </c>
      <c r="C28" s="8" t="str">
        <f>INDEX('7_do 30 r.ż.'!B3:G28,MATCH(25,B4:B29,0),1)</f>
        <v>rzeszowski</v>
      </c>
      <c r="D28" s="10">
        <f>INDEX('7_do 30 r.ż.'!B3:G28,MATCH(25,B4:B29,0),2)</f>
        <v>1346</v>
      </c>
      <c r="E28" s="9">
        <f>INDEX('7_do 30 r.ż.'!B3:G28,MATCH(25,B4:B29,0),3)</f>
        <v>1339</v>
      </c>
      <c r="F28" s="10">
        <f>INDEX('7_do 30 r.ż.'!B3:G28,MATCH(25,B4:B29,0),4)</f>
        <v>7</v>
      </c>
      <c r="G28" s="9">
        <f>INDEX('7_do 30 r.ż.'!B3:G28,MATCH(25,B4:B29,0),5)</f>
        <v>1606</v>
      </c>
      <c r="H28" s="10">
        <f>INDEX('7_do 30 r.ż.'!B3:G28,MATCH(25,B4:B29,0),6)</f>
        <v>-260</v>
      </c>
    </row>
    <row r="29" spans="2:8" ht="15" x14ac:dyDescent="0.25">
      <c r="B29" s="34">
        <f>RANK('7_do 30 r.ż.'!C28,'7_do 30 r.ż.'!$C$3:'7_do 30 r.ż.'!$C$28,1)+COUNTIF('7_do 30 r.ż.'!$C$3:'7_do 30 r.ż.'!C28,'7_do 30 r.ż.'!C28)-1</f>
        <v>26</v>
      </c>
      <c r="C29" s="35" t="str">
        <f>INDEX('7_do 30 r.ż.'!B3:G28,MATCH(26,B4:B29,0),1)</f>
        <v>województwo</v>
      </c>
      <c r="D29" s="34">
        <f>INDEX('7_do 30 r.ż.'!B3:G28,MATCH(26,B4:B29,0),2)</f>
        <v>17808</v>
      </c>
      <c r="E29" s="17">
        <f>INDEX('7_do 30 r.ż.'!B3:G28,MATCH(26,B4:B29,0),3)</f>
        <v>17668</v>
      </c>
      <c r="F29" s="34">
        <f>INDEX('7_do 30 r.ż.'!B3:G28,MATCH(26,B4:B29,0),4)</f>
        <v>140</v>
      </c>
      <c r="G29" s="17">
        <f>INDEX('7_do 30 r.ż.'!B3:G28,MATCH(26,B4:B29,0),5)</f>
        <v>20242</v>
      </c>
      <c r="H29" s="34">
        <f>INDEX('7_do 30 r.ż.'!B3:G28,MATCH(26,B4:B29,0),6)</f>
        <v>-2434</v>
      </c>
    </row>
  </sheetData>
  <pageMargins left="0" right="0" top="0.31496062992125984" bottom="0" header="0" footer="0"/>
  <pageSetup paperSize="9" scale="74" orientation="landscape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tabColor theme="7" tint="0.59999389629810485"/>
    <pageSetUpPr fitToPage="1"/>
  </sheetPr>
  <dimension ref="B1:H29"/>
  <sheetViews>
    <sheetView zoomScale="80" zoomScaleNormal="80" workbookViewId="0">
      <selection activeCell="B1" sqref="B1"/>
    </sheetView>
  </sheetViews>
  <sheetFormatPr defaultRowHeight="14.25" x14ac:dyDescent="0.2"/>
  <cols>
    <col min="1" max="1" width="2.28515625" style="3" customWidth="1"/>
    <col min="2" max="2" width="25.28515625" style="3" customWidth="1"/>
    <col min="3" max="3" width="14.7109375" style="3" customWidth="1"/>
    <col min="4" max="4" width="14.140625" style="3" customWidth="1"/>
    <col min="5" max="5" width="16.5703125" style="3" customWidth="1"/>
    <col min="6" max="6" width="13.7109375" style="3" customWidth="1"/>
    <col min="7" max="7" width="17.28515625" style="3" customWidth="1"/>
    <col min="8" max="8" width="6.85546875" style="3" customWidth="1"/>
    <col min="9" max="16384" width="9.140625" style="3"/>
  </cols>
  <sheetData>
    <row r="1" spans="2:8" ht="17.25" customHeight="1" x14ac:dyDescent="0.2">
      <c r="B1" s="1" t="s">
        <v>84</v>
      </c>
      <c r="C1" s="75"/>
      <c r="D1" s="75"/>
      <c r="E1" s="75"/>
      <c r="F1" s="75"/>
      <c r="G1" s="75"/>
    </row>
    <row r="2" spans="2:8" ht="57" x14ac:dyDescent="0.2">
      <c r="B2" s="5" t="s">
        <v>27</v>
      </c>
      <c r="C2" s="6" t="s">
        <v>132</v>
      </c>
      <c r="D2" s="7" t="s">
        <v>111</v>
      </c>
      <c r="E2" s="6" t="s">
        <v>28</v>
      </c>
      <c r="F2" s="7" t="s">
        <v>131</v>
      </c>
      <c r="G2" s="6" t="s">
        <v>26</v>
      </c>
    </row>
    <row r="3" spans="2:8" x14ac:dyDescent="0.2">
      <c r="B3" s="8" t="s">
        <v>0</v>
      </c>
      <c r="C3" s="73">
        <v>258</v>
      </c>
      <c r="D3" s="9">
        <v>246</v>
      </c>
      <c r="E3" s="73">
        <f t="shared" ref="E3:E27" si="0">SUM(C3)-D3</f>
        <v>12</v>
      </c>
      <c r="F3" s="9">
        <v>259</v>
      </c>
      <c r="G3" s="73">
        <f t="shared" ref="G3:G27" si="1">SUM(C3)-F3</f>
        <v>-1</v>
      </c>
      <c r="H3" s="11"/>
    </row>
    <row r="4" spans="2:8" x14ac:dyDescent="0.2">
      <c r="B4" s="8" t="s">
        <v>1</v>
      </c>
      <c r="C4" s="73">
        <v>989</v>
      </c>
      <c r="D4" s="9">
        <v>983</v>
      </c>
      <c r="E4" s="73">
        <f t="shared" si="0"/>
        <v>6</v>
      </c>
      <c r="F4" s="9">
        <v>1024</v>
      </c>
      <c r="G4" s="73">
        <f t="shared" si="1"/>
        <v>-35</v>
      </c>
      <c r="H4" s="11"/>
    </row>
    <row r="5" spans="2:8" x14ac:dyDescent="0.2">
      <c r="B5" s="8" t="s">
        <v>2</v>
      </c>
      <c r="C5" s="73">
        <v>571</v>
      </c>
      <c r="D5" s="9">
        <v>557</v>
      </c>
      <c r="E5" s="73">
        <f t="shared" si="0"/>
        <v>14</v>
      </c>
      <c r="F5" s="9">
        <v>614</v>
      </c>
      <c r="G5" s="73">
        <f t="shared" si="1"/>
        <v>-43</v>
      </c>
      <c r="H5" s="11"/>
    </row>
    <row r="6" spans="2:8" x14ac:dyDescent="0.2">
      <c r="B6" s="8" t="s">
        <v>3</v>
      </c>
      <c r="C6" s="73">
        <v>1109</v>
      </c>
      <c r="D6" s="9">
        <v>1106</v>
      </c>
      <c r="E6" s="73">
        <f t="shared" si="0"/>
        <v>3</v>
      </c>
      <c r="F6" s="9">
        <v>1217</v>
      </c>
      <c r="G6" s="73">
        <f t="shared" si="1"/>
        <v>-108</v>
      </c>
      <c r="H6" s="11"/>
    </row>
    <row r="7" spans="2:8" x14ac:dyDescent="0.2">
      <c r="B7" s="8" t="s">
        <v>4</v>
      </c>
      <c r="C7" s="73">
        <v>1149</v>
      </c>
      <c r="D7" s="9">
        <v>1119</v>
      </c>
      <c r="E7" s="73">
        <f t="shared" si="0"/>
        <v>30</v>
      </c>
      <c r="F7" s="9">
        <v>1189</v>
      </c>
      <c r="G7" s="73">
        <f t="shared" si="1"/>
        <v>-40</v>
      </c>
      <c r="H7" s="11"/>
    </row>
    <row r="8" spans="2:8" x14ac:dyDescent="0.2">
      <c r="B8" s="8" t="s">
        <v>5</v>
      </c>
      <c r="C8" s="73">
        <v>436</v>
      </c>
      <c r="D8" s="9">
        <v>426</v>
      </c>
      <c r="E8" s="73">
        <f t="shared" si="0"/>
        <v>10</v>
      </c>
      <c r="F8" s="9">
        <v>455</v>
      </c>
      <c r="G8" s="73">
        <f t="shared" si="1"/>
        <v>-19</v>
      </c>
      <c r="H8" s="11"/>
    </row>
    <row r="9" spans="2:8" x14ac:dyDescent="0.2">
      <c r="B9" s="13" t="s">
        <v>6</v>
      </c>
      <c r="C9" s="73">
        <v>511</v>
      </c>
      <c r="D9" s="9">
        <v>501</v>
      </c>
      <c r="E9" s="73">
        <f t="shared" si="0"/>
        <v>10</v>
      </c>
      <c r="F9" s="9">
        <v>548</v>
      </c>
      <c r="G9" s="73">
        <f t="shared" si="1"/>
        <v>-37</v>
      </c>
      <c r="H9" s="11"/>
    </row>
    <row r="10" spans="2:8" x14ac:dyDescent="0.2">
      <c r="B10" s="8" t="s">
        <v>7</v>
      </c>
      <c r="C10" s="73">
        <v>411</v>
      </c>
      <c r="D10" s="9">
        <v>391</v>
      </c>
      <c r="E10" s="73">
        <f t="shared" si="0"/>
        <v>20</v>
      </c>
      <c r="F10" s="9">
        <v>409</v>
      </c>
      <c r="G10" s="73">
        <f t="shared" si="1"/>
        <v>2</v>
      </c>
      <c r="H10" s="11"/>
    </row>
    <row r="11" spans="2:8" x14ac:dyDescent="0.2">
      <c r="B11" s="8" t="s">
        <v>8</v>
      </c>
      <c r="C11" s="73">
        <v>698</v>
      </c>
      <c r="D11" s="9">
        <v>693</v>
      </c>
      <c r="E11" s="73">
        <f t="shared" si="0"/>
        <v>5</v>
      </c>
      <c r="F11" s="9">
        <v>789</v>
      </c>
      <c r="G11" s="73">
        <f t="shared" si="1"/>
        <v>-91</v>
      </c>
      <c r="H11" s="11"/>
    </row>
    <row r="12" spans="2:8" x14ac:dyDescent="0.2">
      <c r="B12" s="8" t="s">
        <v>9</v>
      </c>
      <c r="C12" s="73">
        <v>503</v>
      </c>
      <c r="D12" s="9">
        <v>486</v>
      </c>
      <c r="E12" s="73">
        <f t="shared" si="0"/>
        <v>17</v>
      </c>
      <c r="F12" s="9">
        <v>515</v>
      </c>
      <c r="G12" s="73">
        <f t="shared" si="1"/>
        <v>-12</v>
      </c>
      <c r="H12" s="11"/>
    </row>
    <row r="13" spans="2:8" x14ac:dyDescent="0.2">
      <c r="B13" s="8" t="s">
        <v>10</v>
      </c>
      <c r="C13" s="73">
        <v>623</v>
      </c>
      <c r="D13" s="9">
        <v>609</v>
      </c>
      <c r="E13" s="73">
        <f t="shared" si="0"/>
        <v>14</v>
      </c>
      <c r="F13" s="9">
        <v>731</v>
      </c>
      <c r="G13" s="73">
        <f t="shared" si="1"/>
        <v>-108</v>
      </c>
      <c r="H13" s="11"/>
    </row>
    <row r="14" spans="2:8" x14ac:dyDescent="0.2">
      <c r="B14" s="8" t="s">
        <v>11</v>
      </c>
      <c r="C14" s="73">
        <v>668</v>
      </c>
      <c r="D14" s="9">
        <v>673</v>
      </c>
      <c r="E14" s="73">
        <f t="shared" si="0"/>
        <v>-5</v>
      </c>
      <c r="F14" s="9">
        <v>702</v>
      </c>
      <c r="G14" s="73">
        <f t="shared" si="1"/>
        <v>-34</v>
      </c>
      <c r="H14" s="11"/>
    </row>
    <row r="15" spans="2:8" x14ac:dyDescent="0.2">
      <c r="B15" s="8" t="s">
        <v>12</v>
      </c>
      <c r="C15" s="73">
        <v>754</v>
      </c>
      <c r="D15" s="9">
        <v>756</v>
      </c>
      <c r="E15" s="73">
        <f t="shared" si="0"/>
        <v>-2</v>
      </c>
      <c r="F15" s="9">
        <v>790</v>
      </c>
      <c r="G15" s="73">
        <f t="shared" si="1"/>
        <v>-36</v>
      </c>
      <c r="H15" s="11"/>
    </row>
    <row r="16" spans="2:8" x14ac:dyDescent="0.2">
      <c r="B16" s="8" t="s">
        <v>13</v>
      </c>
      <c r="C16" s="73">
        <v>727</v>
      </c>
      <c r="D16" s="9">
        <v>687</v>
      </c>
      <c r="E16" s="73">
        <f t="shared" si="0"/>
        <v>40</v>
      </c>
      <c r="F16" s="9">
        <v>797</v>
      </c>
      <c r="G16" s="73">
        <f t="shared" si="1"/>
        <v>-70</v>
      </c>
      <c r="H16" s="11"/>
    </row>
    <row r="17" spans="2:8" x14ac:dyDescent="0.2">
      <c r="B17" s="8" t="s">
        <v>14</v>
      </c>
      <c r="C17" s="73">
        <v>715</v>
      </c>
      <c r="D17" s="9">
        <v>695</v>
      </c>
      <c r="E17" s="73">
        <f t="shared" si="0"/>
        <v>20</v>
      </c>
      <c r="F17" s="9">
        <v>796</v>
      </c>
      <c r="G17" s="73">
        <f t="shared" si="1"/>
        <v>-81</v>
      </c>
      <c r="H17" s="11"/>
    </row>
    <row r="18" spans="2:8" x14ac:dyDescent="0.2">
      <c r="B18" s="8" t="s">
        <v>15</v>
      </c>
      <c r="C18" s="73">
        <v>607</v>
      </c>
      <c r="D18" s="9">
        <v>598</v>
      </c>
      <c r="E18" s="73">
        <f t="shared" si="0"/>
        <v>9</v>
      </c>
      <c r="F18" s="9">
        <v>679</v>
      </c>
      <c r="G18" s="73">
        <f t="shared" si="1"/>
        <v>-72</v>
      </c>
      <c r="H18" s="11"/>
    </row>
    <row r="19" spans="2:8" x14ac:dyDescent="0.2">
      <c r="B19" s="8" t="s">
        <v>16</v>
      </c>
      <c r="C19" s="73">
        <v>1236</v>
      </c>
      <c r="D19" s="9">
        <v>1218</v>
      </c>
      <c r="E19" s="73">
        <f t="shared" si="0"/>
        <v>18</v>
      </c>
      <c r="F19" s="9">
        <v>1325</v>
      </c>
      <c r="G19" s="73">
        <f t="shared" si="1"/>
        <v>-89</v>
      </c>
      <c r="H19" s="11"/>
    </row>
    <row r="20" spans="2:8" x14ac:dyDescent="0.2">
      <c r="B20" s="8" t="s">
        <v>17</v>
      </c>
      <c r="C20" s="73">
        <v>602</v>
      </c>
      <c r="D20" s="9">
        <v>592</v>
      </c>
      <c r="E20" s="73">
        <f t="shared" si="0"/>
        <v>10</v>
      </c>
      <c r="F20" s="9">
        <v>577</v>
      </c>
      <c r="G20" s="73">
        <f t="shared" si="1"/>
        <v>25</v>
      </c>
      <c r="H20" s="11"/>
    </row>
    <row r="21" spans="2:8" x14ac:dyDescent="0.2">
      <c r="B21" s="8" t="s">
        <v>18</v>
      </c>
      <c r="C21" s="73">
        <v>512</v>
      </c>
      <c r="D21" s="9">
        <v>501</v>
      </c>
      <c r="E21" s="73">
        <f t="shared" si="0"/>
        <v>11</v>
      </c>
      <c r="F21" s="9">
        <v>607</v>
      </c>
      <c r="G21" s="73">
        <f t="shared" si="1"/>
        <v>-95</v>
      </c>
      <c r="H21" s="11"/>
    </row>
    <row r="22" spans="2:8" x14ac:dyDescent="0.2">
      <c r="B22" s="8" t="s">
        <v>19</v>
      </c>
      <c r="C22" s="73">
        <v>763</v>
      </c>
      <c r="D22" s="9">
        <v>739</v>
      </c>
      <c r="E22" s="73">
        <f t="shared" si="0"/>
        <v>24</v>
      </c>
      <c r="F22" s="9">
        <v>816</v>
      </c>
      <c r="G22" s="73">
        <f t="shared" si="1"/>
        <v>-53</v>
      </c>
      <c r="H22" s="11"/>
    </row>
    <row r="23" spans="2:8" x14ac:dyDescent="0.2">
      <c r="B23" s="8" t="s">
        <v>20</v>
      </c>
      <c r="C23" s="73">
        <v>360</v>
      </c>
      <c r="D23" s="9">
        <v>352</v>
      </c>
      <c r="E23" s="73">
        <f t="shared" si="0"/>
        <v>8</v>
      </c>
      <c r="F23" s="9">
        <v>430</v>
      </c>
      <c r="G23" s="73">
        <f t="shared" si="1"/>
        <v>-70</v>
      </c>
      <c r="H23" s="11"/>
    </row>
    <row r="24" spans="2:8" x14ac:dyDescent="0.2">
      <c r="B24" s="8" t="s">
        <v>21</v>
      </c>
      <c r="C24" s="73">
        <v>162</v>
      </c>
      <c r="D24" s="9">
        <v>163</v>
      </c>
      <c r="E24" s="73">
        <f t="shared" si="0"/>
        <v>-1</v>
      </c>
      <c r="F24" s="9">
        <v>210</v>
      </c>
      <c r="G24" s="73">
        <f t="shared" si="1"/>
        <v>-48</v>
      </c>
      <c r="H24" s="11"/>
    </row>
    <row r="25" spans="2:8" x14ac:dyDescent="0.2">
      <c r="B25" s="8" t="s">
        <v>22</v>
      </c>
      <c r="C25" s="73">
        <v>721</v>
      </c>
      <c r="D25" s="9">
        <v>717</v>
      </c>
      <c r="E25" s="73">
        <f t="shared" si="0"/>
        <v>4</v>
      </c>
      <c r="F25" s="9">
        <v>812</v>
      </c>
      <c r="G25" s="73">
        <f t="shared" si="1"/>
        <v>-91</v>
      </c>
      <c r="H25" s="11"/>
    </row>
    <row r="26" spans="2:8" x14ac:dyDescent="0.2">
      <c r="B26" s="8" t="s">
        <v>23</v>
      </c>
      <c r="C26" s="73">
        <v>1466</v>
      </c>
      <c r="D26" s="9">
        <v>1494</v>
      </c>
      <c r="E26" s="73">
        <f t="shared" si="0"/>
        <v>-28</v>
      </c>
      <c r="F26" s="9">
        <v>1654</v>
      </c>
      <c r="G26" s="73">
        <f t="shared" si="1"/>
        <v>-188</v>
      </c>
      <c r="H26" s="11"/>
    </row>
    <row r="27" spans="2:8" x14ac:dyDescent="0.2">
      <c r="B27" s="8" t="s">
        <v>24</v>
      </c>
      <c r="C27" s="73">
        <v>323</v>
      </c>
      <c r="D27" s="9">
        <v>317</v>
      </c>
      <c r="E27" s="73">
        <f t="shared" si="0"/>
        <v>6</v>
      </c>
      <c r="F27" s="9">
        <v>393</v>
      </c>
      <c r="G27" s="73">
        <f t="shared" si="1"/>
        <v>-70</v>
      </c>
      <c r="H27" s="11"/>
    </row>
    <row r="28" spans="2:8" ht="15" x14ac:dyDescent="0.25">
      <c r="B28" s="15" t="s">
        <v>25</v>
      </c>
      <c r="C28" s="74">
        <f>SUM(C3:C27)</f>
        <v>16874</v>
      </c>
      <c r="D28" s="17">
        <f>SUM(D3:D27)</f>
        <v>16619</v>
      </c>
      <c r="E28" s="74">
        <f>SUM(E3:E27)</f>
        <v>255</v>
      </c>
      <c r="F28" s="17">
        <f>SUM(F3:F27)</f>
        <v>18338</v>
      </c>
      <c r="G28" s="74">
        <f>SUM(G3:G27)</f>
        <v>-1464</v>
      </c>
      <c r="H28" s="11"/>
    </row>
    <row r="29" spans="2:8" x14ac:dyDescent="0.2">
      <c r="E29" s="30"/>
      <c r="G29" s="11"/>
    </row>
  </sheetData>
  <printOptions horizontalCentered="1" verticalCentered="1"/>
  <pageMargins left="0" right="0" top="0.31496062992125984" bottom="0" header="0" footer="0"/>
  <pageSetup paperSize="9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tabColor theme="7" tint="-0.249977111117893"/>
  </sheetPr>
  <dimension ref="B1:H29"/>
  <sheetViews>
    <sheetView zoomScale="80" zoomScaleNormal="80" workbookViewId="0">
      <selection activeCell="B1" sqref="B1"/>
    </sheetView>
  </sheetViews>
  <sheetFormatPr defaultRowHeight="14.25" x14ac:dyDescent="0.2"/>
  <cols>
    <col min="1" max="1" width="1.5703125" style="3" customWidth="1"/>
    <col min="2" max="2" width="7" style="3" customWidth="1"/>
    <col min="3" max="3" width="25.5703125" style="3" customWidth="1"/>
    <col min="4" max="6" width="16.140625" style="3" customWidth="1"/>
    <col min="7" max="7" width="15.5703125" style="3" customWidth="1"/>
    <col min="8" max="8" width="17.140625" style="3" customWidth="1"/>
    <col min="9" max="9" width="6.5703125" style="3" customWidth="1"/>
    <col min="10" max="18" width="9.140625" style="3"/>
    <col min="19" max="19" width="4.85546875" style="3" customWidth="1"/>
    <col min="20" max="20" width="2.5703125" style="3" customWidth="1"/>
    <col min="21" max="16384" width="9.140625" style="3"/>
  </cols>
  <sheetData>
    <row r="1" spans="2:8" x14ac:dyDescent="0.2">
      <c r="B1" s="2" t="s">
        <v>84</v>
      </c>
    </row>
    <row r="2" spans="2:8" ht="15" x14ac:dyDescent="0.2">
      <c r="C2" s="31"/>
      <c r="D2" s="32"/>
    </row>
    <row r="3" spans="2:8" ht="57" x14ac:dyDescent="0.2">
      <c r="B3" s="33" t="s">
        <v>88</v>
      </c>
      <c r="C3" s="5" t="str">
        <f>T('8_pow. 50 r.ż.'!B2)</f>
        <v>powiaty</v>
      </c>
      <c r="D3" s="5" t="str">
        <f>T('8_pow. 50 r.ż.'!C2)</f>
        <v>liczba bezrobotnych 50+ stan na 30 XI '22 r.</v>
      </c>
      <c r="E3" s="5" t="str">
        <f>T('8_pow. 50 r.ż.'!D2)</f>
        <v>liczba bezrobotnych 50+ stan na 31 X '22 r.</v>
      </c>
      <c r="F3" s="5" t="str">
        <f>T('8_pow. 50 r.ż.'!E2)</f>
        <v>wzrost/spadek do poprzedniego  miesiąca</v>
      </c>
      <c r="G3" s="5" t="str">
        <f>T('8_pow. 50 r.ż.'!F2)</f>
        <v>liczba bezrobotnych 50+ stan na 30 XI '21 r.</v>
      </c>
      <c r="H3" s="5" t="str">
        <f>T('8_pow. 50 r.ż.'!G2)</f>
        <v>wzrost/spadek do analogicznego okresu ubr.</v>
      </c>
    </row>
    <row r="4" spans="2:8" x14ac:dyDescent="0.2">
      <c r="B4" s="10">
        <f>RANK('8_pow. 50 r.ż.'!C3,'8_pow. 50 r.ż.'!$C$3:'8_pow. 50 r.ż.'!$C$28,1)+COUNTIF('8_pow. 50 r.ż.'!$C$3:'8_pow. 50 r.ż.'!C3,'8_pow. 50 r.ż.'!C3)-1</f>
        <v>2</v>
      </c>
      <c r="C4" s="8" t="str">
        <f>INDEX('8_pow. 50 r.ż.'!B3:G28,MATCH(1,B4:B29,0),1)</f>
        <v>Krosno</v>
      </c>
      <c r="D4" s="39">
        <f>INDEX('8_pow. 50 r.ż.'!B3:G28,MATCH(1,B4:B29,0),2)</f>
        <v>162</v>
      </c>
      <c r="E4" s="9">
        <f>INDEX('8_pow. 50 r.ż.'!B3:G28,MATCH(1,B4:B29,0),3)</f>
        <v>163</v>
      </c>
      <c r="F4" s="10">
        <f>INDEX('8_pow. 50 r.ż.'!B3:G28,MATCH(1,B4:B29,0),4)</f>
        <v>-1</v>
      </c>
      <c r="G4" s="9">
        <f>INDEX('8_pow. 50 r.ż.'!B3:G28,MATCH(1,B4:B29,0),5)</f>
        <v>210</v>
      </c>
      <c r="H4" s="10">
        <f>INDEX('8_pow. 50 r.ż.'!B3:G28,MATCH(1,B4:B29,0),6)</f>
        <v>-48</v>
      </c>
    </row>
    <row r="5" spans="2:8" x14ac:dyDescent="0.2">
      <c r="B5" s="10">
        <f>RANK('8_pow. 50 r.ż.'!C4,'8_pow. 50 r.ż.'!$C$3:'8_pow. 50 r.ż.'!$C$28,1)+COUNTIF('8_pow. 50 r.ż.'!$C$3:'8_pow. 50 r.ż.'!C4,'8_pow. 50 r.ż.'!C4)-1</f>
        <v>21</v>
      </c>
      <c r="C5" s="8" t="str">
        <f>INDEX('8_pow. 50 r.ż.'!B3:G28,MATCH(2,B4:B29,0),1)</f>
        <v>bieszczadzki</v>
      </c>
      <c r="D5" s="10">
        <f>INDEX('8_pow. 50 r.ż.'!B3:G28,MATCH(2,B4:B29,0),2)</f>
        <v>258</v>
      </c>
      <c r="E5" s="9">
        <f>INDEX('8_pow. 50 r.ż.'!B3:G28,MATCH(2,B4:B29,0),3)</f>
        <v>246</v>
      </c>
      <c r="F5" s="10">
        <f>INDEX('8_pow. 50 r.ż.'!B3:G28,MATCH(2,B4:B29,0),4)</f>
        <v>12</v>
      </c>
      <c r="G5" s="9">
        <f>INDEX('8_pow. 50 r.ż.'!B3:G28,MATCH(2,B4:B29,0),5)</f>
        <v>259</v>
      </c>
      <c r="H5" s="10">
        <f>INDEX('8_pow. 50 r.ż.'!B3:G28,MATCH(2,B4:B29,0),6)</f>
        <v>-1</v>
      </c>
    </row>
    <row r="6" spans="2:8" x14ac:dyDescent="0.2">
      <c r="B6" s="10">
        <f>RANK('8_pow. 50 r.ż.'!C5,'8_pow. 50 r.ż.'!$C$3:'8_pow. 50 r.ż.'!$C$28,1)+COUNTIF('8_pow. 50 r.ż.'!$C$3:'8_pow. 50 r.ż.'!C5,'8_pow. 50 r.ż.'!C5)-1</f>
        <v>10</v>
      </c>
      <c r="C6" s="8" t="str">
        <f>INDEX('8_pow. 50 r.ż.'!B3:G28,MATCH(3,B4:B29,0),1)</f>
        <v>Tarnobrzeg</v>
      </c>
      <c r="D6" s="10">
        <f>INDEX('8_pow. 50 r.ż.'!B3:G28,MATCH(3,B4:B29,0),2)</f>
        <v>323</v>
      </c>
      <c r="E6" s="9">
        <f>INDEX('8_pow. 50 r.ż.'!B3:G28,MATCH(3,B4:B29,0),3)</f>
        <v>317</v>
      </c>
      <c r="F6" s="10">
        <f>INDEX('8_pow. 50 r.ż.'!B3:G28,MATCH(3,B4:B29,0),4)</f>
        <v>6</v>
      </c>
      <c r="G6" s="9">
        <f>INDEX('8_pow. 50 r.ż.'!B3:G28,MATCH(3,B4:B29,0),5)</f>
        <v>393</v>
      </c>
      <c r="H6" s="10">
        <f>INDEX('8_pow. 50 r.ż.'!B3:G28,MATCH(3,B4:B29,0),6)</f>
        <v>-70</v>
      </c>
    </row>
    <row r="7" spans="2:8" x14ac:dyDescent="0.2">
      <c r="B7" s="10">
        <f>RANK('8_pow. 50 r.ż.'!C6,'8_pow. 50 r.ż.'!$C$3:'8_pow. 50 r.ż.'!$C$28,1)+COUNTIF('8_pow. 50 r.ż.'!$C$3:'8_pow. 50 r.ż.'!C6,'8_pow. 50 r.ż.'!C6)-1</f>
        <v>22</v>
      </c>
      <c r="C7" s="8" t="str">
        <f>INDEX('8_pow. 50 r.ż.'!B3:G28,MATCH(4,B4:B29,0),1)</f>
        <v xml:space="preserve">tarnobrzeski </v>
      </c>
      <c r="D7" s="10">
        <f>INDEX('8_pow. 50 r.ż.'!B3:G28,MATCH(4,B4:B29,0),2)</f>
        <v>360</v>
      </c>
      <c r="E7" s="9">
        <f>INDEX('8_pow. 50 r.ż.'!B3:G28,MATCH(4,B4:B29,0),3)</f>
        <v>352</v>
      </c>
      <c r="F7" s="10">
        <f>INDEX('8_pow. 50 r.ż.'!B3:G28,MATCH(4,B4:B29,0),4)</f>
        <v>8</v>
      </c>
      <c r="G7" s="9">
        <f>INDEX('8_pow. 50 r.ż.'!B3:G28,MATCH(4,B4:B29,0),5)</f>
        <v>430</v>
      </c>
      <c r="H7" s="10">
        <f>INDEX('8_pow. 50 r.ż.'!B3:G28,MATCH(4,B4:B29,0),6)</f>
        <v>-70</v>
      </c>
    </row>
    <row r="8" spans="2:8" x14ac:dyDescent="0.2">
      <c r="B8" s="10">
        <f>RANK('8_pow. 50 r.ż.'!C7,'8_pow. 50 r.ż.'!$C$3:'8_pow. 50 r.ż.'!$C$28,1)+COUNTIF('8_pow. 50 r.ż.'!$C$3:'8_pow. 50 r.ż.'!C7,'8_pow. 50 r.ż.'!C7)-1</f>
        <v>23</v>
      </c>
      <c r="C8" s="8" t="str">
        <f>INDEX('8_pow. 50 r.ż.'!B3:G28,MATCH(5,B4:B29,0),1)</f>
        <v>leski</v>
      </c>
      <c r="D8" s="10">
        <f>INDEX('8_pow. 50 r.ż.'!B3:G28,MATCH(5,B4:B29,0),2)</f>
        <v>411</v>
      </c>
      <c r="E8" s="9">
        <f>INDEX('8_pow. 50 r.ż.'!B3:G28,MATCH(5,B4:B29,0),3)</f>
        <v>391</v>
      </c>
      <c r="F8" s="10">
        <f>INDEX('8_pow. 50 r.ż.'!B3:G28,MATCH(5,B4:B29,0),4)</f>
        <v>20</v>
      </c>
      <c r="G8" s="9">
        <f>INDEX('8_pow. 50 r.ż.'!B3:G28,MATCH(5,B4:B29,0),5)</f>
        <v>409</v>
      </c>
      <c r="H8" s="10">
        <f>INDEX('8_pow. 50 r.ż.'!B3:G28,MATCH(5,B4:B29,0),6)</f>
        <v>2</v>
      </c>
    </row>
    <row r="9" spans="2:8" x14ac:dyDescent="0.2">
      <c r="B9" s="10">
        <f>RANK('8_pow. 50 r.ż.'!C8,'8_pow. 50 r.ż.'!$C$3:'8_pow. 50 r.ż.'!$C$28,1)+COUNTIF('8_pow. 50 r.ż.'!$C$3:'8_pow. 50 r.ż.'!C8,'8_pow. 50 r.ż.'!C8)-1</f>
        <v>6</v>
      </c>
      <c r="C9" s="8" t="str">
        <f>INDEX('8_pow. 50 r.ż.'!B3:G28,MATCH(6,B4:B29,0),1)</f>
        <v>kolbuszowski</v>
      </c>
      <c r="D9" s="10">
        <f>INDEX('8_pow. 50 r.ż.'!B3:G28,MATCH(6,B4:B29,0),2)</f>
        <v>436</v>
      </c>
      <c r="E9" s="9">
        <f>INDEX('8_pow. 50 r.ż.'!B3:G28,MATCH(6,B4:B29,0),3)</f>
        <v>426</v>
      </c>
      <c r="F9" s="10">
        <f>INDEX('8_pow. 50 r.ż.'!B3:G28,MATCH(6,B4:B29,0),4)</f>
        <v>10</v>
      </c>
      <c r="G9" s="9">
        <f>INDEX('8_pow. 50 r.ż.'!B3:G28,MATCH(6,B4:B29,0),5)</f>
        <v>455</v>
      </c>
      <c r="H9" s="10">
        <f>INDEX('8_pow. 50 r.ż.'!B3:G28,MATCH(6,B4:B29,0),6)</f>
        <v>-19</v>
      </c>
    </row>
    <row r="10" spans="2:8" x14ac:dyDescent="0.2">
      <c r="B10" s="10">
        <f>RANK('8_pow. 50 r.ż.'!C9,'8_pow. 50 r.ż.'!$C$3:'8_pow. 50 r.ż.'!$C$28,1)+COUNTIF('8_pow. 50 r.ż.'!$C$3:'8_pow. 50 r.ż.'!C9,'8_pow. 50 r.ż.'!C9)-1</f>
        <v>8</v>
      </c>
      <c r="C10" s="13" t="str">
        <f>INDEX('8_pow. 50 r.ż.'!B3:G28,MATCH(7,B4:B29,0),1)</f>
        <v>lubaczowski</v>
      </c>
      <c r="D10" s="10">
        <f>INDEX('8_pow. 50 r.ż.'!B3:G28,MATCH(7,B4:B29,0),2)</f>
        <v>503</v>
      </c>
      <c r="E10" s="9">
        <f>INDEX('8_pow. 50 r.ż.'!B3:G28,MATCH(7,B4:B29,0),3)</f>
        <v>486</v>
      </c>
      <c r="F10" s="10">
        <f>INDEX('8_pow. 50 r.ż.'!B3:G28,MATCH(7,B4:B29,0),4)</f>
        <v>17</v>
      </c>
      <c r="G10" s="9">
        <f>INDEX('8_pow. 50 r.ż.'!B3:G28,MATCH(7,B4:B29,0),5)</f>
        <v>515</v>
      </c>
      <c r="H10" s="10">
        <f>INDEX('8_pow. 50 r.ż.'!B3:G28,MATCH(7,B4:B29,0),6)</f>
        <v>-12</v>
      </c>
    </row>
    <row r="11" spans="2:8" x14ac:dyDescent="0.2">
      <c r="B11" s="10">
        <f>RANK('8_pow. 50 r.ż.'!C10,'8_pow. 50 r.ż.'!$C$3:'8_pow. 50 r.ż.'!$C$28,1)+COUNTIF('8_pow. 50 r.ż.'!$C$3:'8_pow. 50 r.ż.'!C10,'8_pow. 50 r.ż.'!C10)-1</f>
        <v>5</v>
      </c>
      <c r="C11" s="8" t="str">
        <f>INDEX('8_pow. 50 r.ż.'!B3:G28,MATCH(8,B4:B29,0),1)</f>
        <v>krośnieński</v>
      </c>
      <c r="D11" s="10">
        <f>INDEX('8_pow. 50 r.ż.'!B3:G28,MATCH(8,B4:B29,0),2)</f>
        <v>511</v>
      </c>
      <c r="E11" s="9">
        <f>INDEX('8_pow. 50 r.ż.'!B3:G28,MATCH(8,B4:B29,0),3)</f>
        <v>501</v>
      </c>
      <c r="F11" s="10">
        <f>INDEX('8_pow. 50 r.ż.'!B3:G28,MATCH(8,B4:B29,0),4)</f>
        <v>10</v>
      </c>
      <c r="G11" s="9">
        <f>INDEX('8_pow. 50 r.ż.'!B3:G28,MATCH(8,B4:B29,0),5)</f>
        <v>548</v>
      </c>
      <c r="H11" s="10">
        <f>INDEX('8_pow. 50 r.ż.'!B3:G28,MATCH(8,B4:B29,0),6)</f>
        <v>-37</v>
      </c>
    </row>
    <row r="12" spans="2:8" x14ac:dyDescent="0.2">
      <c r="B12" s="10">
        <f>RANK('8_pow. 50 r.ż.'!C11,'8_pow. 50 r.ż.'!$C$3:'8_pow. 50 r.ż.'!$C$28,1)+COUNTIF('8_pow. 50 r.ż.'!$C$3:'8_pow. 50 r.ż.'!C11,'8_pow. 50 r.ż.'!C11)-1</f>
        <v>15</v>
      </c>
      <c r="C12" s="8" t="str">
        <f>INDEX('8_pow. 50 r.ż.'!B3:G28,MATCH(9,B4:B29,0),1)</f>
        <v>stalowowolski</v>
      </c>
      <c r="D12" s="10">
        <f>INDEX('8_pow. 50 r.ż.'!B3:G28,MATCH(9,B4:B29,0),2)</f>
        <v>512</v>
      </c>
      <c r="E12" s="9">
        <f>INDEX('8_pow. 50 r.ż.'!B3:G28,MATCH(9,B4:B29,0),3)</f>
        <v>501</v>
      </c>
      <c r="F12" s="10">
        <f>INDEX('8_pow. 50 r.ż.'!B3:G28,MATCH(9,B4:B29,0),4)</f>
        <v>11</v>
      </c>
      <c r="G12" s="9">
        <f>INDEX('8_pow. 50 r.ż.'!B3:G28,MATCH(9,B4:B29,0),5)</f>
        <v>607</v>
      </c>
      <c r="H12" s="10">
        <f>INDEX('8_pow. 50 r.ż.'!B3:G28,MATCH(9,B4:B29,0),6)</f>
        <v>-95</v>
      </c>
    </row>
    <row r="13" spans="2:8" x14ac:dyDescent="0.2">
      <c r="B13" s="10">
        <f>RANK('8_pow. 50 r.ż.'!C12,'8_pow. 50 r.ż.'!$C$3:'8_pow. 50 r.ż.'!$C$28,1)+COUNTIF('8_pow. 50 r.ż.'!$C$3:'8_pow. 50 r.ż.'!C12,'8_pow. 50 r.ż.'!C12)-1</f>
        <v>7</v>
      </c>
      <c r="C13" s="8" t="str">
        <f>INDEX('8_pow. 50 r.ż.'!B3:G28,MATCH(10,B4:B29,0),1)</f>
        <v>dębicki</v>
      </c>
      <c r="D13" s="10">
        <f>INDEX('8_pow. 50 r.ż.'!B3:G28,MATCH(10,B4:B29,0),2)</f>
        <v>571</v>
      </c>
      <c r="E13" s="9">
        <f>INDEX('8_pow. 50 r.ż.'!B3:G28,MATCH(10,B4:B29,0),3)</f>
        <v>557</v>
      </c>
      <c r="F13" s="10">
        <f>INDEX('8_pow. 50 r.ż.'!B3:G28,MATCH(10,B4:B29,0),4)</f>
        <v>14</v>
      </c>
      <c r="G13" s="9">
        <f>INDEX('8_pow. 50 r.ż.'!B3:G28,MATCH(10,B4:B29,0),5)</f>
        <v>614</v>
      </c>
      <c r="H13" s="10">
        <f>INDEX('8_pow. 50 r.ż.'!B3:G28,MATCH(10,B4:B29,0),6)</f>
        <v>-43</v>
      </c>
    </row>
    <row r="14" spans="2:8" x14ac:dyDescent="0.2">
      <c r="B14" s="10">
        <f>RANK('8_pow. 50 r.ż.'!C13,'8_pow. 50 r.ż.'!$C$3:'8_pow. 50 r.ż.'!$C$28,1)+COUNTIF('8_pow. 50 r.ż.'!$C$3:'8_pow. 50 r.ż.'!C13,'8_pow. 50 r.ż.'!C13)-1</f>
        <v>13</v>
      </c>
      <c r="C14" s="8" t="str">
        <f>INDEX('8_pow. 50 r.ż.'!B3:G28,MATCH(11,B4:B29,0),1)</f>
        <v>sanocki</v>
      </c>
      <c r="D14" s="10">
        <f>INDEX('8_pow. 50 r.ż.'!B3:G28,MATCH(11,B4:B29,0),2)</f>
        <v>602</v>
      </c>
      <c r="E14" s="9">
        <f>INDEX('8_pow. 50 r.ż.'!B3:G28,MATCH(11,B4:B29,0),3)</f>
        <v>592</v>
      </c>
      <c r="F14" s="10">
        <f>INDEX('8_pow. 50 r.ż.'!B3:G28,MATCH(11,B4:B29,0),4)</f>
        <v>10</v>
      </c>
      <c r="G14" s="9">
        <f>INDEX('8_pow. 50 r.ż.'!B3:G28,MATCH(11,B4:B29,0),5)</f>
        <v>577</v>
      </c>
      <c r="H14" s="10">
        <f>INDEX('8_pow. 50 r.ż.'!B3:G28,MATCH(11,B4:B29,0),6)</f>
        <v>25</v>
      </c>
    </row>
    <row r="15" spans="2:8" x14ac:dyDescent="0.2">
      <c r="B15" s="10">
        <f>RANK('8_pow. 50 r.ż.'!C14,'8_pow. 50 r.ż.'!$C$3:'8_pow. 50 r.ż.'!$C$28,1)+COUNTIF('8_pow. 50 r.ż.'!$C$3:'8_pow. 50 r.ż.'!C14,'8_pow. 50 r.ż.'!C14)-1</f>
        <v>14</v>
      </c>
      <c r="C15" s="8" t="str">
        <f>INDEX('8_pow. 50 r.ż.'!B3:G28,MATCH(12,B4:B29,0),1)</f>
        <v>ropczycko-sędziszowski</v>
      </c>
      <c r="D15" s="10">
        <f>INDEX('8_pow. 50 r.ż.'!B3:G28,MATCH(12,B4:B29,0),2)</f>
        <v>607</v>
      </c>
      <c r="E15" s="9">
        <f>INDEX('8_pow. 50 r.ż.'!B3:G28,MATCH(12,B4:B29,0),3)</f>
        <v>598</v>
      </c>
      <c r="F15" s="10">
        <f>INDEX('8_pow. 50 r.ż.'!B3:G28,MATCH(12,B4:B29,0),4)</f>
        <v>9</v>
      </c>
      <c r="G15" s="9">
        <f>INDEX('8_pow. 50 r.ż.'!B3:G28,MATCH(12,B4:B29,0),5)</f>
        <v>679</v>
      </c>
      <c r="H15" s="10">
        <f>INDEX('8_pow. 50 r.ż.'!B3:G28,MATCH(12,B4:B29,0),6)</f>
        <v>-72</v>
      </c>
    </row>
    <row r="16" spans="2:8" x14ac:dyDescent="0.2">
      <c r="B16" s="10">
        <f>RANK('8_pow. 50 r.ż.'!C15,'8_pow. 50 r.ż.'!$C$3:'8_pow. 50 r.ż.'!$C$28,1)+COUNTIF('8_pow. 50 r.ż.'!$C$3:'8_pow. 50 r.ż.'!C15,'8_pow. 50 r.ż.'!C15)-1</f>
        <v>19</v>
      </c>
      <c r="C16" s="8" t="str">
        <f>INDEX('8_pow. 50 r.ż.'!B3:G28,MATCH(13,B4:B29,0),1)</f>
        <v>łańcucki</v>
      </c>
      <c r="D16" s="10">
        <f>INDEX('8_pow. 50 r.ż.'!B3:G28,MATCH(13,B4:B29,0),2)</f>
        <v>623</v>
      </c>
      <c r="E16" s="9">
        <f>INDEX('8_pow. 50 r.ż.'!B3:G28,MATCH(13,B4:B29,0),3)</f>
        <v>609</v>
      </c>
      <c r="F16" s="10">
        <f>INDEX('8_pow. 50 r.ż.'!B3:G28,MATCH(13,B4:B29,0),4)</f>
        <v>14</v>
      </c>
      <c r="G16" s="9">
        <f>INDEX('8_pow. 50 r.ż.'!B3:G28,MATCH(13,B4:B29,0),5)</f>
        <v>731</v>
      </c>
      <c r="H16" s="10">
        <f>INDEX('8_pow. 50 r.ż.'!B3:G28,MATCH(13,B4:B29,0),6)</f>
        <v>-108</v>
      </c>
    </row>
    <row r="17" spans="2:8" x14ac:dyDescent="0.2">
      <c r="B17" s="10">
        <f>RANK('8_pow. 50 r.ż.'!C16,'8_pow. 50 r.ż.'!$C$3:'8_pow. 50 r.ż.'!$C$28,1)+COUNTIF('8_pow. 50 r.ż.'!$C$3:'8_pow. 50 r.ż.'!C16,'8_pow. 50 r.ż.'!C16)-1</f>
        <v>18</v>
      </c>
      <c r="C17" s="8" t="str">
        <f>INDEX('8_pow. 50 r.ż.'!B3:G28,MATCH(14,B4:B29,0),1)</f>
        <v>mielecki</v>
      </c>
      <c r="D17" s="10">
        <f>INDEX('8_pow. 50 r.ż.'!B3:G28,MATCH(14,B4:B29,0),2)</f>
        <v>668</v>
      </c>
      <c r="E17" s="9">
        <f>INDEX('8_pow. 50 r.ż.'!B3:G28,MATCH(14,B4:B29,0),3)</f>
        <v>673</v>
      </c>
      <c r="F17" s="10">
        <f>INDEX('8_pow. 50 r.ż.'!B3:G28,MATCH(14,B4:B29,0),4)</f>
        <v>-5</v>
      </c>
      <c r="G17" s="9">
        <f>INDEX('8_pow. 50 r.ż.'!B3:G28,MATCH(14,B4:B29,0),5)</f>
        <v>702</v>
      </c>
      <c r="H17" s="10">
        <f>INDEX('8_pow. 50 r.ż.'!B3:G28,MATCH(14,B4:B29,0),6)</f>
        <v>-34</v>
      </c>
    </row>
    <row r="18" spans="2:8" x14ac:dyDescent="0.2">
      <c r="B18" s="10">
        <f>RANK('8_pow. 50 r.ż.'!C17,'8_pow. 50 r.ż.'!$C$3:'8_pow. 50 r.ż.'!$C$28,1)+COUNTIF('8_pow. 50 r.ż.'!$C$3:'8_pow. 50 r.ż.'!C17,'8_pow. 50 r.ż.'!C17)-1</f>
        <v>16</v>
      </c>
      <c r="C18" s="8" t="str">
        <f>INDEX('8_pow. 50 r.ż.'!B3:G28,MATCH(15,B4:B29,0),1)</f>
        <v>leżajski</v>
      </c>
      <c r="D18" s="10">
        <f>INDEX('8_pow. 50 r.ż.'!B3:G28,MATCH(15,B4:B29,0),2)</f>
        <v>698</v>
      </c>
      <c r="E18" s="9">
        <f>INDEX('8_pow. 50 r.ż.'!B3:G28,MATCH(15,B4:B29,0),3)</f>
        <v>693</v>
      </c>
      <c r="F18" s="10">
        <f>INDEX('8_pow. 50 r.ż.'!B3:G28,MATCH(15,B4:B29,0),4)</f>
        <v>5</v>
      </c>
      <c r="G18" s="9">
        <f>INDEX('8_pow. 50 r.ż.'!B3:G28,MATCH(15,B4:B29,0),5)</f>
        <v>789</v>
      </c>
      <c r="H18" s="10">
        <f>INDEX('8_pow. 50 r.ż.'!B3:G28,MATCH(15,B4:B29,0),6)</f>
        <v>-91</v>
      </c>
    </row>
    <row r="19" spans="2:8" x14ac:dyDescent="0.2">
      <c r="B19" s="10">
        <f>RANK('8_pow. 50 r.ż.'!C18,'8_pow. 50 r.ż.'!$C$3:'8_pow. 50 r.ż.'!$C$28,1)+COUNTIF('8_pow. 50 r.ż.'!$C$3:'8_pow. 50 r.ż.'!C18,'8_pow. 50 r.ż.'!C18)-1</f>
        <v>12</v>
      </c>
      <c r="C19" s="8" t="str">
        <f>INDEX('8_pow. 50 r.ż.'!B3:G28,MATCH(16,B4:B29,0),1)</f>
        <v>przeworski</v>
      </c>
      <c r="D19" s="10">
        <f>INDEX('8_pow. 50 r.ż.'!B3:G28,MATCH(16,B4:B29,0),2)</f>
        <v>715</v>
      </c>
      <c r="E19" s="9">
        <f>INDEX('8_pow. 50 r.ż.'!B3:G28,MATCH(16,B4:B29,0),3)</f>
        <v>695</v>
      </c>
      <c r="F19" s="10">
        <f>INDEX('8_pow. 50 r.ż.'!B3:G28,MATCH(16,B4:B29,0),4)</f>
        <v>20</v>
      </c>
      <c r="G19" s="9">
        <f>INDEX('8_pow. 50 r.ż.'!B3:G28,MATCH(16,B4:B29,0),5)</f>
        <v>796</v>
      </c>
      <c r="H19" s="10">
        <f>INDEX('8_pow. 50 r.ż.'!B3:G28,MATCH(16,B4:B29,0),6)</f>
        <v>-81</v>
      </c>
    </row>
    <row r="20" spans="2:8" x14ac:dyDescent="0.2">
      <c r="B20" s="10">
        <f>RANK('8_pow. 50 r.ż.'!C19,'8_pow. 50 r.ż.'!$C$3:'8_pow. 50 r.ż.'!$C$28,1)+COUNTIF('8_pow. 50 r.ż.'!$C$3:'8_pow. 50 r.ż.'!C19,'8_pow. 50 r.ż.'!C19)-1</f>
        <v>24</v>
      </c>
      <c r="C20" s="8" t="str">
        <f>INDEX('8_pow. 50 r.ż.'!B3:G28,MATCH(17,B4:B29,0),1)</f>
        <v>Przemyśl</v>
      </c>
      <c r="D20" s="10">
        <f>INDEX('8_pow. 50 r.ż.'!B3:G28,MATCH(17,B4:B29,0),2)</f>
        <v>721</v>
      </c>
      <c r="E20" s="9">
        <f>INDEX('8_pow. 50 r.ż.'!B3:G28,MATCH(17,B4:B29,0),3)</f>
        <v>717</v>
      </c>
      <c r="F20" s="10">
        <f>INDEX('8_pow. 50 r.ż.'!B3:G28,MATCH(17,B4:B29,0),4)</f>
        <v>4</v>
      </c>
      <c r="G20" s="9">
        <f>INDEX('8_pow. 50 r.ż.'!B3:G28,MATCH(17,B4:B29,0),5)</f>
        <v>812</v>
      </c>
      <c r="H20" s="10">
        <f>INDEX('8_pow. 50 r.ż.'!B3:G28,MATCH(17,B4:B29,0),6)</f>
        <v>-91</v>
      </c>
    </row>
    <row r="21" spans="2:8" x14ac:dyDescent="0.2">
      <c r="B21" s="10">
        <f>RANK('8_pow. 50 r.ż.'!C20,'8_pow. 50 r.ż.'!$C$3:'8_pow. 50 r.ż.'!$C$28,1)+COUNTIF('8_pow. 50 r.ż.'!$C$3:'8_pow. 50 r.ż.'!C20,'8_pow. 50 r.ż.'!C20)-1</f>
        <v>11</v>
      </c>
      <c r="C21" s="8" t="str">
        <f>INDEX('8_pow. 50 r.ż.'!B3:G28,MATCH(18,B4:B29,0),1)</f>
        <v>przemyski</v>
      </c>
      <c r="D21" s="10">
        <f>INDEX('8_pow. 50 r.ż.'!B3:G28,MATCH(18,B4:B29,0),2)</f>
        <v>727</v>
      </c>
      <c r="E21" s="9">
        <f>INDEX('8_pow. 50 r.ż.'!B3:G28,MATCH(18,B4:B29,0),3)</f>
        <v>687</v>
      </c>
      <c r="F21" s="10">
        <f>INDEX('8_pow. 50 r.ż.'!B3:G28,MATCH(18,B4:B29,0),4)</f>
        <v>40</v>
      </c>
      <c r="G21" s="9">
        <f>INDEX('8_pow. 50 r.ż.'!B3:G28,MATCH(18,B4:B29,0),5)</f>
        <v>797</v>
      </c>
      <c r="H21" s="10">
        <f>INDEX('8_pow. 50 r.ż.'!B3:G28,MATCH(18,B4:B29,0),6)</f>
        <v>-70</v>
      </c>
    </row>
    <row r="22" spans="2:8" x14ac:dyDescent="0.2">
      <c r="B22" s="10">
        <f>RANK('8_pow. 50 r.ż.'!C21,'8_pow. 50 r.ż.'!$C$3:'8_pow. 50 r.ż.'!$C$28,1)+COUNTIF('8_pow. 50 r.ż.'!$C$3:'8_pow. 50 r.ż.'!C21,'8_pow. 50 r.ż.'!C21)-1</f>
        <v>9</v>
      </c>
      <c r="C22" s="8" t="str">
        <f>INDEX('8_pow. 50 r.ż.'!B3:G28,MATCH(19,B4:B29,0),1)</f>
        <v>niżański</v>
      </c>
      <c r="D22" s="10">
        <f>INDEX('8_pow. 50 r.ż.'!B3:G28,MATCH(19,B4:B29,0),2)</f>
        <v>754</v>
      </c>
      <c r="E22" s="9">
        <f>INDEX('8_pow. 50 r.ż.'!B3:G28,MATCH(19,B4:B29,0),3)</f>
        <v>756</v>
      </c>
      <c r="F22" s="10">
        <f>INDEX('8_pow. 50 r.ż.'!B3:G28,MATCH(19,B4:B29,0),4)</f>
        <v>-2</v>
      </c>
      <c r="G22" s="9">
        <f>INDEX('8_pow. 50 r.ż.'!B3:G28,MATCH(19,B4:B29,0),5)</f>
        <v>790</v>
      </c>
      <c r="H22" s="10">
        <f>INDEX('8_pow. 50 r.ż.'!B3:G28,MATCH(19,B4:B29,0),6)</f>
        <v>-36</v>
      </c>
    </row>
    <row r="23" spans="2:8" x14ac:dyDescent="0.2">
      <c r="B23" s="10">
        <f>RANK('8_pow. 50 r.ż.'!C22,'8_pow. 50 r.ż.'!$C$3:'8_pow. 50 r.ż.'!$C$28,1)+COUNTIF('8_pow. 50 r.ż.'!$C$3:'8_pow. 50 r.ż.'!C22,'8_pow. 50 r.ż.'!C22)-1</f>
        <v>20</v>
      </c>
      <c r="C23" s="8" t="str">
        <f>INDEX('8_pow. 50 r.ż.'!B3:G28,MATCH(20,B4:B29,0),1)</f>
        <v>strzyżowski</v>
      </c>
      <c r="D23" s="10">
        <f>INDEX('8_pow. 50 r.ż.'!B3:G28,MATCH(20,B4:B29,0),2)</f>
        <v>763</v>
      </c>
      <c r="E23" s="9">
        <f>INDEX('8_pow. 50 r.ż.'!B3:G28,MATCH(20,B4:B29,0),3)</f>
        <v>739</v>
      </c>
      <c r="F23" s="10">
        <f>INDEX('8_pow. 50 r.ż.'!B3:G28,MATCH(20,B4:B29,0),4)</f>
        <v>24</v>
      </c>
      <c r="G23" s="9">
        <f>INDEX('8_pow. 50 r.ż.'!B3:G28,MATCH(20,B4:B29,0),5)</f>
        <v>816</v>
      </c>
      <c r="H23" s="10">
        <f>INDEX('8_pow. 50 r.ż.'!B3:G28,MATCH(20,B4:B29,0),6)</f>
        <v>-53</v>
      </c>
    </row>
    <row r="24" spans="2:8" x14ac:dyDescent="0.2">
      <c r="B24" s="10">
        <f>RANK('8_pow. 50 r.ż.'!C23,'8_pow. 50 r.ż.'!$C$3:'8_pow. 50 r.ż.'!$C$28,1)+COUNTIF('8_pow. 50 r.ż.'!$C$3:'8_pow. 50 r.ż.'!C23,'8_pow. 50 r.ż.'!C23)-1</f>
        <v>4</v>
      </c>
      <c r="C24" s="8" t="str">
        <f>INDEX('8_pow. 50 r.ż.'!B3:G28,MATCH(21,B4:B29,0),1)</f>
        <v>brzozowski</v>
      </c>
      <c r="D24" s="10">
        <f>INDEX('8_pow. 50 r.ż.'!B3:G28,MATCH(21,B4:B29,0),2)</f>
        <v>989</v>
      </c>
      <c r="E24" s="9">
        <f>INDEX('8_pow. 50 r.ż.'!B3:G28,MATCH(21,B4:B29,0),3)</f>
        <v>983</v>
      </c>
      <c r="F24" s="10">
        <f>INDEX('8_pow. 50 r.ż.'!B3:G28,MATCH(21,B4:B29,0),4)</f>
        <v>6</v>
      </c>
      <c r="G24" s="9">
        <f>INDEX('8_pow. 50 r.ż.'!B3:G28,MATCH(21,B4:B29,0),5)</f>
        <v>1024</v>
      </c>
      <c r="H24" s="10">
        <f>INDEX('8_pow. 50 r.ż.'!B3:G28,MATCH(21,B4:B29,0),6)</f>
        <v>-35</v>
      </c>
    </row>
    <row r="25" spans="2:8" x14ac:dyDescent="0.2">
      <c r="B25" s="10">
        <f>RANK('8_pow. 50 r.ż.'!C24,'8_pow. 50 r.ż.'!$C$3:'8_pow. 50 r.ż.'!$C$28,1)+COUNTIF('8_pow. 50 r.ż.'!$C$3:'8_pow. 50 r.ż.'!C24,'8_pow. 50 r.ż.'!C24)-1</f>
        <v>1</v>
      </c>
      <c r="C25" s="8" t="str">
        <f>INDEX('8_pow. 50 r.ż.'!B3:G28,MATCH(22,B4:B29,0),1)</f>
        <v>jarosławski</v>
      </c>
      <c r="D25" s="10">
        <f>INDEX('8_pow. 50 r.ż.'!B3:G28,MATCH(22,B4:B29,0),2)</f>
        <v>1109</v>
      </c>
      <c r="E25" s="9">
        <f>INDEX('8_pow. 50 r.ż.'!B3:G28,MATCH(22,B4:B29,0),3)</f>
        <v>1106</v>
      </c>
      <c r="F25" s="10">
        <f>INDEX('8_pow. 50 r.ż.'!B3:G28,MATCH(22,B4:B29,0),4)</f>
        <v>3</v>
      </c>
      <c r="G25" s="9">
        <f>INDEX('8_pow. 50 r.ż.'!B3:G28,MATCH(22,B4:B29,0),5)</f>
        <v>1217</v>
      </c>
      <c r="H25" s="10">
        <f>INDEX('8_pow. 50 r.ż.'!B3:G28,MATCH(22,B4:B29,0),6)</f>
        <v>-108</v>
      </c>
    </row>
    <row r="26" spans="2:8" x14ac:dyDescent="0.2">
      <c r="B26" s="10">
        <f>RANK('8_pow. 50 r.ż.'!C25,'8_pow. 50 r.ż.'!$C$3:'8_pow. 50 r.ż.'!$C$28,1)+COUNTIF('8_pow. 50 r.ż.'!$C$3:'8_pow. 50 r.ż.'!C25,'8_pow. 50 r.ż.'!C25)-1</f>
        <v>17</v>
      </c>
      <c r="C26" s="8" t="str">
        <f>INDEX('8_pow. 50 r.ż.'!B3:G28,MATCH(23,B4:B29,0),1)</f>
        <v>jasielski</v>
      </c>
      <c r="D26" s="10">
        <f>INDEX('8_pow. 50 r.ż.'!B3:G28,MATCH(23,B4:B29,0),2)</f>
        <v>1149</v>
      </c>
      <c r="E26" s="9">
        <f>INDEX('8_pow. 50 r.ż.'!B3:G28,MATCH(23,B4:B29,0),3)</f>
        <v>1119</v>
      </c>
      <c r="F26" s="10">
        <f>INDEX('8_pow. 50 r.ż.'!B3:G28,MATCH(23,B4:B29,0),4)</f>
        <v>30</v>
      </c>
      <c r="G26" s="9">
        <f>INDEX('8_pow. 50 r.ż.'!B3:G28,MATCH(23,B4:B29,0),5)</f>
        <v>1189</v>
      </c>
      <c r="H26" s="10">
        <f>INDEX('8_pow. 50 r.ż.'!B3:G28,MATCH(23,B4:B29,0),6)</f>
        <v>-40</v>
      </c>
    </row>
    <row r="27" spans="2:8" x14ac:dyDescent="0.2">
      <c r="B27" s="10">
        <f>RANK('8_pow. 50 r.ż.'!C26,'8_pow. 50 r.ż.'!$C$3:'8_pow. 50 r.ż.'!$C$28,1)+COUNTIF('8_pow. 50 r.ż.'!$C$3:'8_pow. 50 r.ż.'!C26,'8_pow. 50 r.ż.'!C26)-1</f>
        <v>25</v>
      </c>
      <c r="C27" s="8" t="str">
        <f>INDEX('8_pow. 50 r.ż.'!B3:G28,MATCH(24,B4:B29,0),1)</f>
        <v>rzeszowski</v>
      </c>
      <c r="D27" s="10">
        <f>INDEX('8_pow. 50 r.ż.'!B3:G28,MATCH(24,B4:B29,0),2)</f>
        <v>1236</v>
      </c>
      <c r="E27" s="9">
        <f>INDEX('8_pow. 50 r.ż.'!B3:G28,MATCH(24,B4:B29,0),3)</f>
        <v>1218</v>
      </c>
      <c r="F27" s="10">
        <f>INDEX('8_pow. 50 r.ż.'!B3:G28,MATCH(24,B4:B29,0),4)</f>
        <v>18</v>
      </c>
      <c r="G27" s="9">
        <f>INDEX('8_pow. 50 r.ż.'!B3:G28,MATCH(24,B4:B29,0),5)</f>
        <v>1325</v>
      </c>
      <c r="H27" s="10">
        <f>INDEX('8_pow. 50 r.ż.'!B3:G28,MATCH(24,B4:B29,0),6)</f>
        <v>-89</v>
      </c>
    </row>
    <row r="28" spans="2:8" x14ac:dyDescent="0.2">
      <c r="B28" s="10">
        <f>RANK('8_pow. 50 r.ż.'!C27,'8_pow. 50 r.ż.'!$C$3:'8_pow. 50 r.ż.'!$C$28,1)+COUNTIF('8_pow. 50 r.ż.'!$C$3:'8_pow. 50 r.ż.'!C27,'8_pow. 50 r.ż.'!C27)-1</f>
        <v>3</v>
      </c>
      <c r="C28" s="8" t="str">
        <f>INDEX('8_pow. 50 r.ż.'!B3:G28,MATCH(25,B4:B29,0),1)</f>
        <v>Rzeszów</v>
      </c>
      <c r="D28" s="10">
        <f>INDEX('8_pow. 50 r.ż.'!B3:G28,MATCH(25,B4:B29,0),2)</f>
        <v>1466</v>
      </c>
      <c r="E28" s="9">
        <f>INDEX('8_pow. 50 r.ż.'!B3:G28,MATCH(25,B4:B29,0),3)</f>
        <v>1494</v>
      </c>
      <c r="F28" s="10">
        <f>INDEX('8_pow. 50 r.ż.'!B3:G28,MATCH(25,B4:B29,0),4)</f>
        <v>-28</v>
      </c>
      <c r="G28" s="9">
        <f>INDEX('8_pow. 50 r.ż.'!B3:G28,MATCH(25,B4:B29,0),5)</f>
        <v>1654</v>
      </c>
      <c r="H28" s="10">
        <f>INDEX('8_pow. 50 r.ż.'!B3:G28,MATCH(25,B4:B29,0),6)</f>
        <v>-188</v>
      </c>
    </row>
    <row r="29" spans="2:8" ht="15" x14ac:dyDescent="0.25">
      <c r="B29" s="34">
        <f>RANK('8_pow. 50 r.ż.'!C28,'8_pow. 50 r.ż.'!$C$3:'8_pow. 50 r.ż.'!$C$28,1)+COUNTIF('8_pow. 50 r.ż.'!$C$3:'8_pow. 50 r.ż.'!C28,'8_pow. 50 r.ż.'!C28)-1</f>
        <v>26</v>
      </c>
      <c r="C29" s="35" t="str">
        <f>INDEX('8_pow. 50 r.ż.'!B3:G28,MATCH(26,B4:B29,0),1)</f>
        <v>województwo</v>
      </c>
      <c r="D29" s="34">
        <f>INDEX('8_pow. 50 r.ż.'!B3:G28,MATCH(26,B4:B29,0),2)</f>
        <v>16874</v>
      </c>
      <c r="E29" s="17">
        <f>INDEX('8_pow. 50 r.ż.'!B3:G28,MATCH(26,B4:B29,0),3)</f>
        <v>16619</v>
      </c>
      <c r="F29" s="34">
        <f>INDEX('8_pow. 50 r.ż.'!B3:G28,MATCH(26,B4:B29,0),4)</f>
        <v>255</v>
      </c>
      <c r="G29" s="17">
        <f>INDEX('8_pow. 50 r.ż.'!B3:G28,MATCH(26,B4:B29,0),5)</f>
        <v>18338</v>
      </c>
      <c r="H29" s="34">
        <f>INDEX('8_pow. 50 r.ż.'!B3:G28,MATCH(26,B4:B29,0),6)</f>
        <v>-1464</v>
      </c>
    </row>
  </sheetData>
  <pageMargins left="0" right="0" top="0.31496062992125984" bottom="0" header="0" footer="0"/>
  <pageSetup paperSize="9" scale="71" orientation="landscape" r:id="rId1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tabColor theme="7" tint="0.59999389629810485"/>
    <pageSetUpPr fitToPage="1"/>
  </sheetPr>
  <dimension ref="B1:H31"/>
  <sheetViews>
    <sheetView zoomScale="80" zoomScaleNormal="80" workbookViewId="0">
      <selection activeCell="B1" sqref="B1"/>
    </sheetView>
  </sheetViews>
  <sheetFormatPr defaultRowHeight="14.25" x14ac:dyDescent="0.2"/>
  <cols>
    <col min="1" max="1" width="2.5703125" style="3" customWidth="1"/>
    <col min="2" max="2" width="25.140625" style="3" customWidth="1"/>
    <col min="3" max="4" width="11.5703125" style="3" customWidth="1"/>
    <col min="5" max="5" width="16.85546875" style="3" customWidth="1"/>
    <col min="6" max="6" width="11.28515625" style="3" customWidth="1"/>
    <col min="7" max="7" width="17.140625" style="3" customWidth="1"/>
    <col min="8" max="8" width="3.85546875" style="3" customWidth="1"/>
    <col min="9" max="16384" width="9.140625" style="3"/>
  </cols>
  <sheetData>
    <row r="1" spans="2:8" ht="20.25" customHeight="1" x14ac:dyDescent="0.2">
      <c r="B1" s="1" t="s">
        <v>30</v>
      </c>
      <c r="C1" s="70"/>
      <c r="D1" s="70"/>
      <c r="E1" s="70"/>
      <c r="F1" s="70"/>
      <c r="G1" s="70"/>
    </row>
    <row r="2" spans="2:8" ht="57" x14ac:dyDescent="0.2">
      <c r="B2" s="5" t="s">
        <v>27</v>
      </c>
      <c r="C2" s="6" t="s">
        <v>133</v>
      </c>
      <c r="D2" s="7" t="s">
        <v>112</v>
      </c>
      <c r="E2" s="6" t="s">
        <v>28</v>
      </c>
      <c r="F2" s="7" t="s">
        <v>134</v>
      </c>
      <c r="G2" s="6" t="s">
        <v>26</v>
      </c>
    </row>
    <row r="3" spans="2:8" x14ac:dyDescent="0.2">
      <c r="B3" s="8" t="s">
        <v>0</v>
      </c>
      <c r="C3" s="73">
        <v>8</v>
      </c>
      <c r="D3" s="9">
        <v>35</v>
      </c>
      <c r="E3" s="73">
        <f t="shared" ref="E3:E27" si="0">SUM(C3)-D3</f>
        <v>-27</v>
      </c>
      <c r="F3" s="9">
        <v>13</v>
      </c>
      <c r="G3" s="73">
        <f t="shared" ref="G3:G27" si="1">SUM(C3)-F3</f>
        <v>-5</v>
      </c>
      <c r="H3" s="11"/>
    </row>
    <row r="4" spans="2:8" x14ac:dyDescent="0.2">
      <c r="B4" s="8" t="s">
        <v>1</v>
      </c>
      <c r="C4" s="73">
        <v>78</v>
      </c>
      <c r="D4" s="9">
        <v>70</v>
      </c>
      <c r="E4" s="73">
        <f t="shared" si="0"/>
        <v>8</v>
      </c>
      <c r="F4" s="9">
        <v>47</v>
      </c>
      <c r="G4" s="73">
        <f t="shared" si="1"/>
        <v>31</v>
      </c>
      <c r="H4" s="11"/>
    </row>
    <row r="5" spans="2:8" x14ac:dyDescent="0.2">
      <c r="B5" s="8" t="s">
        <v>2</v>
      </c>
      <c r="C5" s="73">
        <v>226</v>
      </c>
      <c r="D5" s="9">
        <v>322</v>
      </c>
      <c r="E5" s="73">
        <f t="shared" si="0"/>
        <v>-96</v>
      </c>
      <c r="F5" s="9">
        <v>267</v>
      </c>
      <c r="G5" s="73">
        <f t="shared" si="1"/>
        <v>-41</v>
      </c>
      <c r="H5" s="11"/>
    </row>
    <row r="6" spans="2:8" x14ac:dyDescent="0.2">
      <c r="B6" s="8" t="s">
        <v>3</v>
      </c>
      <c r="C6" s="73">
        <v>150</v>
      </c>
      <c r="D6" s="9">
        <v>230</v>
      </c>
      <c r="E6" s="73">
        <f t="shared" si="0"/>
        <v>-80</v>
      </c>
      <c r="F6" s="9">
        <v>166</v>
      </c>
      <c r="G6" s="73">
        <f t="shared" si="1"/>
        <v>-16</v>
      </c>
      <c r="H6" s="11"/>
    </row>
    <row r="7" spans="2:8" x14ac:dyDescent="0.2">
      <c r="B7" s="8" t="s">
        <v>4</v>
      </c>
      <c r="C7" s="73">
        <v>277</v>
      </c>
      <c r="D7" s="9">
        <v>273</v>
      </c>
      <c r="E7" s="73">
        <f t="shared" si="0"/>
        <v>4</v>
      </c>
      <c r="F7" s="9">
        <v>81</v>
      </c>
      <c r="G7" s="73">
        <f t="shared" si="1"/>
        <v>196</v>
      </c>
      <c r="H7" s="11"/>
    </row>
    <row r="8" spans="2:8" x14ac:dyDescent="0.2">
      <c r="B8" s="8" t="s">
        <v>5</v>
      </c>
      <c r="C8" s="73">
        <v>128</v>
      </c>
      <c r="D8" s="9">
        <v>85</v>
      </c>
      <c r="E8" s="73">
        <f t="shared" si="0"/>
        <v>43</v>
      </c>
      <c r="F8" s="9">
        <v>144</v>
      </c>
      <c r="G8" s="73">
        <f t="shared" si="1"/>
        <v>-16</v>
      </c>
      <c r="H8" s="11"/>
    </row>
    <row r="9" spans="2:8" x14ac:dyDescent="0.2">
      <c r="B9" s="13" t="s">
        <v>6</v>
      </c>
      <c r="C9" s="73">
        <v>40</v>
      </c>
      <c r="D9" s="9">
        <v>38</v>
      </c>
      <c r="E9" s="73">
        <f t="shared" si="0"/>
        <v>2</v>
      </c>
      <c r="F9" s="9">
        <v>48</v>
      </c>
      <c r="G9" s="73">
        <f t="shared" si="1"/>
        <v>-8</v>
      </c>
      <c r="H9" s="11"/>
    </row>
    <row r="10" spans="2:8" x14ac:dyDescent="0.2">
      <c r="B10" s="8" t="s">
        <v>7</v>
      </c>
      <c r="C10" s="73">
        <v>67</v>
      </c>
      <c r="D10" s="9">
        <v>24</v>
      </c>
      <c r="E10" s="73">
        <f t="shared" si="0"/>
        <v>43</v>
      </c>
      <c r="F10" s="9">
        <v>25</v>
      </c>
      <c r="G10" s="73">
        <f t="shared" si="1"/>
        <v>42</v>
      </c>
      <c r="H10" s="11"/>
    </row>
    <row r="11" spans="2:8" x14ac:dyDescent="0.2">
      <c r="B11" s="8" t="s">
        <v>8</v>
      </c>
      <c r="C11" s="73">
        <v>49</v>
      </c>
      <c r="D11" s="9">
        <v>123</v>
      </c>
      <c r="E11" s="73">
        <f t="shared" si="0"/>
        <v>-74</v>
      </c>
      <c r="F11" s="9">
        <v>128</v>
      </c>
      <c r="G11" s="73">
        <f t="shared" si="1"/>
        <v>-79</v>
      </c>
      <c r="H11" s="11"/>
    </row>
    <row r="12" spans="2:8" x14ac:dyDescent="0.2">
      <c r="B12" s="8" t="s">
        <v>9</v>
      </c>
      <c r="C12" s="73">
        <v>36</v>
      </c>
      <c r="D12" s="9">
        <v>63</v>
      </c>
      <c r="E12" s="73">
        <f t="shared" si="0"/>
        <v>-27</v>
      </c>
      <c r="F12" s="9">
        <v>106</v>
      </c>
      <c r="G12" s="73">
        <f t="shared" si="1"/>
        <v>-70</v>
      </c>
      <c r="H12" s="11"/>
    </row>
    <row r="13" spans="2:8" x14ac:dyDescent="0.2">
      <c r="B13" s="8" t="s">
        <v>10</v>
      </c>
      <c r="C13" s="73">
        <v>132</v>
      </c>
      <c r="D13" s="9">
        <v>91</v>
      </c>
      <c r="E13" s="73">
        <f t="shared" si="0"/>
        <v>41</v>
      </c>
      <c r="F13" s="9">
        <v>50</v>
      </c>
      <c r="G13" s="73">
        <f t="shared" si="1"/>
        <v>82</v>
      </c>
      <c r="H13" s="11"/>
    </row>
    <row r="14" spans="2:8" x14ac:dyDescent="0.2">
      <c r="B14" s="8" t="s">
        <v>11</v>
      </c>
      <c r="C14" s="73">
        <v>287</v>
      </c>
      <c r="D14" s="9">
        <v>277</v>
      </c>
      <c r="E14" s="73">
        <f t="shared" si="0"/>
        <v>10</v>
      </c>
      <c r="F14" s="9">
        <v>606</v>
      </c>
      <c r="G14" s="73">
        <f t="shared" si="1"/>
        <v>-319</v>
      </c>
      <c r="H14" s="11"/>
    </row>
    <row r="15" spans="2:8" x14ac:dyDescent="0.2">
      <c r="B15" s="8" t="s">
        <v>12</v>
      </c>
      <c r="C15" s="73">
        <v>73</v>
      </c>
      <c r="D15" s="9">
        <v>80</v>
      </c>
      <c r="E15" s="73">
        <f t="shared" si="0"/>
        <v>-7</v>
      </c>
      <c r="F15" s="9">
        <v>96</v>
      </c>
      <c r="G15" s="73">
        <f t="shared" si="1"/>
        <v>-23</v>
      </c>
      <c r="H15" s="11"/>
    </row>
    <row r="16" spans="2:8" x14ac:dyDescent="0.2">
      <c r="B16" s="8" t="s">
        <v>13</v>
      </c>
      <c r="C16" s="73">
        <v>25</v>
      </c>
      <c r="D16" s="9">
        <v>41</v>
      </c>
      <c r="E16" s="73">
        <f t="shared" si="0"/>
        <v>-16</v>
      </c>
      <c r="F16" s="9">
        <v>8</v>
      </c>
      <c r="G16" s="73">
        <f t="shared" si="1"/>
        <v>17</v>
      </c>
      <c r="H16" s="11"/>
    </row>
    <row r="17" spans="2:8" x14ac:dyDescent="0.2">
      <c r="B17" s="8" t="s">
        <v>14</v>
      </c>
      <c r="C17" s="73">
        <v>210</v>
      </c>
      <c r="D17" s="9">
        <v>191</v>
      </c>
      <c r="E17" s="73">
        <f t="shared" si="0"/>
        <v>19</v>
      </c>
      <c r="F17" s="9">
        <v>188</v>
      </c>
      <c r="G17" s="73">
        <f t="shared" si="1"/>
        <v>22</v>
      </c>
      <c r="H17" s="11"/>
    </row>
    <row r="18" spans="2:8" x14ac:dyDescent="0.2">
      <c r="B18" s="8" t="s">
        <v>15</v>
      </c>
      <c r="C18" s="73">
        <v>172</v>
      </c>
      <c r="D18" s="9">
        <v>185</v>
      </c>
      <c r="E18" s="73">
        <f t="shared" si="0"/>
        <v>-13</v>
      </c>
      <c r="F18" s="9">
        <v>131</v>
      </c>
      <c r="G18" s="73">
        <f t="shared" si="1"/>
        <v>41</v>
      </c>
      <c r="H18" s="11"/>
    </row>
    <row r="19" spans="2:8" x14ac:dyDescent="0.2">
      <c r="B19" s="8" t="s">
        <v>16</v>
      </c>
      <c r="C19" s="73">
        <v>117</v>
      </c>
      <c r="D19" s="9">
        <v>135</v>
      </c>
      <c r="E19" s="73">
        <f t="shared" si="0"/>
        <v>-18</v>
      </c>
      <c r="F19" s="9">
        <v>346</v>
      </c>
      <c r="G19" s="73">
        <f t="shared" si="1"/>
        <v>-229</v>
      </c>
      <c r="H19" s="11"/>
    </row>
    <row r="20" spans="2:8" x14ac:dyDescent="0.2">
      <c r="B20" s="8" t="s">
        <v>17</v>
      </c>
      <c r="C20" s="73">
        <v>88</v>
      </c>
      <c r="D20" s="9">
        <v>84</v>
      </c>
      <c r="E20" s="73">
        <f t="shared" si="0"/>
        <v>4</v>
      </c>
      <c r="F20" s="9">
        <v>87</v>
      </c>
      <c r="G20" s="73">
        <f t="shared" si="1"/>
        <v>1</v>
      </c>
      <c r="H20" s="11"/>
    </row>
    <row r="21" spans="2:8" x14ac:dyDescent="0.2">
      <c r="B21" s="8" t="s">
        <v>18</v>
      </c>
      <c r="C21" s="73">
        <v>207</v>
      </c>
      <c r="D21" s="9">
        <v>107</v>
      </c>
      <c r="E21" s="73">
        <f t="shared" si="0"/>
        <v>100</v>
      </c>
      <c r="F21" s="9">
        <v>153</v>
      </c>
      <c r="G21" s="73">
        <f t="shared" si="1"/>
        <v>54</v>
      </c>
      <c r="H21" s="11"/>
    </row>
    <row r="22" spans="2:8" x14ac:dyDescent="0.2">
      <c r="B22" s="8" t="s">
        <v>19</v>
      </c>
      <c r="C22" s="73">
        <v>104</v>
      </c>
      <c r="D22" s="9">
        <v>145</v>
      </c>
      <c r="E22" s="73">
        <f t="shared" si="0"/>
        <v>-41</v>
      </c>
      <c r="F22" s="9">
        <v>248</v>
      </c>
      <c r="G22" s="73">
        <f t="shared" si="1"/>
        <v>-144</v>
      </c>
      <c r="H22" s="11"/>
    </row>
    <row r="23" spans="2:8" x14ac:dyDescent="0.2">
      <c r="B23" s="8" t="s">
        <v>20</v>
      </c>
      <c r="C23" s="73">
        <v>55</v>
      </c>
      <c r="D23" s="9">
        <v>73</v>
      </c>
      <c r="E23" s="73">
        <f t="shared" si="0"/>
        <v>-18</v>
      </c>
      <c r="F23" s="9">
        <v>133</v>
      </c>
      <c r="G23" s="73">
        <f t="shared" si="1"/>
        <v>-78</v>
      </c>
      <c r="H23" s="11"/>
    </row>
    <row r="24" spans="2:8" x14ac:dyDescent="0.2">
      <c r="B24" s="8" t="s">
        <v>21</v>
      </c>
      <c r="C24" s="73">
        <v>61</v>
      </c>
      <c r="D24" s="9">
        <v>53</v>
      </c>
      <c r="E24" s="73">
        <f t="shared" si="0"/>
        <v>8</v>
      </c>
      <c r="F24" s="9">
        <v>106</v>
      </c>
      <c r="G24" s="73">
        <f t="shared" si="1"/>
        <v>-45</v>
      </c>
      <c r="H24" s="11"/>
    </row>
    <row r="25" spans="2:8" x14ac:dyDescent="0.2">
      <c r="B25" s="8" t="s">
        <v>22</v>
      </c>
      <c r="C25" s="73">
        <v>64</v>
      </c>
      <c r="D25" s="9">
        <v>85</v>
      </c>
      <c r="E25" s="73">
        <f t="shared" si="0"/>
        <v>-21</v>
      </c>
      <c r="F25" s="9">
        <v>37</v>
      </c>
      <c r="G25" s="73">
        <f t="shared" si="1"/>
        <v>27</v>
      </c>
      <c r="H25" s="11"/>
    </row>
    <row r="26" spans="2:8" x14ac:dyDescent="0.2">
      <c r="B26" s="8" t="s">
        <v>23</v>
      </c>
      <c r="C26" s="73">
        <v>473</v>
      </c>
      <c r="D26" s="9">
        <v>965</v>
      </c>
      <c r="E26" s="73">
        <f t="shared" si="0"/>
        <v>-492</v>
      </c>
      <c r="F26" s="9">
        <v>752</v>
      </c>
      <c r="G26" s="73">
        <f t="shared" si="1"/>
        <v>-279</v>
      </c>
      <c r="H26" s="11"/>
    </row>
    <row r="27" spans="2:8" x14ac:dyDescent="0.2">
      <c r="B27" s="8" t="s">
        <v>24</v>
      </c>
      <c r="C27" s="73">
        <v>120</v>
      </c>
      <c r="D27" s="9">
        <v>184</v>
      </c>
      <c r="E27" s="73">
        <f t="shared" si="0"/>
        <v>-64</v>
      </c>
      <c r="F27" s="9">
        <v>60</v>
      </c>
      <c r="G27" s="73">
        <f t="shared" si="1"/>
        <v>60</v>
      </c>
      <c r="H27" s="11"/>
    </row>
    <row r="28" spans="2:8" ht="15" x14ac:dyDescent="0.25">
      <c r="B28" s="15" t="s">
        <v>25</v>
      </c>
      <c r="C28" s="74">
        <f>SUM(C3:C27)</f>
        <v>3247</v>
      </c>
      <c r="D28" s="17">
        <f>SUM(D3:D27)</f>
        <v>3959</v>
      </c>
      <c r="E28" s="74">
        <f>SUM(E3:E27)</f>
        <v>-712</v>
      </c>
      <c r="F28" s="17">
        <f>SUM(F3:F27)</f>
        <v>4026</v>
      </c>
      <c r="G28" s="74">
        <f>SUM(G3:G27)</f>
        <v>-779</v>
      </c>
      <c r="H28" s="11"/>
    </row>
    <row r="29" spans="2:8" ht="12" customHeight="1" x14ac:dyDescent="0.2">
      <c r="B29" s="4"/>
      <c r="E29" s="11"/>
      <c r="G29" s="11"/>
    </row>
    <row r="30" spans="2:8" ht="9" customHeight="1" x14ac:dyDescent="0.2">
      <c r="B30" s="4"/>
    </row>
    <row r="31" spans="2:8" ht="12.75" customHeight="1" x14ac:dyDescent="0.2">
      <c r="B31" s="4"/>
    </row>
  </sheetData>
  <printOptions horizontalCentered="1" verticalCentered="1"/>
  <pageMargins left="0" right="0" top="0.31496062992125984" bottom="0" header="0" footer="0"/>
  <pageSetup paperSize="9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tabColor theme="7" tint="-0.249977111117893"/>
  </sheetPr>
  <dimension ref="B1:H29"/>
  <sheetViews>
    <sheetView zoomScale="80" zoomScaleNormal="80" workbookViewId="0">
      <selection activeCell="B1" sqref="B1"/>
    </sheetView>
  </sheetViews>
  <sheetFormatPr defaultRowHeight="14.25" x14ac:dyDescent="0.2"/>
  <cols>
    <col min="1" max="1" width="3.140625" style="3" customWidth="1"/>
    <col min="2" max="2" width="6.5703125" style="3" customWidth="1"/>
    <col min="3" max="3" width="24.42578125" style="3" customWidth="1"/>
    <col min="4" max="4" width="12" style="3" customWidth="1"/>
    <col min="5" max="5" width="11.5703125" style="3" customWidth="1"/>
    <col min="6" max="6" width="17" style="3" customWidth="1"/>
    <col min="7" max="7" width="11.5703125" style="3" customWidth="1"/>
    <col min="8" max="8" width="17.140625" style="3" customWidth="1"/>
    <col min="9" max="9" width="6.7109375" style="3" customWidth="1"/>
    <col min="10" max="11" width="5.85546875" style="3" customWidth="1"/>
    <col min="12" max="18" width="9.140625" style="3"/>
    <col min="19" max="19" width="7.140625" style="3" customWidth="1"/>
    <col min="20" max="20" width="2" style="3" customWidth="1"/>
    <col min="21" max="16384" width="9.140625" style="3"/>
  </cols>
  <sheetData>
    <row r="1" spans="2:8" x14ac:dyDescent="0.2">
      <c r="B1" s="4" t="s">
        <v>30</v>
      </c>
    </row>
    <row r="2" spans="2:8" ht="15" x14ac:dyDescent="0.2">
      <c r="C2" s="31"/>
      <c r="D2" s="32"/>
    </row>
    <row r="3" spans="2:8" ht="57" x14ac:dyDescent="0.2">
      <c r="B3" s="33" t="s">
        <v>88</v>
      </c>
      <c r="C3" s="5" t="str">
        <f>T('9_oferty p.'!B2)</f>
        <v>powiaty</v>
      </c>
      <c r="D3" s="5" t="str">
        <f>T('9_oferty p.'!C2)</f>
        <v>liczba ofert w XI '22 r.</v>
      </c>
      <c r="E3" s="5" t="str">
        <f>T('9_oferty p.'!D2)</f>
        <v>liczba ofert w X '22 r.</v>
      </c>
      <c r="F3" s="5" t="str">
        <f>T('9_oferty p.'!E2)</f>
        <v>wzrost/spadek do poprzedniego  miesiąca</v>
      </c>
      <c r="G3" s="5" t="str">
        <f>T('9_oferty p.'!F2)</f>
        <v>liczba ofert w XI '21 r.</v>
      </c>
      <c r="H3" s="5" t="str">
        <f>T('9_oferty p.'!G2)</f>
        <v>wzrost/spadek do analogicznego okresu ubr.</v>
      </c>
    </row>
    <row r="4" spans="2:8" x14ac:dyDescent="0.2">
      <c r="B4" s="10">
        <f>RANK('9_oferty p.'!C3,'9_oferty p.'!$C$3:'9_oferty p.'!$C$28,1)+COUNTIF('9_oferty p.'!$C$3:'9_oferty p.'!C3,'9_oferty p.'!C3)-1</f>
        <v>1</v>
      </c>
      <c r="C4" s="8" t="str">
        <f>INDEX('9_oferty p.'!B3:G28,MATCH(1,B4:B29,0),1)</f>
        <v>bieszczadzki</v>
      </c>
      <c r="D4" s="39">
        <f>INDEX('9_oferty p.'!B3:G28,MATCH(1,B4:B29,0),2)</f>
        <v>8</v>
      </c>
      <c r="E4" s="9">
        <f>INDEX('9_oferty p.'!B3:G28,MATCH(1,B4:B29,0),3)</f>
        <v>35</v>
      </c>
      <c r="F4" s="10">
        <f>INDEX('9_oferty p.'!B3:G28,MATCH(1,B4:B29,0),4)</f>
        <v>-27</v>
      </c>
      <c r="G4" s="9">
        <f>INDEX('9_oferty p.'!B3:G28,MATCH(1,B4:B29,0),5)</f>
        <v>13</v>
      </c>
      <c r="H4" s="10">
        <f>INDEX('9_oferty p.'!B3:G28,MATCH(1,B4:B29,0),6)</f>
        <v>-5</v>
      </c>
    </row>
    <row r="5" spans="2:8" x14ac:dyDescent="0.2">
      <c r="B5" s="10">
        <f>RANK('9_oferty p.'!C4,'9_oferty p.'!$C$3:'9_oferty p.'!$C$28,1)+COUNTIF('9_oferty p.'!$C$3:'9_oferty p.'!C4,'9_oferty p.'!C4)-1</f>
        <v>11</v>
      </c>
      <c r="C5" s="8" t="str">
        <f>INDEX('9_oferty p.'!B3:G28,MATCH(2,B4:B29,0),1)</f>
        <v>przemyski</v>
      </c>
      <c r="D5" s="10">
        <f>INDEX('9_oferty p.'!B3:G28,MATCH(2,B4:B29,0),2)</f>
        <v>25</v>
      </c>
      <c r="E5" s="9">
        <f>INDEX('9_oferty p.'!B3:G28,MATCH(2,B4:B29,0),3)</f>
        <v>41</v>
      </c>
      <c r="F5" s="10">
        <f>INDEX('9_oferty p.'!B3:G28,MATCH(2,B4:B29,0),4)</f>
        <v>-16</v>
      </c>
      <c r="G5" s="9">
        <f>INDEX('9_oferty p.'!B3:G28,MATCH(2,B4:B29,0),5)</f>
        <v>8</v>
      </c>
      <c r="H5" s="10">
        <f>INDEX('9_oferty p.'!B3:G28,MATCH(2,B4:B29,0),6)</f>
        <v>17</v>
      </c>
    </row>
    <row r="6" spans="2:8" x14ac:dyDescent="0.2">
      <c r="B6" s="10">
        <f>RANK('9_oferty p.'!C5,'9_oferty p.'!$C$3:'9_oferty p.'!$C$28,1)+COUNTIF('9_oferty p.'!$C$3:'9_oferty p.'!C5,'9_oferty p.'!C5)-1</f>
        <v>22</v>
      </c>
      <c r="C6" s="8" t="str">
        <f>INDEX('9_oferty p.'!B3:G28,MATCH(3,B4:B29,0),1)</f>
        <v>lubaczowski</v>
      </c>
      <c r="D6" s="10">
        <f>INDEX('9_oferty p.'!B3:G28,MATCH(3,B4:B29,0),2)</f>
        <v>36</v>
      </c>
      <c r="E6" s="9">
        <f>INDEX('9_oferty p.'!B3:G28,MATCH(3,B4:B29,0),3)</f>
        <v>63</v>
      </c>
      <c r="F6" s="10">
        <f>INDEX('9_oferty p.'!B3:G28,MATCH(3,B4:B29,0),4)</f>
        <v>-27</v>
      </c>
      <c r="G6" s="9">
        <f>INDEX('9_oferty p.'!B3:G28,MATCH(3,B4:B29,0),5)</f>
        <v>106</v>
      </c>
      <c r="H6" s="10">
        <f>INDEX('9_oferty p.'!B3:G28,MATCH(3,B4:B29,0),6)</f>
        <v>-70</v>
      </c>
    </row>
    <row r="7" spans="2:8" x14ac:dyDescent="0.2">
      <c r="B7" s="10">
        <f>RANK('9_oferty p.'!C6,'9_oferty p.'!$C$3:'9_oferty p.'!$C$28,1)+COUNTIF('9_oferty p.'!$C$3:'9_oferty p.'!C6,'9_oferty p.'!C6)-1</f>
        <v>18</v>
      </c>
      <c r="C7" s="8" t="str">
        <f>INDEX('9_oferty p.'!B3:G28,MATCH(4,B4:B29,0),1)</f>
        <v>krośnieński</v>
      </c>
      <c r="D7" s="10">
        <f>INDEX('9_oferty p.'!B3:G28,MATCH(4,B4:B29,0),2)</f>
        <v>40</v>
      </c>
      <c r="E7" s="9">
        <f>INDEX('9_oferty p.'!B3:G28,MATCH(4,B4:B29,0),3)</f>
        <v>38</v>
      </c>
      <c r="F7" s="10">
        <f>INDEX('9_oferty p.'!B3:G28,MATCH(4,B4:B29,0),4)</f>
        <v>2</v>
      </c>
      <c r="G7" s="9">
        <f>INDEX('9_oferty p.'!B3:G28,MATCH(4,B4:B29,0),5)</f>
        <v>48</v>
      </c>
      <c r="H7" s="10">
        <f>INDEX('9_oferty p.'!B3:G28,MATCH(4,B4:B29,0),6)</f>
        <v>-8</v>
      </c>
    </row>
    <row r="8" spans="2:8" x14ac:dyDescent="0.2">
      <c r="B8" s="10">
        <f>RANK('9_oferty p.'!C7,'9_oferty p.'!$C$3:'9_oferty p.'!$C$28,1)+COUNTIF('9_oferty p.'!$C$3:'9_oferty p.'!C7,'9_oferty p.'!C7)-1</f>
        <v>23</v>
      </c>
      <c r="C8" s="8" t="str">
        <f>INDEX('9_oferty p.'!B3:G28,MATCH(5,B4:B29,0),1)</f>
        <v>leżajski</v>
      </c>
      <c r="D8" s="10">
        <f>INDEX('9_oferty p.'!B3:G28,MATCH(5,B4:B29,0),2)</f>
        <v>49</v>
      </c>
      <c r="E8" s="9">
        <f>INDEX('9_oferty p.'!B3:G28,MATCH(5,B4:B29,0),3)</f>
        <v>123</v>
      </c>
      <c r="F8" s="10">
        <f>INDEX('9_oferty p.'!B3:G28,MATCH(5,B4:B29,0),4)</f>
        <v>-74</v>
      </c>
      <c r="G8" s="9">
        <f>INDEX('9_oferty p.'!B3:G28,MATCH(5,B4:B29,0),5)</f>
        <v>128</v>
      </c>
      <c r="H8" s="10">
        <f>INDEX('9_oferty p.'!B3:G28,MATCH(5,B4:B29,0),6)</f>
        <v>-79</v>
      </c>
    </row>
    <row r="9" spans="2:8" x14ac:dyDescent="0.2">
      <c r="B9" s="10">
        <f>RANK('9_oferty p.'!C8,'9_oferty p.'!$C$3:'9_oferty p.'!$C$28,1)+COUNTIF('9_oferty p.'!$C$3:'9_oferty p.'!C8,'9_oferty p.'!C8)-1</f>
        <v>16</v>
      </c>
      <c r="C9" s="8" t="str">
        <f>INDEX('9_oferty p.'!B3:G28,MATCH(6,B4:B29,0),1)</f>
        <v xml:space="preserve">tarnobrzeski </v>
      </c>
      <c r="D9" s="10">
        <f>INDEX('9_oferty p.'!B3:G28,MATCH(6,B4:B29,0),2)</f>
        <v>55</v>
      </c>
      <c r="E9" s="9">
        <f>INDEX('9_oferty p.'!B3:G28,MATCH(6,B4:B29,0),3)</f>
        <v>73</v>
      </c>
      <c r="F9" s="10">
        <f>INDEX('9_oferty p.'!B3:G28,MATCH(6,B4:B29,0),4)</f>
        <v>-18</v>
      </c>
      <c r="G9" s="9">
        <f>INDEX('9_oferty p.'!B3:G28,MATCH(6,B4:B29,0),5)</f>
        <v>133</v>
      </c>
      <c r="H9" s="10">
        <f>INDEX('9_oferty p.'!B3:G28,MATCH(6,B4:B29,0),6)</f>
        <v>-78</v>
      </c>
    </row>
    <row r="10" spans="2:8" x14ac:dyDescent="0.2">
      <c r="B10" s="10">
        <f>RANK('9_oferty p.'!C9,'9_oferty p.'!$C$3:'9_oferty p.'!$C$28,1)+COUNTIF('9_oferty p.'!$C$3:'9_oferty p.'!C9,'9_oferty p.'!C9)-1</f>
        <v>4</v>
      </c>
      <c r="C10" s="13" t="str">
        <f>INDEX('9_oferty p.'!B3:G28,MATCH(7,B4:B29,0),1)</f>
        <v>Krosno</v>
      </c>
      <c r="D10" s="10">
        <f>INDEX('9_oferty p.'!B3:G28,MATCH(7,B4:B29,0),2)</f>
        <v>61</v>
      </c>
      <c r="E10" s="9">
        <f>INDEX('9_oferty p.'!B3:G28,MATCH(7,B4:B29,0),3)</f>
        <v>53</v>
      </c>
      <c r="F10" s="10">
        <f>INDEX('9_oferty p.'!B3:G28,MATCH(7,B4:B29,0),4)</f>
        <v>8</v>
      </c>
      <c r="G10" s="9">
        <f>INDEX('9_oferty p.'!B3:G28,MATCH(7,B4:B29,0),5)</f>
        <v>106</v>
      </c>
      <c r="H10" s="10">
        <f>INDEX('9_oferty p.'!B3:G28,MATCH(7,B4:B29,0),6)</f>
        <v>-45</v>
      </c>
    </row>
    <row r="11" spans="2:8" x14ac:dyDescent="0.2">
      <c r="B11" s="10">
        <f>RANK('9_oferty p.'!C10,'9_oferty p.'!$C$3:'9_oferty p.'!$C$28,1)+COUNTIF('9_oferty p.'!$C$3:'9_oferty p.'!C10,'9_oferty p.'!C10)-1</f>
        <v>9</v>
      </c>
      <c r="C11" s="8" t="str">
        <f>INDEX('9_oferty p.'!B3:G28,MATCH(8,B4:B29,0),1)</f>
        <v>Przemyśl</v>
      </c>
      <c r="D11" s="10">
        <f>INDEX('9_oferty p.'!B3:G28,MATCH(8,B4:B29,0),2)</f>
        <v>64</v>
      </c>
      <c r="E11" s="9">
        <f>INDEX('9_oferty p.'!B3:G28,MATCH(8,B4:B29,0),3)</f>
        <v>85</v>
      </c>
      <c r="F11" s="10">
        <f>INDEX('9_oferty p.'!B3:G28,MATCH(8,B4:B29,0),4)</f>
        <v>-21</v>
      </c>
      <c r="G11" s="9">
        <f>INDEX('9_oferty p.'!B3:G28,MATCH(8,B4:B29,0),5)</f>
        <v>37</v>
      </c>
      <c r="H11" s="10">
        <f>INDEX('9_oferty p.'!B3:G28,MATCH(8,B4:B29,0),6)</f>
        <v>27</v>
      </c>
    </row>
    <row r="12" spans="2:8" x14ac:dyDescent="0.2">
      <c r="B12" s="10">
        <f>RANK('9_oferty p.'!C11,'9_oferty p.'!$C$3:'9_oferty p.'!$C$28,1)+COUNTIF('9_oferty p.'!$C$3:'9_oferty p.'!C11,'9_oferty p.'!C11)-1</f>
        <v>5</v>
      </c>
      <c r="C12" s="8" t="str">
        <f>INDEX('9_oferty p.'!B3:G28,MATCH(9,B4:B29,0),1)</f>
        <v>leski</v>
      </c>
      <c r="D12" s="10">
        <f>INDEX('9_oferty p.'!B3:G28,MATCH(9,B4:B29,0),2)</f>
        <v>67</v>
      </c>
      <c r="E12" s="9">
        <f>INDEX('9_oferty p.'!B3:G28,MATCH(9,B4:B29,0),3)</f>
        <v>24</v>
      </c>
      <c r="F12" s="10">
        <f>INDEX('9_oferty p.'!B3:G28,MATCH(9,B4:B29,0),4)</f>
        <v>43</v>
      </c>
      <c r="G12" s="9">
        <f>INDEX('9_oferty p.'!B3:G28,MATCH(9,B4:B29,0),5)</f>
        <v>25</v>
      </c>
      <c r="H12" s="10">
        <f>INDEX('9_oferty p.'!B3:G28,MATCH(9,B4:B29,0),6)</f>
        <v>42</v>
      </c>
    </row>
    <row r="13" spans="2:8" x14ac:dyDescent="0.2">
      <c r="B13" s="10">
        <f>RANK('9_oferty p.'!C12,'9_oferty p.'!$C$3:'9_oferty p.'!$C$28,1)+COUNTIF('9_oferty p.'!$C$3:'9_oferty p.'!C12,'9_oferty p.'!C12)-1</f>
        <v>3</v>
      </c>
      <c r="C13" s="8" t="str">
        <f>INDEX('9_oferty p.'!B3:G28,MATCH(10,B4:B29,0),1)</f>
        <v>niżański</v>
      </c>
      <c r="D13" s="10">
        <f>INDEX('9_oferty p.'!B3:G28,MATCH(10,B4:B29,0),2)</f>
        <v>73</v>
      </c>
      <c r="E13" s="9">
        <f>INDEX('9_oferty p.'!B3:G28,MATCH(10,B4:B29,0),3)</f>
        <v>80</v>
      </c>
      <c r="F13" s="10">
        <f>INDEX('9_oferty p.'!B3:G28,MATCH(10,B4:B29,0),4)</f>
        <v>-7</v>
      </c>
      <c r="G13" s="9">
        <f>INDEX('9_oferty p.'!B3:G28,MATCH(10,B4:B29,0),5)</f>
        <v>96</v>
      </c>
      <c r="H13" s="10">
        <f>INDEX('9_oferty p.'!B3:G28,MATCH(10,B4:B29,0),6)</f>
        <v>-23</v>
      </c>
    </row>
    <row r="14" spans="2:8" x14ac:dyDescent="0.2">
      <c r="B14" s="10">
        <f>RANK('9_oferty p.'!C13,'9_oferty p.'!$C$3:'9_oferty p.'!$C$28,1)+COUNTIF('9_oferty p.'!$C$3:'9_oferty p.'!C13,'9_oferty p.'!C13)-1</f>
        <v>17</v>
      </c>
      <c r="C14" s="8" t="str">
        <f>INDEX('9_oferty p.'!B3:G28,MATCH(11,B4:B29,0),1)</f>
        <v>brzozowski</v>
      </c>
      <c r="D14" s="10">
        <f>INDEX('9_oferty p.'!B3:G28,MATCH(11,B4:B29,0),2)</f>
        <v>78</v>
      </c>
      <c r="E14" s="9">
        <f>INDEX('9_oferty p.'!B3:G28,MATCH(11,B4:B29,0),3)</f>
        <v>70</v>
      </c>
      <c r="F14" s="10">
        <f>INDEX('9_oferty p.'!B3:G28,MATCH(11,B4:B29,0),4)</f>
        <v>8</v>
      </c>
      <c r="G14" s="9">
        <f>INDEX('9_oferty p.'!B3:G28,MATCH(11,B4:B29,0),5)</f>
        <v>47</v>
      </c>
      <c r="H14" s="10">
        <f>INDEX('9_oferty p.'!B3:G28,MATCH(11,B4:B29,0),6)</f>
        <v>31</v>
      </c>
    </row>
    <row r="15" spans="2:8" x14ac:dyDescent="0.2">
      <c r="B15" s="10">
        <f>RANK('9_oferty p.'!C14,'9_oferty p.'!$C$3:'9_oferty p.'!$C$28,1)+COUNTIF('9_oferty p.'!$C$3:'9_oferty p.'!C14,'9_oferty p.'!C14)-1</f>
        <v>24</v>
      </c>
      <c r="C15" s="8" t="str">
        <f>INDEX('9_oferty p.'!B3:G28,MATCH(12,B4:B29,0),1)</f>
        <v>sanocki</v>
      </c>
      <c r="D15" s="10">
        <f>INDEX('9_oferty p.'!B3:G28,MATCH(12,B4:B29,0),2)</f>
        <v>88</v>
      </c>
      <c r="E15" s="9">
        <f>INDEX('9_oferty p.'!B3:G28,MATCH(12,B4:B29,0),3)</f>
        <v>84</v>
      </c>
      <c r="F15" s="10">
        <f>INDEX('9_oferty p.'!B3:G28,MATCH(12,B4:B29,0),4)</f>
        <v>4</v>
      </c>
      <c r="G15" s="9">
        <f>INDEX('9_oferty p.'!B3:G28,MATCH(12,B4:B29,0),5)</f>
        <v>87</v>
      </c>
      <c r="H15" s="10">
        <f>INDEX('9_oferty p.'!B3:G28,MATCH(12,B4:B29,0),6)</f>
        <v>1</v>
      </c>
    </row>
    <row r="16" spans="2:8" x14ac:dyDescent="0.2">
      <c r="B16" s="10">
        <f>RANK('9_oferty p.'!C15,'9_oferty p.'!$C$3:'9_oferty p.'!$C$28,1)+COUNTIF('9_oferty p.'!$C$3:'9_oferty p.'!C15,'9_oferty p.'!C15)-1</f>
        <v>10</v>
      </c>
      <c r="C16" s="8" t="str">
        <f>INDEX('9_oferty p.'!B3:G28,MATCH(13,B4:B29,0),1)</f>
        <v>strzyżowski</v>
      </c>
      <c r="D16" s="10">
        <f>INDEX('9_oferty p.'!B3:G28,MATCH(13,B4:B29,0),2)</f>
        <v>104</v>
      </c>
      <c r="E16" s="9">
        <f>INDEX('9_oferty p.'!B3:G28,MATCH(13,B4:B29,0),3)</f>
        <v>145</v>
      </c>
      <c r="F16" s="10">
        <f>INDEX('9_oferty p.'!B3:G28,MATCH(13,B4:B29,0),4)</f>
        <v>-41</v>
      </c>
      <c r="G16" s="9">
        <f>INDEX('9_oferty p.'!B3:G28,MATCH(13,B4:B29,0),5)</f>
        <v>248</v>
      </c>
      <c r="H16" s="10">
        <f>INDEX('9_oferty p.'!B3:G28,MATCH(13,B4:B29,0),6)</f>
        <v>-144</v>
      </c>
    </row>
    <row r="17" spans="2:8" x14ac:dyDescent="0.2">
      <c r="B17" s="10">
        <f>RANK('9_oferty p.'!C16,'9_oferty p.'!$C$3:'9_oferty p.'!$C$28,1)+COUNTIF('9_oferty p.'!$C$3:'9_oferty p.'!C16,'9_oferty p.'!C16)-1</f>
        <v>2</v>
      </c>
      <c r="C17" s="8" t="str">
        <f>INDEX('9_oferty p.'!B3:G28,MATCH(14,B4:B29,0),1)</f>
        <v>rzeszowski</v>
      </c>
      <c r="D17" s="10">
        <f>INDEX('9_oferty p.'!B3:G28,MATCH(14,B4:B29,0),2)</f>
        <v>117</v>
      </c>
      <c r="E17" s="9">
        <f>INDEX('9_oferty p.'!B3:G28,MATCH(14,B4:B29,0),3)</f>
        <v>135</v>
      </c>
      <c r="F17" s="10">
        <f>INDEX('9_oferty p.'!B3:G28,MATCH(14,B4:B29,0),4)</f>
        <v>-18</v>
      </c>
      <c r="G17" s="9">
        <f>INDEX('9_oferty p.'!B3:G28,MATCH(14,B4:B29,0),5)</f>
        <v>346</v>
      </c>
      <c r="H17" s="10">
        <f>INDEX('9_oferty p.'!B3:G28,MATCH(14,B4:B29,0),6)</f>
        <v>-229</v>
      </c>
    </row>
    <row r="18" spans="2:8" x14ac:dyDescent="0.2">
      <c r="B18" s="10">
        <f>RANK('9_oferty p.'!C17,'9_oferty p.'!$C$3:'9_oferty p.'!$C$28,1)+COUNTIF('9_oferty p.'!$C$3:'9_oferty p.'!C17,'9_oferty p.'!C17)-1</f>
        <v>21</v>
      </c>
      <c r="C18" s="8" t="str">
        <f>INDEX('9_oferty p.'!B3:G28,MATCH(15,B4:B29,0),1)</f>
        <v>Tarnobrzeg</v>
      </c>
      <c r="D18" s="10">
        <f>INDEX('9_oferty p.'!B3:G28,MATCH(15,B4:B29,0),2)</f>
        <v>120</v>
      </c>
      <c r="E18" s="9">
        <f>INDEX('9_oferty p.'!B3:G28,MATCH(15,B4:B29,0),3)</f>
        <v>184</v>
      </c>
      <c r="F18" s="10">
        <f>INDEX('9_oferty p.'!B3:G28,MATCH(15,B4:B29,0),4)</f>
        <v>-64</v>
      </c>
      <c r="G18" s="9">
        <f>INDEX('9_oferty p.'!B3:G28,MATCH(15,B4:B29,0),5)</f>
        <v>60</v>
      </c>
      <c r="H18" s="10">
        <f>INDEX('9_oferty p.'!B3:G28,MATCH(15,B4:B29,0),6)</f>
        <v>60</v>
      </c>
    </row>
    <row r="19" spans="2:8" x14ac:dyDescent="0.2">
      <c r="B19" s="10">
        <f>RANK('9_oferty p.'!C18,'9_oferty p.'!$C$3:'9_oferty p.'!$C$28,1)+COUNTIF('9_oferty p.'!$C$3:'9_oferty p.'!C18,'9_oferty p.'!C18)-1</f>
        <v>19</v>
      </c>
      <c r="C19" s="8" t="str">
        <f>INDEX('9_oferty p.'!B3:G28,MATCH(16,B4:B29,0),1)</f>
        <v>kolbuszowski</v>
      </c>
      <c r="D19" s="10">
        <f>INDEX('9_oferty p.'!B3:G28,MATCH(16,B4:B29,0),2)</f>
        <v>128</v>
      </c>
      <c r="E19" s="9">
        <f>INDEX('9_oferty p.'!B3:G28,MATCH(16,B4:B29,0),3)</f>
        <v>85</v>
      </c>
      <c r="F19" s="10">
        <f>INDEX('9_oferty p.'!B3:G28,MATCH(16,B4:B29,0),4)</f>
        <v>43</v>
      </c>
      <c r="G19" s="9">
        <f>INDEX('9_oferty p.'!B3:G28,MATCH(16,B4:B29,0),5)</f>
        <v>144</v>
      </c>
      <c r="H19" s="10">
        <f>INDEX('9_oferty p.'!B3:G28,MATCH(16,B4:B29,0),6)</f>
        <v>-16</v>
      </c>
    </row>
    <row r="20" spans="2:8" x14ac:dyDescent="0.2">
      <c r="B20" s="10">
        <f>RANK('9_oferty p.'!C19,'9_oferty p.'!$C$3:'9_oferty p.'!$C$28,1)+COUNTIF('9_oferty p.'!$C$3:'9_oferty p.'!C19,'9_oferty p.'!C19)-1</f>
        <v>14</v>
      </c>
      <c r="C20" s="8" t="str">
        <f>INDEX('9_oferty p.'!B3:G28,MATCH(17,B4:B29,0),1)</f>
        <v>łańcucki</v>
      </c>
      <c r="D20" s="10">
        <f>INDEX('9_oferty p.'!B3:G28,MATCH(17,B4:B29,0),2)</f>
        <v>132</v>
      </c>
      <c r="E20" s="9">
        <f>INDEX('9_oferty p.'!B3:G28,MATCH(17,B4:B29,0),3)</f>
        <v>91</v>
      </c>
      <c r="F20" s="10">
        <f>INDEX('9_oferty p.'!B3:G28,MATCH(17,B4:B29,0),4)</f>
        <v>41</v>
      </c>
      <c r="G20" s="9">
        <f>INDEX('9_oferty p.'!B3:G28,MATCH(17,B4:B29,0),5)</f>
        <v>50</v>
      </c>
      <c r="H20" s="10">
        <f>INDEX('9_oferty p.'!B3:G28,MATCH(17,B4:B29,0),6)</f>
        <v>82</v>
      </c>
    </row>
    <row r="21" spans="2:8" x14ac:dyDescent="0.2">
      <c r="B21" s="10">
        <f>RANK('9_oferty p.'!C20,'9_oferty p.'!$C$3:'9_oferty p.'!$C$28,1)+COUNTIF('9_oferty p.'!$C$3:'9_oferty p.'!C20,'9_oferty p.'!C20)-1</f>
        <v>12</v>
      </c>
      <c r="C21" s="8" t="str">
        <f>INDEX('9_oferty p.'!B3:G28,MATCH(18,B4:B29,0),1)</f>
        <v>jarosławski</v>
      </c>
      <c r="D21" s="10">
        <f>INDEX('9_oferty p.'!B3:G28,MATCH(18,B4:B29,0),2)</f>
        <v>150</v>
      </c>
      <c r="E21" s="9">
        <f>INDEX('9_oferty p.'!B3:G28,MATCH(18,B4:B29,0),3)</f>
        <v>230</v>
      </c>
      <c r="F21" s="10">
        <f>INDEX('9_oferty p.'!B3:G28,MATCH(18,B4:B29,0),4)</f>
        <v>-80</v>
      </c>
      <c r="G21" s="9">
        <f>INDEX('9_oferty p.'!B3:G28,MATCH(18,B4:B29,0),5)</f>
        <v>166</v>
      </c>
      <c r="H21" s="10">
        <f>INDEX('9_oferty p.'!B3:G28,MATCH(18,B4:B29,0),6)</f>
        <v>-16</v>
      </c>
    </row>
    <row r="22" spans="2:8" x14ac:dyDescent="0.2">
      <c r="B22" s="10">
        <f>RANK('9_oferty p.'!C21,'9_oferty p.'!$C$3:'9_oferty p.'!$C$28,1)+COUNTIF('9_oferty p.'!$C$3:'9_oferty p.'!C21,'9_oferty p.'!C21)-1</f>
        <v>20</v>
      </c>
      <c r="C22" s="8" t="str">
        <f>INDEX('9_oferty p.'!B3:G28,MATCH(19,B4:B29,0),1)</f>
        <v>ropczycko-sędziszowski</v>
      </c>
      <c r="D22" s="10">
        <f>INDEX('9_oferty p.'!B3:G28,MATCH(19,B4:B29,0),2)</f>
        <v>172</v>
      </c>
      <c r="E22" s="9">
        <f>INDEX('9_oferty p.'!B3:G28,MATCH(19,B4:B29,0),3)</f>
        <v>185</v>
      </c>
      <c r="F22" s="10">
        <f>INDEX('9_oferty p.'!B3:G28,MATCH(19,B4:B29,0),4)</f>
        <v>-13</v>
      </c>
      <c r="G22" s="9">
        <f>INDEX('9_oferty p.'!B3:G28,MATCH(19,B4:B29,0),5)</f>
        <v>131</v>
      </c>
      <c r="H22" s="10">
        <f>INDEX('9_oferty p.'!B3:G28,MATCH(19,B4:B29,0),6)</f>
        <v>41</v>
      </c>
    </row>
    <row r="23" spans="2:8" x14ac:dyDescent="0.2">
      <c r="B23" s="10">
        <f>RANK('9_oferty p.'!C22,'9_oferty p.'!$C$3:'9_oferty p.'!$C$28,1)+COUNTIF('9_oferty p.'!$C$3:'9_oferty p.'!C22,'9_oferty p.'!C22)-1</f>
        <v>13</v>
      </c>
      <c r="C23" s="8" t="str">
        <f>INDEX('9_oferty p.'!B3:G28,MATCH(20,B4:B29,0),1)</f>
        <v>stalowowolski</v>
      </c>
      <c r="D23" s="10">
        <f>INDEX('9_oferty p.'!B3:G28,MATCH(20,B4:B29,0),2)</f>
        <v>207</v>
      </c>
      <c r="E23" s="9">
        <f>INDEX('9_oferty p.'!B3:G28,MATCH(20,B4:B29,0),3)</f>
        <v>107</v>
      </c>
      <c r="F23" s="10">
        <f>INDEX('9_oferty p.'!B3:G28,MATCH(20,B4:B29,0),4)</f>
        <v>100</v>
      </c>
      <c r="G23" s="9">
        <f>INDEX('9_oferty p.'!B3:G28,MATCH(20,B4:B29,0),5)</f>
        <v>153</v>
      </c>
      <c r="H23" s="10">
        <f>INDEX('9_oferty p.'!B3:G28,MATCH(20,B4:B29,0),6)</f>
        <v>54</v>
      </c>
    </row>
    <row r="24" spans="2:8" x14ac:dyDescent="0.2">
      <c r="B24" s="10">
        <f>RANK('9_oferty p.'!C23,'9_oferty p.'!$C$3:'9_oferty p.'!$C$28,1)+COUNTIF('9_oferty p.'!$C$3:'9_oferty p.'!C23,'9_oferty p.'!C23)-1</f>
        <v>6</v>
      </c>
      <c r="C24" s="8" t="str">
        <f>INDEX('9_oferty p.'!B3:G28,MATCH(21,B4:B29,0),1)</f>
        <v>przeworski</v>
      </c>
      <c r="D24" s="10">
        <f>INDEX('9_oferty p.'!B3:G28,MATCH(21,B4:B29,0),2)</f>
        <v>210</v>
      </c>
      <c r="E24" s="9">
        <f>INDEX('9_oferty p.'!B3:G28,MATCH(21,B4:B29,0),3)</f>
        <v>191</v>
      </c>
      <c r="F24" s="10">
        <f>INDEX('9_oferty p.'!B3:G28,MATCH(21,B4:B29,0),4)</f>
        <v>19</v>
      </c>
      <c r="G24" s="9">
        <f>INDEX('9_oferty p.'!B3:G28,MATCH(21,B4:B29,0),5)</f>
        <v>188</v>
      </c>
      <c r="H24" s="10">
        <f>INDEX('9_oferty p.'!B3:G28,MATCH(21,B4:B29,0),6)</f>
        <v>22</v>
      </c>
    </row>
    <row r="25" spans="2:8" x14ac:dyDescent="0.2">
      <c r="B25" s="10">
        <f>RANK('9_oferty p.'!C24,'9_oferty p.'!$C$3:'9_oferty p.'!$C$28,1)+COUNTIF('9_oferty p.'!$C$3:'9_oferty p.'!C24,'9_oferty p.'!C24)-1</f>
        <v>7</v>
      </c>
      <c r="C25" s="8" t="str">
        <f>INDEX('9_oferty p.'!B3:G28,MATCH(22,B4:B29,0),1)</f>
        <v>dębicki</v>
      </c>
      <c r="D25" s="10">
        <f>INDEX('9_oferty p.'!B3:G28,MATCH(22,B4:B29,0),2)</f>
        <v>226</v>
      </c>
      <c r="E25" s="9">
        <f>INDEX('9_oferty p.'!B3:G28,MATCH(22,B4:B29,0),3)</f>
        <v>322</v>
      </c>
      <c r="F25" s="10">
        <f>INDEX('9_oferty p.'!B3:G28,MATCH(22,B4:B29,0),4)</f>
        <v>-96</v>
      </c>
      <c r="G25" s="9">
        <f>INDEX('9_oferty p.'!B3:G28,MATCH(22,B4:B29,0),5)</f>
        <v>267</v>
      </c>
      <c r="H25" s="10">
        <f>INDEX('9_oferty p.'!B3:G28,MATCH(22,B4:B29,0),6)</f>
        <v>-41</v>
      </c>
    </row>
    <row r="26" spans="2:8" x14ac:dyDescent="0.2">
      <c r="B26" s="10">
        <f>RANK('9_oferty p.'!C25,'9_oferty p.'!$C$3:'9_oferty p.'!$C$28,1)+COUNTIF('9_oferty p.'!$C$3:'9_oferty p.'!C25,'9_oferty p.'!C25)-1</f>
        <v>8</v>
      </c>
      <c r="C26" s="8" t="str">
        <f>INDEX('9_oferty p.'!B3:G28,MATCH(23,B4:B29,0),1)</f>
        <v>jasielski</v>
      </c>
      <c r="D26" s="10">
        <f>INDEX('9_oferty p.'!B3:G28,MATCH(23,B4:B29,0),2)</f>
        <v>277</v>
      </c>
      <c r="E26" s="9">
        <f>INDEX('9_oferty p.'!B3:G28,MATCH(23,B4:B29,0),3)</f>
        <v>273</v>
      </c>
      <c r="F26" s="10">
        <f>INDEX('9_oferty p.'!B3:G28,MATCH(23,B4:B29,0),4)</f>
        <v>4</v>
      </c>
      <c r="G26" s="9">
        <f>INDEX('9_oferty p.'!B3:G28,MATCH(23,B4:B29,0),5)</f>
        <v>81</v>
      </c>
      <c r="H26" s="10">
        <f>INDEX('9_oferty p.'!B3:G28,MATCH(23,B4:B29,0),6)</f>
        <v>196</v>
      </c>
    </row>
    <row r="27" spans="2:8" x14ac:dyDescent="0.2">
      <c r="B27" s="10">
        <f>RANK('9_oferty p.'!C26,'9_oferty p.'!$C$3:'9_oferty p.'!$C$28,1)+COUNTIF('9_oferty p.'!$C$3:'9_oferty p.'!C26,'9_oferty p.'!C26)-1</f>
        <v>25</v>
      </c>
      <c r="C27" s="8" t="str">
        <f>INDEX('9_oferty p.'!B3:G28,MATCH(24,B4:B29,0),1)</f>
        <v>mielecki</v>
      </c>
      <c r="D27" s="10">
        <f>INDEX('9_oferty p.'!B3:G28,MATCH(24,B4:B29,0),2)</f>
        <v>287</v>
      </c>
      <c r="E27" s="9">
        <f>INDEX('9_oferty p.'!B3:G28,MATCH(24,B4:B29,0),3)</f>
        <v>277</v>
      </c>
      <c r="F27" s="10">
        <f>INDEX('9_oferty p.'!B3:G28,MATCH(24,B4:B29,0),4)</f>
        <v>10</v>
      </c>
      <c r="G27" s="9">
        <f>INDEX('9_oferty p.'!B3:G28,MATCH(24,B4:B29,0),5)</f>
        <v>606</v>
      </c>
      <c r="H27" s="10">
        <f>INDEX('9_oferty p.'!B3:G28,MATCH(24,B4:B29,0),6)</f>
        <v>-319</v>
      </c>
    </row>
    <row r="28" spans="2:8" x14ac:dyDescent="0.2">
      <c r="B28" s="10">
        <f>RANK('9_oferty p.'!C27,'9_oferty p.'!$C$3:'9_oferty p.'!$C$28,1)+COUNTIF('9_oferty p.'!$C$3:'9_oferty p.'!C27,'9_oferty p.'!C27)-1</f>
        <v>15</v>
      </c>
      <c r="C28" s="8" t="str">
        <f>INDEX('9_oferty p.'!B3:G28,MATCH(25,B4:B29,0),1)</f>
        <v>Rzeszów</v>
      </c>
      <c r="D28" s="10">
        <f>INDEX('9_oferty p.'!B3:G28,MATCH(25,B4:B29,0),2)</f>
        <v>473</v>
      </c>
      <c r="E28" s="9">
        <f>INDEX('9_oferty p.'!B3:G28,MATCH(25,B4:B29,0),3)</f>
        <v>965</v>
      </c>
      <c r="F28" s="10">
        <f>INDEX('9_oferty p.'!B3:G28,MATCH(25,B4:B29,0),4)</f>
        <v>-492</v>
      </c>
      <c r="G28" s="9">
        <f>INDEX('9_oferty p.'!B3:G28,MATCH(25,B4:B29,0),5)</f>
        <v>752</v>
      </c>
      <c r="H28" s="10">
        <f>INDEX('9_oferty p.'!B3:G28,MATCH(25,B4:B29,0),6)</f>
        <v>-279</v>
      </c>
    </row>
    <row r="29" spans="2:8" ht="15" x14ac:dyDescent="0.25">
      <c r="B29" s="34">
        <f>RANK('9_oferty p.'!C28,'9_oferty p.'!$C$3:'9_oferty p.'!$C$28,1)+COUNTIF('9_oferty p.'!$C$3:'9_oferty p.'!C28,'9_oferty p.'!C28)-1</f>
        <v>26</v>
      </c>
      <c r="C29" s="35" t="str">
        <f>INDEX('9_oferty p.'!B3:G28,MATCH(26,B4:B29,0),1)</f>
        <v>województwo</v>
      </c>
      <c r="D29" s="34">
        <f>INDEX('9_oferty p.'!B3:G28,MATCH(26,B4:B29,0),2)</f>
        <v>3247</v>
      </c>
      <c r="E29" s="17">
        <f>INDEX('9_oferty p.'!B3:G28,MATCH(26,B4:B29,0),3)</f>
        <v>3959</v>
      </c>
      <c r="F29" s="34">
        <f>INDEX('9_oferty p.'!B3:G28,MATCH(26,B4:B29,0),4)</f>
        <v>-712</v>
      </c>
      <c r="G29" s="17">
        <f>INDEX('9_oferty p.'!B3:G28,MATCH(26,B4:B29,0),5)</f>
        <v>4026</v>
      </c>
      <c r="H29" s="34">
        <f>INDEX('9_oferty p.'!B3:G28,MATCH(26,B4:B29,0),6)</f>
        <v>-779</v>
      </c>
    </row>
  </sheetData>
  <pageMargins left="0" right="0" top="0.31496062992125984" bottom="0" header="0" footer="0"/>
  <pageSetup paperSize="9" scale="74" orientation="landscape" r:id="rId1"/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>
    <tabColor rgb="FFCCC0DA"/>
    <pageSetUpPr fitToPage="1"/>
  </sheetPr>
  <dimension ref="B1:K32"/>
  <sheetViews>
    <sheetView zoomScale="80" zoomScaleNormal="80" workbookViewId="0">
      <selection activeCell="B1" sqref="B1"/>
    </sheetView>
  </sheetViews>
  <sheetFormatPr defaultRowHeight="14.25" x14ac:dyDescent="0.2"/>
  <cols>
    <col min="1" max="1" width="3.28515625" style="3" customWidth="1"/>
    <col min="2" max="2" width="25.42578125" style="3" customWidth="1"/>
    <col min="3" max="3" width="11.85546875" style="3" customWidth="1"/>
    <col min="4" max="4" width="11.7109375" style="3" customWidth="1"/>
    <col min="5" max="5" width="16.28515625" style="3" customWidth="1"/>
    <col min="6" max="6" width="11.7109375" style="3" customWidth="1"/>
    <col min="7" max="7" width="17.85546875" style="3" customWidth="1"/>
    <col min="8" max="8" width="6.28515625" style="3" customWidth="1"/>
    <col min="9" max="9" width="7" style="3" customWidth="1"/>
    <col min="10" max="10" width="6.140625" style="3" customWidth="1"/>
    <col min="11" max="12" width="9.140625" style="3"/>
    <col min="13" max="13" width="7.140625" style="3" customWidth="1"/>
    <col min="14" max="16384" width="9.140625" style="3"/>
  </cols>
  <sheetData>
    <row r="1" spans="2:11" ht="15" customHeight="1" x14ac:dyDescent="0.2">
      <c r="B1" s="78" t="s">
        <v>93</v>
      </c>
      <c r="C1" s="76"/>
      <c r="D1" s="76"/>
      <c r="E1" s="76"/>
      <c r="F1" s="76"/>
      <c r="G1" s="76"/>
      <c r="H1" s="77"/>
      <c r="I1" s="77"/>
      <c r="J1" s="77"/>
      <c r="K1" s="77"/>
    </row>
    <row r="2" spans="2:11" ht="14.25" customHeight="1" x14ac:dyDescent="0.2">
      <c r="B2" s="1" t="s">
        <v>94</v>
      </c>
      <c r="C2" s="70"/>
      <c r="D2" s="70"/>
      <c r="E2" s="70"/>
      <c r="F2" s="70"/>
      <c r="G2" s="70"/>
      <c r="H2" s="77"/>
      <c r="I2" s="77"/>
      <c r="J2" s="77"/>
      <c r="K2" s="77"/>
    </row>
    <row r="3" spans="2:11" ht="57" x14ac:dyDescent="0.2">
      <c r="B3" s="5" t="s">
        <v>27</v>
      </c>
      <c r="C3" s="6" t="s">
        <v>133</v>
      </c>
      <c r="D3" s="7" t="s">
        <v>112</v>
      </c>
      <c r="E3" s="6" t="s">
        <v>28</v>
      </c>
      <c r="F3" s="7" t="s">
        <v>134</v>
      </c>
      <c r="G3" s="6" t="s">
        <v>26</v>
      </c>
    </row>
    <row r="4" spans="2:11" x14ac:dyDescent="0.2">
      <c r="B4" s="8" t="s">
        <v>0</v>
      </c>
      <c r="C4" s="73">
        <v>4</v>
      </c>
      <c r="D4" s="9">
        <v>24</v>
      </c>
      <c r="E4" s="73">
        <f t="shared" ref="E4:E28" si="0">SUM(C4)-D4</f>
        <v>-20</v>
      </c>
      <c r="F4" s="9">
        <v>10</v>
      </c>
      <c r="G4" s="73">
        <f t="shared" ref="G4:G28" si="1">SUM(C4)-F4</f>
        <v>-6</v>
      </c>
      <c r="H4" s="11"/>
    </row>
    <row r="5" spans="2:11" x14ac:dyDescent="0.2">
      <c r="B5" s="8" t="s">
        <v>1</v>
      </c>
      <c r="C5" s="73">
        <v>71</v>
      </c>
      <c r="D5" s="9">
        <v>66</v>
      </c>
      <c r="E5" s="73">
        <f t="shared" si="0"/>
        <v>5</v>
      </c>
      <c r="F5" s="9">
        <v>45</v>
      </c>
      <c r="G5" s="73">
        <f t="shared" si="1"/>
        <v>26</v>
      </c>
      <c r="H5" s="11"/>
    </row>
    <row r="6" spans="2:11" x14ac:dyDescent="0.2">
      <c r="B6" s="8" t="s">
        <v>2</v>
      </c>
      <c r="C6" s="73">
        <v>19</v>
      </c>
      <c r="D6" s="9">
        <v>78</v>
      </c>
      <c r="E6" s="73">
        <f t="shared" si="0"/>
        <v>-59</v>
      </c>
      <c r="F6" s="9">
        <v>33</v>
      </c>
      <c r="G6" s="73">
        <f t="shared" si="1"/>
        <v>-14</v>
      </c>
      <c r="H6" s="11"/>
    </row>
    <row r="7" spans="2:11" x14ac:dyDescent="0.2">
      <c r="B7" s="8" t="s">
        <v>3</v>
      </c>
      <c r="C7" s="73">
        <v>36</v>
      </c>
      <c r="D7" s="9">
        <v>78</v>
      </c>
      <c r="E7" s="73">
        <f t="shared" si="0"/>
        <v>-42</v>
      </c>
      <c r="F7" s="9">
        <v>70</v>
      </c>
      <c r="G7" s="73">
        <f t="shared" si="1"/>
        <v>-34</v>
      </c>
      <c r="H7" s="11"/>
    </row>
    <row r="8" spans="2:11" x14ac:dyDescent="0.2">
      <c r="B8" s="8" t="s">
        <v>4</v>
      </c>
      <c r="C8" s="73">
        <v>40</v>
      </c>
      <c r="D8" s="9">
        <v>122</v>
      </c>
      <c r="E8" s="73">
        <f t="shared" si="0"/>
        <v>-82</v>
      </c>
      <c r="F8" s="9">
        <v>45</v>
      </c>
      <c r="G8" s="73">
        <f t="shared" si="1"/>
        <v>-5</v>
      </c>
      <c r="H8" s="11"/>
    </row>
    <row r="9" spans="2:11" x14ac:dyDescent="0.2">
      <c r="B9" s="8" t="s">
        <v>5</v>
      </c>
      <c r="C9" s="73">
        <v>38</v>
      </c>
      <c r="D9" s="9">
        <v>42</v>
      </c>
      <c r="E9" s="73">
        <f t="shared" si="0"/>
        <v>-4</v>
      </c>
      <c r="F9" s="9">
        <v>21</v>
      </c>
      <c r="G9" s="73">
        <f t="shared" si="1"/>
        <v>17</v>
      </c>
      <c r="H9" s="11"/>
    </row>
    <row r="10" spans="2:11" x14ac:dyDescent="0.2">
      <c r="B10" s="13" t="s">
        <v>6</v>
      </c>
      <c r="C10" s="73">
        <v>30</v>
      </c>
      <c r="D10" s="9">
        <v>22</v>
      </c>
      <c r="E10" s="73">
        <f t="shared" si="0"/>
        <v>8</v>
      </c>
      <c r="F10" s="9">
        <v>30</v>
      </c>
      <c r="G10" s="73">
        <f t="shared" si="1"/>
        <v>0</v>
      </c>
      <c r="H10" s="11"/>
    </row>
    <row r="11" spans="2:11" x14ac:dyDescent="0.2">
      <c r="B11" s="8" t="s">
        <v>7</v>
      </c>
      <c r="C11" s="73">
        <v>7</v>
      </c>
      <c r="D11" s="9">
        <v>15</v>
      </c>
      <c r="E11" s="73">
        <f t="shared" si="0"/>
        <v>-8</v>
      </c>
      <c r="F11" s="9">
        <v>4</v>
      </c>
      <c r="G11" s="73">
        <f t="shared" si="1"/>
        <v>3</v>
      </c>
      <c r="H11" s="11"/>
    </row>
    <row r="12" spans="2:11" x14ac:dyDescent="0.2">
      <c r="B12" s="8" t="s">
        <v>8</v>
      </c>
      <c r="C12" s="73">
        <v>3</v>
      </c>
      <c r="D12" s="9">
        <v>48</v>
      </c>
      <c r="E12" s="73">
        <f t="shared" si="0"/>
        <v>-45</v>
      </c>
      <c r="F12" s="9">
        <v>55</v>
      </c>
      <c r="G12" s="73">
        <f t="shared" si="1"/>
        <v>-52</v>
      </c>
      <c r="H12" s="11"/>
    </row>
    <row r="13" spans="2:11" x14ac:dyDescent="0.2">
      <c r="B13" s="8" t="s">
        <v>9</v>
      </c>
      <c r="C13" s="73">
        <v>18</v>
      </c>
      <c r="D13" s="9">
        <v>48</v>
      </c>
      <c r="E13" s="73">
        <f t="shared" si="0"/>
        <v>-30</v>
      </c>
      <c r="F13" s="9">
        <v>19</v>
      </c>
      <c r="G13" s="73">
        <f t="shared" si="1"/>
        <v>-1</v>
      </c>
      <c r="H13" s="11"/>
    </row>
    <row r="14" spans="2:11" x14ac:dyDescent="0.2">
      <c r="B14" s="8" t="s">
        <v>10</v>
      </c>
      <c r="C14" s="73">
        <v>27</v>
      </c>
      <c r="D14" s="9">
        <v>59</v>
      </c>
      <c r="E14" s="73">
        <f t="shared" si="0"/>
        <v>-32</v>
      </c>
      <c r="F14" s="9">
        <v>23</v>
      </c>
      <c r="G14" s="73">
        <f t="shared" si="1"/>
        <v>4</v>
      </c>
      <c r="H14" s="11"/>
    </row>
    <row r="15" spans="2:11" x14ac:dyDescent="0.2">
      <c r="B15" s="8" t="s">
        <v>11</v>
      </c>
      <c r="C15" s="73">
        <v>130</v>
      </c>
      <c r="D15" s="9">
        <v>146</v>
      </c>
      <c r="E15" s="73">
        <f t="shared" si="0"/>
        <v>-16</v>
      </c>
      <c r="F15" s="9">
        <v>47</v>
      </c>
      <c r="G15" s="73">
        <f t="shared" si="1"/>
        <v>83</v>
      </c>
      <c r="H15" s="11"/>
    </row>
    <row r="16" spans="2:11" x14ac:dyDescent="0.2">
      <c r="B16" s="8" t="s">
        <v>12</v>
      </c>
      <c r="C16" s="73">
        <v>57</v>
      </c>
      <c r="D16" s="9">
        <v>62</v>
      </c>
      <c r="E16" s="73">
        <f t="shared" si="0"/>
        <v>-5</v>
      </c>
      <c r="F16" s="9">
        <v>67</v>
      </c>
      <c r="G16" s="73">
        <f t="shared" si="1"/>
        <v>-10</v>
      </c>
      <c r="H16" s="11"/>
    </row>
    <row r="17" spans="2:8" x14ac:dyDescent="0.2">
      <c r="B17" s="8" t="s">
        <v>13</v>
      </c>
      <c r="C17" s="73">
        <v>22</v>
      </c>
      <c r="D17" s="9">
        <v>32</v>
      </c>
      <c r="E17" s="73">
        <f t="shared" si="0"/>
        <v>-10</v>
      </c>
      <c r="F17" s="9">
        <v>7</v>
      </c>
      <c r="G17" s="73">
        <f t="shared" si="1"/>
        <v>15</v>
      </c>
      <c r="H17" s="11"/>
    </row>
    <row r="18" spans="2:8" x14ac:dyDescent="0.2">
      <c r="B18" s="8" t="s">
        <v>14</v>
      </c>
      <c r="C18" s="73">
        <v>101</v>
      </c>
      <c r="D18" s="9">
        <v>95</v>
      </c>
      <c r="E18" s="73">
        <f t="shared" si="0"/>
        <v>6</v>
      </c>
      <c r="F18" s="9">
        <v>106</v>
      </c>
      <c r="G18" s="73">
        <f t="shared" si="1"/>
        <v>-5</v>
      </c>
      <c r="H18" s="11"/>
    </row>
    <row r="19" spans="2:8" x14ac:dyDescent="0.2">
      <c r="B19" s="8" t="s">
        <v>15</v>
      </c>
      <c r="C19" s="73">
        <v>61</v>
      </c>
      <c r="D19" s="9">
        <v>104</v>
      </c>
      <c r="E19" s="73">
        <f t="shared" si="0"/>
        <v>-43</v>
      </c>
      <c r="F19" s="9">
        <v>55</v>
      </c>
      <c r="G19" s="73">
        <f t="shared" si="1"/>
        <v>6</v>
      </c>
      <c r="H19" s="11"/>
    </row>
    <row r="20" spans="2:8" x14ac:dyDescent="0.2">
      <c r="B20" s="8" t="s">
        <v>16</v>
      </c>
      <c r="C20" s="73">
        <v>26</v>
      </c>
      <c r="D20" s="9">
        <v>35</v>
      </c>
      <c r="E20" s="73">
        <f t="shared" si="0"/>
        <v>-9</v>
      </c>
      <c r="F20" s="9">
        <v>38</v>
      </c>
      <c r="G20" s="73">
        <f t="shared" si="1"/>
        <v>-12</v>
      </c>
      <c r="H20" s="11"/>
    </row>
    <row r="21" spans="2:8" x14ac:dyDescent="0.2">
      <c r="B21" s="8" t="s">
        <v>17</v>
      </c>
      <c r="C21" s="73">
        <v>33</v>
      </c>
      <c r="D21" s="9">
        <v>50</v>
      </c>
      <c r="E21" s="73">
        <f t="shared" si="0"/>
        <v>-17</v>
      </c>
      <c r="F21" s="9">
        <v>41</v>
      </c>
      <c r="G21" s="73">
        <f t="shared" si="1"/>
        <v>-8</v>
      </c>
      <c r="H21" s="11"/>
    </row>
    <row r="22" spans="2:8" x14ac:dyDescent="0.2">
      <c r="B22" s="8" t="s">
        <v>18</v>
      </c>
      <c r="C22" s="73">
        <v>47</v>
      </c>
      <c r="D22" s="9">
        <v>70</v>
      </c>
      <c r="E22" s="73">
        <f t="shared" si="0"/>
        <v>-23</v>
      </c>
      <c r="F22" s="9">
        <v>45</v>
      </c>
      <c r="G22" s="73">
        <f t="shared" si="1"/>
        <v>2</v>
      </c>
      <c r="H22" s="11"/>
    </row>
    <row r="23" spans="2:8" x14ac:dyDescent="0.2">
      <c r="B23" s="8" t="s">
        <v>19</v>
      </c>
      <c r="C23" s="73">
        <v>70</v>
      </c>
      <c r="D23" s="9">
        <v>82</v>
      </c>
      <c r="E23" s="73">
        <f t="shared" si="0"/>
        <v>-12</v>
      </c>
      <c r="F23" s="9">
        <v>94</v>
      </c>
      <c r="G23" s="73">
        <f t="shared" si="1"/>
        <v>-24</v>
      </c>
      <c r="H23" s="11"/>
    </row>
    <row r="24" spans="2:8" x14ac:dyDescent="0.2">
      <c r="B24" s="8" t="s">
        <v>20</v>
      </c>
      <c r="C24" s="73">
        <v>19</v>
      </c>
      <c r="D24" s="9">
        <v>20</v>
      </c>
      <c r="E24" s="73">
        <f t="shared" si="0"/>
        <v>-1</v>
      </c>
      <c r="F24" s="9">
        <v>21</v>
      </c>
      <c r="G24" s="73">
        <f t="shared" si="1"/>
        <v>-2</v>
      </c>
      <c r="H24" s="11"/>
    </row>
    <row r="25" spans="2:8" x14ac:dyDescent="0.2">
      <c r="B25" s="8" t="s">
        <v>21</v>
      </c>
      <c r="C25" s="73">
        <v>26</v>
      </c>
      <c r="D25" s="9">
        <v>19</v>
      </c>
      <c r="E25" s="73">
        <f t="shared" si="0"/>
        <v>7</v>
      </c>
      <c r="F25" s="9">
        <v>28</v>
      </c>
      <c r="G25" s="73">
        <f t="shared" si="1"/>
        <v>-2</v>
      </c>
      <c r="H25" s="11"/>
    </row>
    <row r="26" spans="2:8" x14ac:dyDescent="0.2">
      <c r="B26" s="8" t="s">
        <v>22</v>
      </c>
      <c r="C26" s="73">
        <v>45</v>
      </c>
      <c r="D26" s="9">
        <v>54</v>
      </c>
      <c r="E26" s="73">
        <f t="shared" si="0"/>
        <v>-9</v>
      </c>
      <c r="F26" s="9">
        <v>8</v>
      </c>
      <c r="G26" s="73">
        <f t="shared" si="1"/>
        <v>37</v>
      </c>
      <c r="H26" s="11"/>
    </row>
    <row r="27" spans="2:8" x14ac:dyDescent="0.2">
      <c r="B27" s="8" t="s">
        <v>23</v>
      </c>
      <c r="C27" s="73">
        <v>78</v>
      </c>
      <c r="D27" s="9">
        <v>104</v>
      </c>
      <c r="E27" s="73">
        <f t="shared" si="0"/>
        <v>-26</v>
      </c>
      <c r="F27" s="9">
        <v>97</v>
      </c>
      <c r="G27" s="73">
        <f t="shared" si="1"/>
        <v>-19</v>
      </c>
      <c r="H27" s="11"/>
    </row>
    <row r="28" spans="2:8" x14ac:dyDescent="0.2">
      <c r="B28" s="8" t="s">
        <v>24</v>
      </c>
      <c r="C28" s="73">
        <v>21</v>
      </c>
      <c r="D28" s="9">
        <v>47</v>
      </c>
      <c r="E28" s="73">
        <f t="shared" si="0"/>
        <v>-26</v>
      </c>
      <c r="F28" s="9">
        <v>17</v>
      </c>
      <c r="G28" s="73">
        <f t="shared" si="1"/>
        <v>4</v>
      </c>
      <c r="H28" s="11"/>
    </row>
    <row r="29" spans="2:8" ht="15" x14ac:dyDescent="0.25">
      <c r="B29" s="15" t="s">
        <v>25</v>
      </c>
      <c r="C29" s="74">
        <f>SUM(C4:C28)</f>
        <v>1029</v>
      </c>
      <c r="D29" s="17">
        <f>SUM(D4:D28)</f>
        <v>1522</v>
      </c>
      <c r="E29" s="74">
        <f>SUM(E4:E28)</f>
        <v>-493</v>
      </c>
      <c r="F29" s="17">
        <f>SUM(F4:F28)</f>
        <v>1026</v>
      </c>
      <c r="G29" s="74">
        <f>SUM(G4:G28)</f>
        <v>3</v>
      </c>
      <c r="H29" s="11"/>
    </row>
    <row r="30" spans="2:8" ht="12" customHeight="1" x14ac:dyDescent="0.2">
      <c r="B30" s="4"/>
      <c r="C30" s="30"/>
      <c r="E30" s="11"/>
      <c r="G30" s="11"/>
    </row>
    <row r="31" spans="2:8" ht="9" customHeight="1" x14ac:dyDescent="0.2">
      <c r="B31" s="4"/>
    </row>
    <row r="32" spans="2:8" ht="12.75" customHeight="1" x14ac:dyDescent="0.2">
      <c r="B32" s="4"/>
    </row>
  </sheetData>
  <printOptions horizontalCentered="1" verticalCentered="1"/>
  <pageMargins left="0.31496062992125984" right="0.31496062992125984" top="0" bottom="0" header="0" footer="0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7" tint="-0.249977111117893"/>
  </sheetPr>
  <dimension ref="B1:H30"/>
  <sheetViews>
    <sheetView zoomScale="80" zoomScaleNormal="80" workbookViewId="0">
      <selection activeCell="B1" sqref="B1"/>
    </sheetView>
  </sheetViews>
  <sheetFormatPr defaultRowHeight="14.25" x14ac:dyDescent="0.2"/>
  <cols>
    <col min="1" max="1" width="1.5703125" style="3" customWidth="1"/>
    <col min="2" max="2" width="6.85546875" style="3" customWidth="1"/>
    <col min="3" max="3" width="25" style="3" customWidth="1"/>
    <col min="4" max="4" width="15" style="3" customWidth="1"/>
    <col min="5" max="5" width="14.42578125" style="3" customWidth="1"/>
    <col min="6" max="6" width="14.85546875" style="3" customWidth="1"/>
    <col min="7" max="7" width="15.5703125" style="3" customWidth="1"/>
    <col min="8" max="8" width="17" style="3" customWidth="1"/>
    <col min="9" max="9" width="2.5703125" style="3" customWidth="1"/>
    <col min="10" max="19" width="9.140625" style="3"/>
    <col min="20" max="20" width="2.7109375" style="3" customWidth="1"/>
    <col min="21" max="16384" width="9.140625" style="3"/>
  </cols>
  <sheetData>
    <row r="1" spans="2:8" x14ac:dyDescent="0.2">
      <c r="B1" s="2" t="s">
        <v>32</v>
      </c>
    </row>
    <row r="2" spans="2:8" ht="15" x14ac:dyDescent="0.2">
      <c r="C2" s="31"/>
      <c r="D2" s="32"/>
    </row>
    <row r="3" spans="2:8" ht="69" customHeight="1" x14ac:dyDescent="0.2">
      <c r="B3" s="33" t="s">
        <v>88</v>
      </c>
      <c r="C3" s="5" t="str">
        <f>T('1_bezr.'!B2)</f>
        <v>powiaty</v>
      </c>
      <c r="D3" s="6" t="str">
        <f>T('1_bezr.'!C2)</f>
        <v>liczba bezrobotnych ogółem stan na 30 XI '22 r.</v>
      </c>
      <c r="E3" s="7" t="str">
        <f>T('1_bezr.'!D2)</f>
        <v>liczba bezrobotnych ogółem stan na 31 X '22 r.</v>
      </c>
      <c r="F3" s="6" t="str">
        <f>T('1_bezr.'!E2)</f>
        <v>wzrost/spadek do miesiąca poprzedniego</v>
      </c>
      <c r="G3" s="7" t="str">
        <f>T('1_bezr.'!F2)</f>
        <v>liczba bezrobotnych ogółem stan na 30 XI '21 r.</v>
      </c>
      <c r="H3" s="6" t="str">
        <f>T('1_bezr.'!G2)</f>
        <v>wzrost/spadek do analogicznego okresu ubr.</v>
      </c>
    </row>
    <row r="4" spans="2:8" x14ac:dyDescent="0.2">
      <c r="B4" s="10">
        <f>RANK('1_bezr.'!C3,'1_bezr.'!$C$3:'1_bezr.'!$C$28,1)+COUNTIF('1_bezr.'!$C$3:'1_bezr.'!C3,'1_bezr.'!C3)-1</f>
        <v>3</v>
      </c>
      <c r="C4" s="8" t="str">
        <f>INDEX('1_bezr.'!B3:G28,MATCH(1,B4:B29,0),1)</f>
        <v>Krosno</v>
      </c>
      <c r="D4" s="39">
        <f>INDEX('1_bezr.'!B3:G28,MATCH(1,B4:B29,0),2)</f>
        <v>699</v>
      </c>
      <c r="E4" s="9">
        <f>INDEX('1_bezr.'!B3:G28,MATCH(1,B4:B29,0),3)</f>
        <v>680</v>
      </c>
      <c r="F4" s="10">
        <f>INDEX('1_bezr.'!B3:G28,MATCH(1,B4:B29,0),4)</f>
        <v>19</v>
      </c>
      <c r="G4" s="9">
        <f>INDEX('1_bezr.'!B3:G28,MATCH(1,B4:B29,0),5)</f>
        <v>725</v>
      </c>
      <c r="H4" s="10">
        <f>INDEX('1_bezr.'!B3:G28,MATCH(1,B4:B29,0),6)</f>
        <v>-26</v>
      </c>
    </row>
    <row r="5" spans="2:8" x14ac:dyDescent="0.2">
      <c r="B5" s="10">
        <f>RANK('1_bezr.'!C4,'1_bezr.'!$C$3:'1_bezr.'!$C$28,1)+COUNTIF('1_bezr.'!$C$3:'1_bezr.'!C4,'1_bezr.'!C4)-1</f>
        <v>21</v>
      </c>
      <c r="C5" s="8" t="str">
        <f>INDEX('1_bezr.'!B3:G28,MATCH(2,B4:B29,0),1)</f>
        <v>Tarnobrzeg</v>
      </c>
      <c r="D5" s="10">
        <f>INDEX('1_bezr.'!B3:G28,MATCH(2,B4:B29,0),2)</f>
        <v>1062</v>
      </c>
      <c r="E5" s="9">
        <f>INDEX('1_bezr.'!B3:G28,MATCH(2,B4:B29,0),3)</f>
        <v>1076</v>
      </c>
      <c r="F5" s="10">
        <f>INDEX('1_bezr.'!B3:G28,MATCH(2,B4:B29,0),4)</f>
        <v>-14</v>
      </c>
      <c r="G5" s="9">
        <f>INDEX('1_bezr.'!B3:G28,MATCH(2,B4:B29,0),5)</f>
        <v>1451</v>
      </c>
      <c r="H5" s="10">
        <f>INDEX('1_bezr.'!B3:G28,MATCH(2,B4:B29,0),6)</f>
        <v>-389</v>
      </c>
    </row>
    <row r="6" spans="2:8" x14ac:dyDescent="0.2">
      <c r="B6" s="10">
        <f>RANK('1_bezr.'!C5,'1_bezr.'!$C$3:'1_bezr.'!$C$28,1)+COUNTIF('1_bezr.'!$C$3:'1_bezr.'!C5,'1_bezr.'!C5)-1</f>
        <v>10</v>
      </c>
      <c r="C6" s="8" t="str">
        <f>INDEX('1_bezr.'!B3:G28,MATCH(3,B4:B29,0),1)</f>
        <v>bieszczadzki</v>
      </c>
      <c r="D6" s="10">
        <f>INDEX('1_bezr.'!B3:G28,MATCH(3,B4:B29,0),2)</f>
        <v>1070</v>
      </c>
      <c r="E6" s="9">
        <f>INDEX('1_bezr.'!B3:G28,MATCH(3,B4:B29,0),3)</f>
        <v>1023</v>
      </c>
      <c r="F6" s="10">
        <f>INDEX('1_bezr.'!B3:G28,MATCH(3,B4:B29,0),4)</f>
        <v>47</v>
      </c>
      <c r="G6" s="9">
        <f>INDEX('1_bezr.'!B3:G28,MATCH(3,B4:B29,0),5)</f>
        <v>1140</v>
      </c>
      <c r="H6" s="10">
        <f>INDEX('1_bezr.'!B3:G28,MATCH(3,B4:B29,0),6)</f>
        <v>-70</v>
      </c>
    </row>
    <row r="7" spans="2:8" x14ac:dyDescent="0.2">
      <c r="B7" s="10">
        <f>RANK('1_bezr.'!C6,'1_bezr.'!$C$3:'1_bezr.'!$C$28,1)+COUNTIF('1_bezr.'!$C$3:'1_bezr.'!C6,'1_bezr.'!C6)-1</f>
        <v>22</v>
      </c>
      <c r="C7" s="8" t="str">
        <f>INDEX('1_bezr.'!B3:G28,MATCH(4,B4:B29,0),1)</f>
        <v xml:space="preserve">tarnobrzeski </v>
      </c>
      <c r="D7" s="10">
        <f>INDEX('1_bezr.'!B3:G28,MATCH(4,B4:B29,0),2)</f>
        <v>1271</v>
      </c>
      <c r="E7" s="9">
        <f>INDEX('1_bezr.'!B3:G28,MATCH(4,B4:B29,0),3)</f>
        <v>1259</v>
      </c>
      <c r="F7" s="10">
        <f>INDEX('1_bezr.'!B3:G28,MATCH(4,B4:B29,0),4)</f>
        <v>12</v>
      </c>
      <c r="G7" s="9">
        <f>INDEX('1_bezr.'!B3:G28,MATCH(4,B4:B29,0),5)</f>
        <v>1642</v>
      </c>
      <c r="H7" s="10">
        <f>INDEX('1_bezr.'!B3:G28,MATCH(4,B4:B29,0),6)</f>
        <v>-371</v>
      </c>
    </row>
    <row r="8" spans="2:8" x14ac:dyDescent="0.2">
      <c r="B8" s="10">
        <f>RANK('1_bezr.'!C7,'1_bezr.'!$C$3:'1_bezr.'!$C$28,1)+COUNTIF('1_bezr.'!$C$3:'1_bezr.'!C7,'1_bezr.'!C7)-1</f>
        <v>23</v>
      </c>
      <c r="C8" s="8" t="str">
        <f>INDEX('1_bezr.'!B3:G28,MATCH(5,B4:B29,0),1)</f>
        <v>kolbuszowski</v>
      </c>
      <c r="D8" s="10">
        <f>INDEX('1_bezr.'!B3:G28,MATCH(5,B4:B29,0),2)</f>
        <v>1563</v>
      </c>
      <c r="E8" s="9">
        <f>INDEX('1_bezr.'!B3:G28,MATCH(5,B4:B29,0),3)</f>
        <v>1526</v>
      </c>
      <c r="F8" s="10">
        <f>INDEX('1_bezr.'!B3:G28,MATCH(5,B4:B29,0),4)</f>
        <v>37</v>
      </c>
      <c r="G8" s="9">
        <f>INDEX('1_bezr.'!B3:G28,MATCH(5,B4:B29,0),5)</f>
        <v>1714</v>
      </c>
      <c r="H8" s="10">
        <f>INDEX('1_bezr.'!B3:G28,MATCH(5,B4:B29,0),6)</f>
        <v>-151</v>
      </c>
    </row>
    <row r="9" spans="2:8" x14ac:dyDescent="0.2">
      <c r="B9" s="10">
        <f>RANK('1_bezr.'!C8,'1_bezr.'!$C$3:'1_bezr.'!$C$28,1)+COUNTIF('1_bezr.'!$C$3:'1_bezr.'!C8,'1_bezr.'!C8)-1</f>
        <v>5</v>
      </c>
      <c r="C9" s="8" t="str">
        <f>INDEX('1_bezr.'!B3:G28,MATCH(6,B4:B29,0),1)</f>
        <v>leski</v>
      </c>
      <c r="D9" s="10">
        <f>INDEX('1_bezr.'!B3:G28,MATCH(6,B4:B29,0),2)</f>
        <v>1691</v>
      </c>
      <c r="E9" s="9">
        <f>INDEX('1_bezr.'!B3:G28,MATCH(6,B4:B29,0),3)</f>
        <v>1625</v>
      </c>
      <c r="F9" s="10">
        <f>INDEX('1_bezr.'!B3:G28,MATCH(6,B4:B29,0),4)</f>
        <v>66</v>
      </c>
      <c r="G9" s="9">
        <f>INDEX('1_bezr.'!B3:G28,MATCH(6,B4:B29,0),5)</f>
        <v>1687</v>
      </c>
      <c r="H9" s="10">
        <f>INDEX('1_bezr.'!B3:G28,MATCH(6,B4:B29,0),6)</f>
        <v>4</v>
      </c>
    </row>
    <row r="10" spans="2:8" x14ac:dyDescent="0.2">
      <c r="B10" s="10">
        <f>RANK('1_bezr.'!C9,'1_bezr.'!$C$3:'1_bezr.'!$C$28,1)+COUNTIF('1_bezr.'!$C$3:'1_bezr.'!C9,'1_bezr.'!C9)-1</f>
        <v>9</v>
      </c>
      <c r="C10" s="13" t="str">
        <f>INDEX('1_bezr.'!B3:G28,MATCH(7,B4:B29,0),1)</f>
        <v>lubaczowski</v>
      </c>
      <c r="D10" s="10">
        <f>INDEX('1_bezr.'!B3:G28,MATCH(7,B4:B29,0),2)</f>
        <v>1797</v>
      </c>
      <c r="E10" s="9">
        <f>INDEX('1_bezr.'!B3:G28,MATCH(7,B4:B29,0),3)</f>
        <v>1731</v>
      </c>
      <c r="F10" s="10">
        <f>INDEX('1_bezr.'!B3:G28,MATCH(7,B4:B29,0),4)</f>
        <v>66</v>
      </c>
      <c r="G10" s="9">
        <f>INDEX('1_bezr.'!B3:G28,MATCH(7,B4:B29,0),5)</f>
        <v>2013</v>
      </c>
      <c r="H10" s="10">
        <f>INDEX('1_bezr.'!B3:G28,MATCH(7,B4:B29,0),6)</f>
        <v>-216</v>
      </c>
    </row>
    <row r="11" spans="2:8" x14ac:dyDescent="0.2">
      <c r="B11" s="10">
        <f>RANK('1_bezr.'!C10,'1_bezr.'!$C$3:'1_bezr.'!$C$28,1)+COUNTIF('1_bezr.'!$C$3:'1_bezr.'!C10,'1_bezr.'!C10)-1</f>
        <v>6</v>
      </c>
      <c r="C11" s="8" t="str">
        <f>INDEX('1_bezr.'!B3:G28,MATCH(8,B4:B29,0),1)</f>
        <v>stalowowolski</v>
      </c>
      <c r="D11" s="10">
        <f>INDEX('1_bezr.'!B3:G28,MATCH(8,B4:B29,0),2)</f>
        <v>1828</v>
      </c>
      <c r="E11" s="9">
        <f>INDEX('1_bezr.'!B3:G28,MATCH(8,B4:B29,0),3)</f>
        <v>1858</v>
      </c>
      <c r="F11" s="10">
        <f>INDEX('1_bezr.'!B3:G28,MATCH(8,B4:B29,0),4)</f>
        <v>-30</v>
      </c>
      <c r="G11" s="9">
        <f>INDEX('1_bezr.'!B3:G28,MATCH(8,B4:B29,0),5)</f>
        <v>2193</v>
      </c>
      <c r="H11" s="10">
        <f>INDEX('1_bezr.'!B3:G28,MATCH(8,B4:B29,0),6)</f>
        <v>-365</v>
      </c>
    </row>
    <row r="12" spans="2:8" x14ac:dyDescent="0.2">
      <c r="B12" s="10">
        <f>RANK('1_bezr.'!C11,'1_bezr.'!$C$3:'1_bezr.'!$C$28,1)+COUNTIF('1_bezr.'!$C$3:'1_bezr.'!C11,'1_bezr.'!C11)-1</f>
        <v>18</v>
      </c>
      <c r="C12" s="8" t="str">
        <f>INDEX('1_bezr.'!B3:G28,MATCH(9,B4:B29,0),1)</f>
        <v>krośnieński</v>
      </c>
      <c r="D12" s="10">
        <f>INDEX('1_bezr.'!B3:G28,MATCH(9,B4:B29,0),2)</f>
        <v>1933</v>
      </c>
      <c r="E12" s="9">
        <f>INDEX('1_bezr.'!B3:G28,MATCH(9,B4:B29,0),3)</f>
        <v>1838</v>
      </c>
      <c r="F12" s="10">
        <f>INDEX('1_bezr.'!B3:G28,MATCH(9,B4:B29,0),4)</f>
        <v>95</v>
      </c>
      <c r="G12" s="9">
        <f>INDEX('1_bezr.'!B3:G28,MATCH(9,B4:B29,0),5)</f>
        <v>2035</v>
      </c>
      <c r="H12" s="10">
        <f>INDEX('1_bezr.'!B3:G28,MATCH(9,B4:B29,0),6)</f>
        <v>-102</v>
      </c>
    </row>
    <row r="13" spans="2:8" x14ac:dyDescent="0.2">
      <c r="B13" s="10">
        <f>RANK('1_bezr.'!C12,'1_bezr.'!$C$3:'1_bezr.'!$C$28,1)+COUNTIF('1_bezr.'!$C$3:'1_bezr.'!C12,'1_bezr.'!C12)-1</f>
        <v>7</v>
      </c>
      <c r="C13" s="8" t="str">
        <f>INDEX('1_bezr.'!B3:G28,MATCH(10,B4:B29,0),1)</f>
        <v>dębicki</v>
      </c>
      <c r="D13" s="10">
        <f>INDEX('1_bezr.'!B3:G28,MATCH(10,B4:B29,0),2)</f>
        <v>2411</v>
      </c>
      <c r="E13" s="9">
        <f>INDEX('1_bezr.'!B3:G28,MATCH(10,B4:B29,0),3)</f>
        <v>2371</v>
      </c>
      <c r="F13" s="10">
        <f>INDEX('1_bezr.'!B3:G28,MATCH(10,B4:B29,0),4)</f>
        <v>40</v>
      </c>
      <c r="G13" s="9">
        <f>INDEX('1_bezr.'!B3:G28,MATCH(10,B4:B29,0),5)</f>
        <v>2646</v>
      </c>
      <c r="H13" s="10">
        <f>INDEX('1_bezr.'!B3:G28,MATCH(10,B4:B29,0),6)</f>
        <v>-235</v>
      </c>
    </row>
    <row r="14" spans="2:8" x14ac:dyDescent="0.2">
      <c r="B14" s="10">
        <f>RANK('1_bezr.'!C13,'1_bezr.'!$C$3:'1_bezr.'!$C$28,1)+COUNTIF('1_bezr.'!$C$3:'1_bezr.'!C13,'1_bezr.'!C13)-1</f>
        <v>13</v>
      </c>
      <c r="C14" s="8" t="str">
        <f>INDEX('1_bezr.'!B3:G28,MATCH(11,B4:B29,0),1)</f>
        <v>Przemyśl</v>
      </c>
      <c r="D14" s="10">
        <f>INDEX('1_bezr.'!B3:G28,MATCH(11,B4:B29,0),2)</f>
        <v>2436</v>
      </c>
      <c r="E14" s="9">
        <f>INDEX('1_bezr.'!B3:G28,MATCH(11,B4:B29,0),3)</f>
        <v>2414</v>
      </c>
      <c r="F14" s="10">
        <f>INDEX('1_bezr.'!B3:G28,MATCH(11,B4:B29,0),4)</f>
        <v>22</v>
      </c>
      <c r="G14" s="9">
        <f>INDEX('1_bezr.'!B3:G28,MATCH(11,B4:B29,0),5)</f>
        <v>2872</v>
      </c>
      <c r="H14" s="10">
        <f>INDEX('1_bezr.'!B3:G28,MATCH(11,B4:B29,0),6)</f>
        <v>-436</v>
      </c>
    </row>
    <row r="15" spans="2:8" x14ac:dyDescent="0.2">
      <c r="B15" s="10">
        <f>RANK('1_bezr.'!C14,'1_bezr.'!$C$3:'1_bezr.'!$C$28,1)+COUNTIF('1_bezr.'!$C$3:'1_bezr.'!C14,'1_bezr.'!C14)-1</f>
        <v>12</v>
      </c>
      <c r="C15" s="8" t="str">
        <f>INDEX('1_bezr.'!B3:G28,MATCH(12,B4:B29,0),1)</f>
        <v>mielecki</v>
      </c>
      <c r="D15" s="10">
        <f>INDEX('1_bezr.'!B3:G28,MATCH(12,B4:B29,0),2)</f>
        <v>2542</v>
      </c>
      <c r="E15" s="9">
        <f>INDEX('1_bezr.'!B3:G28,MATCH(12,B4:B29,0),3)</f>
        <v>2559</v>
      </c>
      <c r="F15" s="10">
        <f>INDEX('1_bezr.'!B3:G28,MATCH(12,B4:B29,0),4)</f>
        <v>-17</v>
      </c>
      <c r="G15" s="9">
        <f>INDEX('1_bezr.'!B3:G28,MATCH(12,B4:B29,0),5)</f>
        <v>2918</v>
      </c>
      <c r="H15" s="10">
        <f>INDEX('1_bezr.'!B3:G28,MATCH(12,B4:B29,0),6)</f>
        <v>-376</v>
      </c>
    </row>
    <row r="16" spans="2:8" x14ac:dyDescent="0.2">
      <c r="B16" s="10">
        <f>RANK('1_bezr.'!C15,'1_bezr.'!$C$3:'1_bezr.'!$C$28,1)+COUNTIF('1_bezr.'!$C$3:'1_bezr.'!C15,'1_bezr.'!C15)-1</f>
        <v>17</v>
      </c>
      <c r="C16" s="8" t="str">
        <f>INDEX('1_bezr.'!B3:G28,MATCH(13,B4:B29,0),1)</f>
        <v>łańcucki</v>
      </c>
      <c r="D16" s="10">
        <f>INDEX('1_bezr.'!B3:G28,MATCH(13,B4:B29,0),2)</f>
        <v>2583</v>
      </c>
      <c r="E16" s="9">
        <f>INDEX('1_bezr.'!B3:G28,MATCH(13,B4:B29,0),3)</f>
        <v>2576</v>
      </c>
      <c r="F16" s="10">
        <f>INDEX('1_bezr.'!B3:G28,MATCH(13,B4:B29,0),4)</f>
        <v>7</v>
      </c>
      <c r="G16" s="9">
        <f>INDEX('1_bezr.'!B3:G28,MATCH(13,B4:B29,0),5)</f>
        <v>3293</v>
      </c>
      <c r="H16" s="10">
        <f>INDEX('1_bezr.'!B3:G28,MATCH(13,B4:B29,0),6)</f>
        <v>-710</v>
      </c>
    </row>
    <row r="17" spans="2:8" x14ac:dyDescent="0.2">
      <c r="B17" s="10">
        <f>RANK('1_bezr.'!C16,'1_bezr.'!$C$3:'1_bezr.'!$C$28,1)+COUNTIF('1_bezr.'!$C$3:'1_bezr.'!C16,'1_bezr.'!C16)-1</f>
        <v>16</v>
      </c>
      <c r="C17" s="8" t="str">
        <f>INDEX('1_bezr.'!B3:G28,MATCH(14,B4:B29,0),1)</f>
        <v>sanocki</v>
      </c>
      <c r="D17" s="10">
        <f>INDEX('1_bezr.'!B3:G28,MATCH(14,B4:B29,0),2)</f>
        <v>2632</v>
      </c>
      <c r="E17" s="9">
        <f>INDEX('1_bezr.'!B3:G28,MATCH(14,B4:B29,0),3)</f>
        <v>2576</v>
      </c>
      <c r="F17" s="10">
        <f>INDEX('1_bezr.'!B3:G28,MATCH(14,B4:B29,0),4)</f>
        <v>56</v>
      </c>
      <c r="G17" s="9">
        <f>INDEX('1_bezr.'!B3:G28,MATCH(14,B4:B29,0),5)</f>
        <v>2536</v>
      </c>
      <c r="H17" s="10">
        <f>INDEX('1_bezr.'!B3:G28,MATCH(14,B4:B29,0),6)</f>
        <v>96</v>
      </c>
    </row>
    <row r="18" spans="2:8" x14ac:dyDescent="0.2">
      <c r="B18" s="10">
        <f>RANK('1_bezr.'!C17,'1_bezr.'!$C$3:'1_bezr.'!$C$28,1)+COUNTIF('1_bezr.'!$C$3:'1_bezr.'!C17,'1_bezr.'!C17)-1</f>
        <v>20</v>
      </c>
      <c r="C18" s="8" t="str">
        <f>INDEX('1_bezr.'!B3:G28,MATCH(15,B4:B29,0),1)</f>
        <v>ropczycko-sędziszowski</v>
      </c>
      <c r="D18" s="10">
        <f>INDEX('1_bezr.'!B3:G28,MATCH(15,B4:B29,0),2)</f>
        <v>2764</v>
      </c>
      <c r="E18" s="9">
        <f>INDEX('1_bezr.'!B3:G28,MATCH(15,B4:B29,0),3)</f>
        <v>2825</v>
      </c>
      <c r="F18" s="10">
        <f>INDEX('1_bezr.'!B3:G28,MATCH(15,B4:B29,0),4)</f>
        <v>-61</v>
      </c>
      <c r="G18" s="9">
        <f>INDEX('1_bezr.'!B3:G28,MATCH(15,B4:B29,0),5)</f>
        <v>3199</v>
      </c>
      <c r="H18" s="10">
        <f>INDEX('1_bezr.'!B3:G28,MATCH(15,B4:B29,0),6)</f>
        <v>-435</v>
      </c>
    </row>
    <row r="19" spans="2:8" x14ac:dyDescent="0.2">
      <c r="B19" s="10">
        <f>RANK('1_bezr.'!C18,'1_bezr.'!$C$3:'1_bezr.'!$C$28,1)+COUNTIF('1_bezr.'!$C$3:'1_bezr.'!C18,'1_bezr.'!C18)-1</f>
        <v>15</v>
      </c>
      <c r="C19" s="8" t="str">
        <f>INDEX('1_bezr.'!B3:G28,MATCH(16,B4:B29,0),1)</f>
        <v>przemyski</v>
      </c>
      <c r="D19" s="10">
        <f>INDEX('1_bezr.'!B3:G28,MATCH(16,B4:B29,0),2)</f>
        <v>2944</v>
      </c>
      <c r="E19" s="9">
        <f>INDEX('1_bezr.'!B3:G28,MATCH(16,B4:B29,0),3)</f>
        <v>2864</v>
      </c>
      <c r="F19" s="10">
        <f>INDEX('1_bezr.'!B3:G28,MATCH(16,B4:B29,0),4)</f>
        <v>80</v>
      </c>
      <c r="G19" s="9">
        <f>INDEX('1_bezr.'!B3:G28,MATCH(16,B4:B29,0),5)</f>
        <v>3603</v>
      </c>
      <c r="H19" s="10">
        <f>INDEX('1_bezr.'!B3:G28,MATCH(16,B4:B29,0),6)</f>
        <v>-659</v>
      </c>
    </row>
    <row r="20" spans="2:8" x14ac:dyDescent="0.2">
      <c r="B20" s="10">
        <f>RANK('1_bezr.'!C19,'1_bezr.'!$C$3:'1_bezr.'!$C$28,1)+COUNTIF('1_bezr.'!$C$3:'1_bezr.'!C19,'1_bezr.'!C19)-1</f>
        <v>24</v>
      </c>
      <c r="C20" s="8" t="str">
        <f>INDEX('1_bezr.'!B3:G28,MATCH(17,B4:B29,0),1)</f>
        <v>niżański</v>
      </c>
      <c r="D20" s="10">
        <f>INDEX('1_bezr.'!B3:G28,MATCH(17,B4:B29,0),2)</f>
        <v>3043</v>
      </c>
      <c r="E20" s="9">
        <f>INDEX('1_bezr.'!B3:G28,MATCH(17,B4:B29,0),3)</f>
        <v>3062</v>
      </c>
      <c r="F20" s="10">
        <f>INDEX('1_bezr.'!B3:G28,MATCH(17,B4:B29,0),4)</f>
        <v>-19</v>
      </c>
      <c r="G20" s="9">
        <f>INDEX('1_bezr.'!B3:G28,MATCH(17,B4:B29,0),5)</f>
        <v>3256</v>
      </c>
      <c r="H20" s="10">
        <f>INDEX('1_bezr.'!B3:G28,MATCH(17,B4:B29,0),6)</f>
        <v>-213</v>
      </c>
    </row>
    <row r="21" spans="2:8" x14ac:dyDescent="0.2">
      <c r="B21" s="10">
        <f>RANK('1_bezr.'!C20,'1_bezr.'!$C$3:'1_bezr.'!$C$28,1)+COUNTIF('1_bezr.'!$C$3:'1_bezr.'!C20,'1_bezr.'!C20)-1</f>
        <v>14</v>
      </c>
      <c r="C21" s="8" t="str">
        <f>INDEX('1_bezr.'!B3:G28,MATCH(18,B4:B29,0),1)</f>
        <v>leżajski</v>
      </c>
      <c r="D21" s="10">
        <f>INDEX('1_bezr.'!B3:G28,MATCH(18,B4:B29,0),2)</f>
        <v>3124</v>
      </c>
      <c r="E21" s="9">
        <f>INDEX('1_bezr.'!B3:G28,MATCH(18,B4:B29,0),3)</f>
        <v>3124</v>
      </c>
      <c r="F21" s="10">
        <f>INDEX('1_bezr.'!B3:G28,MATCH(18,B4:B29,0),4)</f>
        <v>0</v>
      </c>
      <c r="G21" s="9">
        <f>INDEX('1_bezr.'!B3:G28,MATCH(18,B4:B29,0),5)</f>
        <v>3636</v>
      </c>
      <c r="H21" s="10">
        <f>INDEX('1_bezr.'!B3:G28,MATCH(18,B4:B29,0),6)</f>
        <v>-512</v>
      </c>
    </row>
    <row r="22" spans="2:8" x14ac:dyDescent="0.2">
      <c r="B22" s="10">
        <f>RANK('1_bezr.'!C21,'1_bezr.'!$C$3:'1_bezr.'!$C$28,1)+COUNTIF('1_bezr.'!$C$3:'1_bezr.'!C21,'1_bezr.'!C21)-1</f>
        <v>8</v>
      </c>
      <c r="C22" s="8" t="str">
        <f>INDEX('1_bezr.'!B3:G28,MATCH(19,B4:B29,0),1)</f>
        <v>strzyżowski</v>
      </c>
      <c r="D22" s="10">
        <f>INDEX('1_bezr.'!B3:G28,MATCH(19,B4:B29,0),2)</f>
        <v>3198</v>
      </c>
      <c r="E22" s="9">
        <f>INDEX('1_bezr.'!B3:G28,MATCH(19,B4:B29,0),3)</f>
        <v>3179</v>
      </c>
      <c r="F22" s="10">
        <f>INDEX('1_bezr.'!B3:G28,MATCH(19,B4:B29,0),4)</f>
        <v>19</v>
      </c>
      <c r="G22" s="9">
        <f>INDEX('1_bezr.'!B3:G28,MATCH(19,B4:B29,0),5)</f>
        <v>3439</v>
      </c>
      <c r="H22" s="10">
        <f>INDEX('1_bezr.'!B3:G28,MATCH(19,B4:B29,0),6)</f>
        <v>-241</v>
      </c>
    </row>
    <row r="23" spans="2:8" x14ac:dyDescent="0.2">
      <c r="B23" s="10">
        <f>RANK('1_bezr.'!C22,'1_bezr.'!$C$3:'1_bezr.'!$C$28,1)+COUNTIF('1_bezr.'!$C$3:'1_bezr.'!C22,'1_bezr.'!C22)-1</f>
        <v>19</v>
      </c>
      <c r="C23" s="8" t="str">
        <f>INDEX('1_bezr.'!B3:G28,MATCH(20,B4:B29,0),1)</f>
        <v>przeworski</v>
      </c>
      <c r="D23" s="10">
        <f>INDEX('1_bezr.'!B3:G28,MATCH(20,B4:B29,0),2)</f>
        <v>3482</v>
      </c>
      <c r="E23" s="9">
        <f>INDEX('1_bezr.'!B3:G28,MATCH(20,B4:B29,0),3)</f>
        <v>3475</v>
      </c>
      <c r="F23" s="10">
        <f>INDEX('1_bezr.'!B3:G28,MATCH(20,B4:B29,0),4)</f>
        <v>7</v>
      </c>
      <c r="G23" s="9">
        <f>INDEX('1_bezr.'!B3:G28,MATCH(20,B4:B29,0),5)</f>
        <v>3765</v>
      </c>
      <c r="H23" s="10">
        <f>INDEX('1_bezr.'!B3:G28,MATCH(20,B4:B29,0),6)</f>
        <v>-283</v>
      </c>
    </row>
    <row r="24" spans="2:8" x14ac:dyDescent="0.2">
      <c r="B24" s="10">
        <f>RANK('1_bezr.'!C23,'1_bezr.'!$C$3:'1_bezr.'!$C$28,1)+COUNTIF('1_bezr.'!$C$3:'1_bezr.'!C23,'1_bezr.'!C23)-1</f>
        <v>4</v>
      </c>
      <c r="C24" s="8" t="str">
        <f>INDEX('1_bezr.'!B3:G28,MATCH(21,B4:B29,0),1)</f>
        <v>brzozowski</v>
      </c>
      <c r="D24" s="10">
        <f>INDEX('1_bezr.'!B3:G28,MATCH(21,B4:B29,0),2)</f>
        <v>3972</v>
      </c>
      <c r="E24" s="9">
        <f>INDEX('1_bezr.'!B3:G28,MATCH(21,B4:B29,0),3)</f>
        <v>3900</v>
      </c>
      <c r="F24" s="10">
        <f>INDEX('1_bezr.'!B3:G28,MATCH(21,B4:B29,0),4)</f>
        <v>72</v>
      </c>
      <c r="G24" s="9">
        <f>INDEX('1_bezr.'!B3:G28,MATCH(21,B4:B29,0),5)</f>
        <v>4142</v>
      </c>
      <c r="H24" s="10">
        <f>INDEX('1_bezr.'!B3:G28,MATCH(21,B4:B29,0),6)</f>
        <v>-170</v>
      </c>
    </row>
    <row r="25" spans="2:8" x14ac:dyDescent="0.2">
      <c r="B25" s="10">
        <f>RANK('1_bezr.'!C24,'1_bezr.'!$C$3:'1_bezr.'!$C$28,1)+COUNTIF('1_bezr.'!$C$3:'1_bezr.'!C24,'1_bezr.'!C24)-1</f>
        <v>1</v>
      </c>
      <c r="C25" s="8" t="str">
        <f>INDEX('1_bezr.'!B3:G28,MATCH(22,B4:B29,0),1)</f>
        <v>jarosławski</v>
      </c>
      <c r="D25" s="10">
        <f>INDEX('1_bezr.'!B3:G28,MATCH(22,B4:B29,0),2)</f>
        <v>4641</v>
      </c>
      <c r="E25" s="9">
        <f>INDEX('1_bezr.'!B3:G28,MATCH(22,B4:B29,0),3)</f>
        <v>4635</v>
      </c>
      <c r="F25" s="10">
        <f>INDEX('1_bezr.'!B3:G28,MATCH(22,B4:B29,0),4)</f>
        <v>6</v>
      </c>
      <c r="G25" s="9">
        <f>INDEX('1_bezr.'!B3:G28,MATCH(22,B4:B29,0),5)</f>
        <v>5284</v>
      </c>
      <c r="H25" s="10">
        <f>INDEX('1_bezr.'!B3:G28,MATCH(22,B4:B29,0),6)</f>
        <v>-643</v>
      </c>
    </row>
    <row r="26" spans="2:8" x14ac:dyDescent="0.2">
      <c r="B26" s="10">
        <f>RANK('1_bezr.'!C25,'1_bezr.'!$C$3:'1_bezr.'!$C$28,1)+COUNTIF('1_bezr.'!$C$3:'1_bezr.'!C25,'1_bezr.'!C25)-1</f>
        <v>11</v>
      </c>
      <c r="C26" s="8" t="str">
        <f>INDEX('1_bezr.'!B3:G28,MATCH(23,B4:B29,0),1)</f>
        <v>jasielski</v>
      </c>
      <c r="D26" s="10">
        <f>INDEX('1_bezr.'!B3:G28,MATCH(23,B4:B29,0),2)</f>
        <v>4859</v>
      </c>
      <c r="E26" s="9">
        <f>INDEX('1_bezr.'!B3:G28,MATCH(23,B4:B29,0),3)</f>
        <v>4770</v>
      </c>
      <c r="F26" s="10">
        <f>INDEX('1_bezr.'!B3:G28,MATCH(23,B4:B29,0),4)</f>
        <v>89</v>
      </c>
      <c r="G26" s="9">
        <f>INDEX('1_bezr.'!B3:G28,MATCH(23,B4:B29,0),5)</f>
        <v>5410</v>
      </c>
      <c r="H26" s="10">
        <f>INDEX('1_bezr.'!B3:G28,MATCH(23,B4:B29,0),6)</f>
        <v>-551</v>
      </c>
    </row>
    <row r="27" spans="2:8" x14ac:dyDescent="0.2">
      <c r="B27" s="10">
        <f>RANK('1_bezr.'!C26,'1_bezr.'!$C$3:'1_bezr.'!$C$28,1)+COUNTIF('1_bezr.'!$C$3:'1_bezr.'!C26,'1_bezr.'!C26)-1</f>
        <v>25</v>
      </c>
      <c r="C27" s="8" t="str">
        <f>INDEX('1_bezr.'!B3:G28,MATCH(24,B4:B29,0),1)</f>
        <v>rzeszowski</v>
      </c>
      <c r="D27" s="10">
        <f>INDEX('1_bezr.'!B3:G28,MATCH(24,B4:B29,0),2)</f>
        <v>4933</v>
      </c>
      <c r="E27" s="9">
        <f>INDEX('1_bezr.'!B3:G28,MATCH(24,B4:B29,0),3)</f>
        <v>4879</v>
      </c>
      <c r="F27" s="10">
        <f>INDEX('1_bezr.'!B3:G28,MATCH(24,B4:B29,0),4)</f>
        <v>54</v>
      </c>
      <c r="G27" s="9">
        <f>INDEX('1_bezr.'!B3:G28,MATCH(24,B4:B29,0),5)</f>
        <v>5720</v>
      </c>
      <c r="H27" s="10">
        <f>INDEX('1_bezr.'!B3:G28,MATCH(24,B4:B29,0),6)</f>
        <v>-787</v>
      </c>
    </row>
    <row r="28" spans="2:8" x14ac:dyDescent="0.2">
      <c r="B28" s="10">
        <f>RANK('1_bezr.'!C27,'1_bezr.'!$C$3:'1_bezr.'!$C$28,1)+COUNTIF('1_bezr.'!$C$3:'1_bezr.'!C27,'1_bezr.'!C27)-1</f>
        <v>2</v>
      </c>
      <c r="C28" s="8" t="str">
        <f>INDEX('1_bezr.'!B3:G28,MATCH(25,B4:B29,0),1)</f>
        <v>Rzeszów</v>
      </c>
      <c r="D28" s="10">
        <f>INDEX('1_bezr.'!B3:G28,MATCH(25,B4:B29,0),2)</f>
        <v>5553</v>
      </c>
      <c r="E28" s="9">
        <f>INDEX('1_bezr.'!B3:G28,MATCH(25,B4:B29,0),3)</f>
        <v>5585</v>
      </c>
      <c r="F28" s="10">
        <f>INDEX('1_bezr.'!B3:G28,MATCH(25,B4:B29,0),4)</f>
        <v>-32</v>
      </c>
      <c r="G28" s="9">
        <f>INDEX('1_bezr.'!B3:G28,MATCH(25,B4:B29,0),5)</f>
        <v>6407</v>
      </c>
      <c r="H28" s="10">
        <f>INDEX('1_bezr.'!B3:G28,MATCH(25,B4:B29,0),6)</f>
        <v>-854</v>
      </c>
    </row>
    <row r="29" spans="2:8" ht="15" x14ac:dyDescent="0.25">
      <c r="B29" s="34">
        <f>RANK('1_bezr.'!C28,'1_bezr.'!$C$3:'1_bezr.'!$C$28,1)+COUNTIF('1_bezr.'!$C$3:'1_bezr.'!C28,'1_bezr.'!C28)-1</f>
        <v>26</v>
      </c>
      <c r="C29" s="35" t="str">
        <f>INDEX('1_bezr.'!B3:G28,MATCH(26,B4:B29,0),1)</f>
        <v>województwo</v>
      </c>
      <c r="D29" s="34">
        <f>INDEX('1_bezr.'!B3:G28,MATCH(26,B4:B29,0),2)</f>
        <v>68031</v>
      </c>
      <c r="E29" s="17">
        <f>INDEX('1_bezr.'!B3:G28,MATCH(26,B4:B29,0),3)</f>
        <v>67410</v>
      </c>
      <c r="F29" s="34">
        <f>INDEX('1_bezr.'!B3:G28,MATCH(26,B4:B29,0),4)</f>
        <v>621</v>
      </c>
      <c r="G29" s="17">
        <f>INDEX('1_bezr.'!B3:G28,MATCH(26,B4:B29,0),5)</f>
        <v>76726</v>
      </c>
      <c r="H29" s="34">
        <f>INDEX('1_bezr.'!B3:G28,MATCH(26,B4:B29,0),6)</f>
        <v>-8695</v>
      </c>
    </row>
    <row r="30" spans="2:8" x14ac:dyDescent="0.2">
      <c r="F30" s="30"/>
      <c r="H30" s="30"/>
    </row>
  </sheetData>
  <pageMargins left="0" right="0" top="0.31496062992125984" bottom="0.31496062992125984" header="0" footer="0"/>
  <pageSetup paperSize="9" scale="72" orientation="landscape" r:id="rId1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>
    <tabColor rgb="FF60497A"/>
    <pageSetUpPr fitToPage="1"/>
  </sheetPr>
  <dimension ref="B1:H29"/>
  <sheetViews>
    <sheetView zoomScale="80" zoomScaleNormal="80" workbookViewId="0">
      <selection activeCell="B1" sqref="B1"/>
    </sheetView>
  </sheetViews>
  <sheetFormatPr defaultRowHeight="14.25" x14ac:dyDescent="0.2"/>
  <cols>
    <col min="1" max="1" width="3" style="3" customWidth="1"/>
    <col min="2" max="2" width="7.140625" style="3" customWidth="1"/>
    <col min="3" max="3" width="25.140625" style="3" customWidth="1"/>
    <col min="4" max="4" width="11.7109375" style="3" customWidth="1"/>
    <col min="5" max="5" width="11.85546875" style="3" customWidth="1"/>
    <col min="6" max="6" width="16.28515625" style="3" customWidth="1"/>
    <col min="7" max="7" width="11.28515625" style="3" customWidth="1"/>
    <col min="8" max="8" width="17.5703125" style="3" customWidth="1"/>
    <col min="9" max="9" width="5.5703125" style="3" customWidth="1"/>
    <col min="10" max="10" width="4.5703125" style="3" customWidth="1"/>
    <col min="11" max="19" width="9.140625" style="3"/>
    <col min="20" max="20" width="4.5703125" style="3" customWidth="1"/>
    <col min="21" max="16384" width="9.140625" style="3"/>
  </cols>
  <sheetData>
    <row r="1" spans="2:8" ht="18.75" customHeight="1" x14ac:dyDescent="0.2">
      <c r="B1" s="2" t="s">
        <v>87</v>
      </c>
      <c r="C1" s="79"/>
      <c r="D1" s="79"/>
      <c r="E1" s="79"/>
      <c r="F1" s="79"/>
      <c r="G1" s="79"/>
      <c r="H1" s="79"/>
    </row>
    <row r="2" spans="2:8" ht="15" x14ac:dyDescent="0.2">
      <c r="C2" s="31"/>
      <c r="D2" s="32"/>
    </row>
    <row r="3" spans="2:8" ht="57" x14ac:dyDescent="0.2">
      <c r="B3" s="33" t="s">
        <v>88</v>
      </c>
      <c r="C3" s="5" t="str">
        <f>T('10_oferty s.'!B3)</f>
        <v>powiaty</v>
      </c>
      <c r="D3" s="5" t="str">
        <f>T('10_oferty s.'!C3)</f>
        <v>liczba ofert w XI '22 r.</v>
      </c>
      <c r="E3" s="5" t="str">
        <f>T('10_oferty s.'!D3)</f>
        <v>liczba ofert w X '22 r.</v>
      </c>
      <c r="F3" s="5" t="str">
        <f>T('10_oferty s.'!E3)</f>
        <v>wzrost/spadek do poprzedniego  miesiąca</v>
      </c>
      <c r="G3" s="5" t="str">
        <f>T('10_oferty s.'!F3)</f>
        <v>liczba ofert w XI '21 r.</v>
      </c>
      <c r="H3" s="5" t="str">
        <f>T('10_oferty s.'!G3)</f>
        <v>wzrost/spadek do analogicznego okresu ubr.</v>
      </c>
    </row>
    <row r="4" spans="2:8" x14ac:dyDescent="0.2">
      <c r="B4" s="10">
        <f>RANK('10_oferty s.'!C4,'10_oferty s.'!$C$4:'10_oferty s.'!$C$29,1)+COUNTIF('10_oferty s.'!$C$4:'10_oferty s.'!C4,'10_oferty s.'!C4)-1</f>
        <v>2</v>
      </c>
      <c r="C4" s="8" t="str">
        <f>INDEX('10_oferty s.'!B4:G29,MATCH(1,B4:B29,0),1)</f>
        <v>leżajski</v>
      </c>
      <c r="D4" s="39">
        <f>INDEX('10_oferty s.'!B4:G29,MATCH(1,B4:B29,0),2)</f>
        <v>3</v>
      </c>
      <c r="E4" s="9">
        <f>INDEX('10_oferty s.'!B4:G29,MATCH(1,B4:B29,0),3)</f>
        <v>48</v>
      </c>
      <c r="F4" s="10">
        <f>INDEX('10_oferty s.'!B4:G29,MATCH(1,B4:B29,0),4)</f>
        <v>-45</v>
      </c>
      <c r="G4" s="9">
        <f>INDEX('10_oferty s.'!B4:G29,MATCH(1,B4:B29,0),5)</f>
        <v>55</v>
      </c>
      <c r="H4" s="10">
        <f>INDEX('10_oferty s.'!B4:G29,MATCH(1,B4:B29,0),6)</f>
        <v>-52</v>
      </c>
    </row>
    <row r="5" spans="2:8" x14ac:dyDescent="0.2">
      <c r="B5" s="10">
        <f>RANK('10_oferty s.'!C5,'10_oferty s.'!$C$4:'10_oferty s.'!$C$29,1)+COUNTIF('10_oferty s.'!$C$4:'10_oferty s.'!C5,'10_oferty s.'!C5)-1</f>
        <v>22</v>
      </c>
      <c r="C5" s="8" t="str">
        <f>INDEX('10_oferty s.'!B4:G29,MATCH(2,B4:B29,0),1)</f>
        <v>bieszczadzki</v>
      </c>
      <c r="D5" s="10">
        <f>INDEX('10_oferty s.'!B4:G29,MATCH(2,B4:B29,0),2)</f>
        <v>4</v>
      </c>
      <c r="E5" s="9">
        <f>INDEX('10_oferty s.'!B4:G29,MATCH(2,B4:B29,0),3)</f>
        <v>24</v>
      </c>
      <c r="F5" s="10">
        <f>INDEX('10_oferty s.'!B4:G29,MATCH(2,B4:B29,0),4)</f>
        <v>-20</v>
      </c>
      <c r="G5" s="9">
        <f>INDEX('10_oferty s.'!B4:G29,MATCH(2,B4:B29,0),5)</f>
        <v>10</v>
      </c>
      <c r="H5" s="10">
        <f>INDEX('10_oferty s.'!B4:G29,MATCH(2,B4:B29,0),6)</f>
        <v>-6</v>
      </c>
    </row>
    <row r="6" spans="2:8" x14ac:dyDescent="0.2">
      <c r="B6" s="10">
        <f>RANK('10_oferty s.'!C6,'10_oferty s.'!$C$4:'10_oferty s.'!$C$29,1)+COUNTIF('10_oferty s.'!$C$4:'10_oferty s.'!C6,'10_oferty s.'!C6)-1</f>
        <v>5</v>
      </c>
      <c r="C6" s="8" t="str">
        <f>INDEX('10_oferty s.'!B4:G29,MATCH(3,B4:B29,0),1)</f>
        <v>leski</v>
      </c>
      <c r="D6" s="10">
        <f>INDEX('10_oferty s.'!B4:G29,MATCH(3,B4:B29,0),2)</f>
        <v>7</v>
      </c>
      <c r="E6" s="9">
        <f>INDEX('10_oferty s.'!B4:G29,MATCH(3,B4:B29,0),3)</f>
        <v>15</v>
      </c>
      <c r="F6" s="10">
        <f>INDEX('10_oferty s.'!B4:G29,MATCH(3,B4:B29,0),4)</f>
        <v>-8</v>
      </c>
      <c r="G6" s="9">
        <f>INDEX('10_oferty s.'!B4:G29,MATCH(3,B4:B29,0),5)</f>
        <v>4</v>
      </c>
      <c r="H6" s="10">
        <f>INDEX('10_oferty s.'!B4:G29,MATCH(3,B4:B29,0),6)</f>
        <v>3</v>
      </c>
    </row>
    <row r="7" spans="2:8" x14ac:dyDescent="0.2">
      <c r="B7" s="10">
        <f>RANK('10_oferty s.'!C7,'10_oferty s.'!$C$4:'10_oferty s.'!$C$29,1)+COUNTIF('10_oferty s.'!$C$4:'10_oferty s.'!C7,'10_oferty s.'!C7)-1</f>
        <v>14</v>
      </c>
      <c r="C7" s="8" t="str">
        <f>INDEX('10_oferty s.'!B4:G29,MATCH(4,B4:B29,0),1)</f>
        <v>lubaczowski</v>
      </c>
      <c r="D7" s="10">
        <f>INDEX('10_oferty s.'!B4:G29,MATCH(4,B4:B29,0),2)</f>
        <v>18</v>
      </c>
      <c r="E7" s="9">
        <f>INDEX('10_oferty s.'!B4:G29,MATCH(4,B4:B29,0),3)</f>
        <v>48</v>
      </c>
      <c r="F7" s="10">
        <f>INDEX('10_oferty s.'!B4:G29,MATCH(4,B4:B29,0),4)</f>
        <v>-30</v>
      </c>
      <c r="G7" s="9">
        <f>INDEX('10_oferty s.'!B4:G29,MATCH(4,B4:B29,0),5)</f>
        <v>19</v>
      </c>
      <c r="H7" s="10">
        <f>INDEX('10_oferty s.'!B4:G29,MATCH(4,B4:B29,0),6)</f>
        <v>-1</v>
      </c>
    </row>
    <row r="8" spans="2:8" x14ac:dyDescent="0.2">
      <c r="B8" s="10">
        <f>RANK('10_oferty s.'!C8,'10_oferty s.'!$C$4:'10_oferty s.'!$C$29,1)+COUNTIF('10_oferty s.'!$C$4:'10_oferty s.'!C8,'10_oferty s.'!C8)-1</f>
        <v>16</v>
      </c>
      <c r="C8" s="8" t="str">
        <f>INDEX('10_oferty s.'!B4:G29,MATCH(5,B4:B29,0),1)</f>
        <v>dębicki</v>
      </c>
      <c r="D8" s="10">
        <f>INDEX('10_oferty s.'!B4:G29,MATCH(5,B4:B29,0),2)</f>
        <v>19</v>
      </c>
      <c r="E8" s="9">
        <f>INDEX('10_oferty s.'!B4:G29,MATCH(5,B4:B29,0),3)</f>
        <v>78</v>
      </c>
      <c r="F8" s="10">
        <f>INDEX('10_oferty s.'!B4:G29,MATCH(5,B4:B29,0),4)</f>
        <v>-59</v>
      </c>
      <c r="G8" s="9">
        <f>INDEX('10_oferty s.'!B4:G29,MATCH(5,B4:B29,0),5)</f>
        <v>33</v>
      </c>
      <c r="H8" s="10">
        <f>INDEX('10_oferty s.'!B4:G29,MATCH(5,B4:B29,0),6)</f>
        <v>-14</v>
      </c>
    </row>
    <row r="9" spans="2:8" x14ac:dyDescent="0.2">
      <c r="B9" s="10">
        <f>RANK('10_oferty s.'!C9,'10_oferty s.'!$C$4:'10_oferty s.'!$C$29,1)+COUNTIF('10_oferty s.'!$C$4:'10_oferty s.'!C9,'10_oferty s.'!C9)-1</f>
        <v>15</v>
      </c>
      <c r="C9" s="8" t="str">
        <f>INDEX('10_oferty s.'!B4:G29,MATCH(6,B4:B29,0),1)</f>
        <v xml:space="preserve">tarnobrzeski </v>
      </c>
      <c r="D9" s="10">
        <f>INDEX('10_oferty s.'!B4:G29,MATCH(6,B4:B29,0),2)</f>
        <v>19</v>
      </c>
      <c r="E9" s="9">
        <f>INDEX('10_oferty s.'!B4:G29,MATCH(6,B4:B29,0),3)</f>
        <v>20</v>
      </c>
      <c r="F9" s="10">
        <f>INDEX('10_oferty s.'!B4:G29,MATCH(6,B4:B29,0),4)</f>
        <v>-1</v>
      </c>
      <c r="G9" s="9">
        <f>INDEX('10_oferty s.'!B4:G29,MATCH(6,B4:B29,0),5)</f>
        <v>21</v>
      </c>
      <c r="H9" s="10">
        <f>INDEX('10_oferty s.'!B4:G29,MATCH(6,B4:B29,0),6)</f>
        <v>-2</v>
      </c>
    </row>
    <row r="10" spans="2:8" x14ac:dyDescent="0.2">
      <c r="B10" s="10">
        <f>RANK('10_oferty s.'!C10,'10_oferty s.'!$C$4:'10_oferty s.'!$C$29,1)+COUNTIF('10_oferty s.'!$C$4:'10_oferty s.'!C10,'10_oferty s.'!C10)-1</f>
        <v>12</v>
      </c>
      <c r="C10" s="13" t="str">
        <f>INDEX('10_oferty s.'!B4:G29,MATCH(7,B4:B29,0),1)</f>
        <v>Tarnobrzeg</v>
      </c>
      <c r="D10" s="10">
        <f>INDEX('10_oferty s.'!B4:G29,MATCH(7,B4:B29,0),2)</f>
        <v>21</v>
      </c>
      <c r="E10" s="9">
        <f>INDEX('10_oferty s.'!B4:G29,MATCH(7,B4:B29,0),3)</f>
        <v>47</v>
      </c>
      <c r="F10" s="10">
        <f>INDEX('10_oferty s.'!B4:G29,MATCH(7,B4:B29,0),4)</f>
        <v>-26</v>
      </c>
      <c r="G10" s="9">
        <f>INDEX('10_oferty s.'!B4:G29,MATCH(7,B4:B29,0),5)</f>
        <v>17</v>
      </c>
      <c r="H10" s="10">
        <f>INDEX('10_oferty s.'!B4:G29,MATCH(7,B4:B29,0),6)</f>
        <v>4</v>
      </c>
    </row>
    <row r="11" spans="2:8" x14ac:dyDescent="0.2">
      <c r="B11" s="10">
        <f>RANK('10_oferty s.'!C11,'10_oferty s.'!$C$4:'10_oferty s.'!$C$29,1)+COUNTIF('10_oferty s.'!$C$4:'10_oferty s.'!C11,'10_oferty s.'!C11)-1</f>
        <v>3</v>
      </c>
      <c r="C11" s="8" t="str">
        <f>INDEX('10_oferty s.'!B4:G29,MATCH(8,B4:B29,0),1)</f>
        <v>przemyski</v>
      </c>
      <c r="D11" s="10">
        <f>INDEX('10_oferty s.'!B4:G29,MATCH(8,B4:B29,0),2)</f>
        <v>22</v>
      </c>
      <c r="E11" s="9">
        <f>INDEX('10_oferty s.'!B4:G29,MATCH(8,B4:B29,0),3)</f>
        <v>32</v>
      </c>
      <c r="F11" s="10">
        <f>INDEX('10_oferty s.'!B4:G29,MATCH(8,B4:B29,0),4)</f>
        <v>-10</v>
      </c>
      <c r="G11" s="9">
        <f>INDEX('10_oferty s.'!B4:G29,MATCH(8,B4:B29,0),5)</f>
        <v>7</v>
      </c>
      <c r="H11" s="10">
        <f>INDEX('10_oferty s.'!B4:G29,MATCH(8,B4:B29,0),6)</f>
        <v>15</v>
      </c>
    </row>
    <row r="12" spans="2:8" x14ac:dyDescent="0.2">
      <c r="B12" s="10">
        <f>RANK('10_oferty s.'!C12,'10_oferty s.'!$C$4:'10_oferty s.'!$C$29,1)+COUNTIF('10_oferty s.'!$C$4:'10_oferty s.'!C12,'10_oferty s.'!C12)-1</f>
        <v>1</v>
      </c>
      <c r="C12" s="8" t="str">
        <f>INDEX('10_oferty s.'!B4:G29,MATCH(9,B4:B29,0),1)</f>
        <v>rzeszowski</v>
      </c>
      <c r="D12" s="10">
        <f>INDEX('10_oferty s.'!B4:G29,MATCH(9,B4:B29,0),2)</f>
        <v>26</v>
      </c>
      <c r="E12" s="9">
        <f>INDEX('10_oferty s.'!B4:G29,MATCH(9,B4:B29,0),3)</f>
        <v>35</v>
      </c>
      <c r="F12" s="10">
        <f>INDEX('10_oferty s.'!B4:G29,MATCH(9,B4:B29,0),4)</f>
        <v>-9</v>
      </c>
      <c r="G12" s="9">
        <f>INDEX('10_oferty s.'!B4:G29,MATCH(9,B4:B29,0),5)</f>
        <v>38</v>
      </c>
      <c r="H12" s="10">
        <f>INDEX('10_oferty s.'!B4:G29,MATCH(9,B4:B29,0),6)</f>
        <v>-12</v>
      </c>
    </row>
    <row r="13" spans="2:8" x14ac:dyDescent="0.2">
      <c r="B13" s="10">
        <f>RANK('10_oferty s.'!C13,'10_oferty s.'!$C$4:'10_oferty s.'!$C$29,1)+COUNTIF('10_oferty s.'!$C$4:'10_oferty s.'!C13,'10_oferty s.'!C13)-1</f>
        <v>4</v>
      </c>
      <c r="C13" s="8" t="str">
        <f>INDEX('10_oferty s.'!B4:G29,MATCH(10,B4:B29,0),1)</f>
        <v>Krosno</v>
      </c>
      <c r="D13" s="10">
        <f>INDEX('10_oferty s.'!B4:G29,MATCH(10,B4:B29,0),2)</f>
        <v>26</v>
      </c>
      <c r="E13" s="9">
        <f>INDEX('10_oferty s.'!B4:G29,MATCH(10,B4:B29,0),3)</f>
        <v>19</v>
      </c>
      <c r="F13" s="10">
        <f>INDEX('10_oferty s.'!B4:G29,MATCH(10,B4:B29,0),4)</f>
        <v>7</v>
      </c>
      <c r="G13" s="9">
        <f>INDEX('10_oferty s.'!B4:G29,MATCH(10,B4:B29,0),5)</f>
        <v>28</v>
      </c>
      <c r="H13" s="10">
        <f>INDEX('10_oferty s.'!B4:G29,MATCH(10,B4:B29,0),6)</f>
        <v>-2</v>
      </c>
    </row>
    <row r="14" spans="2:8" x14ac:dyDescent="0.2">
      <c r="B14" s="10">
        <f>RANK('10_oferty s.'!C14,'10_oferty s.'!$C$4:'10_oferty s.'!$C$29,1)+COUNTIF('10_oferty s.'!$C$4:'10_oferty s.'!C14,'10_oferty s.'!C14)-1</f>
        <v>11</v>
      </c>
      <c r="C14" s="8" t="str">
        <f>INDEX('10_oferty s.'!B4:G29,MATCH(11,B4:B29,0),1)</f>
        <v>łańcucki</v>
      </c>
      <c r="D14" s="10">
        <f>INDEX('10_oferty s.'!B4:G29,MATCH(11,B4:B29,0),2)</f>
        <v>27</v>
      </c>
      <c r="E14" s="9">
        <f>INDEX('10_oferty s.'!B4:G29,MATCH(11,B4:B29,0),3)</f>
        <v>59</v>
      </c>
      <c r="F14" s="10">
        <f>INDEX('10_oferty s.'!B4:G29,MATCH(11,B4:B29,0),4)</f>
        <v>-32</v>
      </c>
      <c r="G14" s="9">
        <f>INDEX('10_oferty s.'!B4:G29,MATCH(11,B4:B29,0),5)</f>
        <v>23</v>
      </c>
      <c r="H14" s="10">
        <f>INDEX('10_oferty s.'!B4:G29,MATCH(11,B4:B29,0),6)</f>
        <v>4</v>
      </c>
    </row>
    <row r="15" spans="2:8" x14ac:dyDescent="0.2">
      <c r="B15" s="10">
        <f>RANK('10_oferty s.'!C15,'10_oferty s.'!$C$4:'10_oferty s.'!$C$29,1)+COUNTIF('10_oferty s.'!$C$4:'10_oferty s.'!C15,'10_oferty s.'!C15)-1</f>
        <v>25</v>
      </c>
      <c r="C15" s="8" t="str">
        <f>INDEX('10_oferty s.'!B4:G29,MATCH(12,B4:B29,0),1)</f>
        <v>krośnieński</v>
      </c>
      <c r="D15" s="10">
        <f>INDEX('10_oferty s.'!B4:G29,MATCH(12,B4:B29,0),2)</f>
        <v>30</v>
      </c>
      <c r="E15" s="9">
        <f>INDEX('10_oferty s.'!B4:G29,MATCH(12,B4:B29,0),3)</f>
        <v>22</v>
      </c>
      <c r="F15" s="10">
        <f>INDEX('10_oferty s.'!B4:G29,MATCH(12,B4:B29,0),4)</f>
        <v>8</v>
      </c>
      <c r="G15" s="9">
        <f>INDEX('10_oferty s.'!B4:G29,MATCH(12,B4:B29,0),5)</f>
        <v>30</v>
      </c>
      <c r="H15" s="10">
        <f>INDEX('10_oferty s.'!B4:G29,MATCH(12,B4:B29,0),6)</f>
        <v>0</v>
      </c>
    </row>
    <row r="16" spans="2:8" x14ac:dyDescent="0.2">
      <c r="B16" s="10">
        <f>RANK('10_oferty s.'!C16,'10_oferty s.'!$C$4:'10_oferty s.'!$C$29,1)+COUNTIF('10_oferty s.'!$C$4:'10_oferty s.'!C16,'10_oferty s.'!C16)-1</f>
        <v>19</v>
      </c>
      <c r="C16" s="8" t="str">
        <f>INDEX('10_oferty s.'!B4:G29,MATCH(13,B4:B29,0),1)</f>
        <v>sanocki</v>
      </c>
      <c r="D16" s="10">
        <f>INDEX('10_oferty s.'!B4:G29,MATCH(13,B4:B29,0),2)</f>
        <v>33</v>
      </c>
      <c r="E16" s="9">
        <f>INDEX('10_oferty s.'!B4:G29,MATCH(13,B4:B29,0),3)</f>
        <v>50</v>
      </c>
      <c r="F16" s="10">
        <f>INDEX('10_oferty s.'!B4:G29,MATCH(13,B4:B29,0),4)</f>
        <v>-17</v>
      </c>
      <c r="G16" s="9">
        <f>INDEX('10_oferty s.'!B4:G29,MATCH(13,B4:B29,0),5)</f>
        <v>41</v>
      </c>
      <c r="H16" s="10">
        <f>INDEX('10_oferty s.'!B4:G29,MATCH(13,B4:B29,0),6)</f>
        <v>-8</v>
      </c>
    </row>
    <row r="17" spans="2:8" x14ac:dyDescent="0.2">
      <c r="B17" s="10">
        <f>RANK('10_oferty s.'!C17,'10_oferty s.'!$C$4:'10_oferty s.'!$C$29,1)+COUNTIF('10_oferty s.'!$C$4:'10_oferty s.'!C17,'10_oferty s.'!C17)-1</f>
        <v>8</v>
      </c>
      <c r="C17" s="8" t="str">
        <f>INDEX('10_oferty s.'!B4:G29,MATCH(14,B4:B29,0),1)</f>
        <v>jarosławski</v>
      </c>
      <c r="D17" s="10">
        <f>INDEX('10_oferty s.'!B4:G29,MATCH(14,B4:B29,0),2)</f>
        <v>36</v>
      </c>
      <c r="E17" s="9">
        <f>INDEX('10_oferty s.'!B4:G29,MATCH(14,B4:B29,0),3)</f>
        <v>78</v>
      </c>
      <c r="F17" s="10">
        <f>INDEX('10_oferty s.'!B4:G29,MATCH(14,B4:B29,0),4)</f>
        <v>-42</v>
      </c>
      <c r="G17" s="9">
        <f>INDEX('10_oferty s.'!B4:G29,MATCH(14,B4:B29,0),5)</f>
        <v>70</v>
      </c>
      <c r="H17" s="10">
        <f>INDEX('10_oferty s.'!B4:G29,MATCH(14,B4:B29,0),6)</f>
        <v>-34</v>
      </c>
    </row>
    <row r="18" spans="2:8" x14ac:dyDescent="0.2">
      <c r="B18" s="10">
        <f>RANK('10_oferty s.'!C18,'10_oferty s.'!$C$4:'10_oferty s.'!$C$29,1)+COUNTIF('10_oferty s.'!$C$4:'10_oferty s.'!C18,'10_oferty s.'!C18)-1</f>
        <v>24</v>
      </c>
      <c r="C18" s="8" t="str">
        <f>INDEX('10_oferty s.'!B4:G29,MATCH(15,B4:B29,0),1)</f>
        <v>kolbuszowski</v>
      </c>
      <c r="D18" s="10">
        <f>INDEX('10_oferty s.'!B4:G29,MATCH(15,B4:B29,0),2)</f>
        <v>38</v>
      </c>
      <c r="E18" s="9">
        <f>INDEX('10_oferty s.'!B4:G29,MATCH(15,B4:B29,0),3)</f>
        <v>42</v>
      </c>
      <c r="F18" s="10">
        <f>INDEX('10_oferty s.'!B4:G29,MATCH(15,B4:B29,0),4)</f>
        <v>-4</v>
      </c>
      <c r="G18" s="9">
        <f>INDEX('10_oferty s.'!B4:G29,MATCH(15,B4:B29,0),5)</f>
        <v>21</v>
      </c>
      <c r="H18" s="10">
        <f>INDEX('10_oferty s.'!B4:G29,MATCH(15,B4:B29,0),6)</f>
        <v>17</v>
      </c>
    </row>
    <row r="19" spans="2:8" x14ac:dyDescent="0.2">
      <c r="B19" s="10">
        <f>RANK('10_oferty s.'!C19,'10_oferty s.'!$C$4:'10_oferty s.'!$C$29,1)+COUNTIF('10_oferty s.'!$C$4:'10_oferty s.'!C19,'10_oferty s.'!C19)-1</f>
        <v>20</v>
      </c>
      <c r="C19" s="8" t="str">
        <f>INDEX('10_oferty s.'!B4:G29,MATCH(16,B4:B29,0),1)</f>
        <v>jasielski</v>
      </c>
      <c r="D19" s="10">
        <f>INDEX('10_oferty s.'!B4:G29,MATCH(16,B4:B29,0),2)</f>
        <v>40</v>
      </c>
      <c r="E19" s="9">
        <f>INDEX('10_oferty s.'!B4:G29,MATCH(16,B4:B29,0),3)</f>
        <v>122</v>
      </c>
      <c r="F19" s="10">
        <f>INDEX('10_oferty s.'!B4:G29,MATCH(16,B4:B29,0),4)</f>
        <v>-82</v>
      </c>
      <c r="G19" s="9">
        <f>INDEX('10_oferty s.'!B4:G29,MATCH(16,B4:B29,0),5)</f>
        <v>45</v>
      </c>
      <c r="H19" s="10">
        <f>INDEX('10_oferty s.'!B4:G29,MATCH(16,B4:B29,0),6)</f>
        <v>-5</v>
      </c>
    </row>
    <row r="20" spans="2:8" x14ac:dyDescent="0.2">
      <c r="B20" s="10">
        <f>RANK('10_oferty s.'!C20,'10_oferty s.'!$C$4:'10_oferty s.'!$C$29,1)+COUNTIF('10_oferty s.'!$C$4:'10_oferty s.'!C20,'10_oferty s.'!C20)-1</f>
        <v>9</v>
      </c>
      <c r="C20" s="8" t="str">
        <f>INDEX('10_oferty s.'!B4:G29,MATCH(17,B4:B29,0),1)</f>
        <v>Przemyśl</v>
      </c>
      <c r="D20" s="10">
        <f>INDEX('10_oferty s.'!B4:G29,MATCH(17,B4:B29,0),2)</f>
        <v>45</v>
      </c>
      <c r="E20" s="9">
        <f>INDEX('10_oferty s.'!B4:G29,MATCH(17,B4:B29,0),3)</f>
        <v>54</v>
      </c>
      <c r="F20" s="10">
        <f>INDEX('10_oferty s.'!B4:G29,MATCH(17,B4:B29,0),4)</f>
        <v>-9</v>
      </c>
      <c r="G20" s="9">
        <f>INDEX('10_oferty s.'!B4:G29,MATCH(17,B4:B29,0),5)</f>
        <v>8</v>
      </c>
      <c r="H20" s="10">
        <f>INDEX('10_oferty s.'!B4:G29,MATCH(17,B4:B29,0),6)</f>
        <v>37</v>
      </c>
    </row>
    <row r="21" spans="2:8" x14ac:dyDescent="0.2">
      <c r="B21" s="10">
        <f>RANK('10_oferty s.'!C21,'10_oferty s.'!$C$4:'10_oferty s.'!$C$29,1)+COUNTIF('10_oferty s.'!$C$4:'10_oferty s.'!C21,'10_oferty s.'!C21)-1</f>
        <v>13</v>
      </c>
      <c r="C21" s="8" t="str">
        <f>INDEX('10_oferty s.'!B4:G29,MATCH(18,B4:B29,0),1)</f>
        <v>stalowowolski</v>
      </c>
      <c r="D21" s="10">
        <f>INDEX('10_oferty s.'!B4:G29,MATCH(18,B4:B29,0),2)</f>
        <v>47</v>
      </c>
      <c r="E21" s="9">
        <f>INDEX('10_oferty s.'!B4:G29,MATCH(18,B4:B29,0),3)</f>
        <v>70</v>
      </c>
      <c r="F21" s="10">
        <f>INDEX('10_oferty s.'!B4:G29,MATCH(18,B4:B29,0),4)</f>
        <v>-23</v>
      </c>
      <c r="G21" s="9">
        <f>INDEX('10_oferty s.'!B4:G29,MATCH(18,B4:B29,0),5)</f>
        <v>45</v>
      </c>
      <c r="H21" s="10">
        <f>INDEX('10_oferty s.'!B4:G29,MATCH(18,B4:B29,0),6)</f>
        <v>2</v>
      </c>
    </row>
    <row r="22" spans="2:8" x14ac:dyDescent="0.2">
      <c r="B22" s="10">
        <f>RANK('10_oferty s.'!C22,'10_oferty s.'!$C$4:'10_oferty s.'!$C$29,1)+COUNTIF('10_oferty s.'!$C$4:'10_oferty s.'!C22,'10_oferty s.'!C22)-1</f>
        <v>18</v>
      </c>
      <c r="C22" s="8" t="str">
        <f>INDEX('10_oferty s.'!B4:G29,MATCH(19,B4:B29,0),1)</f>
        <v>niżański</v>
      </c>
      <c r="D22" s="10">
        <f>INDEX('10_oferty s.'!B4:G29,MATCH(19,B4:B29,0),2)</f>
        <v>57</v>
      </c>
      <c r="E22" s="9">
        <f>INDEX('10_oferty s.'!B4:G29,MATCH(19,B4:B29,0),3)</f>
        <v>62</v>
      </c>
      <c r="F22" s="10">
        <f>INDEX('10_oferty s.'!B4:G29,MATCH(19,B4:B29,0),4)</f>
        <v>-5</v>
      </c>
      <c r="G22" s="9">
        <f>INDEX('10_oferty s.'!B4:G29,MATCH(19,B4:B29,0),5)</f>
        <v>67</v>
      </c>
      <c r="H22" s="10">
        <f>INDEX('10_oferty s.'!B4:G29,MATCH(19,B4:B29,0),6)</f>
        <v>-10</v>
      </c>
    </row>
    <row r="23" spans="2:8" x14ac:dyDescent="0.2">
      <c r="B23" s="10">
        <f>RANK('10_oferty s.'!C23,'10_oferty s.'!$C$4:'10_oferty s.'!$C$29,1)+COUNTIF('10_oferty s.'!$C$4:'10_oferty s.'!C23,'10_oferty s.'!C23)-1</f>
        <v>21</v>
      </c>
      <c r="C23" s="8" t="str">
        <f>INDEX('10_oferty s.'!B4:G29,MATCH(20,B4:B29,0),1)</f>
        <v>ropczycko-sędziszowski</v>
      </c>
      <c r="D23" s="10">
        <f>INDEX('10_oferty s.'!B4:G29,MATCH(20,B4:B29,0),2)</f>
        <v>61</v>
      </c>
      <c r="E23" s="9">
        <f>INDEX('10_oferty s.'!B4:G29,MATCH(20,B4:B29,0),3)</f>
        <v>104</v>
      </c>
      <c r="F23" s="10">
        <f>INDEX('10_oferty s.'!B4:G29,MATCH(20,B4:B29,0),4)</f>
        <v>-43</v>
      </c>
      <c r="G23" s="9">
        <f>INDEX('10_oferty s.'!B4:G29,MATCH(20,B4:B29,0),5)</f>
        <v>55</v>
      </c>
      <c r="H23" s="10">
        <f>INDEX('10_oferty s.'!B4:G29,MATCH(20,B4:B29,0),6)</f>
        <v>6</v>
      </c>
    </row>
    <row r="24" spans="2:8" x14ac:dyDescent="0.2">
      <c r="B24" s="10">
        <f>RANK('10_oferty s.'!C24,'10_oferty s.'!$C$4:'10_oferty s.'!$C$29,1)+COUNTIF('10_oferty s.'!$C$4:'10_oferty s.'!C24,'10_oferty s.'!C24)-1</f>
        <v>6</v>
      </c>
      <c r="C24" s="8" t="str">
        <f>INDEX('10_oferty s.'!B4:G29,MATCH(21,B4:B29,0),1)</f>
        <v>strzyżowski</v>
      </c>
      <c r="D24" s="10">
        <f>INDEX('10_oferty s.'!B4:G29,MATCH(21,B4:B29,0),2)</f>
        <v>70</v>
      </c>
      <c r="E24" s="9">
        <f>INDEX('10_oferty s.'!B4:G29,MATCH(21,B4:B29,0),3)</f>
        <v>82</v>
      </c>
      <c r="F24" s="10">
        <f>INDEX('10_oferty s.'!B4:G29,MATCH(21,B4:B29,0),4)</f>
        <v>-12</v>
      </c>
      <c r="G24" s="9">
        <f>INDEX('10_oferty s.'!B4:G29,MATCH(21,B4:B29,0),5)</f>
        <v>94</v>
      </c>
      <c r="H24" s="10">
        <f>INDEX('10_oferty s.'!B4:G29,MATCH(21,B4:B29,0),6)</f>
        <v>-24</v>
      </c>
    </row>
    <row r="25" spans="2:8" x14ac:dyDescent="0.2">
      <c r="B25" s="10">
        <f>RANK('10_oferty s.'!C25,'10_oferty s.'!$C$4:'10_oferty s.'!$C$29,1)+COUNTIF('10_oferty s.'!$C$4:'10_oferty s.'!C25,'10_oferty s.'!C25)-1</f>
        <v>10</v>
      </c>
      <c r="C25" s="8" t="str">
        <f>INDEX('10_oferty s.'!B4:G29,MATCH(22,B4:B29,0),1)</f>
        <v>brzozowski</v>
      </c>
      <c r="D25" s="10">
        <f>INDEX('10_oferty s.'!B4:G29,MATCH(22,B4:B29,0),2)</f>
        <v>71</v>
      </c>
      <c r="E25" s="9">
        <f>INDEX('10_oferty s.'!B4:G29,MATCH(22,B4:B29,0),3)</f>
        <v>66</v>
      </c>
      <c r="F25" s="10">
        <f>INDEX('10_oferty s.'!B4:G29,MATCH(22,B4:B29,0),4)</f>
        <v>5</v>
      </c>
      <c r="G25" s="9">
        <f>INDEX('10_oferty s.'!B4:G29,MATCH(22,B4:B29,0),5)</f>
        <v>45</v>
      </c>
      <c r="H25" s="10">
        <f>INDEX('10_oferty s.'!B4:G29,MATCH(22,B4:B29,0),6)</f>
        <v>26</v>
      </c>
    </row>
    <row r="26" spans="2:8" x14ac:dyDescent="0.2">
      <c r="B26" s="10">
        <f>RANK('10_oferty s.'!C26,'10_oferty s.'!$C$4:'10_oferty s.'!$C$29,1)+COUNTIF('10_oferty s.'!$C$4:'10_oferty s.'!C26,'10_oferty s.'!C26)-1</f>
        <v>17</v>
      </c>
      <c r="C26" s="8" t="str">
        <f>INDEX('10_oferty s.'!B4:G29,MATCH(23,B4:B29,0),1)</f>
        <v>Rzeszów</v>
      </c>
      <c r="D26" s="10">
        <f>INDEX('10_oferty s.'!B4:G29,MATCH(23,B4:B29,0),2)</f>
        <v>78</v>
      </c>
      <c r="E26" s="9">
        <f>INDEX('10_oferty s.'!B4:G29,MATCH(23,B4:B29,0),3)</f>
        <v>104</v>
      </c>
      <c r="F26" s="10">
        <f>INDEX('10_oferty s.'!B4:G29,MATCH(23,B4:B29,0),4)</f>
        <v>-26</v>
      </c>
      <c r="G26" s="9">
        <f>INDEX('10_oferty s.'!B4:G29,MATCH(23,B4:B29,0),5)</f>
        <v>97</v>
      </c>
      <c r="H26" s="10">
        <f>INDEX('10_oferty s.'!B4:G29,MATCH(23,B4:B29,0),6)</f>
        <v>-19</v>
      </c>
    </row>
    <row r="27" spans="2:8" x14ac:dyDescent="0.2">
      <c r="B27" s="10">
        <f>RANK('10_oferty s.'!C27,'10_oferty s.'!$C$4:'10_oferty s.'!$C$29,1)+COUNTIF('10_oferty s.'!$C$4:'10_oferty s.'!C27,'10_oferty s.'!C27)-1</f>
        <v>23</v>
      </c>
      <c r="C27" s="8" t="str">
        <f>INDEX('10_oferty s.'!B4:G29,MATCH(24,B4:B29,0),1)</f>
        <v>przeworski</v>
      </c>
      <c r="D27" s="10">
        <f>INDEX('10_oferty s.'!B4:G29,MATCH(24,B4:B29,0),2)</f>
        <v>101</v>
      </c>
      <c r="E27" s="9">
        <f>INDEX('10_oferty s.'!B4:G29,MATCH(24,B4:B29,0),3)</f>
        <v>95</v>
      </c>
      <c r="F27" s="10">
        <f>INDEX('10_oferty s.'!B4:G29,MATCH(24,B4:B29,0),4)</f>
        <v>6</v>
      </c>
      <c r="G27" s="9">
        <f>INDEX('10_oferty s.'!B4:G29,MATCH(24,B4:B29,0),5)</f>
        <v>106</v>
      </c>
      <c r="H27" s="10">
        <f>INDEX('10_oferty s.'!B4:G29,MATCH(24,B4:B29,0),6)</f>
        <v>-5</v>
      </c>
    </row>
    <row r="28" spans="2:8" x14ac:dyDescent="0.2">
      <c r="B28" s="10">
        <f>RANK('10_oferty s.'!C28,'10_oferty s.'!$C$4:'10_oferty s.'!$C$29,1)+COUNTIF('10_oferty s.'!$C$4:'10_oferty s.'!C28,'10_oferty s.'!C28)-1</f>
        <v>7</v>
      </c>
      <c r="C28" s="8" t="str">
        <f>INDEX('10_oferty s.'!B4:G29,MATCH(25,B4:B29,0),1)</f>
        <v>mielecki</v>
      </c>
      <c r="D28" s="10">
        <f>INDEX('10_oferty s.'!B4:G29,MATCH(25,B4:B29,0),2)</f>
        <v>130</v>
      </c>
      <c r="E28" s="9">
        <f>INDEX('10_oferty s.'!B4:G29,MATCH(25,B4:B29,0),3)</f>
        <v>146</v>
      </c>
      <c r="F28" s="10">
        <f>INDEX('10_oferty s.'!B4:G29,MATCH(25,B4:B29,0),4)</f>
        <v>-16</v>
      </c>
      <c r="G28" s="9">
        <f>INDEX('10_oferty s.'!B4:G29,MATCH(25,B4:B29,0),5)</f>
        <v>47</v>
      </c>
      <c r="H28" s="10">
        <f>INDEX('10_oferty s.'!B4:G29,MATCH(25,B4:B29,0),6)</f>
        <v>83</v>
      </c>
    </row>
    <row r="29" spans="2:8" ht="15" x14ac:dyDescent="0.25">
      <c r="B29" s="34">
        <f>RANK('10_oferty s.'!C29,'10_oferty s.'!$C$4:'10_oferty s.'!$C$29,1)+COUNTIF('10_oferty s.'!$C$4:'10_oferty s.'!C29,'10_oferty s.'!C29)-1</f>
        <v>26</v>
      </c>
      <c r="C29" s="35" t="str">
        <f>INDEX('10_oferty s.'!B4:G29,MATCH(26,B4:B29,0),1)</f>
        <v>województwo</v>
      </c>
      <c r="D29" s="34">
        <f>INDEX('10_oferty s.'!B4:G29,MATCH(26,B4:B29,0),2)</f>
        <v>1029</v>
      </c>
      <c r="E29" s="17">
        <f>INDEX('10_oferty s.'!B4:G29,MATCH(26,B4:B29,0),3)</f>
        <v>1522</v>
      </c>
      <c r="F29" s="34">
        <f>INDEX('10_oferty s.'!B4:G29,MATCH(26,B4:B29,0),4)</f>
        <v>-493</v>
      </c>
      <c r="G29" s="17">
        <f>INDEX('10_oferty s.'!B4:G29,MATCH(26,B4:B29,0),5)</f>
        <v>1026</v>
      </c>
      <c r="H29" s="34">
        <f>INDEX('10_oferty s.'!B4:G29,MATCH(26,B4:B29,0),6)</f>
        <v>3</v>
      </c>
    </row>
  </sheetData>
  <pageMargins left="0" right="0" top="0.31496062992125984" bottom="0" header="0" footer="0"/>
  <pageSetup paperSize="9" scale="71" orientation="landscape" r:id="rId1"/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680E0D-B0EF-47B0-9BED-4BA60E34CD96}">
  <sheetPr>
    <tabColor rgb="FFCCC0DA"/>
  </sheetPr>
  <dimension ref="B1:K32"/>
  <sheetViews>
    <sheetView zoomScale="80" zoomScaleNormal="80" workbookViewId="0">
      <selection activeCell="B1" sqref="B1"/>
    </sheetView>
  </sheetViews>
  <sheetFormatPr defaultRowHeight="14.25" x14ac:dyDescent="0.2"/>
  <cols>
    <col min="1" max="1" width="3.28515625" style="3" customWidth="1"/>
    <col min="2" max="2" width="25.42578125" style="3" customWidth="1"/>
    <col min="3" max="3" width="11.85546875" style="3" customWidth="1"/>
    <col min="4" max="4" width="11.7109375" style="3" customWidth="1"/>
    <col min="5" max="5" width="16.28515625" style="3" customWidth="1"/>
    <col min="6" max="6" width="11.7109375" style="3" customWidth="1"/>
    <col min="7" max="7" width="17.85546875" style="3" customWidth="1"/>
    <col min="8" max="8" width="6.28515625" style="3" customWidth="1"/>
    <col min="9" max="9" width="7" style="3" customWidth="1"/>
    <col min="10" max="10" width="6.140625" style="3" customWidth="1"/>
    <col min="11" max="12" width="9.140625" style="3"/>
    <col min="13" max="13" width="7.140625" style="3" customWidth="1"/>
    <col min="14" max="16384" width="9.140625" style="3"/>
  </cols>
  <sheetData>
    <row r="1" spans="2:11" ht="15" customHeight="1" x14ac:dyDescent="0.2">
      <c r="B1" s="78" t="s">
        <v>100</v>
      </c>
      <c r="C1" s="76"/>
      <c r="D1" s="76"/>
      <c r="E1" s="76"/>
      <c r="F1" s="76"/>
      <c r="G1" s="76"/>
      <c r="H1" s="77"/>
      <c r="I1" s="77"/>
      <c r="J1" s="77"/>
      <c r="K1" s="77"/>
    </row>
    <row r="2" spans="2:11" ht="14.25" customHeight="1" x14ac:dyDescent="0.2">
      <c r="B2" s="1" t="s">
        <v>101</v>
      </c>
      <c r="C2" s="70"/>
      <c r="D2" s="70"/>
      <c r="E2" s="70"/>
      <c r="F2" s="70"/>
      <c r="G2" s="70"/>
      <c r="H2" s="77"/>
      <c r="I2" s="77"/>
      <c r="J2" s="77"/>
      <c r="K2" s="77"/>
    </row>
    <row r="3" spans="2:11" ht="57" x14ac:dyDescent="0.2">
      <c r="B3" s="5" t="s">
        <v>27</v>
      </c>
      <c r="C3" s="6" t="s">
        <v>133</v>
      </c>
      <c r="D3" s="7" t="s">
        <v>112</v>
      </c>
      <c r="E3" s="6" t="s">
        <v>28</v>
      </c>
      <c r="F3" s="7" t="s">
        <v>134</v>
      </c>
      <c r="G3" s="6" t="s">
        <v>26</v>
      </c>
    </row>
    <row r="4" spans="2:11" x14ac:dyDescent="0.2">
      <c r="B4" s="8" t="s">
        <v>0</v>
      </c>
      <c r="C4" s="73">
        <v>19</v>
      </c>
      <c r="D4" s="9">
        <v>30</v>
      </c>
      <c r="E4" s="73">
        <f t="shared" ref="E4:E28" si="0">SUM(C4)-D4</f>
        <v>-11</v>
      </c>
      <c r="F4" s="9">
        <v>22</v>
      </c>
      <c r="G4" s="73">
        <f t="shared" ref="G4:G28" si="1">SUM(C4)-F4</f>
        <v>-3</v>
      </c>
      <c r="H4" s="11"/>
    </row>
    <row r="5" spans="2:11" x14ac:dyDescent="0.2">
      <c r="B5" s="8" t="s">
        <v>1</v>
      </c>
      <c r="C5" s="73">
        <v>4</v>
      </c>
      <c r="D5" s="9">
        <v>1</v>
      </c>
      <c r="E5" s="73">
        <f t="shared" si="0"/>
        <v>3</v>
      </c>
      <c r="F5" s="9">
        <v>2</v>
      </c>
      <c r="G5" s="73">
        <f t="shared" si="1"/>
        <v>2</v>
      </c>
      <c r="H5" s="11"/>
    </row>
    <row r="6" spans="2:11" x14ac:dyDescent="0.2">
      <c r="B6" s="8" t="s">
        <v>2</v>
      </c>
      <c r="C6" s="73">
        <v>166</v>
      </c>
      <c r="D6" s="9">
        <v>149</v>
      </c>
      <c r="E6" s="73">
        <f t="shared" si="0"/>
        <v>17</v>
      </c>
      <c r="F6" s="9">
        <v>200</v>
      </c>
      <c r="G6" s="73">
        <f t="shared" si="1"/>
        <v>-34</v>
      </c>
      <c r="H6" s="11"/>
    </row>
    <row r="7" spans="2:11" x14ac:dyDescent="0.2">
      <c r="B7" s="8" t="s">
        <v>3</v>
      </c>
      <c r="C7" s="73">
        <v>131</v>
      </c>
      <c r="D7" s="9">
        <v>164</v>
      </c>
      <c r="E7" s="73">
        <f t="shared" si="0"/>
        <v>-33</v>
      </c>
      <c r="F7" s="9">
        <v>40</v>
      </c>
      <c r="G7" s="73">
        <f t="shared" si="1"/>
        <v>91</v>
      </c>
      <c r="H7" s="11"/>
    </row>
    <row r="8" spans="2:11" x14ac:dyDescent="0.2">
      <c r="B8" s="8" t="s">
        <v>4</v>
      </c>
      <c r="C8" s="73">
        <v>212</v>
      </c>
      <c r="D8" s="9">
        <v>100</v>
      </c>
      <c r="E8" s="73">
        <f t="shared" si="0"/>
        <v>112</v>
      </c>
      <c r="F8" s="9">
        <v>128</v>
      </c>
      <c r="G8" s="73">
        <f t="shared" si="1"/>
        <v>84</v>
      </c>
      <c r="H8" s="11"/>
    </row>
    <row r="9" spans="2:11" x14ac:dyDescent="0.2">
      <c r="B9" s="8" t="s">
        <v>5</v>
      </c>
      <c r="C9" s="73">
        <v>89</v>
      </c>
      <c r="D9" s="9">
        <v>45</v>
      </c>
      <c r="E9" s="73">
        <f t="shared" si="0"/>
        <v>44</v>
      </c>
      <c r="F9" s="9">
        <v>98</v>
      </c>
      <c r="G9" s="73">
        <f t="shared" si="1"/>
        <v>-9</v>
      </c>
      <c r="H9" s="11"/>
    </row>
    <row r="10" spans="2:11" x14ac:dyDescent="0.2">
      <c r="B10" s="13" t="s">
        <v>6</v>
      </c>
      <c r="C10" s="73">
        <v>10</v>
      </c>
      <c r="D10" s="9">
        <v>17</v>
      </c>
      <c r="E10" s="73">
        <f t="shared" si="0"/>
        <v>-7</v>
      </c>
      <c r="F10" s="9">
        <v>24</v>
      </c>
      <c r="G10" s="73">
        <f t="shared" si="1"/>
        <v>-14</v>
      </c>
      <c r="H10" s="11"/>
    </row>
    <row r="11" spans="2:11" x14ac:dyDescent="0.2">
      <c r="B11" s="8" t="s">
        <v>7</v>
      </c>
      <c r="C11" s="73">
        <v>67</v>
      </c>
      <c r="D11" s="9">
        <v>34</v>
      </c>
      <c r="E11" s="73">
        <f t="shared" si="0"/>
        <v>33</v>
      </c>
      <c r="F11" s="9">
        <v>48</v>
      </c>
      <c r="G11" s="73">
        <f t="shared" si="1"/>
        <v>19</v>
      </c>
      <c r="H11" s="11"/>
    </row>
    <row r="12" spans="2:11" x14ac:dyDescent="0.2">
      <c r="B12" s="8" t="s">
        <v>8</v>
      </c>
      <c r="C12" s="73">
        <v>71</v>
      </c>
      <c r="D12" s="9">
        <v>95</v>
      </c>
      <c r="E12" s="73">
        <f t="shared" si="0"/>
        <v>-24</v>
      </c>
      <c r="F12" s="9">
        <v>78</v>
      </c>
      <c r="G12" s="73">
        <f t="shared" si="1"/>
        <v>-7</v>
      </c>
      <c r="H12" s="11"/>
    </row>
    <row r="13" spans="2:11" x14ac:dyDescent="0.2">
      <c r="B13" s="8" t="s">
        <v>9</v>
      </c>
      <c r="C13" s="73">
        <v>29</v>
      </c>
      <c r="D13" s="9">
        <v>39</v>
      </c>
      <c r="E13" s="73">
        <f t="shared" si="0"/>
        <v>-10</v>
      </c>
      <c r="F13" s="9">
        <v>93</v>
      </c>
      <c r="G13" s="73">
        <f t="shared" si="1"/>
        <v>-64</v>
      </c>
      <c r="H13" s="11"/>
    </row>
    <row r="14" spans="2:11" x14ac:dyDescent="0.2">
      <c r="B14" s="8" t="s">
        <v>10</v>
      </c>
      <c r="C14" s="73">
        <v>31</v>
      </c>
      <c r="D14" s="9">
        <v>41</v>
      </c>
      <c r="E14" s="73">
        <f t="shared" si="0"/>
        <v>-10</v>
      </c>
      <c r="F14" s="9">
        <v>62</v>
      </c>
      <c r="G14" s="73">
        <f t="shared" si="1"/>
        <v>-31</v>
      </c>
      <c r="H14" s="11"/>
    </row>
    <row r="15" spans="2:11" x14ac:dyDescent="0.2">
      <c r="B15" s="8" t="s">
        <v>11</v>
      </c>
      <c r="C15" s="73">
        <v>188</v>
      </c>
      <c r="D15" s="9">
        <v>322</v>
      </c>
      <c r="E15" s="73">
        <f t="shared" si="0"/>
        <v>-134</v>
      </c>
      <c r="F15" s="9">
        <v>563</v>
      </c>
      <c r="G15" s="73">
        <f t="shared" si="1"/>
        <v>-375</v>
      </c>
      <c r="H15" s="11"/>
    </row>
    <row r="16" spans="2:11" x14ac:dyDescent="0.2">
      <c r="B16" s="8" t="s">
        <v>12</v>
      </c>
      <c r="C16" s="73">
        <v>71</v>
      </c>
      <c r="D16" s="9">
        <v>78</v>
      </c>
      <c r="E16" s="73">
        <f t="shared" si="0"/>
        <v>-7</v>
      </c>
      <c r="F16" s="9">
        <v>113</v>
      </c>
      <c r="G16" s="73">
        <f t="shared" si="1"/>
        <v>-42</v>
      </c>
      <c r="H16" s="11"/>
    </row>
    <row r="17" spans="2:8" x14ac:dyDescent="0.2">
      <c r="B17" s="8" t="s">
        <v>13</v>
      </c>
      <c r="C17" s="73">
        <v>5</v>
      </c>
      <c r="D17" s="9">
        <v>12</v>
      </c>
      <c r="E17" s="73">
        <f t="shared" si="0"/>
        <v>-7</v>
      </c>
      <c r="F17" s="9">
        <v>2</v>
      </c>
      <c r="G17" s="73">
        <f t="shared" si="1"/>
        <v>3</v>
      </c>
      <c r="H17" s="11"/>
    </row>
    <row r="18" spans="2:8" x14ac:dyDescent="0.2">
      <c r="B18" s="8" t="s">
        <v>14</v>
      </c>
      <c r="C18" s="73">
        <v>134</v>
      </c>
      <c r="D18" s="9">
        <v>137</v>
      </c>
      <c r="E18" s="73">
        <f t="shared" si="0"/>
        <v>-3</v>
      </c>
      <c r="F18" s="9">
        <v>151</v>
      </c>
      <c r="G18" s="73">
        <f t="shared" si="1"/>
        <v>-17</v>
      </c>
      <c r="H18" s="11"/>
    </row>
    <row r="19" spans="2:8" x14ac:dyDescent="0.2">
      <c r="B19" s="8" t="s">
        <v>15</v>
      </c>
      <c r="C19" s="73">
        <v>132</v>
      </c>
      <c r="D19" s="9">
        <v>131</v>
      </c>
      <c r="E19" s="73">
        <f t="shared" si="0"/>
        <v>1</v>
      </c>
      <c r="F19" s="9">
        <v>79</v>
      </c>
      <c r="G19" s="73">
        <f t="shared" si="1"/>
        <v>53</v>
      </c>
      <c r="H19" s="11"/>
    </row>
    <row r="20" spans="2:8" x14ac:dyDescent="0.2">
      <c r="B20" s="8" t="s">
        <v>16</v>
      </c>
      <c r="C20" s="73">
        <v>74</v>
      </c>
      <c r="D20" s="9">
        <v>83</v>
      </c>
      <c r="E20" s="73">
        <f t="shared" si="0"/>
        <v>-9</v>
      </c>
      <c r="F20" s="9">
        <v>235</v>
      </c>
      <c r="G20" s="73">
        <f t="shared" si="1"/>
        <v>-161</v>
      </c>
      <c r="H20" s="11"/>
    </row>
    <row r="21" spans="2:8" x14ac:dyDescent="0.2">
      <c r="B21" s="8" t="s">
        <v>17</v>
      </c>
      <c r="C21" s="73">
        <v>65</v>
      </c>
      <c r="D21" s="9">
        <v>52</v>
      </c>
      <c r="E21" s="73">
        <f t="shared" si="0"/>
        <v>13</v>
      </c>
      <c r="F21" s="9">
        <v>53</v>
      </c>
      <c r="G21" s="73">
        <f t="shared" si="1"/>
        <v>12</v>
      </c>
      <c r="H21" s="11"/>
    </row>
    <row r="22" spans="2:8" x14ac:dyDescent="0.2">
      <c r="B22" s="8" t="s">
        <v>18</v>
      </c>
      <c r="C22" s="73">
        <v>117</v>
      </c>
      <c r="D22" s="9">
        <v>81</v>
      </c>
      <c r="E22" s="73">
        <f t="shared" si="0"/>
        <v>36</v>
      </c>
      <c r="F22" s="9">
        <v>102</v>
      </c>
      <c r="G22" s="73">
        <f t="shared" si="1"/>
        <v>15</v>
      </c>
      <c r="H22" s="11"/>
    </row>
    <row r="23" spans="2:8" x14ac:dyDescent="0.2">
      <c r="B23" s="8" t="s">
        <v>19</v>
      </c>
      <c r="C23" s="73">
        <v>49</v>
      </c>
      <c r="D23" s="9">
        <v>94</v>
      </c>
      <c r="E23" s="73">
        <f t="shared" si="0"/>
        <v>-45</v>
      </c>
      <c r="F23" s="9">
        <v>82</v>
      </c>
      <c r="G23" s="73">
        <f t="shared" si="1"/>
        <v>-33</v>
      </c>
      <c r="H23" s="11"/>
    </row>
    <row r="24" spans="2:8" x14ac:dyDescent="0.2">
      <c r="B24" s="8" t="s">
        <v>20</v>
      </c>
      <c r="C24" s="73">
        <v>39</v>
      </c>
      <c r="D24" s="9">
        <v>55</v>
      </c>
      <c r="E24" s="73">
        <f t="shared" si="0"/>
        <v>-16</v>
      </c>
      <c r="F24" s="9">
        <v>105</v>
      </c>
      <c r="G24" s="73">
        <f t="shared" si="1"/>
        <v>-66</v>
      </c>
      <c r="H24" s="11"/>
    </row>
    <row r="25" spans="2:8" x14ac:dyDescent="0.2">
      <c r="B25" s="8" t="s">
        <v>21</v>
      </c>
      <c r="C25" s="73">
        <v>32</v>
      </c>
      <c r="D25" s="9">
        <v>22</v>
      </c>
      <c r="E25" s="73">
        <f t="shared" si="0"/>
        <v>10</v>
      </c>
      <c r="F25" s="9">
        <v>92</v>
      </c>
      <c r="G25" s="73">
        <f t="shared" si="1"/>
        <v>-60</v>
      </c>
      <c r="H25" s="11"/>
    </row>
    <row r="26" spans="2:8" x14ac:dyDescent="0.2">
      <c r="B26" s="8" t="s">
        <v>22</v>
      </c>
      <c r="C26" s="73">
        <v>24</v>
      </c>
      <c r="D26" s="9">
        <v>39</v>
      </c>
      <c r="E26" s="73">
        <f t="shared" si="0"/>
        <v>-15</v>
      </c>
      <c r="F26" s="9">
        <v>21</v>
      </c>
      <c r="G26" s="73">
        <f t="shared" si="1"/>
        <v>3</v>
      </c>
      <c r="H26" s="11"/>
    </row>
    <row r="27" spans="2:8" x14ac:dyDescent="0.2">
      <c r="B27" s="8" t="s">
        <v>23</v>
      </c>
      <c r="C27" s="73">
        <v>307</v>
      </c>
      <c r="D27" s="9">
        <v>500</v>
      </c>
      <c r="E27" s="73">
        <f t="shared" si="0"/>
        <v>-193</v>
      </c>
      <c r="F27" s="9">
        <v>415</v>
      </c>
      <c r="G27" s="73">
        <f t="shared" si="1"/>
        <v>-108</v>
      </c>
      <c r="H27" s="11"/>
    </row>
    <row r="28" spans="2:8" x14ac:dyDescent="0.2">
      <c r="B28" s="8" t="s">
        <v>24</v>
      </c>
      <c r="C28" s="73">
        <v>51</v>
      </c>
      <c r="D28" s="9">
        <v>75</v>
      </c>
      <c r="E28" s="73">
        <f t="shared" si="0"/>
        <v>-24</v>
      </c>
      <c r="F28" s="9">
        <v>41</v>
      </c>
      <c r="G28" s="73">
        <f t="shared" si="1"/>
        <v>10</v>
      </c>
      <c r="H28" s="11"/>
    </row>
    <row r="29" spans="2:8" ht="15" x14ac:dyDescent="0.25">
      <c r="B29" s="15" t="s">
        <v>25</v>
      </c>
      <c r="C29" s="74">
        <f>SUM(C4:C28)</f>
        <v>2117</v>
      </c>
      <c r="D29" s="17">
        <f>SUM(D4:D28)</f>
        <v>2396</v>
      </c>
      <c r="E29" s="74">
        <f>SUM(E4:E28)</f>
        <v>-279</v>
      </c>
      <c r="F29" s="17">
        <f>SUM(F4:F28)</f>
        <v>2849</v>
      </c>
      <c r="G29" s="74">
        <f>SUM(G4:G28)</f>
        <v>-732</v>
      </c>
      <c r="H29" s="11"/>
    </row>
    <row r="30" spans="2:8" ht="12" customHeight="1" x14ac:dyDescent="0.2">
      <c r="B30" s="4"/>
      <c r="C30" s="30"/>
      <c r="E30" s="11"/>
      <c r="G30" s="11"/>
    </row>
    <row r="31" spans="2:8" ht="9" customHeight="1" x14ac:dyDescent="0.2">
      <c r="B31" s="4"/>
    </row>
    <row r="32" spans="2:8" ht="12.75" customHeight="1" x14ac:dyDescent="0.2">
      <c r="B32" s="4"/>
    </row>
  </sheetData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F704CE-3E48-45FF-A1F2-DBA69F4DCD6E}">
  <sheetPr>
    <tabColor rgb="FF60497A"/>
  </sheetPr>
  <dimension ref="B1:H29"/>
  <sheetViews>
    <sheetView zoomScale="80" zoomScaleNormal="80" workbookViewId="0">
      <selection activeCell="B1" sqref="B1"/>
    </sheetView>
  </sheetViews>
  <sheetFormatPr defaultRowHeight="14.25" x14ac:dyDescent="0.2"/>
  <cols>
    <col min="1" max="1" width="3" style="3" customWidth="1"/>
    <col min="2" max="2" width="7.140625" style="3" customWidth="1"/>
    <col min="3" max="3" width="25.140625" style="3" customWidth="1"/>
    <col min="4" max="4" width="11.7109375" style="3" customWidth="1"/>
    <col min="5" max="5" width="11.85546875" style="3" customWidth="1"/>
    <col min="6" max="6" width="16.28515625" style="3" customWidth="1"/>
    <col min="7" max="7" width="11.28515625" style="3" customWidth="1"/>
    <col min="8" max="8" width="17.5703125" style="3" customWidth="1"/>
    <col min="9" max="9" width="5.5703125" style="3" customWidth="1"/>
    <col min="10" max="10" width="4.5703125" style="3" customWidth="1"/>
    <col min="11" max="19" width="9.140625" style="3"/>
    <col min="20" max="20" width="4.5703125" style="3" customWidth="1"/>
    <col min="21" max="16384" width="9.140625" style="3"/>
  </cols>
  <sheetData>
    <row r="1" spans="2:8" ht="18.75" customHeight="1" x14ac:dyDescent="0.2">
      <c r="B1" s="2" t="s">
        <v>102</v>
      </c>
      <c r="C1" s="79"/>
      <c r="D1" s="79"/>
      <c r="E1" s="79"/>
      <c r="F1" s="79"/>
      <c r="G1" s="79"/>
      <c r="H1" s="79"/>
    </row>
    <row r="2" spans="2:8" ht="15" x14ac:dyDescent="0.2">
      <c r="C2" s="31"/>
      <c r="D2" s="32"/>
    </row>
    <row r="3" spans="2:8" ht="57" x14ac:dyDescent="0.2">
      <c r="B3" s="33" t="s">
        <v>88</v>
      </c>
      <c r="C3" s="5" t="str">
        <f>T('10_oferty s.'!B3)</f>
        <v>powiaty</v>
      </c>
      <c r="D3" s="5" t="str">
        <f>T('10_oferty s.'!C3)</f>
        <v>liczba ofert w XI '22 r.</v>
      </c>
      <c r="E3" s="5" t="str">
        <f>T('10_oferty s.'!D3)</f>
        <v>liczba ofert w X '22 r.</v>
      </c>
      <c r="F3" s="5" t="str">
        <f>T('10_oferty s.'!E3)</f>
        <v>wzrost/spadek do poprzedniego  miesiąca</v>
      </c>
      <c r="G3" s="5" t="str">
        <f>T('10_oferty s.'!F3)</f>
        <v>liczba ofert w XI '21 r.</v>
      </c>
      <c r="H3" s="5" t="str">
        <f>T('10_oferty s.'!G3)</f>
        <v>wzrost/spadek do analogicznego okresu ubr.</v>
      </c>
    </row>
    <row r="4" spans="2:8" x14ac:dyDescent="0.2">
      <c r="B4" s="10">
        <f>RANK('11_of st. k.'!C4,'11_of st. k.'!$C$4:'11_of st. k.'!$C$29,1)+COUNTIF('11_of st. k.'!$C$4:'11_of st. k.'!C4,'11_of st. k.'!C4)-1</f>
        <v>4</v>
      </c>
      <c r="C4" s="8" t="str">
        <f>INDEX('11_of st. k.'!B4:G29,MATCH(1,B4:B29,0),1)</f>
        <v>brzozowski</v>
      </c>
      <c r="D4" s="39">
        <f>INDEX('11_of st. k.'!B4:G29,MATCH(1,B4:B29,0),2)</f>
        <v>4</v>
      </c>
      <c r="E4" s="9">
        <f>INDEX('11_of st. k.'!B4:G29,MATCH(1,B4:B29,0),3)</f>
        <v>1</v>
      </c>
      <c r="F4" s="10">
        <f>INDEX('11_of st. k.'!B4:G29,MATCH(1,B4:B29,0),4)</f>
        <v>3</v>
      </c>
      <c r="G4" s="9">
        <f>INDEX('11_of st. k.'!B4:G29,MATCH(1,B4:B29,0),5)</f>
        <v>2</v>
      </c>
      <c r="H4" s="10">
        <f>INDEX('11_of st. k.'!B4:G29,MATCH(1,B4:B29,0),6)</f>
        <v>2</v>
      </c>
    </row>
    <row r="5" spans="2:8" x14ac:dyDescent="0.2">
      <c r="B5" s="10">
        <f>RANK('11_of st. k.'!C5,'11_of st. k.'!$C$4:'11_of st. k.'!$C$29,1)+COUNTIF('11_of st. k.'!$C$4:'11_of st. k.'!C5,'11_of st. k.'!C5)-1</f>
        <v>1</v>
      </c>
      <c r="C5" s="8" t="str">
        <f>INDEX('11_of st. k.'!B4:G29,MATCH(2,B4:B29,0),1)</f>
        <v>przemyski</v>
      </c>
      <c r="D5" s="10">
        <f>INDEX('11_of st. k.'!B4:G29,MATCH(2,B4:B29,0),2)</f>
        <v>5</v>
      </c>
      <c r="E5" s="9">
        <f>INDEX('11_of st. k.'!B4:G29,MATCH(2,B4:B29,0),3)</f>
        <v>12</v>
      </c>
      <c r="F5" s="10">
        <f>INDEX('11_of st. k.'!B4:G29,MATCH(2,B4:B29,0),4)</f>
        <v>-7</v>
      </c>
      <c r="G5" s="9">
        <f>INDEX('11_of st. k.'!B4:G29,MATCH(2,B4:B29,0),5)</f>
        <v>2</v>
      </c>
      <c r="H5" s="10">
        <f>INDEX('11_of st. k.'!B4:G29,MATCH(2,B4:B29,0),6)</f>
        <v>3</v>
      </c>
    </row>
    <row r="6" spans="2:8" x14ac:dyDescent="0.2">
      <c r="B6" s="10">
        <f>RANK('11_of st. k.'!C6,'11_of st. k.'!$C$4:'11_of st. k.'!$C$29,1)+COUNTIF('11_of st. k.'!$C$4:'11_of st. k.'!C6,'11_of st. k.'!C6)-1</f>
        <v>22</v>
      </c>
      <c r="C6" s="8" t="str">
        <f>INDEX('11_of st. k.'!B4:G29,MATCH(3,B4:B29,0),1)</f>
        <v>krośnieński</v>
      </c>
      <c r="D6" s="10">
        <f>INDEX('11_of st. k.'!B4:G29,MATCH(3,B4:B29,0),2)</f>
        <v>10</v>
      </c>
      <c r="E6" s="9">
        <f>INDEX('11_of st. k.'!B4:G29,MATCH(3,B4:B29,0),3)</f>
        <v>17</v>
      </c>
      <c r="F6" s="10">
        <f>INDEX('11_of st. k.'!B4:G29,MATCH(3,B4:B29,0),4)</f>
        <v>-7</v>
      </c>
      <c r="G6" s="9">
        <f>INDEX('11_of st. k.'!B4:G29,MATCH(3,B4:B29,0),5)</f>
        <v>24</v>
      </c>
      <c r="H6" s="10">
        <f>INDEX('11_of st. k.'!B4:G29,MATCH(3,B4:B29,0),6)</f>
        <v>-14</v>
      </c>
    </row>
    <row r="7" spans="2:8" x14ac:dyDescent="0.2">
      <c r="B7" s="10">
        <f>RANK('11_of st. k.'!C7,'11_of st. k.'!$C$4:'11_of st. k.'!$C$29,1)+COUNTIF('11_of st. k.'!$C$4:'11_of st. k.'!C7,'11_of st. k.'!C7)-1</f>
        <v>19</v>
      </c>
      <c r="C7" s="8" t="str">
        <f>INDEX('11_of st. k.'!B4:G29,MATCH(4,B4:B29,0),1)</f>
        <v>bieszczadzki</v>
      </c>
      <c r="D7" s="10">
        <f>INDEX('11_of st. k.'!B4:G29,MATCH(4,B4:B29,0),2)</f>
        <v>19</v>
      </c>
      <c r="E7" s="9">
        <f>INDEX('11_of st. k.'!B4:G29,MATCH(4,B4:B29,0),3)</f>
        <v>30</v>
      </c>
      <c r="F7" s="10">
        <f>INDEX('11_of st. k.'!B4:G29,MATCH(4,B4:B29,0),4)</f>
        <v>-11</v>
      </c>
      <c r="G7" s="9">
        <f>INDEX('11_of st. k.'!B4:G29,MATCH(4,B4:B29,0),5)</f>
        <v>22</v>
      </c>
      <c r="H7" s="10">
        <f>INDEX('11_of st. k.'!B4:G29,MATCH(4,B4:B29,0),6)</f>
        <v>-3</v>
      </c>
    </row>
    <row r="8" spans="2:8" x14ac:dyDescent="0.2">
      <c r="B8" s="10">
        <f>RANK('11_of st. k.'!C8,'11_of st. k.'!$C$4:'11_of st. k.'!$C$29,1)+COUNTIF('11_of st. k.'!$C$4:'11_of st. k.'!C8,'11_of st. k.'!C8)-1</f>
        <v>24</v>
      </c>
      <c r="C8" s="8" t="str">
        <f>INDEX('11_of st. k.'!B4:G29,MATCH(5,B4:B29,0),1)</f>
        <v>Przemyśl</v>
      </c>
      <c r="D8" s="10">
        <f>INDEX('11_of st. k.'!B4:G29,MATCH(5,B4:B29,0),2)</f>
        <v>24</v>
      </c>
      <c r="E8" s="9">
        <f>INDEX('11_of st. k.'!B4:G29,MATCH(5,B4:B29,0),3)</f>
        <v>39</v>
      </c>
      <c r="F8" s="10">
        <f>INDEX('11_of st. k.'!B4:G29,MATCH(5,B4:B29,0),4)</f>
        <v>-15</v>
      </c>
      <c r="G8" s="9">
        <f>INDEX('11_of st. k.'!B4:G29,MATCH(5,B4:B29,0),5)</f>
        <v>21</v>
      </c>
      <c r="H8" s="10">
        <f>INDEX('11_of st. k.'!B4:G29,MATCH(5,B4:B29,0),6)</f>
        <v>3</v>
      </c>
    </row>
    <row r="9" spans="2:8" x14ac:dyDescent="0.2">
      <c r="B9" s="10">
        <f>RANK('11_of st. k.'!C9,'11_of st. k.'!$C$4:'11_of st. k.'!$C$29,1)+COUNTIF('11_of st. k.'!$C$4:'11_of st. k.'!C9,'11_of st. k.'!C9)-1</f>
        <v>17</v>
      </c>
      <c r="C9" s="8" t="str">
        <f>INDEX('11_of st. k.'!B4:G29,MATCH(6,B4:B29,0),1)</f>
        <v>lubaczowski</v>
      </c>
      <c r="D9" s="10">
        <f>INDEX('11_of st. k.'!B4:G29,MATCH(6,B4:B29,0),2)</f>
        <v>29</v>
      </c>
      <c r="E9" s="9">
        <f>INDEX('11_of st. k.'!B4:G29,MATCH(6,B4:B29,0),3)</f>
        <v>39</v>
      </c>
      <c r="F9" s="10">
        <f>INDEX('11_of st. k.'!B4:G29,MATCH(6,B4:B29,0),4)</f>
        <v>-10</v>
      </c>
      <c r="G9" s="9">
        <f>INDEX('11_of st. k.'!B4:G29,MATCH(6,B4:B29,0),5)</f>
        <v>93</v>
      </c>
      <c r="H9" s="10">
        <f>INDEX('11_of st. k.'!B4:G29,MATCH(6,B4:B29,0),6)</f>
        <v>-64</v>
      </c>
    </row>
    <row r="10" spans="2:8" x14ac:dyDescent="0.2">
      <c r="B10" s="10">
        <f>RANK('11_of st. k.'!C10,'11_of st. k.'!$C$4:'11_of st. k.'!$C$29,1)+COUNTIF('11_of st. k.'!$C$4:'11_of st. k.'!C10,'11_of st. k.'!C10)-1</f>
        <v>3</v>
      </c>
      <c r="C10" s="13" t="str">
        <f>INDEX('11_of st. k.'!B4:G29,MATCH(7,B4:B29,0),1)</f>
        <v>łańcucki</v>
      </c>
      <c r="D10" s="10">
        <f>INDEX('11_of st. k.'!B4:G29,MATCH(7,B4:B29,0),2)</f>
        <v>31</v>
      </c>
      <c r="E10" s="9">
        <f>INDEX('11_of st. k.'!B4:G29,MATCH(7,B4:B29,0),3)</f>
        <v>41</v>
      </c>
      <c r="F10" s="10">
        <f>INDEX('11_of st. k.'!B4:G29,MATCH(7,B4:B29,0),4)</f>
        <v>-10</v>
      </c>
      <c r="G10" s="9">
        <f>INDEX('11_of st. k.'!B4:G29,MATCH(7,B4:B29,0),5)</f>
        <v>62</v>
      </c>
      <c r="H10" s="10">
        <f>INDEX('11_of st. k.'!B4:G29,MATCH(7,B4:B29,0),6)</f>
        <v>-31</v>
      </c>
    </row>
    <row r="11" spans="2:8" x14ac:dyDescent="0.2">
      <c r="B11" s="10">
        <f>RANK('11_of st. k.'!C11,'11_of st. k.'!$C$4:'11_of st. k.'!$C$29,1)+COUNTIF('11_of st. k.'!$C$4:'11_of st. k.'!C11,'11_of st. k.'!C11)-1</f>
        <v>13</v>
      </c>
      <c r="C11" s="8" t="str">
        <f>INDEX('11_of st. k.'!B4:G29,MATCH(8,B4:B29,0),1)</f>
        <v>Krosno</v>
      </c>
      <c r="D11" s="10">
        <f>INDEX('11_of st. k.'!B4:G29,MATCH(8,B4:B29,0),2)</f>
        <v>32</v>
      </c>
      <c r="E11" s="9">
        <f>INDEX('11_of st. k.'!B4:G29,MATCH(8,B4:B29,0),3)</f>
        <v>22</v>
      </c>
      <c r="F11" s="10">
        <f>INDEX('11_of st. k.'!B4:G29,MATCH(8,B4:B29,0),4)</f>
        <v>10</v>
      </c>
      <c r="G11" s="9">
        <f>INDEX('11_of st. k.'!B4:G29,MATCH(8,B4:B29,0),5)</f>
        <v>92</v>
      </c>
      <c r="H11" s="10">
        <f>INDEX('11_of st. k.'!B4:G29,MATCH(8,B4:B29,0),6)</f>
        <v>-60</v>
      </c>
    </row>
    <row r="12" spans="2:8" x14ac:dyDescent="0.2">
      <c r="B12" s="10">
        <f>RANK('11_of st. k.'!C12,'11_of st. k.'!$C$4:'11_of st. k.'!$C$29,1)+COUNTIF('11_of st. k.'!$C$4:'11_of st. k.'!C12,'11_of st. k.'!C12)-1</f>
        <v>14</v>
      </c>
      <c r="C12" s="8" t="str">
        <f>INDEX('11_of st. k.'!B4:G29,MATCH(9,B4:B29,0),1)</f>
        <v xml:space="preserve">tarnobrzeski </v>
      </c>
      <c r="D12" s="10">
        <f>INDEX('11_of st. k.'!B4:G29,MATCH(9,B4:B29,0),2)</f>
        <v>39</v>
      </c>
      <c r="E12" s="9">
        <f>INDEX('11_of st. k.'!B4:G29,MATCH(9,B4:B29,0),3)</f>
        <v>55</v>
      </c>
      <c r="F12" s="10">
        <f>INDEX('11_of st. k.'!B4:G29,MATCH(9,B4:B29,0),4)</f>
        <v>-16</v>
      </c>
      <c r="G12" s="9">
        <f>INDEX('11_of st. k.'!B4:G29,MATCH(9,B4:B29,0),5)</f>
        <v>105</v>
      </c>
      <c r="H12" s="10">
        <f>INDEX('11_of st. k.'!B4:G29,MATCH(9,B4:B29,0),6)</f>
        <v>-66</v>
      </c>
    </row>
    <row r="13" spans="2:8" x14ac:dyDescent="0.2">
      <c r="B13" s="10">
        <f>RANK('11_of st. k.'!C13,'11_of st. k.'!$C$4:'11_of st. k.'!$C$29,1)+COUNTIF('11_of st. k.'!$C$4:'11_of st. k.'!C13,'11_of st. k.'!C13)-1</f>
        <v>6</v>
      </c>
      <c r="C13" s="8" t="str">
        <f>INDEX('11_of st. k.'!B4:G29,MATCH(10,B4:B29,0),1)</f>
        <v>strzyżowski</v>
      </c>
      <c r="D13" s="10">
        <f>INDEX('11_of st. k.'!B4:G29,MATCH(10,B4:B29,0),2)</f>
        <v>49</v>
      </c>
      <c r="E13" s="9">
        <f>INDEX('11_of st. k.'!B4:G29,MATCH(10,B4:B29,0),3)</f>
        <v>94</v>
      </c>
      <c r="F13" s="10">
        <f>INDEX('11_of st. k.'!B4:G29,MATCH(10,B4:B29,0),4)</f>
        <v>-45</v>
      </c>
      <c r="G13" s="9">
        <f>INDEX('11_of st. k.'!B4:G29,MATCH(10,B4:B29,0),5)</f>
        <v>82</v>
      </c>
      <c r="H13" s="10">
        <f>INDEX('11_of st. k.'!B4:G29,MATCH(10,B4:B29,0),6)</f>
        <v>-33</v>
      </c>
    </row>
    <row r="14" spans="2:8" x14ac:dyDescent="0.2">
      <c r="B14" s="10">
        <f>RANK('11_of st. k.'!C14,'11_of st. k.'!$C$4:'11_of st. k.'!$C$29,1)+COUNTIF('11_of st. k.'!$C$4:'11_of st. k.'!C14,'11_of st. k.'!C14)-1</f>
        <v>7</v>
      </c>
      <c r="C14" s="8" t="str">
        <f>INDEX('11_of st. k.'!B4:G29,MATCH(11,B4:B29,0),1)</f>
        <v>Tarnobrzeg</v>
      </c>
      <c r="D14" s="10">
        <f>INDEX('11_of st. k.'!B4:G29,MATCH(11,B4:B29,0),2)</f>
        <v>51</v>
      </c>
      <c r="E14" s="9">
        <f>INDEX('11_of st. k.'!B4:G29,MATCH(11,B4:B29,0),3)</f>
        <v>75</v>
      </c>
      <c r="F14" s="10">
        <f>INDEX('11_of st. k.'!B4:G29,MATCH(11,B4:B29,0),4)</f>
        <v>-24</v>
      </c>
      <c r="G14" s="9">
        <f>INDEX('11_of st. k.'!B4:G29,MATCH(11,B4:B29,0),5)</f>
        <v>41</v>
      </c>
      <c r="H14" s="10">
        <f>INDEX('11_of st. k.'!B4:G29,MATCH(11,B4:B29,0),6)</f>
        <v>10</v>
      </c>
    </row>
    <row r="15" spans="2:8" x14ac:dyDescent="0.2">
      <c r="B15" s="10">
        <f>RANK('11_of st. k.'!C15,'11_of st. k.'!$C$4:'11_of st. k.'!$C$29,1)+COUNTIF('11_of st. k.'!$C$4:'11_of st. k.'!C15,'11_of st. k.'!C15)-1</f>
        <v>23</v>
      </c>
      <c r="C15" s="8" t="str">
        <f>INDEX('11_of st. k.'!B4:G29,MATCH(12,B4:B29,0),1)</f>
        <v>sanocki</v>
      </c>
      <c r="D15" s="10">
        <f>INDEX('11_of st. k.'!B4:G29,MATCH(12,B4:B29,0),2)</f>
        <v>65</v>
      </c>
      <c r="E15" s="9">
        <f>INDEX('11_of st. k.'!B4:G29,MATCH(12,B4:B29,0),3)</f>
        <v>52</v>
      </c>
      <c r="F15" s="10">
        <f>INDEX('11_of st. k.'!B4:G29,MATCH(12,B4:B29,0),4)</f>
        <v>13</v>
      </c>
      <c r="G15" s="9">
        <f>INDEX('11_of st. k.'!B4:G29,MATCH(12,B4:B29,0),5)</f>
        <v>53</v>
      </c>
      <c r="H15" s="10">
        <f>INDEX('11_of st. k.'!B4:G29,MATCH(12,B4:B29,0),6)</f>
        <v>12</v>
      </c>
    </row>
    <row r="16" spans="2:8" x14ac:dyDescent="0.2">
      <c r="B16" s="10">
        <f>RANK('11_of st. k.'!C16,'11_of st. k.'!$C$4:'11_of st. k.'!$C$29,1)+COUNTIF('11_of st. k.'!$C$4:'11_of st. k.'!C16,'11_of st. k.'!C16)-1</f>
        <v>15</v>
      </c>
      <c r="C16" s="8" t="str">
        <f>INDEX('11_of st. k.'!B4:G29,MATCH(13,B4:B29,0),1)</f>
        <v>leski</v>
      </c>
      <c r="D16" s="10">
        <f>INDEX('11_of st. k.'!B4:G29,MATCH(13,B4:B29,0),2)</f>
        <v>67</v>
      </c>
      <c r="E16" s="9">
        <f>INDEX('11_of st. k.'!B4:G29,MATCH(13,B4:B29,0),3)</f>
        <v>34</v>
      </c>
      <c r="F16" s="10">
        <f>INDEX('11_of st. k.'!B4:G29,MATCH(13,B4:B29,0),4)</f>
        <v>33</v>
      </c>
      <c r="G16" s="9">
        <f>INDEX('11_of st. k.'!B4:G29,MATCH(13,B4:B29,0),5)</f>
        <v>48</v>
      </c>
      <c r="H16" s="10">
        <f>INDEX('11_of st. k.'!B4:G29,MATCH(13,B4:B29,0),6)</f>
        <v>19</v>
      </c>
    </row>
    <row r="17" spans="2:8" x14ac:dyDescent="0.2">
      <c r="B17" s="10">
        <f>RANK('11_of st. k.'!C17,'11_of st. k.'!$C$4:'11_of st. k.'!$C$29,1)+COUNTIF('11_of st. k.'!$C$4:'11_of st. k.'!C17,'11_of st. k.'!C17)-1</f>
        <v>2</v>
      </c>
      <c r="C17" s="8" t="str">
        <f>INDEX('11_of st. k.'!B4:G29,MATCH(14,B4:B29,0),1)</f>
        <v>leżajski</v>
      </c>
      <c r="D17" s="10">
        <f>INDEX('11_of st. k.'!B4:G29,MATCH(14,B4:B29,0),2)</f>
        <v>71</v>
      </c>
      <c r="E17" s="9">
        <f>INDEX('11_of st. k.'!B4:G29,MATCH(14,B4:B29,0),3)</f>
        <v>95</v>
      </c>
      <c r="F17" s="10">
        <f>INDEX('11_of st. k.'!B4:G29,MATCH(14,B4:B29,0),4)</f>
        <v>-24</v>
      </c>
      <c r="G17" s="9">
        <f>INDEX('11_of st. k.'!B4:G29,MATCH(14,B4:B29,0),5)</f>
        <v>78</v>
      </c>
      <c r="H17" s="10">
        <f>INDEX('11_of st. k.'!B4:G29,MATCH(14,B4:B29,0),6)</f>
        <v>-7</v>
      </c>
    </row>
    <row r="18" spans="2:8" x14ac:dyDescent="0.2">
      <c r="B18" s="10">
        <f>RANK('11_of st. k.'!C18,'11_of st. k.'!$C$4:'11_of st. k.'!$C$29,1)+COUNTIF('11_of st. k.'!$C$4:'11_of st. k.'!C18,'11_of st. k.'!C18)-1</f>
        <v>21</v>
      </c>
      <c r="C18" s="8" t="str">
        <f>INDEX('11_of st. k.'!B4:G29,MATCH(15,B4:B29,0),1)</f>
        <v>niżański</v>
      </c>
      <c r="D18" s="10">
        <f>INDEX('11_of st. k.'!B4:G29,MATCH(15,B4:B29,0),2)</f>
        <v>71</v>
      </c>
      <c r="E18" s="9">
        <f>INDEX('11_of st. k.'!B4:G29,MATCH(15,B4:B29,0),3)</f>
        <v>78</v>
      </c>
      <c r="F18" s="10">
        <f>INDEX('11_of st. k.'!B4:G29,MATCH(15,B4:B29,0),4)</f>
        <v>-7</v>
      </c>
      <c r="G18" s="9">
        <f>INDEX('11_of st. k.'!B4:G29,MATCH(15,B4:B29,0),5)</f>
        <v>113</v>
      </c>
      <c r="H18" s="10">
        <f>INDEX('11_of st. k.'!B4:G29,MATCH(15,B4:B29,0),6)</f>
        <v>-42</v>
      </c>
    </row>
    <row r="19" spans="2:8" x14ac:dyDescent="0.2">
      <c r="B19" s="10">
        <f>RANK('11_of st. k.'!C19,'11_of st. k.'!$C$4:'11_of st. k.'!$C$29,1)+COUNTIF('11_of st. k.'!$C$4:'11_of st. k.'!C19,'11_of st. k.'!C19)-1</f>
        <v>20</v>
      </c>
      <c r="C19" s="8" t="str">
        <f>INDEX('11_of st. k.'!B4:G29,MATCH(16,B4:B29,0),1)</f>
        <v>rzeszowski</v>
      </c>
      <c r="D19" s="10">
        <f>INDEX('11_of st. k.'!B4:G29,MATCH(16,B4:B29,0),2)</f>
        <v>74</v>
      </c>
      <c r="E19" s="9">
        <f>INDEX('11_of st. k.'!B4:G29,MATCH(16,B4:B29,0),3)</f>
        <v>83</v>
      </c>
      <c r="F19" s="10">
        <f>INDEX('11_of st. k.'!B4:G29,MATCH(16,B4:B29,0),4)</f>
        <v>-9</v>
      </c>
      <c r="G19" s="9">
        <f>INDEX('11_of st. k.'!B4:G29,MATCH(16,B4:B29,0),5)</f>
        <v>235</v>
      </c>
      <c r="H19" s="10">
        <f>INDEX('11_of st. k.'!B4:G29,MATCH(16,B4:B29,0),6)</f>
        <v>-161</v>
      </c>
    </row>
    <row r="20" spans="2:8" x14ac:dyDescent="0.2">
      <c r="B20" s="10">
        <f>RANK('11_of st. k.'!C20,'11_of st. k.'!$C$4:'11_of st. k.'!$C$29,1)+COUNTIF('11_of st. k.'!$C$4:'11_of st. k.'!C20,'11_of st. k.'!C20)-1</f>
        <v>16</v>
      </c>
      <c r="C20" s="8" t="str">
        <f>INDEX('11_of st. k.'!B4:G29,MATCH(17,B4:B29,0),1)</f>
        <v>kolbuszowski</v>
      </c>
      <c r="D20" s="10">
        <f>INDEX('11_of st. k.'!B4:G29,MATCH(17,B4:B29,0),2)</f>
        <v>89</v>
      </c>
      <c r="E20" s="9">
        <f>INDEX('11_of st. k.'!B4:G29,MATCH(17,B4:B29,0),3)</f>
        <v>45</v>
      </c>
      <c r="F20" s="10">
        <f>INDEX('11_of st. k.'!B4:G29,MATCH(17,B4:B29,0),4)</f>
        <v>44</v>
      </c>
      <c r="G20" s="9">
        <f>INDEX('11_of st. k.'!B4:G29,MATCH(17,B4:B29,0),5)</f>
        <v>98</v>
      </c>
      <c r="H20" s="10">
        <f>INDEX('11_of st. k.'!B4:G29,MATCH(17,B4:B29,0),6)</f>
        <v>-9</v>
      </c>
    </row>
    <row r="21" spans="2:8" x14ac:dyDescent="0.2">
      <c r="B21" s="10">
        <f>RANK('11_of st. k.'!C21,'11_of st. k.'!$C$4:'11_of st. k.'!$C$29,1)+COUNTIF('11_of st. k.'!$C$4:'11_of st. k.'!C21,'11_of st. k.'!C21)-1</f>
        <v>12</v>
      </c>
      <c r="C21" s="8" t="str">
        <f>INDEX('11_of st. k.'!B4:G29,MATCH(18,B4:B29,0),1)</f>
        <v>stalowowolski</v>
      </c>
      <c r="D21" s="10">
        <f>INDEX('11_of st. k.'!B4:G29,MATCH(18,B4:B29,0),2)</f>
        <v>117</v>
      </c>
      <c r="E21" s="9">
        <f>INDEX('11_of st. k.'!B4:G29,MATCH(18,B4:B29,0),3)</f>
        <v>81</v>
      </c>
      <c r="F21" s="10">
        <f>INDEX('11_of st. k.'!B4:G29,MATCH(18,B4:B29,0),4)</f>
        <v>36</v>
      </c>
      <c r="G21" s="9">
        <f>INDEX('11_of st. k.'!B4:G29,MATCH(18,B4:B29,0),5)</f>
        <v>102</v>
      </c>
      <c r="H21" s="10">
        <f>INDEX('11_of st. k.'!B4:G29,MATCH(18,B4:B29,0),6)</f>
        <v>15</v>
      </c>
    </row>
    <row r="22" spans="2:8" x14ac:dyDescent="0.2">
      <c r="B22" s="10">
        <f>RANK('11_of st. k.'!C22,'11_of st. k.'!$C$4:'11_of st. k.'!$C$29,1)+COUNTIF('11_of st. k.'!$C$4:'11_of st. k.'!C22,'11_of st. k.'!C22)-1</f>
        <v>18</v>
      </c>
      <c r="C22" s="8" t="str">
        <f>INDEX('11_of st. k.'!B4:G29,MATCH(19,B4:B29,0),1)</f>
        <v>jarosławski</v>
      </c>
      <c r="D22" s="10">
        <f>INDEX('11_of st. k.'!B4:G29,MATCH(19,B4:B29,0),2)</f>
        <v>131</v>
      </c>
      <c r="E22" s="9">
        <f>INDEX('11_of st. k.'!B4:G29,MATCH(19,B4:B29,0),3)</f>
        <v>164</v>
      </c>
      <c r="F22" s="10">
        <f>INDEX('11_of st. k.'!B4:G29,MATCH(19,B4:B29,0),4)</f>
        <v>-33</v>
      </c>
      <c r="G22" s="9">
        <f>INDEX('11_of st. k.'!B4:G29,MATCH(19,B4:B29,0),5)</f>
        <v>40</v>
      </c>
      <c r="H22" s="10">
        <f>INDEX('11_of st. k.'!B4:G29,MATCH(19,B4:B29,0),6)</f>
        <v>91</v>
      </c>
    </row>
    <row r="23" spans="2:8" x14ac:dyDescent="0.2">
      <c r="B23" s="10">
        <f>RANK('11_of st. k.'!C23,'11_of st. k.'!$C$4:'11_of st. k.'!$C$29,1)+COUNTIF('11_of st. k.'!$C$4:'11_of st. k.'!C23,'11_of st. k.'!C23)-1</f>
        <v>10</v>
      </c>
      <c r="C23" s="8" t="str">
        <f>INDEX('11_of st. k.'!B4:G29,MATCH(20,B4:B29,0),1)</f>
        <v>ropczycko-sędziszowski</v>
      </c>
      <c r="D23" s="10">
        <f>INDEX('11_of st. k.'!B4:G29,MATCH(20,B4:B29,0),2)</f>
        <v>132</v>
      </c>
      <c r="E23" s="9">
        <f>INDEX('11_of st. k.'!B4:G29,MATCH(20,B4:B29,0),3)</f>
        <v>131</v>
      </c>
      <c r="F23" s="10">
        <f>INDEX('11_of st. k.'!B4:G29,MATCH(20,B4:B29,0),4)</f>
        <v>1</v>
      </c>
      <c r="G23" s="9">
        <f>INDEX('11_of st. k.'!B4:G29,MATCH(20,B4:B29,0),5)</f>
        <v>79</v>
      </c>
      <c r="H23" s="10">
        <f>INDEX('11_of st. k.'!B4:G29,MATCH(20,B4:B29,0),6)</f>
        <v>53</v>
      </c>
    </row>
    <row r="24" spans="2:8" x14ac:dyDescent="0.2">
      <c r="B24" s="10">
        <f>RANK('11_of st. k.'!C24,'11_of st. k.'!$C$4:'11_of st. k.'!$C$29,1)+COUNTIF('11_of st. k.'!$C$4:'11_of st. k.'!C24,'11_of st. k.'!C24)-1</f>
        <v>9</v>
      </c>
      <c r="C24" s="8" t="str">
        <f>INDEX('11_of st. k.'!B4:G29,MATCH(21,B4:B29,0),1)</f>
        <v>przeworski</v>
      </c>
      <c r="D24" s="10">
        <f>INDEX('11_of st. k.'!B4:G29,MATCH(21,B4:B29,0),2)</f>
        <v>134</v>
      </c>
      <c r="E24" s="9">
        <f>INDEX('11_of st. k.'!B4:G29,MATCH(21,B4:B29,0),3)</f>
        <v>137</v>
      </c>
      <c r="F24" s="10">
        <f>INDEX('11_of st. k.'!B4:G29,MATCH(21,B4:B29,0),4)</f>
        <v>-3</v>
      </c>
      <c r="G24" s="9">
        <f>INDEX('11_of st. k.'!B4:G29,MATCH(21,B4:B29,0),5)</f>
        <v>151</v>
      </c>
      <c r="H24" s="10">
        <f>INDEX('11_of st. k.'!B4:G29,MATCH(21,B4:B29,0),6)</f>
        <v>-17</v>
      </c>
    </row>
    <row r="25" spans="2:8" x14ac:dyDescent="0.2">
      <c r="B25" s="10">
        <f>RANK('11_of st. k.'!C25,'11_of st. k.'!$C$4:'11_of st. k.'!$C$29,1)+COUNTIF('11_of st. k.'!$C$4:'11_of st. k.'!C25,'11_of st. k.'!C25)-1</f>
        <v>8</v>
      </c>
      <c r="C25" s="8" t="str">
        <f>INDEX('11_of st. k.'!B4:G29,MATCH(22,B4:B29,0),1)</f>
        <v>dębicki</v>
      </c>
      <c r="D25" s="10">
        <f>INDEX('11_of st. k.'!B4:G29,MATCH(22,B4:B29,0),2)</f>
        <v>166</v>
      </c>
      <c r="E25" s="9">
        <f>INDEX('11_of st. k.'!B4:G29,MATCH(22,B4:B29,0),3)</f>
        <v>149</v>
      </c>
      <c r="F25" s="10">
        <f>INDEX('11_of st. k.'!B4:G29,MATCH(22,B4:B29,0),4)</f>
        <v>17</v>
      </c>
      <c r="G25" s="9">
        <f>INDEX('11_of st. k.'!B4:G29,MATCH(22,B4:B29,0),5)</f>
        <v>200</v>
      </c>
      <c r="H25" s="10">
        <f>INDEX('11_of st. k.'!B4:G29,MATCH(22,B4:B29,0),6)</f>
        <v>-34</v>
      </c>
    </row>
    <row r="26" spans="2:8" x14ac:dyDescent="0.2">
      <c r="B26" s="10">
        <f>RANK('11_of st. k.'!C26,'11_of st. k.'!$C$4:'11_of st. k.'!$C$29,1)+COUNTIF('11_of st. k.'!$C$4:'11_of st. k.'!C26,'11_of st. k.'!C26)-1</f>
        <v>5</v>
      </c>
      <c r="C26" s="8" t="str">
        <f>INDEX('11_of st. k.'!B4:G29,MATCH(23,B4:B29,0),1)</f>
        <v>mielecki</v>
      </c>
      <c r="D26" s="10">
        <f>INDEX('11_of st. k.'!B4:G29,MATCH(23,B4:B29,0),2)</f>
        <v>188</v>
      </c>
      <c r="E26" s="9">
        <f>INDEX('11_of st. k.'!B4:G29,MATCH(23,B4:B29,0),3)</f>
        <v>322</v>
      </c>
      <c r="F26" s="10">
        <f>INDEX('11_of st. k.'!B4:G29,MATCH(23,B4:B29,0),4)</f>
        <v>-134</v>
      </c>
      <c r="G26" s="9">
        <f>INDEX('11_of st. k.'!B4:G29,MATCH(23,B4:B29,0),5)</f>
        <v>563</v>
      </c>
      <c r="H26" s="10">
        <f>INDEX('11_of st. k.'!B4:G29,MATCH(23,B4:B29,0),6)</f>
        <v>-375</v>
      </c>
    </row>
    <row r="27" spans="2:8" x14ac:dyDescent="0.2">
      <c r="B27" s="10">
        <f>RANK('11_of st. k.'!C27,'11_of st. k.'!$C$4:'11_of st. k.'!$C$29,1)+COUNTIF('11_of st. k.'!$C$4:'11_of st. k.'!C27,'11_of st. k.'!C27)-1</f>
        <v>25</v>
      </c>
      <c r="C27" s="8" t="str">
        <f>INDEX('11_of st. k.'!B4:G29,MATCH(24,B4:B29,0),1)</f>
        <v>jasielski</v>
      </c>
      <c r="D27" s="10">
        <f>INDEX('11_of st. k.'!B4:G29,MATCH(24,B4:B29,0),2)</f>
        <v>212</v>
      </c>
      <c r="E27" s="9">
        <f>INDEX('11_of st. k.'!B4:G29,MATCH(24,B4:B29,0),3)</f>
        <v>100</v>
      </c>
      <c r="F27" s="10">
        <f>INDEX('11_of st. k.'!B4:G29,MATCH(24,B4:B29,0),4)</f>
        <v>112</v>
      </c>
      <c r="G27" s="9">
        <f>INDEX('11_of st. k.'!B4:G29,MATCH(24,B4:B29,0),5)</f>
        <v>128</v>
      </c>
      <c r="H27" s="10">
        <f>INDEX('11_of st. k.'!B4:G29,MATCH(24,B4:B29,0),6)</f>
        <v>84</v>
      </c>
    </row>
    <row r="28" spans="2:8" x14ac:dyDescent="0.2">
      <c r="B28" s="10">
        <f>RANK('11_of st. k.'!C28,'11_of st. k.'!$C$4:'11_of st. k.'!$C$29,1)+COUNTIF('11_of st. k.'!$C$4:'11_of st. k.'!C28,'11_of st. k.'!C28)-1</f>
        <v>11</v>
      </c>
      <c r="C28" s="8" t="str">
        <f>INDEX('11_of st. k.'!B4:G29,MATCH(25,B4:B29,0),1)</f>
        <v>Rzeszów</v>
      </c>
      <c r="D28" s="10">
        <f>INDEX('11_of st. k.'!B4:G29,MATCH(25,B4:B29,0),2)</f>
        <v>307</v>
      </c>
      <c r="E28" s="9">
        <f>INDEX('11_of st. k.'!B4:G29,MATCH(25,B4:B29,0),3)</f>
        <v>500</v>
      </c>
      <c r="F28" s="10">
        <f>INDEX('11_of st. k.'!B4:G29,MATCH(25,B4:B29,0),4)</f>
        <v>-193</v>
      </c>
      <c r="G28" s="9">
        <f>INDEX('11_of st. k.'!B4:G29,MATCH(25,B4:B29,0),5)</f>
        <v>415</v>
      </c>
      <c r="H28" s="10">
        <f>INDEX('11_of st. k.'!B4:G29,MATCH(25,B4:B29,0),6)</f>
        <v>-108</v>
      </c>
    </row>
    <row r="29" spans="2:8" ht="15" x14ac:dyDescent="0.25">
      <c r="B29" s="34">
        <f>RANK('11_of st. k.'!C29,'11_of st. k.'!$C$4:'11_of st. k.'!$C$29,1)+COUNTIF('11_of st. k.'!$C$4:'11_of st. k.'!C29,'11_of st. k.'!C29)-1</f>
        <v>26</v>
      </c>
      <c r="C29" s="35" t="str">
        <f>INDEX('11_of st. k.'!B4:G29,MATCH(26,B4:B29,0),1)</f>
        <v>województwo</v>
      </c>
      <c r="D29" s="34">
        <f>INDEX('11_of st. k.'!B4:G29,MATCH(26,B4:B29,0),2)</f>
        <v>2117</v>
      </c>
      <c r="E29" s="17">
        <f>INDEX('11_of st. k.'!B4:G29,MATCH(26,B4:B29,0),3)</f>
        <v>2396</v>
      </c>
      <c r="F29" s="34">
        <f>INDEX('11_of st. k.'!B4:G29,MATCH(26,B4:B29,0),4)</f>
        <v>-279</v>
      </c>
      <c r="G29" s="17">
        <f>INDEX('11_of st. k.'!B4:G29,MATCH(26,B4:B29,0),5)</f>
        <v>2849</v>
      </c>
      <c r="H29" s="34">
        <f>INDEX('11_of st. k.'!B4:G29,MATCH(26,B4:B29,0),6)</f>
        <v>-732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7" tint="0.59999389629810485"/>
  </sheetPr>
  <dimension ref="B1:L29"/>
  <sheetViews>
    <sheetView zoomScale="80" zoomScaleNormal="80" workbookViewId="0">
      <selection activeCell="B1" sqref="B1"/>
    </sheetView>
  </sheetViews>
  <sheetFormatPr defaultRowHeight="14.25" x14ac:dyDescent="0.2"/>
  <cols>
    <col min="1" max="1" width="2.28515625" style="3" customWidth="1"/>
    <col min="2" max="2" width="25.140625" style="3" customWidth="1"/>
    <col min="3" max="3" width="15.140625" style="3" customWidth="1"/>
    <col min="4" max="4" width="14.5703125" style="3" customWidth="1"/>
    <col min="5" max="5" width="17.42578125" style="3" customWidth="1"/>
    <col min="6" max="6" width="14.7109375" style="3" customWidth="1"/>
    <col min="7" max="7" width="17" style="3" customWidth="1"/>
    <col min="8" max="8" width="3.85546875" style="3" customWidth="1"/>
    <col min="9" max="9" width="24.85546875" style="3" customWidth="1"/>
    <col min="10" max="10" width="15.140625" style="3" customWidth="1"/>
    <col min="11" max="11" width="10.85546875" style="3" customWidth="1"/>
    <col min="12" max="12" width="10.42578125" style="3" customWidth="1"/>
    <col min="13" max="13" width="5.5703125" style="3" customWidth="1"/>
    <col min="14" max="16384" width="9.140625" style="3"/>
  </cols>
  <sheetData>
    <row r="1" spans="2:12" x14ac:dyDescent="0.2">
      <c r="B1" s="2" t="s">
        <v>80</v>
      </c>
      <c r="I1" s="3" t="s">
        <v>85</v>
      </c>
    </row>
    <row r="2" spans="2:12" ht="75" customHeight="1" x14ac:dyDescent="0.2">
      <c r="B2" s="5" t="s">
        <v>27</v>
      </c>
      <c r="C2" s="6" t="s">
        <v>115</v>
      </c>
      <c r="D2" s="7" t="s">
        <v>106</v>
      </c>
      <c r="E2" s="6" t="s">
        <v>28</v>
      </c>
      <c r="F2" s="7" t="s">
        <v>116</v>
      </c>
      <c r="G2" s="6" t="s">
        <v>26</v>
      </c>
      <c r="I2" s="5" t="s">
        <v>27</v>
      </c>
      <c r="J2" s="6" t="str">
        <f>T('1_bezr.'!C2)</f>
        <v>liczba bezrobotnych ogółem stan na 30 XI '22 r.</v>
      </c>
      <c r="K2" s="6" t="s">
        <v>78</v>
      </c>
      <c r="L2" s="6" t="s">
        <v>95</v>
      </c>
    </row>
    <row r="3" spans="2:12" x14ac:dyDescent="0.2">
      <c r="B3" s="8" t="s">
        <v>0</v>
      </c>
      <c r="C3" s="10">
        <v>535</v>
      </c>
      <c r="D3" s="9">
        <v>519</v>
      </c>
      <c r="E3" s="10">
        <f t="shared" ref="E3:E26" si="0">SUM(C3)-D3</f>
        <v>16</v>
      </c>
      <c r="F3" s="9">
        <v>599</v>
      </c>
      <c r="G3" s="10">
        <f t="shared" ref="G3:G26" si="1">SUM(C3)-F3</f>
        <v>-64</v>
      </c>
      <c r="I3" s="8" t="s">
        <v>0</v>
      </c>
      <c r="J3" s="10">
        <f>SUM('1_bezr.'!C3)</f>
        <v>1070</v>
      </c>
      <c r="K3" s="10">
        <f>SUM(C3)</f>
        <v>535</v>
      </c>
      <c r="L3" s="36">
        <f t="shared" ref="L3:L28" si="2">SUM(K3)/J3*100</f>
        <v>50</v>
      </c>
    </row>
    <row r="4" spans="2:12" x14ac:dyDescent="0.2">
      <c r="B4" s="8" t="s">
        <v>1</v>
      </c>
      <c r="C4" s="10">
        <v>2067</v>
      </c>
      <c r="D4" s="9">
        <v>2050</v>
      </c>
      <c r="E4" s="10">
        <f t="shared" si="0"/>
        <v>17</v>
      </c>
      <c r="F4" s="9">
        <v>2178</v>
      </c>
      <c r="G4" s="10">
        <f t="shared" si="1"/>
        <v>-111</v>
      </c>
      <c r="I4" s="8" t="s">
        <v>1</v>
      </c>
      <c r="J4" s="10">
        <f>SUM('1_bezr.'!C4)</f>
        <v>3972</v>
      </c>
      <c r="K4" s="10">
        <f t="shared" ref="K4:K27" si="3">SUM(C4)</f>
        <v>2067</v>
      </c>
      <c r="L4" s="36">
        <f t="shared" si="2"/>
        <v>52.0392749244713</v>
      </c>
    </row>
    <row r="5" spans="2:12" x14ac:dyDescent="0.2">
      <c r="B5" s="8" t="s">
        <v>2</v>
      </c>
      <c r="C5" s="10">
        <v>1508</v>
      </c>
      <c r="D5" s="9">
        <v>1518</v>
      </c>
      <c r="E5" s="10">
        <f t="shared" si="0"/>
        <v>-10</v>
      </c>
      <c r="F5" s="9">
        <v>1711</v>
      </c>
      <c r="G5" s="10">
        <f t="shared" si="1"/>
        <v>-203</v>
      </c>
      <c r="I5" s="8" t="s">
        <v>2</v>
      </c>
      <c r="J5" s="10">
        <f>SUM('1_bezr.'!C5)</f>
        <v>2411</v>
      </c>
      <c r="K5" s="10">
        <f t="shared" si="3"/>
        <v>1508</v>
      </c>
      <c r="L5" s="36">
        <f t="shared" si="2"/>
        <v>62.546661136457907</v>
      </c>
    </row>
    <row r="6" spans="2:12" x14ac:dyDescent="0.2">
      <c r="B6" s="8" t="s">
        <v>3</v>
      </c>
      <c r="C6" s="10">
        <v>2461</v>
      </c>
      <c r="D6" s="9">
        <v>2491</v>
      </c>
      <c r="E6" s="10">
        <f t="shared" si="0"/>
        <v>-30</v>
      </c>
      <c r="F6" s="9">
        <v>2848</v>
      </c>
      <c r="G6" s="10">
        <f t="shared" si="1"/>
        <v>-387</v>
      </c>
      <c r="I6" s="8" t="s">
        <v>3</v>
      </c>
      <c r="J6" s="10">
        <f>SUM('1_bezr.'!C6)</f>
        <v>4641</v>
      </c>
      <c r="K6" s="10">
        <f t="shared" si="3"/>
        <v>2461</v>
      </c>
      <c r="L6" s="36">
        <f t="shared" si="2"/>
        <v>53.027364792070678</v>
      </c>
    </row>
    <row r="7" spans="2:12" x14ac:dyDescent="0.2">
      <c r="B7" s="8" t="s">
        <v>4</v>
      </c>
      <c r="C7" s="10">
        <v>2833</v>
      </c>
      <c r="D7" s="9">
        <v>2838</v>
      </c>
      <c r="E7" s="10">
        <f t="shared" si="0"/>
        <v>-5</v>
      </c>
      <c r="F7" s="9">
        <v>3188</v>
      </c>
      <c r="G7" s="10">
        <f t="shared" si="1"/>
        <v>-355</v>
      </c>
      <c r="I7" s="8" t="s">
        <v>4</v>
      </c>
      <c r="J7" s="10">
        <f>SUM('1_bezr.'!C7)</f>
        <v>4859</v>
      </c>
      <c r="K7" s="10">
        <f t="shared" si="3"/>
        <v>2833</v>
      </c>
      <c r="L7" s="36">
        <f t="shared" si="2"/>
        <v>58.304177814365097</v>
      </c>
    </row>
    <row r="8" spans="2:12" x14ac:dyDescent="0.2">
      <c r="B8" s="8" t="s">
        <v>5</v>
      </c>
      <c r="C8" s="10">
        <v>795</v>
      </c>
      <c r="D8" s="9">
        <v>797</v>
      </c>
      <c r="E8" s="10">
        <f t="shared" si="0"/>
        <v>-2</v>
      </c>
      <c r="F8" s="9">
        <v>925</v>
      </c>
      <c r="G8" s="10">
        <f t="shared" si="1"/>
        <v>-130</v>
      </c>
      <c r="I8" s="8" t="s">
        <v>5</v>
      </c>
      <c r="J8" s="10">
        <f>SUM('1_bezr.'!C8)</f>
        <v>1563</v>
      </c>
      <c r="K8" s="10">
        <f t="shared" si="3"/>
        <v>795</v>
      </c>
      <c r="L8" s="36">
        <f>SUM(K8)/J8*100</f>
        <v>50.863723608445298</v>
      </c>
    </row>
    <row r="9" spans="2:12" x14ac:dyDescent="0.2">
      <c r="B9" s="13" t="s">
        <v>6</v>
      </c>
      <c r="C9" s="10">
        <v>1075</v>
      </c>
      <c r="D9" s="9">
        <v>1038</v>
      </c>
      <c r="E9" s="10">
        <f t="shared" si="0"/>
        <v>37</v>
      </c>
      <c r="F9" s="9">
        <v>1163</v>
      </c>
      <c r="G9" s="10">
        <f t="shared" si="1"/>
        <v>-88</v>
      </c>
      <c r="I9" s="13" t="s">
        <v>6</v>
      </c>
      <c r="J9" s="10">
        <f>SUM('1_bezr.'!C9)</f>
        <v>1933</v>
      </c>
      <c r="K9" s="10">
        <f t="shared" si="3"/>
        <v>1075</v>
      </c>
      <c r="L9" s="36">
        <f t="shared" si="2"/>
        <v>55.613036730470768</v>
      </c>
    </row>
    <row r="10" spans="2:12" x14ac:dyDescent="0.2">
      <c r="B10" s="8" t="s">
        <v>7</v>
      </c>
      <c r="C10" s="10">
        <v>800</v>
      </c>
      <c r="D10" s="9">
        <v>767</v>
      </c>
      <c r="E10" s="10">
        <f t="shared" si="0"/>
        <v>33</v>
      </c>
      <c r="F10" s="9">
        <v>797</v>
      </c>
      <c r="G10" s="10">
        <f t="shared" si="1"/>
        <v>3</v>
      </c>
      <c r="I10" s="8" t="s">
        <v>7</v>
      </c>
      <c r="J10" s="10">
        <f>SUM('1_bezr.'!C10)</f>
        <v>1691</v>
      </c>
      <c r="K10" s="10">
        <f t="shared" si="3"/>
        <v>800</v>
      </c>
      <c r="L10" s="36">
        <f t="shared" si="2"/>
        <v>47.309284447072734</v>
      </c>
    </row>
    <row r="11" spans="2:12" x14ac:dyDescent="0.2">
      <c r="B11" s="8" t="s">
        <v>8</v>
      </c>
      <c r="C11" s="10">
        <v>1615</v>
      </c>
      <c r="D11" s="9">
        <v>1616</v>
      </c>
      <c r="E11" s="10">
        <f t="shared" si="0"/>
        <v>-1</v>
      </c>
      <c r="F11" s="9">
        <v>1910</v>
      </c>
      <c r="G11" s="10">
        <f t="shared" si="1"/>
        <v>-295</v>
      </c>
      <c r="I11" s="8" t="s">
        <v>8</v>
      </c>
      <c r="J11" s="10">
        <f>SUM('1_bezr.'!C11)</f>
        <v>3124</v>
      </c>
      <c r="K11" s="10">
        <f t="shared" si="3"/>
        <v>1615</v>
      </c>
      <c r="L11" s="36">
        <f t="shared" si="2"/>
        <v>51.696542893725997</v>
      </c>
    </row>
    <row r="12" spans="2:12" x14ac:dyDescent="0.2">
      <c r="B12" s="8" t="s">
        <v>9</v>
      </c>
      <c r="C12" s="10">
        <v>831</v>
      </c>
      <c r="D12" s="9">
        <v>808</v>
      </c>
      <c r="E12" s="10">
        <f t="shared" si="0"/>
        <v>23</v>
      </c>
      <c r="F12" s="9">
        <v>967</v>
      </c>
      <c r="G12" s="10">
        <f t="shared" si="1"/>
        <v>-136</v>
      </c>
      <c r="I12" s="8" t="s">
        <v>9</v>
      </c>
      <c r="J12" s="10">
        <f>SUM('1_bezr.'!C12)</f>
        <v>1797</v>
      </c>
      <c r="K12" s="10">
        <f t="shared" si="3"/>
        <v>831</v>
      </c>
      <c r="L12" s="36">
        <f t="shared" si="2"/>
        <v>46.243739565943237</v>
      </c>
    </row>
    <row r="13" spans="2:12" x14ac:dyDescent="0.2">
      <c r="B13" s="8" t="s">
        <v>10</v>
      </c>
      <c r="C13" s="10">
        <v>1276</v>
      </c>
      <c r="D13" s="9">
        <v>1315</v>
      </c>
      <c r="E13" s="10">
        <f t="shared" si="0"/>
        <v>-39</v>
      </c>
      <c r="F13" s="9">
        <v>1659</v>
      </c>
      <c r="G13" s="10">
        <f t="shared" si="1"/>
        <v>-383</v>
      </c>
      <c r="I13" s="8" t="s">
        <v>10</v>
      </c>
      <c r="J13" s="10">
        <f>SUM('1_bezr.'!C13)</f>
        <v>2583</v>
      </c>
      <c r="K13" s="10">
        <f t="shared" si="3"/>
        <v>1276</v>
      </c>
      <c r="L13" s="36">
        <f t="shared" si="2"/>
        <v>49.399922570654276</v>
      </c>
    </row>
    <row r="14" spans="2:12" x14ac:dyDescent="0.2">
      <c r="B14" s="8" t="s">
        <v>11</v>
      </c>
      <c r="C14" s="10">
        <v>1329</v>
      </c>
      <c r="D14" s="9">
        <v>1346</v>
      </c>
      <c r="E14" s="10">
        <f t="shared" si="0"/>
        <v>-17</v>
      </c>
      <c r="F14" s="9">
        <v>1578</v>
      </c>
      <c r="G14" s="10">
        <f t="shared" si="1"/>
        <v>-249</v>
      </c>
      <c r="I14" s="8" t="s">
        <v>11</v>
      </c>
      <c r="J14" s="10">
        <f>SUM('1_bezr.'!C14)</f>
        <v>2542</v>
      </c>
      <c r="K14" s="10">
        <f t="shared" si="3"/>
        <v>1329</v>
      </c>
      <c r="L14" s="36">
        <f t="shared" si="2"/>
        <v>52.281667977970102</v>
      </c>
    </row>
    <row r="15" spans="2:12" x14ac:dyDescent="0.2">
      <c r="B15" s="8" t="s">
        <v>12</v>
      </c>
      <c r="C15" s="10">
        <v>1594</v>
      </c>
      <c r="D15" s="9">
        <v>1605</v>
      </c>
      <c r="E15" s="10">
        <f t="shared" si="0"/>
        <v>-11</v>
      </c>
      <c r="F15" s="9">
        <v>1706</v>
      </c>
      <c r="G15" s="10">
        <f t="shared" si="1"/>
        <v>-112</v>
      </c>
      <c r="I15" s="8" t="s">
        <v>12</v>
      </c>
      <c r="J15" s="10">
        <f>SUM('1_bezr.'!C15)</f>
        <v>3043</v>
      </c>
      <c r="K15" s="10">
        <f t="shared" si="3"/>
        <v>1594</v>
      </c>
      <c r="L15" s="36">
        <f t="shared" si="2"/>
        <v>52.382517252711139</v>
      </c>
    </row>
    <row r="16" spans="2:12" x14ac:dyDescent="0.2">
      <c r="B16" s="8" t="s">
        <v>13</v>
      </c>
      <c r="C16" s="10">
        <v>1556</v>
      </c>
      <c r="D16" s="9">
        <v>1553</v>
      </c>
      <c r="E16" s="10">
        <f t="shared" si="0"/>
        <v>3</v>
      </c>
      <c r="F16" s="9">
        <v>1897</v>
      </c>
      <c r="G16" s="10">
        <f t="shared" si="1"/>
        <v>-341</v>
      </c>
      <c r="I16" s="8" t="s">
        <v>13</v>
      </c>
      <c r="J16" s="10">
        <f>SUM('1_bezr.'!C16)</f>
        <v>2944</v>
      </c>
      <c r="K16" s="10">
        <f t="shared" si="3"/>
        <v>1556</v>
      </c>
      <c r="L16" s="36">
        <f t="shared" si="2"/>
        <v>52.853260869565219</v>
      </c>
    </row>
    <row r="17" spans="2:12" x14ac:dyDescent="0.2">
      <c r="B17" s="8" t="s">
        <v>14</v>
      </c>
      <c r="C17" s="10">
        <v>1977</v>
      </c>
      <c r="D17" s="9">
        <v>1981</v>
      </c>
      <c r="E17" s="10">
        <f t="shared" si="0"/>
        <v>-4</v>
      </c>
      <c r="F17" s="9">
        <v>2185</v>
      </c>
      <c r="G17" s="10">
        <f t="shared" si="1"/>
        <v>-208</v>
      </c>
      <c r="I17" s="8" t="s">
        <v>14</v>
      </c>
      <c r="J17" s="10">
        <f>SUM('1_bezr.'!C17)</f>
        <v>3482</v>
      </c>
      <c r="K17" s="10">
        <f t="shared" si="3"/>
        <v>1977</v>
      </c>
      <c r="L17" s="36">
        <f t="shared" si="2"/>
        <v>56.777713957495692</v>
      </c>
    </row>
    <row r="18" spans="2:12" x14ac:dyDescent="0.2">
      <c r="B18" s="8" t="s">
        <v>15</v>
      </c>
      <c r="C18" s="10">
        <v>1499</v>
      </c>
      <c r="D18" s="9">
        <v>1563</v>
      </c>
      <c r="E18" s="10">
        <f t="shared" si="0"/>
        <v>-64</v>
      </c>
      <c r="F18" s="9">
        <v>1777</v>
      </c>
      <c r="G18" s="10">
        <f t="shared" si="1"/>
        <v>-278</v>
      </c>
      <c r="I18" s="8" t="s">
        <v>15</v>
      </c>
      <c r="J18" s="10">
        <f>SUM('1_bezr.'!C18)</f>
        <v>2764</v>
      </c>
      <c r="K18" s="10">
        <f t="shared" si="3"/>
        <v>1499</v>
      </c>
      <c r="L18" s="36">
        <f t="shared" si="2"/>
        <v>54.232995658465988</v>
      </c>
    </row>
    <row r="19" spans="2:12" x14ac:dyDescent="0.2">
      <c r="B19" s="8" t="s">
        <v>16</v>
      </c>
      <c r="C19" s="10">
        <v>2486</v>
      </c>
      <c r="D19" s="9">
        <v>2478</v>
      </c>
      <c r="E19" s="10">
        <f t="shared" si="0"/>
        <v>8</v>
      </c>
      <c r="F19" s="9">
        <v>2970</v>
      </c>
      <c r="G19" s="10">
        <f t="shared" si="1"/>
        <v>-484</v>
      </c>
      <c r="I19" s="8" t="s">
        <v>16</v>
      </c>
      <c r="J19" s="10">
        <f>SUM('1_bezr.'!C19)</f>
        <v>4933</v>
      </c>
      <c r="K19" s="10">
        <f t="shared" si="3"/>
        <v>2486</v>
      </c>
      <c r="L19" s="36">
        <f t="shared" si="2"/>
        <v>50.395296979525639</v>
      </c>
    </row>
    <row r="20" spans="2:12" x14ac:dyDescent="0.2">
      <c r="B20" s="8" t="s">
        <v>17</v>
      </c>
      <c r="C20" s="10">
        <v>1318</v>
      </c>
      <c r="D20" s="9">
        <v>1294</v>
      </c>
      <c r="E20" s="10">
        <f t="shared" si="0"/>
        <v>24</v>
      </c>
      <c r="F20" s="9">
        <v>1291</v>
      </c>
      <c r="G20" s="10">
        <f t="shared" si="1"/>
        <v>27</v>
      </c>
      <c r="I20" s="8" t="s">
        <v>17</v>
      </c>
      <c r="J20" s="10">
        <f>SUM('1_bezr.'!C20)</f>
        <v>2632</v>
      </c>
      <c r="K20" s="10">
        <f t="shared" si="3"/>
        <v>1318</v>
      </c>
      <c r="L20" s="36">
        <f t="shared" si="2"/>
        <v>50.075987841945292</v>
      </c>
    </row>
    <row r="21" spans="2:12" x14ac:dyDescent="0.2">
      <c r="B21" s="8" t="s">
        <v>18</v>
      </c>
      <c r="C21" s="10">
        <v>1011</v>
      </c>
      <c r="D21" s="9">
        <v>1035</v>
      </c>
      <c r="E21" s="10">
        <f t="shared" si="0"/>
        <v>-24</v>
      </c>
      <c r="F21" s="9">
        <v>1209</v>
      </c>
      <c r="G21" s="10">
        <f t="shared" si="1"/>
        <v>-198</v>
      </c>
      <c r="I21" s="8" t="s">
        <v>18</v>
      </c>
      <c r="J21" s="10">
        <f>SUM('1_bezr.'!C21)</f>
        <v>1828</v>
      </c>
      <c r="K21" s="10">
        <f t="shared" si="3"/>
        <v>1011</v>
      </c>
      <c r="L21" s="36">
        <f t="shared" si="2"/>
        <v>55.306345733041574</v>
      </c>
    </row>
    <row r="22" spans="2:12" x14ac:dyDescent="0.2">
      <c r="B22" s="8" t="s">
        <v>19</v>
      </c>
      <c r="C22" s="10">
        <v>1693</v>
      </c>
      <c r="D22" s="9">
        <v>1701</v>
      </c>
      <c r="E22" s="10">
        <f t="shared" si="0"/>
        <v>-8</v>
      </c>
      <c r="F22" s="9">
        <v>1834</v>
      </c>
      <c r="G22" s="10">
        <f t="shared" si="1"/>
        <v>-141</v>
      </c>
      <c r="I22" s="8" t="s">
        <v>19</v>
      </c>
      <c r="J22" s="10">
        <f>SUM('1_bezr.'!C22)</f>
        <v>3198</v>
      </c>
      <c r="K22" s="10">
        <f t="shared" si="3"/>
        <v>1693</v>
      </c>
      <c r="L22" s="36">
        <f t="shared" si="2"/>
        <v>52.939337085678552</v>
      </c>
    </row>
    <row r="23" spans="2:12" x14ac:dyDescent="0.2">
      <c r="B23" s="8" t="s">
        <v>20</v>
      </c>
      <c r="C23" s="10">
        <v>683</v>
      </c>
      <c r="D23" s="9">
        <v>679</v>
      </c>
      <c r="E23" s="10">
        <f t="shared" si="0"/>
        <v>4</v>
      </c>
      <c r="F23" s="9">
        <v>861</v>
      </c>
      <c r="G23" s="10">
        <f t="shared" si="1"/>
        <v>-178</v>
      </c>
      <c r="I23" s="8" t="s">
        <v>20</v>
      </c>
      <c r="J23" s="10">
        <f>SUM('1_bezr.'!C23)</f>
        <v>1271</v>
      </c>
      <c r="K23" s="10">
        <f t="shared" si="3"/>
        <v>683</v>
      </c>
      <c r="L23" s="36">
        <f t="shared" si="2"/>
        <v>53.737214791502751</v>
      </c>
    </row>
    <row r="24" spans="2:12" x14ac:dyDescent="0.2">
      <c r="B24" s="8" t="s">
        <v>21</v>
      </c>
      <c r="C24" s="10">
        <v>383</v>
      </c>
      <c r="D24" s="9">
        <v>396</v>
      </c>
      <c r="E24" s="10">
        <f t="shared" si="0"/>
        <v>-13</v>
      </c>
      <c r="F24" s="9">
        <v>380</v>
      </c>
      <c r="G24" s="10">
        <f t="shared" si="1"/>
        <v>3</v>
      </c>
      <c r="I24" s="8" t="s">
        <v>21</v>
      </c>
      <c r="J24" s="10">
        <f>SUM('1_bezr.'!C24)</f>
        <v>699</v>
      </c>
      <c r="K24" s="10">
        <f t="shared" si="3"/>
        <v>383</v>
      </c>
      <c r="L24" s="36">
        <f t="shared" si="2"/>
        <v>54.792560801144496</v>
      </c>
    </row>
    <row r="25" spans="2:12" x14ac:dyDescent="0.2">
      <c r="B25" s="8" t="s">
        <v>22</v>
      </c>
      <c r="C25" s="10">
        <v>1191</v>
      </c>
      <c r="D25" s="9">
        <v>1186</v>
      </c>
      <c r="E25" s="10">
        <f t="shared" si="0"/>
        <v>5</v>
      </c>
      <c r="F25" s="9">
        <v>1483</v>
      </c>
      <c r="G25" s="10">
        <f t="shared" si="1"/>
        <v>-292</v>
      </c>
      <c r="I25" s="8" t="s">
        <v>22</v>
      </c>
      <c r="J25" s="10">
        <f>SUM('1_bezr.'!C25)</f>
        <v>2436</v>
      </c>
      <c r="K25" s="10">
        <f t="shared" si="3"/>
        <v>1191</v>
      </c>
      <c r="L25" s="36">
        <f t="shared" si="2"/>
        <v>48.891625615763544</v>
      </c>
    </row>
    <row r="26" spans="2:12" x14ac:dyDescent="0.2">
      <c r="B26" s="8" t="s">
        <v>23</v>
      </c>
      <c r="C26" s="10">
        <v>2902</v>
      </c>
      <c r="D26" s="9">
        <v>2918</v>
      </c>
      <c r="E26" s="10">
        <f t="shared" si="0"/>
        <v>-16</v>
      </c>
      <c r="F26" s="9">
        <v>3319</v>
      </c>
      <c r="G26" s="10">
        <f t="shared" si="1"/>
        <v>-417</v>
      </c>
      <c r="I26" s="8" t="s">
        <v>23</v>
      </c>
      <c r="J26" s="10">
        <f>SUM('1_bezr.'!C26)</f>
        <v>5553</v>
      </c>
      <c r="K26" s="10">
        <f t="shared" si="3"/>
        <v>2902</v>
      </c>
      <c r="L26" s="36">
        <f t="shared" si="2"/>
        <v>52.260039618224383</v>
      </c>
    </row>
    <row r="27" spans="2:12" x14ac:dyDescent="0.2">
      <c r="B27" s="8" t="s">
        <v>24</v>
      </c>
      <c r="C27" s="10">
        <v>562</v>
      </c>
      <c r="D27" s="9">
        <v>564</v>
      </c>
      <c r="E27" s="10">
        <f>SUM(C27)-D27</f>
        <v>-2</v>
      </c>
      <c r="F27" s="9">
        <v>739</v>
      </c>
      <c r="G27" s="10">
        <f>SUM(C27)-F27</f>
        <v>-177</v>
      </c>
      <c r="I27" s="8" t="s">
        <v>24</v>
      </c>
      <c r="J27" s="10">
        <f>SUM('1_bezr.'!C27)</f>
        <v>1062</v>
      </c>
      <c r="K27" s="10">
        <f t="shared" si="3"/>
        <v>562</v>
      </c>
      <c r="L27" s="36">
        <f t="shared" si="2"/>
        <v>52.919020715630879</v>
      </c>
    </row>
    <row r="28" spans="2:12" ht="15" x14ac:dyDescent="0.25">
      <c r="B28" s="15" t="s">
        <v>25</v>
      </c>
      <c r="C28" s="16">
        <f>SUM(C3:C27)</f>
        <v>35980</v>
      </c>
      <c r="D28" s="37">
        <f>SUM(D3:D27)</f>
        <v>36056</v>
      </c>
      <c r="E28" s="16">
        <f>SUM(E3:E27)</f>
        <v>-76</v>
      </c>
      <c r="F28" s="37">
        <f>SUM(F3:F27)</f>
        <v>41174</v>
      </c>
      <c r="G28" s="16">
        <f>SUM(G3:G27)</f>
        <v>-5194</v>
      </c>
      <c r="I28" s="15" t="s">
        <v>25</v>
      </c>
      <c r="J28" s="16">
        <f>SUM(J3:J27)</f>
        <v>68031</v>
      </c>
      <c r="K28" s="16">
        <f>SUM(K3:K27)</f>
        <v>35980</v>
      </c>
      <c r="L28" s="38">
        <f t="shared" si="2"/>
        <v>52.88765415766342</v>
      </c>
    </row>
    <row r="29" spans="2:12" x14ac:dyDescent="0.2">
      <c r="E29" s="30"/>
    </row>
  </sheetData>
  <printOptions horizontalCentered="1" verticalCentered="1"/>
  <pageMargins left="0" right="0" top="0.31496062992125984" bottom="0" header="0" footer="0"/>
  <pageSetup paperSize="9" scale="88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7" tint="-0.249977111117893"/>
  </sheetPr>
  <dimension ref="B1:H29"/>
  <sheetViews>
    <sheetView zoomScale="80" zoomScaleNormal="80" workbookViewId="0">
      <selection activeCell="B1" sqref="B1"/>
    </sheetView>
  </sheetViews>
  <sheetFormatPr defaultRowHeight="14.25" x14ac:dyDescent="0.2"/>
  <cols>
    <col min="1" max="1" width="2.7109375" style="3" customWidth="1"/>
    <col min="2" max="2" width="5.85546875" style="3" customWidth="1"/>
    <col min="3" max="3" width="24.85546875" style="3" customWidth="1"/>
    <col min="4" max="4" width="15.28515625" style="3" customWidth="1"/>
    <col min="5" max="5" width="14.85546875" style="3" customWidth="1"/>
    <col min="6" max="6" width="16.5703125" style="3" customWidth="1"/>
    <col min="7" max="7" width="14.5703125" style="3" customWidth="1"/>
    <col min="8" max="8" width="17.140625" style="3" customWidth="1"/>
    <col min="9" max="9" width="5.85546875" style="3" customWidth="1"/>
    <col min="10" max="16384" width="9.140625" style="3"/>
  </cols>
  <sheetData>
    <row r="1" spans="2:8" x14ac:dyDescent="0.2">
      <c r="B1" s="2" t="s">
        <v>80</v>
      </c>
    </row>
    <row r="2" spans="2:8" ht="15" x14ac:dyDescent="0.2">
      <c r="C2" s="31"/>
      <c r="D2" s="32"/>
    </row>
    <row r="3" spans="2:8" ht="57" x14ac:dyDescent="0.2">
      <c r="B3" s="33" t="s">
        <v>88</v>
      </c>
      <c r="C3" s="5" t="str">
        <f>T('2_kob.'!B2)</f>
        <v>powiaty</v>
      </c>
      <c r="D3" s="5" t="str">
        <f>T('2_kob.'!C2)</f>
        <v>liczba bezrobotnych kobiet stan na 30 XI '22 r.</v>
      </c>
      <c r="E3" s="5" t="str">
        <f>T('2_kob.'!D2)</f>
        <v>liczba bezrobotnych kobiet stan na 31 X '22 r.</v>
      </c>
      <c r="F3" s="5" t="str">
        <f>T('2_kob.'!E2)</f>
        <v>wzrost/spadek do poprzedniego  miesiąca</v>
      </c>
      <c r="G3" s="5" t="str">
        <f>T('2_kob.'!F2)</f>
        <v>liczba bezrobotnych kobiet stan na 30 XI '21 r.</v>
      </c>
      <c r="H3" s="5" t="str">
        <f>T('2_kob.'!G2)</f>
        <v>wzrost/spadek do analogicznego okresu ubr.</v>
      </c>
    </row>
    <row r="4" spans="2:8" x14ac:dyDescent="0.2">
      <c r="B4" s="10">
        <f>RANK('2_kob.'!C3,'2_kob.'!$C$3:'2_kob.'!$C$28,1)+COUNTIF('2_kob.'!$C$3:'2_kob.'!C3,'2_kob.'!C3)-1</f>
        <v>2</v>
      </c>
      <c r="C4" s="8" t="str">
        <f>INDEX('2_kob.'!B3:G28,MATCH(1,B4:B29,0),1)</f>
        <v>Krosno</v>
      </c>
      <c r="D4" s="39">
        <f>INDEX('2_kob.'!B3:G28,MATCH(1,B4:B29,0),2)</f>
        <v>383</v>
      </c>
      <c r="E4" s="9">
        <f>INDEX('2_kob.'!B3:G28,MATCH(1,B4:B29,0),3)</f>
        <v>396</v>
      </c>
      <c r="F4" s="10">
        <f>INDEX('2_kob.'!B3:G28,MATCH(1,B4:B29,0),4)</f>
        <v>-13</v>
      </c>
      <c r="G4" s="9">
        <f>INDEX('2_kob.'!B3:G28,MATCH(1,B4:B29,0),5)</f>
        <v>380</v>
      </c>
      <c r="H4" s="10">
        <f>INDEX('2_kob.'!B3:G28,MATCH(1,B4:B29,0),6)</f>
        <v>3</v>
      </c>
    </row>
    <row r="5" spans="2:8" x14ac:dyDescent="0.2">
      <c r="B5" s="10">
        <f>RANK('2_kob.'!C4,'2_kob.'!$C$3:'2_kob.'!$C$28,1)+COUNTIF('2_kob.'!$C$3:'2_kob.'!C4,'2_kob.'!C4)-1</f>
        <v>21</v>
      </c>
      <c r="C5" s="8" t="str">
        <f>INDEX('2_kob.'!B3:G28,MATCH(2,B4:B29,0),1)</f>
        <v>bieszczadzki</v>
      </c>
      <c r="D5" s="10">
        <f>INDEX('2_kob.'!B3:G28,MATCH(2,B4:B29,0),2)</f>
        <v>535</v>
      </c>
      <c r="E5" s="9">
        <f>INDEX('2_kob.'!B3:G28,MATCH(2,B4:B29,0),3)</f>
        <v>519</v>
      </c>
      <c r="F5" s="10">
        <f>INDEX('2_kob.'!B3:G28,MATCH(2,B4:B29,0),4)</f>
        <v>16</v>
      </c>
      <c r="G5" s="9">
        <f>INDEX('2_kob.'!B3:G28,MATCH(2,B4:B29,0),5)</f>
        <v>599</v>
      </c>
      <c r="H5" s="10">
        <f>INDEX('2_kob.'!B3:G28,MATCH(2,B4:B29,0),6)</f>
        <v>-64</v>
      </c>
    </row>
    <row r="6" spans="2:8" x14ac:dyDescent="0.2">
      <c r="B6" s="10">
        <f>RANK('2_kob.'!C5,'2_kob.'!$C$3:'2_kob.'!$C$28,1)+COUNTIF('2_kob.'!$C$3:'2_kob.'!C5,'2_kob.'!C5)-1</f>
        <v>15</v>
      </c>
      <c r="C6" s="8" t="str">
        <f>INDEX('2_kob.'!B3:G28,MATCH(3,B4:B29,0),1)</f>
        <v>Tarnobrzeg</v>
      </c>
      <c r="D6" s="10">
        <f>INDEX('2_kob.'!B3:G28,MATCH(3,B4:B29,0),2)</f>
        <v>562</v>
      </c>
      <c r="E6" s="9">
        <f>INDEX('2_kob.'!B3:G28,MATCH(3,B4:B29,0),3)</f>
        <v>564</v>
      </c>
      <c r="F6" s="10">
        <f>INDEX('2_kob.'!B3:G28,MATCH(3,B4:B29,0),4)</f>
        <v>-2</v>
      </c>
      <c r="G6" s="9">
        <f>INDEX('2_kob.'!B3:G28,MATCH(3,B4:B29,0),5)</f>
        <v>739</v>
      </c>
      <c r="H6" s="10">
        <f>INDEX('2_kob.'!B3:G28,MATCH(3,B4:B29,0),6)</f>
        <v>-177</v>
      </c>
    </row>
    <row r="7" spans="2:8" x14ac:dyDescent="0.2">
      <c r="B7" s="10">
        <f>RANK('2_kob.'!C6,'2_kob.'!$C$3:'2_kob.'!$C$28,1)+COUNTIF('2_kob.'!$C$3:'2_kob.'!C6,'2_kob.'!C6)-1</f>
        <v>22</v>
      </c>
      <c r="C7" s="8" t="str">
        <f>INDEX('2_kob.'!B3:G28,MATCH(4,B4:B29,0),1)</f>
        <v xml:space="preserve">tarnobrzeski </v>
      </c>
      <c r="D7" s="10">
        <f>INDEX('2_kob.'!B3:G28,MATCH(4,B4:B29,0),2)</f>
        <v>683</v>
      </c>
      <c r="E7" s="9">
        <f>INDEX('2_kob.'!B3:G28,MATCH(4,B4:B29,0),3)</f>
        <v>679</v>
      </c>
      <c r="F7" s="10">
        <f>INDEX('2_kob.'!B3:G28,MATCH(4,B4:B29,0),4)</f>
        <v>4</v>
      </c>
      <c r="G7" s="9">
        <f>INDEX('2_kob.'!B3:G28,MATCH(4,B4:B29,0),5)</f>
        <v>861</v>
      </c>
      <c r="H7" s="10">
        <f>INDEX('2_kob.'!B3:G28,MATCH(4,B4:B29,0),6)</f>
        <v>-178</v>
      </c>
    </row>
    <row r="8" spans="2:8" x14ac:dyDescent="0.2">
      <c r="B8" s="10">
        <f>RANK('2_kob.'!C7,'2_kob.'!$C$3:'2_kob.'!$C$28,1)+COUNTIF('2_kob.'!$C$3:'2_kob.'!C7,'2_kob.'!C7)-1</f>
        <v>24</v>
      </c>
      <c r="C8" s="8" t="str">
        <f>INDEX('2_kob.'!B3:G28,MATCH(5,B4:B29,0),1)</f>
        <v>kolbuszowski</v>
      </c>
      <c r="D8" s="10">
        <f>INDEX('2_kob.'!B3:G28,MATCH(5,B4:B29,0),2)</f>
        <v>795</v>
      </c>
      <c r="E8" s="9">
        <f>INDEX('2_kob.'!B3:G28,MATCH(5,B4:B29,0),3)</f>
        <v>797</v>
      </c>
      <c r="F8" s="10">
        <f>INDEX('2_kob.'!B3:G28,MATCH(5,B4:B29,0),4)</f>
        <v>-2</v>
      </c>
      <c r="G8" s="9">
        <f>INDEX('2_kob.'!B3:G28,MATCH(5,B4:B29,0),5)</f>
        <v>925</v>
      </c>
      <c r="H8" s="10">
        <f>INDEX('2_kob.'!B3:G28,MATCH(5,B4:B29,0),6)</f>
        <v>-130</v>
      </c>
    </row>
    <row r="9" spans="2:8" x14ac:dyDescent="0.2">
      <c r="B9" s="10">
        <f>RANK('2_kob.'!C8,'2_kob.'!$C$3:'2_kob.'!$C$28,1)+COUNTIF('2_kob.'!$C$3:'2_kob.'!C8,'2_kob.'!C8)-1</f>
        <v>5</v>
      </c>
      <c r="C9" s="8" t="str">
        <f>INDEX('2_kob.'!B3:G28,MATCH(6,B4:B29,0),1)</f>
        <v>leski</v>
      </c>
      <c r="D9" s="10">
        <f>INDEX('2_kob.'!B3:G28,MATCH(6,B4:B29,0),2)</f>
        <v>800</v>
      </c>
      <c r="E9" s="9">
        <f>INDEX('2_kob.'!B3:G28,MATCH(6,B4:B29,0),3)</f>
        <v>767</v>
      </c>
      <c r="F9" s="10">
        <f>INDEX('2_kob.'!B3:G28,MATCH(6,B4:B29,0),4)</f>
        <v>33</v>
      </c>
      <c r="G9" s="9">
        <f>INDEX('2_kob.'!B3:G28,MATCH(6,B4:B29,0),5)</f>
        <v>797</v>
      </c>
      <c r="H9" s="10">
        <f>INDEX('2_kob.'!B3:G28,MATCH(6,B4:B29,0),6)</f>
        <v>3</v>
      </c>
    </row>
    <row r="10" spans="2:8" x14ac:dyDescent="0.2">
      <c r="B10" s="10">
        <f>RANK('2_kob.'!C9,'2_kob.'!$C$3:'2_kob.'!$C$28,1)+COUNTIF('2_kob.'!$C$3:'2_kob.'!C9,'2_kob.'!C9)-1</f>
        <v>9</v>
      </c>
      <c r="C10" s="13" t="str">
        <f>INDEX('2_kob.'!B3:G28,MATCH(7,B4:B29,0),1)</f>
        <v>lubaczowski</v>
      </c>
      <c r="D10" s="10">
        <f>INDEX('2_kob.'!B3:G28,MATCH(7,B4:B29,0),2)</f>
        <v>831</v>
      </c>
      <c r="E10" s="9">
        <f>INDEX('2_kob.'!B3:G28,MATCH(7,B4:B29,0),3)</f>
        <v>808</v>
      </c>
      <c r="F10" s="10">
        <f>INDEX('2_kob.'!B3:G28,MATCH(7,B4:B29,0),4)</f>
        <v>23</v>
      </c>
      <c r="G10" s="9">
        <f>INDEX('2_kob.'!B3:G28,MATCH(7,B4:B29,0),5)</f>
        <v>967</v>
      </c>
      <c r="H10" s="10">
        <f>INDEX('2_kob.'!B3:G28,MATCH(7,B4:B29,0),6)</f>
        <v>-136</v>
      </c>
    </row>
    <row r="11" spans="2:8" x14ac:dyDescent="0.2">
      <c r="B11" s="10">
        <f>RANK('2_kob.'!C10,'2_kob.'!$C$3:'2_kob.'!$C$28,1)+COUNTIF('2_kob.'!$C$3:'2_kob.'!C10,'2_kob.'!C10)-1</f>
        <v>6</v>
      </c>
      <c r="C11" s="8" t="str">
        <f>INDEX('2_kob.'!B3:G28,MATCH(8,B4:B29,0),1)</f>
        <v>stalowowolski</v>
      </c>
      <c r="D11" s="10">
        <f>INDEX('2_kob.'!B3:G28,MATCH(8,B4:B29,0),2)</f>
        <v>1011</v>
      </c>
      <c r="E11" s="9">
        <f>INDEX('2_kob.'!B3:G28,MATCH(8,B4:B29,0),3)</f>
        <v>1035</v>
      </c>
      <c r="F11" s="10">
        <f>INDEX('2_kob.'!B3:G28,MATCH(8,B4:B29,0),4)</f>
        <v>-24</v>
      </c>
      <c r="G11" s="9">
        <f>INDEX('2_kob.'!B3:G28,MATCH(8,B4:B29,0),5)</f>
        <v>1209</v>
      </c>
      <c r="H11" s="10">
        <f>INDEX('2_kob.'!B3:G28,MATCH(8,B4:B29,0),6)</f>
        <v>-198</v>
      </c>
    </row>
    <row r="12" spans="2:8" x14ac:dyDescent="0.2">
      <c r="B12" s="10">
        <f>RANK('2_kob.'!C11,'2_kob.'!$C$3:'2_kob.'!$C$28,1)+COUNTIF('2_kob.'!$C$3:'2_kob.'!C11,'2_kob.'!C11)-1</f>
        <v>18</v>
      </c>
      <c r="C12" s="8" t="str">
        <f>INDEX('2_kob.'!B3:G28,MATCH(9,B4:B29,0),1)</f>
        <v>krośnieński</v>
      </c>
      <c r="D12" s="10">
        <f>INDEX('2_kob.'!B3:G28,MATCH(9,B4:B29,0),2)</f>
        <v>1075</v>
      </c>
      <c r="E12" s="9">
        <f>INDEX('2_kob.'!B3:G28,MATCH(9,B4:B29,0),3)</f>
        <v>1038</v>
      </c>
      <c r="F12" s="10">
        <f>INDEX('2_kob.'!B3:G28,MATCH(9,B4:B29,0),4)</f>
        <v>37</v>
      </c>
      <c r="G12" s="9">
        <f>INDEX('2_kob.'!B3:G28,MATCH(9,B4:B29,0),5)</f>
        <v>1163</v>
      </c>
      <c r="H12" s="10">
        <f>INDEX('2_kob.'!B3:G28,MATCH(9,B4:B29,0),6)</f>
        <v>-88</v>
      </c>
    </row>
    <row r="13" spans="2:8" x14ac:dyDescent="0.2">
      <c r="B13" s="10">
        <f>RANK('2_kob.'!C12,'2_kob.'!$C$3:'2_kob.'!$C$28,1)+COUNTIF('2_kob.'!$C$3:'2_kob.'!C12,'2_kob.'!C12)-1</f>
        <v>7</v>
      </c>
      <c r="C13" s="8" t="str">
        <f>INDEX('2_kob.'!B3:G28,MATCH(10,B4:B29,0),1)</f>
        <v>Przemyśl</v>
      </c>
      <c r="D13" s="10">
        <f>INDEX('2_kob.'!B3:G28,MATCH(10,B4:B29,0),2)</f>
        <v>1191</v>
      </c>
      <c r="E13" s="9">
        <f>INDEX('2_kob.'!B3:G28,MATCH(10,B4:B29,0),3)</f>
        <v>1186</v>
      </c>
      <c r="F13" s="10">
        <f>INDEX('2_kob.'!B3:G28,MATCH(10,B4:B29,0),4)</f>
        <v>5</v>
      </c>
      <c r="G13" s="9">
        <f>INDEX('2_kob.'!B3:G28,MATCH(10,B4:B29,0),5)</f>
        <v>1483</v>
      </c>
      <c r="H13" s="10">
        <f>INDEX('2_kob.'!B3:G28,MATCH(10,B4:B29,0),6)</f>
        <v>-292</v>
      </c>
    </row>
    <row r="14" spans="2:8" x14ac:dyDescent="0.2">
      <c r="B14" s="10">
        <f>RANK('2_kob.'!C13,'2_kob.'!$C$3:'2_kob.'!$C$28,1)+COUNTIF('2_kob.'!$C$3:'2_kob.'!C13,'2_kob.'!C13)-1</f>
        <v>11</v>
      </c>
      <c r="C14" s="8" t="str">
        <f>INDEX('2_kob.'!B3:G28,MATCH(11,B4:B29,0),1)</f>
        <v>łańcucki</v>
      </c>
      <c r="D14" s="10">
        <f>INDEX('2_kob.'!B3:G28,MATCH(11,B4:B29,0),2)</f>
        <v>1276</v>
      </c>
      <c r="E14" s="9">
        <f>INDEX('2_kob.'!B3:G28,MATCH(11,B4:B29,0),3)</f>
        <v>1315</v>
      </c>
      <c r="F14" s="10">
        <f>INDEX('2_kob.'!B3:G28,MATCH(11,B4:B29,0),4)</f>
        <v>-39</v>
      </c>
      <c r="G14" s="9">
        <f>INDEX('2_kob.'!B3:G28,MATCH(11,B4:B29,0),5)</f>
        <v>1659</v>
      </c>
      <c r="H14" s="10">
        <f>INDEX('2_kob.'!B3:G28,MATCH(11,B4:B29,0),6)</f>
        <v>-383</v>
      </c>
    </row>
    <row r="15" spans="2:8" x14ac:dyDescent="0.2">
      <c r="B15" s="10">
        <f>RANK('2_kob.'!C14,'2_kob.'!$C$3:'2_kob.'!$C$28,1)+COUNTIF('2_kob.'!$C$3:'2_kob.'!C14,'2_kob.'!C14)-1</f>
        <v>13</v>
      </c>
      <c r="C15" s="8" t="str">
        <f>INDEX('2_kob.'!B3:G28,MATCH(12,B4:B29,0),1)</f>
        <v>sanocki</v>
      </c>
      <c r="D15" s="10">
        <f>INDEX('2_kob.'!B3:G28,MATCH(12,B4:B29,0),2)</f>
        <v>1318</v>
      </c>
      <c r="E15" s="9">
        <f>INDEX('2_kob.'!B3:G28,MATCH(12,B4:B29,0),3)</f>
        <v>1294</v>
      </c>
      <c r="F15" s="10">
        <f>INDEX('2_kob.'!B3:G28,MATCH(12,B4:B29,0),4)</f>
        <v>24</v>
      </c>
      <c r="G15" s="9">
        <f>INDEX('2_kob.'!B3:G28,MATCH(12,B4:B29,0),5)</f>
        <v>1291</v>
      </c>
      <c r="H15" s="10">
        <f>INDEX('2_kob.'!B3:G28,MATCH(12,B4:B29,0),6)</f>
        <v>27</v>
      </c>
    </row>
    <row r="16" spans="2:8" x14ac:dyDescent="0.2">
      <c r="B16" s="10">
        <f>RANK('2_kob.'!C15,'2_kob.'!$C$3:'2_kob.'!$C$28,1)+COUNTIF('2_kob.'!$C$3:'2_kob.'!C15,'2_kob.'!C15)-1</f>
        <v>17</v>
      </c>
      <c r="C16" s="8" t="str">
        <f>INDEX('2_kob.'!B3:G28,MATCH(13,B4:B29,0),1)</f>
        <v>mielecki</v>
      </c>
      <c r="D16" s="10">
        <f>INDEX('2_kob.'!B3:G28,MATCH(13,B4:B29,0),2)</f>
        <v>1329</v>
      </c>
      <c r="E16" s="9">
        <f>INDEX('2_kob.'!B3:G28,MATCH(13,B4:B29,0),3)</f>
        <v>1346</v>
      </c>
      <c r="F16" s="10">
        <f>INDEX('2_kob.'!B3:G28,MATCH(13,B4:B29,0),4)</f>
        <v>-17</v>
      </c>
      <c r="G16" s="9">
        <f>INDEX('2_kob.'!B3:G28,MATCH(13,B4:B29,0),5)</f>
        <v>1578</v>
      </c>
      <c r="H16" s="10">
        <f>INDEX('2_kob.'!B3:G28,MATCH(13,B4:B29,0),6)</f>
        <v>-249</v>
      </c>
    </row>
    <row r="17" spans="2:8" x14ac:dyDescent="0.2">
      <c r="B17" s="10">
        <f>RANK('2_kob.'!C16,'2_kob.'!$C$3:'2_kob.'!$C$28,1)+COUNTIF('2_kob.'!$C$3:'2_kob.'!C16,'2_kob.'!C16)-1</f>
        <v>16</v>
      </c>
      <c r="C17" s="8" t="str">
        <f>INDEX('2_kob.'!B3:G28,MATCH(14,B4:B29,0),1)</f>
        <v>ropczycko-sędziszowski</v>
      </c>
      <c r="D17" s="10">
        <f>INDEX('2_kob.'!B3:G28,MATCH(14,B4:B29,0),2)</f>
        <v>1499</v>
      </c>
      <c r="E17" s="9">
        <f>INDEX('2_kob.'!B3:G28,MATCH(14,B4:B29,0),3)</f>
        <v>1563</v>
      </c>
      <c r="F17" s="10">
        <f>INDEX('2_kob.'!B3:G28,MATCH(14,B4:B29,0),4)</f>
        <v>-64</v>
      </c>
      <c r="G17" s="9">
        <f>INDEX('2_kob.'!B3:G28,MATCH(14,B4:B29,0),5)</f>
        <v>1777</v>
      </c>
      <c r="H17" s="10">
        <f>INDEX('2_kob.'!B3:G28,MATCH(14,B4:B29,0),6)</f>
        <v>-278</v>
      </c>
    </row>
    <row r="18" spans="2:8" x14ac:dyDescent="0.2">
      <c r="B18" s="10">
        <f>RANK('2_kob.'!C17,'2_kob.'!$C$3:'2_kob.'!$C$28,1)+COUNTIF('2_kob.'!$C$3:'2_kob.'!C17,'2_kob.'!C17)-1</f>
        <v>20</v>
      </c>
      <c r="C18" s="8" t="str">
        <f>INDEX('2_kob.'!B3:G28,MATCH(15,B4:B29,0),1)</f>
        <v>dębicki</v>
      </c>
      <c r="D18" s="10">
        <f>INDEX('2_kob.'!B3:G28,MATCH(15,B4:B29,0),2)</f>
        <v>1508</v>
      </c>
      <c r="E18" s="9">
        <f>INDEX('2_kob.'!B3:G28,MATCH(15,B4:B29,0),3)</f>
        <v>1518</v>
      </c>
      <c r="F18" s="10">
        <f>INDEX('2_kob.'!B3:G28,MATCH(15,B4:B29,0),4)</f>
        <v>-10</v>
      </c>
      <c r="G18" s="9">
        <f>INDEX('2_kob.'!B3:G28,MATCH(15,B4:B29,0),5)</f>
        <v>1711</v>
      </c>
      <c r="H18" s="10">
        <f>INDEX('2_kob.'!B3:G28,MATCH(15,B4:B29,0),6)</f>
        <v>-203</v>
      </c>
    </row>
    <row r="19" spans="2:8" x14ac:dyDescent="0.2">
      <c r="B19" s="10">
        <f>RANK('2_kob.'!C18,'2_kob.'!$C$3:'2_kob.'!$C$28,1)+COUNTIF('2_kob.'!$C$3:'2_kob.'!C18,'2_kob.'!C18)-1</f>
        <v>14</v>
      </c>
      <c r="C19" s="8" t="str">
        <f>INDEX('2_kob.'!B3:G28,MATCH(16,B4:B29,0),1)</f>
        <v>przemyski</v>
      </c>
      <c r="D19" s="10">
        <f>INDEX('2_kob.'!B3:G28,MATCH(16,B4:B29,0),2)</f>
        <v>1556</v>
      </c>
      <c r="E19" s="9">
        <f>INDEX('2_kob.'!B3:G28,MATCH(16,B4:B29,0),3)</f>
        <v>1553</v>
      </c>
      <c r="F19" s="10">
        <f>INDEX('2_kob.'!B3:G28,MATCH(16,B4:B29,0),4)</f>
        <v>3</v>
      </c>
      <c r="G19" s="9">
        <f>INDEX('2_kob.'!B3:G28,MATCH(16,B4:B29,0),5)</f>
        <v>1897</v>
      </c>
      <c r="H19" s="10">
        <f>INDEX('2_kob.'!B3:G28,MATCH(16,B4:B29,0),6)</f>
        <v>-341</v>
      </c>
    </row>
    <row r="20" spans="2:8" x14ac:dyDescent="0.2">
      <c r="B20" s="10">
        <f>RANK('2_kob.'!C19,'2_kob.'!$C$3:'2_kob.'!$C$28,1)+COUNTIF('2_kob.'!$C$3:'2_kob.'!C19,'2_kob.'!C19)-1</f>
        <v>23</v>
      </c>
      <c r="C20" s="8" t="str">
        <f>INDEX('2_kob.'!B3:G28,MATCH(17,B4:B29,0),1)</f>
        <v>niżański</v>
      </c>
      <c r="D20" s="10">
        <f>INDEX('2_kob.'!B3:G28,MATCH(17,B4:B29,0),2)</f>
        <v>1594</v>
      </c>
      <c r="E20" s="9">
        <f>INDEX('2_kob.'!B3:G28,MATCH(17,B4:B29,0),3)</f>
        <v>1605</v>
      </c>
      <c r="F20" s="10">
        <f>INDEX('2_kob.'!B3:G28,MATCH(17,B4:B29,0),4)</f>
        <v>-11</v>
      </c>
      <c r="G20" s="9">
        <f>INDEX('2_kob.'!B3:G28,MATCH(17,B4:B29,0),5)</f>
        <v>1706</v>
      </c>
      <c r="H20" s="10">
        <f>INDEX('2_kob.'!B3:G28,MATCH(17,B4:B29,0),6)</f>
        <v>-112</v>
      </c>
    </row>
    <row r="21" spans="2:8" x14ac:dyDescent="0.2">
      <c r="B21" s="10">
        <f>RANK('2_kob.'!C20,'2_kob.'!$C$3:'2_kob.'!$C$28,1)+COUNTIF('2_kob.'!$C$3:'2_kob.'!C20,'2_kob.'!C20)-1</f>
        <v>12</v>
      </c>
      <c r="C21" s="8" t="str">
        <f>INDEX('2_kob.'!B3:G28,MATCH(18,B4:B29,0),1)</f>
        <v>leżajski</v>
      </c>
      <c r="D21" s="10">
        <f>INDEX('2_kob.'!B3:G28,MATCH(18,B4:B29,0),2)</f>
        <v>1615</v>
      </c>
      <c r="E21" s="9">
        <f>INDEX('2_kob.'!B3:G28,MATCH(18,B4:B29,0),3)</f>
        <v>1616</v>
      </c>
      <c r="F21" s="10">
        <f>INDEX('2_kob.'!B3:G28,MATCH(18,B4:B29,0),4)</f>
        <v>-1</v>
      </c>
      <c r="G21" s="9">
        <f>INDEX('2_kob.'!B3:G28,MATCH(18,B4:B29,0),5)</f>
        <v>1910</v>
      </c>
      <c r="H21" s="10">
        <f>INDEX('2_kob.'!B3:G28,MATCH(18,B4:B29,0),6)</f>
        <v>-295</v>
      </c>
    </row>
    <row r="22" spans="2:8" x14ac:dyDescent="0.2">
      <c r="B22" s="10">
        <f>RANK('2_kob.'!C21,'2_kob.'!$C$3:'2_kob.'!$C$28,1)+COUNTIF('2_kob.'!$C$3:'2_kob.'!C21,'2_kob.'!C21)-1</f>
        <v>8</v>
      </c>
      <c r="C22" s="8" t="str">
        <f>INDEX('2_kob.'!B3:G28,MATCH(19,B4:B29,0),1)</f>
        <v>strzyżowski</v>
      </c>
      <c r="D22" s="10">
        <f>INDEX('2_kob.'!B3:G28,MATCH(19,B4:B29,0),2)</f>
        <v>1693</v>
      </c>
      <c r="E22" s="9">
        <f>INDEX('2_kob.'!B3:G28,MATCH(19,B4:B29,0),3)</f>
        <v>1701</v>
      </c>
      <c r="F22" s="10">
        <f>INDEX('2_kob.'!B3:G28,MATCH(19,B4:B29,0),4)</f>
        <v>-8</v>
      </c>
      <c r="G22" s="9">
        <f>INDEX('2_kob.'!B3:G28,MATCH(19,B4:B29,0),5)</f>
        <v>1834</v>
      </c>
      <c r="H22" s="10">
        <f>INDEX('2_kob.'!B3:G28,MATCH(19,B4:B29,0),6)</f>
        <v>-141</v>
      </c>
    </row>
    <row r="23" spans="2:8" x14ac:dyDescent="0.2">
      <c r="B23" s="10">
        <f>RANK('2_kob.'!C22,'2_kob.'!$C$3:'2_kob.'!$C$28,1)+COUNTIF('2_kob.'!$C$3:'2_kob.'!C22,'2_kob.'!C22)-1</f>
        <v>19</v>
      </c>
      <c r="C23" s="8" t="str">
        <f>INDEX('2_kob.'!B3:G28,MATCH(20,B4:B29,0),1)</f>
        <v>przeworski</v>
      </c>
      <c r="D23" s="10">
        <f>INDEX('2_kob.'!B3:G28,MATCH(20,B4:B29,0),2)</f>
        <v>1977</v>
      </c>
      <c r="E23" s="9">
        <f>INDEX('2_kob.'!B3:G28,MATCH(20,B4:B29,0),3)</f>
        <v>1981</v>
      </c>
      <c r="F23" s="10">
        <f>INDEX('2_kob.'!B3:G28,MATCH(20,B4:B29,0),4)</f>
        <v>-4</v>
      </c>
      <c r="G23" s="9">
        <f>INDEX('2_kob.'!B3:G28,MATCH(20,B4:B29,0),5)</f>
        <v>2185</v>
      </c>
      <c r="H23" s="10">
        <f>INDEX('2_kob.'!B3:G28,MATCH(20,B4:B29,0),6)</f>
        <v>-208</v>
      </c>
    </row>
    <row r="24" spans="2:8" x14ac:dyDescent="0.2">
      <c r="B24" s="10">
        <f>RANK('2_kob.'!C23,'2_kob.'!$C$3:'2_kob.'!$C$28,1)+COUNTIF('2_kob.'!$C$3:'2_kob.'!C23,'2_kob.'!C23)-1</f>
        <v>4</v>
      </c>
      <c r="C24" s="8" t="str">
        <f>INDEX('2_kob.'!B3:G28,MATCH(21,B4:B29,0),1)</f>
        <v>brzozowski</v>
      </c>
      <c r="D24" s="10">
        <f>INDEX('2_kob.'!B3:G28,MATCH(21,B4:B29,0),2)</f>
        <v>2067</v>
      </c>
      <c r="E24" s="9">
        <f>INDEX('2_kob.'!B3:G28,MATCH(21,B4:B29,0),3)</f>
        <v>2050</v>
      </c>
      <c r="F24" s="10">
        <f>INDEX('2_kob.'!B3:G28,MATCH(21,B4:B29,0),4)</f>
        <v>17</v>
      </c>
      <c r="G24" s="9">
        <f>INDEX('2_kob.'!B3:G28,MATCH(21,B4:B29,0),5)</f>
        <v>2178</v>
      </c>
      <c r="H24" s="10">
        <f>INDEX('2_kob.'!B3:G28,MATCH(21,B4:B29,0),6)</f>
        <v>-111</v>
      </c>
    </row>
    <row r="25" spans="2:8" x14ac:dyDescent="0.2">
      <c r="B25" s="10">
        <f>RANK('2_kob.'!C24,'2_kob.'!$C$3:'2_kob.'!$C$28,1)+COUNTIF('2_kob.'!$C$3:'2_kob.'!C24,'2_kob.'!C24)-1</f>
        <v>1</v>
      </c>
      <c r="C25" s="8" t="str">
        <f>INDEX('2_kob.'!B3:G28,MATCH(22,B4:B29,0),1)</f>
        <v>jarosławski</v>
      </c>
      <c r="D25" s="10">
        <f>INDEX('2_kob.'!B3:G28,MATCH(22,B4:B29,0),2)</f>
        <v>2461</v>
      </c>
      <c r="E25" s="9">
        <f>INDEX('2_kob.'!B3:G28,MATCH(22,B4:B29,0),3)</f>
        <v>2491</v>
      </c>
      <c r="F25" s="10">
        <f>INDEX('2_kob.'!B3:G28,MATCH(22,B4:B29,0),4)</f>
        <v>-30</v>
      </c>
      <c r="G25" s="9">
        <f>INDEX('2_kob.'!B3:G28,MATCH(22,B4:B29,0),5)</f>
        <v>2848</v>
      </c>
      <c r="H25" s="10">
        <f>INDEX('2_kob.'!B3:G28,MATCH(22,B4:B29,0),6)</f>
        <v>-387</v>
      </c>
    </row>
    <row r="26" spans="2:8" x14ac:dyDescent="0.2">
      <c r="B26" s="10">
        <f>RANK('2_kob.'!C25,'2_kob.'!$C$3:'2_kob.'!$C$28,1)+COUNTIF('2_kob.'!$C$3:'2_kob.'!C25,'2_kob.'!C25)-1</f>
        <v>10</v>
      </c>
      <c r="C26" s="8" t="str">
        <f>INDEX('2_kob.'!B3:G28,MATCH(23,B4:B29,0),1)</f>
        <v>rzeszowski</v>
      </c>
      <c r="D26" s="10">
        <f>INDEX('2_kob.'!B3:G28,MATCH(23,B4:B29,0),2)</f>
        <v>2486</v>
      </c>
      <c r="E26" s="9">
        <f>INDEX('2_kob.'!B3:G28,MATCH(23,B4:B29,0),3)</f>
        <v>2478</v>
      </c>
      <c r="F26" s="10">
        <f>INDEX('2_kob.'!B3:G28,MATCH(23,B4:B29,0),4)</f>
        <v>8</v>
      </c>
      <c r="G26" s="9">
        <f>INDEX('2_kob.'!B3:G28,MATCH(23,B4:B29,0),5)</f>
        <v>2970</v>
      </c>
      <c r="H26" s="10">
        <f>INDEX('2_kob.'!B3:G28,MATCH(23,B4:B29,0),6)</f>
        <v>-484</v>
      </c>
    </row>
    <row r="27" spans="2:8" x14ac:dyDescent="0.2">
      <c r="B27" s="10">
        <f>RANK('2_kob.'!C26,'2_kob.'!$C$3:'2_kob.'!$C$28,1)+COUNTIF('2_kob.'!$C$3:'2_kob.'!C26,'2_kob.'!C26)-1</f>
        <v>25</v>
      </c>
      <c r="C27" s="8" t="str">
        <f>INDEX('2_kob.'!B3:G28,MATCH(24,B4:B29,0),1)</f>
        <v>jasielski</v>
      </c>
      <c r="D27" s="10">
        <f>INDEX('2_kob.'!B3:G28,MATCH(24,B4:B29,0),2)</f>
        <v>2833</v>
      </c>
      <c r="E27" s="9">
        <f>INDEX('2_kob.'!B3:G28,MATCH(24,B4:B29,0),3)</f>
        <v>2838</v>
      </c>
      <c r="F27" s="10">
        <f>INDEX('2_kob.'!B3:G28,MATCH(24,B4:B29,0),4)</f>
        <v>-5</v>
      </c>
      <c r="G27" s="9">
        <f>INDEX('2_kob.'!B3:G28,MATCH(24,B4:B29,0),5)</f>
        <v>3188</v>
      </c>
      <c r="H27" s="10">
        <f>INDEX('2_kob.'!B3:G28,MATCH(24,B4:B29,0),6)</f>
        <v>-355</v>
      </c>
    </row>
    <row r="28" spans="2:8" x14ac:dyDescent="0.2">
      <c r="B28" s="10">
        <f>RANK('2_kob.'!C27,'2_kob.'!$C$3:'2_kob.'!$C$28,1)+COUNTIF('2_kob.'!$C$3:'2_kob.'!C27,'2_kob.'!C27)-1</f>
        <v>3</v>
      </c>
      <c r="C28" s="8" t="str">
        <f>INDEX('2_kob.'!B3:G28,MATCH(25,B4:B29,0),1)</f>
        <v>Rzeszów</v>
      </c>
      <c r="D28" s="10">
        <f>INDEX('2_kob.'!B3:G28,MATCH(25,B4:B29,0),2)</f>
        <v>2902</v>
      </c>
      <c r="E28" s="9">
        <f>INDEX('2_kob.'!B3:G28,MATCH(25,B4:B29,0),3)</f>
        <v>2918</v>
      </c>
      <c r="F28" s="10">
        <f>INDEX('2_kob.'!B3:G28,MATCH(25,B4:B29,0),4)</f>
        <v>-16</v>
      </c>
      <c r="G28" s="9">
        <f>INDEX('2_kob.'!B3:G28,MATCH(25,B4:B29,0),5)</f>
        <v>3319</v>
      </c>
      <c r="H28" s="10">
        <f>INDEX('2_kob.'!B3:G28,MATCH(25,B4:B29,0),6)</f>
        <v>-417</v>
      </c>
    </row>
    <row r="29" spans="2:8" ht="15" x14ac:dyDescent="0.25">
      <c r="B29" s="34">
        <f>RANK('2_kob.'!C28,'2_kob.'!$C$3:'2_kob.'!$C$28,1)+COUNTIF('2_kob.'!$C$3:'2_kob.'!C28,'2_kob.'!C28)-1</f>
        <v>26</v>
      </c>
      <c r="C29" s="35" t="str">
        <f>INDEX('2_kob.'!B3:G28,MATCH(26,B4:B29,0),1)</f>
        <v>województwo</v>
      </c>
      <c r="D29" s="34">
        <f>INDEX('2_kob.'!B3:G28,MATCH(26,B4:B29,0),2)</f>
        <v>35980</v>
      </c>
      <c r="E29" s="17">
        <f>INDEX('2_kob.'!B3:G28,MATCH(26,B4:B29,0),3)</f>
        <v>36056</v>
      </c>
      <c r="F29" s="34">
        <f>INDEX('2_kob.'!B3:G28,MATCH(26,B4:B29,0),4)</f>
        <v>-76</v>
      </c>
      <c r="G29" s="17">
        <f>INDEX('2_kob.'!B3:G28,MATCH(26,B4:B29,0),5)</f>
        <v>41174</v>
      </c>
      <c r="H29" s="34">
        <f>INDEX('2_kob.'!B3:G28,MATCH(26,B4:B29,0),6)</f>
        <v>-5194</v>
      </c>
    </row>
  </sheetData>
  <pageMargins left="0" right="0" top="0.31496062992125984" bottom="0" header="0" footer="0"/>
  <pageSetup paperSize="9" scale="72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7" tint="0.59999389629810485"/>
    <pageSetUpPr fitToPage="1"/>
  </sheetPr>
  <dimension ref="A1:H22"/>
  <sheetViews>
    <sheetView zoomScale="80" zoomScaleNormal="80" workbookViewId="0">
      <selection activeCell="B3" sqref="B3:C19"/>
    </sheetView>
  </sheetViews>
  <sheetFormatPr defaultRowHeight="14.25" x14ac:dyDescent="0.2"/>
  <cols>
    <col min="1" max="1" width="4.42578125" style="39" customWidth="1"/>
    <col min="2" max="2" width="33.42578125" style="3" customWidth="1"/>
    <col min="3" max="3" width="15.85546875" style="3" customWidth="1"/>
    <col min="4" max="4" width="16.140625" style="3" customWidth="1"/>
    <col min="5" max="5" width="15.28515625" style="3" customWidth="1"/>
    <col min="6" max="6" width="14.28515625" style="3" customWidth="1"/>
    <col min="7" max="7" width="14.7109375" style="3" customWidth="1"/>
    <col min="8" max="8" width="9.140625" style="39"/>
    <col min="9" max="16384" width="9.140625" style="3"/>
  </cols>
  <sheetData>
    <row r="1" spans="1:8" ht="15" customHeight="1" x14ac:dyDescent="0.2">
      <c r="B1" s="2" t="s">
        <v>89</v>
      </c>
    </row>
    <row r="2" spans="1:8" ht="71.25" x14ac:dyDescent="0.2">
      <c r="B2" s="40" t="s">
        <v>27</v>
      </c>
      <c r="C2" s="40" t="s">
        <v>117</v>
      </c>
      <c r="D2" s="41" t="s">
        <v>107</v>
      </c>
      <c r="E2" s="40" t="s">
        <v>81</v>
      </c>
      <c r="F2" s="41" t="s">
        <v>118</v>
      </c>
      <c r="G2" s="40" t="s">
        <v>82</v>
      </c>
    </row>
    <row r="3" spans="1:8" ht="15" x14ac:dyDescent="0.2">
      <c r="A3" s="39">
        <v>1</v>
      </c>
      <c r="B3" s="42" t="s">
        <v>33</v>
      </c>
      <c r="C3" s="43">
        <v>5.0999999999999996</v>
      </c>
      <c r="D3" s="44">
        <v>5.0999999999999996</v>
      </c>
      <c r="E3" s="43">
        <f t="shared" ref="E3:E19" si="0">SUM(C3)-D3</f>
        <v>0</v>
      </c>
      <c r="F3" s="45">
        <v>5.8</v>
      </c>
      <c r="G3" s="43">
        <f t="shared" ref="G3:G19" si="1">SUM(C3)-F3</f>
        <v>-0.70000000000000018</v>
      </c>
      <c r="H3" s="46"/>
    </row>
    <row r="4" spans="1:8" x14ac:dyDescent="0.2">
      <c r="A4" s="39">
        <v>2</v>
      </c>
      <c r="B4" s="47" t="s">
        <v>34</v>
      </c>
      <c r="C4" s="48">
        <v>4.4000000000000004</v>
      </c>
      <c r="D4" s="49">
        <v>4.4000000000000004</v>
      </c>
      <c r="E4" s="48">
        <f t="shared" si="0"/>
        <v>0</v>
      </c>
      <c r="F4" s="49">
        <v>5</v>
      </c>
      <c r="G4" s="48">
        <f t="shared" si="1"/>
        <v>-0.59999999999999964</v>
      </c>
      <c r="H4" s="46"/>
    </row>
    <row r="5" spans="1:8" x14ac:dyDescent="0.2">
      <c r="A5" s="39">
        <v>3</v>
      </c>
      <c r="B5" s="47" t="s">
        <v>35</v>
      </c>
      <c r="C5" s="50">
        <v>7.2</v>
      </c>
      <c r="D5" s="49">
        <v>7.1</v>
      </c>
      <c r="E5" s="50">
        <f t="shared" si="0"/>
        <v>0.10000000000000053</v>
      </c>
      <c r="F5" s="49">
        <v>8.1</v>
      </c>
      <c r="G5" s="48">
        <f t="shared" si="1"/>
        <v>-0.89999999999999947</v>
      </c>
      <c r="H5" s="46"/>
    </row>
    <row r="6" spans="1:8" x14ac:dyDescent="0.2">
      <c r="A6" s="39">
        <v>4</v>
      </c>
      <c r="B6" s="47" t="s">
        <v>36</v>
      </c>
      <c r="C6" s="48">
        <v>7.9</v>
      </c>
      <c r="D6" s="49">
        <v>7.8</v>
      </c>
      <c r="E6" s="48">
        <f t="shared" si="0"/>
        <v>0.10000000000000053</v>
      </c>
      <c r="F6" s="49">
        <v>8.6999999999999993</v>
      </c>
      <c r="G6" s="48">
        <f t="shared" si="1"/>
        <v>-0.79999999999999893</v>
      </c>
      <c r="H6" s="46"/>
    </row>
    <row r="7" spans="1:8" x14ac:dyDescent="0.2">
      <c r="A7" s="39">
        <v>5</v>
      </c>
      <c r="B7" s="47" t="s">
        <v>37</v>
      </c>
      <c r="C7" s="48">
        <v>4.3</v>
      </c>
      <c r="D7" s="49">
        <v>4.2</v>
      </c>
      <c r="E7" s="48">
        <f t="shared" si="0"/>
        <v>9.9999999999999645E-2</v>
      </c>
      <c r="F7" s="49">
        <v>5.0999999999999996</v>
      </c>
      <c r="G7" s="48">
        <f t="shared" si="1"/>
        <v>-0.79999999999999982</v>
      </c>
      <c r="H7" s="46"/>
    </row>
    <row r="8" spans="1:8" x14ac:dyDescent="0.2">
      <c r="A8" s="39">
        <v>6</v>
      </c>
      <c r="B8" s="47" t="s">
        <v>38</v>
      </c>
      <c r="C8" s="48">
        <v>5.4</v>
      </c>
      <c r="D8" s="49">
        <v>5.5</v>
      </c>
      <c r="E8" s="48">
        <f t="shared" si="0"/>
        <v>-9.9999999999999645E-2</v>
      </c>
      <c r="F8" s="49">
        <v>6.2</v>
      </c>
      <c r="G8" s="48">
        <f t="shared" si="1"/>
        <v>-0.79999999999999982</v>
      </c>
      <c r="H8" s="46"/>
    </row>
    <row r="9" spans="1:8" x14ac:dyDescent="0.2">
      <c r="A9" s="39">
        <v>7</v>
      </c>
      <c r="B9" s="47" t="s">
        <v>39</v>
      </c>
      <c r="C9" s="48">
        <v>4.5</v>
      </c>
      <c r="D9" s="49">
        <v>4.5</v>
      </c>
      <c r="E9" s="48">
        <f t="shared" si="0"/>
        <v>0</v>
      </c>
      <c r="F9" s="49">
        <v>5.0999999999999996</v>
      </c>
      <c r="G9" s="48">
        <f t="shared" si="1"/>
        <v>-0.59999999999999964</v>
      </c>
      <c r="H9" s="46"/>
    </row>
    <row r="10" spans="1:8" x14ac:dyDescent="0.2">
      <c r="A10" s="39">
        <v>8</v>
      </c>
      <c r="B10" s="47" t="s">
        <v>40</v>
      </c>
      <c r="C10" s="48">
        <v>4.2</v>
      </c>
      <c r="D10" s="49">
        <v>4.2</v>
      </c>
      <c r="E10" s="48">
        <f t="shared" si="0"/>
        <v>0</v>
      </c>
      <c r="F10" s="49">
        <v>4.8</v>
      </c>
      <c r="G10" s="48">
        <f t="shared" si="1"/>
        <v>-0.59999999999999964</v>
      </c>
      <c r="H10" s="46"/>
    </row>
    <row r="11" spans="1:8" x14ac:dyDescent="0.2">
      <c r="A11" s="39">
        <v>9</v>
      </c>
      <c r="B11" s="47" t="s">
        <v>41</v>
      </c>
      <c r="C11" s="48">
        <v>5.9</v>
      </c>
      <c r="D11" s="49">
        <v>6</v>
      </c>
      <c r="E11" s="48">
        <f t="shared" si="0"/>
        <v>-9.9999999999999645E-2</v>
      </c>
      <c r="F11" s="49">
        <v>6.3</v>
      </c>
      <c r="G11" s="48">
        <f t="shared" si="1"/>
        <v>-0.39999999999999947</v>
      </c>
      <c r="H11" s="46"/>
    </row>
    <row r="12" spans="1:8" ht="15" x14ac:dyDescent="0.2">
      <c r="A12" s="39">
        <v>10</v>
      </c>
      <c r="B12" s="42" t="s">
        <v>42</v>
      </c>
      <c r="C12" s="43">
        <v>8.6999999999999993</v>
      </c>
      <c r="D12" s="45">
        <v>8.6999999999999993</v>
      </c>
      <c r="E12" s="43">
        <f t="shared" si="0"/>
        <v>0</v>
      </c>
      <c r="F12" s="45">
        <v>9.9</v>
      </c>
      <c r="G12" s="43">
        <f t="shared" si="1"/>
        <v>-1.2000000000000011</v>
      </c>
      <c r="H12" s="46"/>
    </row>
    <row r="13" spans="1:8" x14ac:dyDescent="0.2">
      <c r="A13" s="39">
        <v>11</v>
      </c>
      <c r="B13" s="47" t="s">
        <v>43</v>
      </c>
      <c r="C13" s="48">
        <v>7.2</v>
      </c>
      <c r="D13" s="49">
        <v>7.1</v>
      </c>
      <c r="E13" s="48">
        <f t="shared" si="0"/>
        <v>0.10000000000000053</v>
      </c>
      <c r="F13" s="49">
        <v>7.9</v>
      </c>
      <c r="G13" s="48">
        <f t="shared" si="1"/>
        <v>-0.70000000000000018</v>
      </c>
      <c r="H13" s="46"/>
    </row>
    <row r="14" spans="1:8" x14ac:dyDescent="0.2">
      <c r="A14" s="39">
        <v>12</v>
      </c>
      <c r="B14" s="47" t="s">
        <v>44</v>
      </c>
      <c r="C14" s="48">
        <v>4.5</v>
      </c>
      <c r="D14" s="49">
        <v>4.5</v>
      </c>
      <c r="E14" s="48">
        <f t="shared" si="0"/>
        <v>0</v>
      </c>
      <c r="F14" s="49">
        <v>5.3</v>
      </c>
      <c r="G14" s="48">
        <f t="shared" si="1"/>
        <v>-0.79999999999999982</v>
      </c>
      <c r="H14" s="46"/>
    </row>
    <row r="15" spans="1:8" x14ac:dyDescent="0.2">
      <c r="A15" s="39">
        <v>13</v>
      </c>
      <c r="B15" s="47" t="s">
        <v>45</v>
      </c>
      <c r="C15" s="48">
        <v>3.6</v>
      </c>
      <c r="D15" s="49">
        <v>3.7</v>
      </c>
      <c r="E15" s="48">
        <f t="shared" si="0"/>
        <v>-0.10000000000000009</v>
      </c>
      <c r="F15" s="49">
        <v>4.4000000000000004</v>
      </c>
      <c r="G15" s="48">
        <f t="shared" si="1"/>
        <v>-0.80000000000000027</v>
      </c>
      <c r="H15" s="46"/>
    </row>
    <row r="16" spans="1:8" x14ac:dyDescent="0.2">
      <c r="A16" s="39">
        <v>14</v>
      </c>
      <c r="B16" s="47" t="s">
        <v>46</v>
      </c>
      <c r="C16" s="48">
        <v>7.5</v>
      </c>
      <c r="D16" s="49">
        <v>7.5</v>
      </c>
      <c r="E16" s="48">
        <f t="shared" si="0"/>
        <v>0</v>
      </c>
      <c r="F16" s="49">
        <v>8.6</v>
      </c>
      <c r="G16" s="48">
        <f t="shared" si="1"/>
        <v>-1.0999999999999996</v>
      </c>
      <c r="H16" s="46"/>
    </row>
    <row r="17" spans="1:8" x14ac:dyDescent="0.2">
      <c r="A17" s="39">
        <v>15</v>
      </c>
      <c r="B17" s="47" t="s">
        <v>47</v>
      </c>
      <c r="C17" s="48">
        <v>8.5</v>
      </c>
      <c r="D17" s="49">
        <v>8.3000000000000007</v>
      </c>
      <c r="E17" s="48">
        <f t="shared" si="0"/>
        <v>0.19999999999999929</v>
      </c>
      <c r="F17" s="49">
        <v>9</v>
      </c>
      <c r="G17" s="48">
        <f t="shared" si="1"/>
        <v>-0.5</v>
      </c>
      <c r="H17" s="46"/>
    </row>
    <row r="18" spans="1:8" x14ac:dyDescent="0.2">
      <c r="A18" s="39">
        <v>16</v>
      </c>
      <c r="B18" s="47" t="s">
        <v>48</v>
      </c>
      <c r="C18" s="48">
        <v>2.9</v>
      </c>
      <c r="D18" s="49">
        <v>2.8</v>
      </c>
      <c r="E18" s="48">
        <f t="shared" si="0"/>
        <v>0.10000000000000009</v>
      </c>
      <c r="F18" s="49">
        <v>3.3</v>
      </c>
      <c r="G18" s="48">
        <f t="shared" si="1"/>
        <v>-0.39999999999999991</v>
      </c>
      <c r="H18" s="46"/>
    </row>
    <row r="19" spans="1:8" x14ac:dyDescent="0.2">
      <c r="A19" s="39">
        <v>17</v>
      </c>
      <c r="B19" s="47" t="s">
        <v>49</v>
      </c>
      <c r="C19" s="48">
        <v>6.6</v>
      </c>
      <c r="D19" s="49">
        <v>6.5</v>
      </c>
      <c r="E19" s="48">
        <f t="shared" si="0"/>
        <v>9.9999999999999645E-2</v>
      </c>
      <c r="F19" s="49">
        <v>7.3</v>
      </c>
      <c r="G19" s="48">
        <f t="shared" si="1"/>
        <v>-0.70000000000000018</v>
      </c>
      <c r="H19" s="46"/>
    </row>
    <row r="20" spans="1:8" ht="12.75" customHeight="1" x14ac:dyDescent="0.2">
      <c r="B20" s="81" t="s">
        <v>119</v>
      </c>
    </row>
    <row r="21" spans="1:8" ht="13.5" customHeight="1" x14ac:dyDescent="0.2">
      <c r="B21" s="81" t="s">
        <v>120</v>
      </c>
    </row>
    <row r="22" spans="1:8" x14ac:dyDescent="0.2">
      <c r="B22" s="82" t="s">
        <v>103</v>
      </c>
    </row>
  </sheetData>
  <sortState xmlns:xlrd2="http://schemas.microsoft.com/office/spreadsheetml/2017/richdata2" ref="B23:C39">
    <sortCondition descending="1" ref="C23:C39"/>
  </sortState>
  <hyperlinks>
    <hyperlink ref="B22" r:id="rId1" xr:uid="{35963D2E-A3EE-4E68-B7B2-EEA32D75EEB6}"/>
  </hyperlinks>
  <printOptions horizontalCentered="1" verticalCentered="1"/>
  <pageMargins left="0" right="0" top="3.1496062992125991E-2" bottom="0" header="0" footer="0"/>
  <pageSetup paperSize="9" orientation="landscape"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theme="7" tint="-0.249977111117893"/>
  </sheetPr>
  <dimension ref="A1:H23"/>
  <sheetViews>
    <sheetView zoomScale="80" zoomScaleNormal="80" workbookViewId="0">
      <selection activeCell="B1" sqref="B1"/>
    </sheetView>
  </sheetViews>
  <sheetFormatPr defaultRowHeight="14.25" x14ac:dyDescent="0.2"/>
  <cols>
    <col min="1" max="1" width="3.5703125" style="3" customWidth="1"/>
    <col min="2" max="2" width="8.140625" style="3" customWidth="1"/>
    <col min="3" max="3" width="28" style="3" customWidth="1"/>
    <col min="4" max="4" width="14.28515625" style="3" customWidth="1"/>
    <col min="5" max="5" width="13.28515625" style="3" customWidth="1"/>
    <col min="6" max="6" width="18.42578125" style="3" customWidth="1"/>
    <col min="7" max="7" width="13.140625" style="3" customWidth="1"/>
    <col min="8" max="8" width="16.7109375" style="3" customWidth="1"/>
    <col min="9" max="17" width="9.140625" style="3"/>
    <col min="18" max="18" width="3.5703125" style="3" customWidth="1"/>
    <col min="19" max="16384" width="9.140625" style="3"/>
  </cols>
  <sheetData>
    <row r="1" spans="1:8" x14ac:dyDescent="0.2">
      <c r="B1" s="2" t="s">
        <v>89</v>
      </c>
    </row>
    <row r="2" spans="1:8" ht="15" x14ac:dyDescent="0.2">
      <c r="C2" s="31"/>
      <c r="D2" s="32"/>
    </row>
    <row r="3" spans="1:8" ht="71.25" x14ac:dyDescent="0.2">
      <c r="B3" s="33" t="s">
        <v>88</v>
      </c>
      <c r="C3" s="5" t="str">
        <f>T('3_s.bezr.Polska'!B2)</f>
        <v>powiaty</v>
      </c>
      <c r="D3" s="5" t="str">
        <f>T('3_s.bezr.Polska'!C2)</f>
        <v>Stopa bezrobocia stan na 30 XI '22 r. (w proc.)**</v>
      </c>
      <c r="E3" s="5" t="str">
        <f>T('3_s.bezr.Polska'!D2)</f>
        <v>Stopa bezrobocia stan na 31 X '22 r. (w proc.)**</v>
      </c>
      <c r="F3" s="41" t="str">
        <f>T('3_s.bezr.Polska'!E2)</f>
        <v>wzrost lub spadek do poprzedniego miesiąca (pkt. proc.)</v>
      </c>
      <c r="G3" s="5" t="str">
        <f>T('3_s.bezr.Polska'!F2)</f>
        <v>Stopa bezrobocia stan na 30 XI '21 r. (w proc.)*</v>
      </c>
      <c r="H3" s="41" t="str">
        <f>T('3_s.bezr.Polska'!G2)</f>
        <v>wzrost lub spadek do analogicznego okresu ubr. (pkt. proc.)</v>
      </c>
    </row>
    <row r="4" spans="1:8" x14ac:dyDescent="0.2">
      <c r="A4" s="3">
        <v>1</v>
      </c>
      <c r="B4" s="10">
        <f>RANK('3_s.bezr.Polska'!C3,'3_s.bezr.Polska'!$C$3:'3_s.bezr.Polska'!$C$19,1)+COUNTIF('3_s.bezr.Polska'!$C$3:'3_s.bezr.Polska'!C3,'3_s.bezr.Polska'!C3)-1</f>
        <v>8</v>
      </c>
      <c r="C4" s="8" t="str">
        <f>INDEX('3_s.bezr.Polska'!B3:G19,MATCH(1,B4:B20,0),1)</f>
        <v>WIELKOPOLSKIE</v>
      </c>
      <c r="D4" s="46">
        <f>INDEX('3_s.bezr.Polska'!B3:G19,MATCH(1,B4:B20,0),2)</f>
        <v>2.9</v>
      </c>
      <c r="E4" s="50">
        <f>INDEX('3_s.bezr.Polska'!B3:G19,MATCH(1,B4:B20,0),3)</f>
        <v>2.8</v>
      </c>
      <c r="F4" s="49">
        <f>INDEX('3_s.bezr.Polska'!B3:G19,MATCH(1,B4:B20,0),4)</f>
        <v>0.10000000000000009</v>
      </c>
      <c r="G4" s="50">
        <f>INDEX('3_s.bezr.Polska'!B3:G19,MATCH(1,B4:B20,0),5)</f>
        <v>3.3</v>
      </c>
      <c r="H4" s="49">
        <f>INDEX('3_s.bezr.Polska'!B3:G19,MATCH(1,B4:B20,0),6)</f>
        <v>-0.39999999999999991</v>
      </c>
    </row>
    <row r="5" spans="1:8" x14ac:dyDescent="0.2">
      <c r="A5" s="3">
        <v>2</v>
      </c>
      <c r="B5" s="10">
        <f>RANK('3_s.bezr.Polska'!C4,'3_s.bezr.Polska'!$C$3:'3_s.bezr.Polska'!$C$19,1)+COUNTIF('3_s.bezr.Polska'!$C$3:'3_s.bezr.Polska'!C4,'3_s.bezr.Polska'!C4)-1</f>
        <v>5</v>
      </c>
      <c r="C5" s="8" t="str">
        <f>INDEX('3_s.bezr.Polska'!B3:G19,MATCH(2,B4:B20,0),1)</f>
        <v>ŚLĄSKIE</v>
      </c>
      <c r="D5" s="12">
        <f>INDEX('3_s.bezr.Polska'!B3:G19,MATCH(2,B4:B20,0),2)</f>
        <v>3.6</v>
      </c>
      <c r="E5" s="50">
        <f>INDEX('3_s.bezr.Polska'!B3:G19,MATCH(2,B4:B20,0),3)</f>
        <v>3.7</v>
      </c>
      <c r="F5" s="49">
        <f>INDEX('3_s.bezr.Polska'!B3:G19,MATCH(2,B4:B20,0),4)</f>
        <v>-0.10000000000000009</v>
      </c>
      <c r="G5" s="50">
        <f>INDEX('3_s.bezr.Polska'!B3:G19,MATCH(2,B4:B20,0),5)</f>
        <v>4.4000000000000004</v>
      </c>
      <c r="H5" s="49">
        <f>INDEX('3_s.bezr.Polska'!B3:G19,MATCH(2,B4:B20,0),6)</f>
        <v>-0.80000000000000027</v>
      </c>
    </row>
    <row r="6" spans="1:8" x14ac:dyDescent="0.2">
      <c r="A6" s="3">
        <v>3</v>
      </c>
      <c r="B6" s="10">
        <f>RANK('3_s.bezr.Polska'!C5,'3_s.bezr.Polska'!$C$3:'3_s.bezr.Polska'!$C$19,1)+COUNTIF('3_s.bezr.Polska'!$C$3:'3_s.bezr.Polska'!C5,'3_s.bezr.Polska'!C5)-1</f>
        <v>12</v>
      </c>
      <c r="C6" s="8" t="str">
        <f>INDEX('3_s.bezr.Polska'!B3:G19,MATCH(3,B4:B20,0),1)</f>
        <v>MAZOWIECKIE</v>
      </c>
      <c r="D6" s="12">
        <f>INDEX('3_s.bezr.Polska'!B3:G19,MATCH(3,B4:B20,0),2)</f>
        <v>4.2</v>
      </c>
      <c r="E6" s="50">
        <f>INDEX('3_s.bezr.Polska'!B3:G19,MATCH(3,B4:B20,0),3)</f>
        <v>4.2</v>
      </c>
      <c r="F6" s="49">
        <f>INDEX('3_s.bezr.Polska'!B3:G19,MATCH(3,B4:B20,0),4)</f>
        <v>0</v>
      </c>
      <c r="G6" s="50">
        <f>INDEX('3_s.bezr.Polska'!B3:G19,MATCH(3,B4:B20,0),5)</f>
        <v>4.8</v>
      </c>
      <c r="H6" s="49">
        <f>INDEX('3_s.bezr.Polska'!B3:G19,MATCH(3,B4:B20,0),6)</f>
        <v>-0.59999999999999964</v>
      </c>
    </row>
    <row r="7" spans="1:8" x14ac:dyDescent="0.2">
      <c r="A7" s="3">
        <v>4</v>
      </c>
      <c r="B7" s="10">
        <f>RANK('3_s.bezr.Polska'!C6,'3_s.bezr.Polska'!$C$3:'3_s.bezr.Polska'!$C$19,1)+COUNTIF('3_s.bezr.Polska'!$C$3:'3_s.bezr.Polska'!C6,'3_s.bezr.Polska'!C6)-1</f>
        <v>15</v>
      </c>
      <c r="C7" s="8" t="str">
        <f>INDEX('3_s.bezr.Polska'!B3:G19,MATCH(4,B4:B20,0),1)</f>
        <v>LUBUSKIE</v>
      </c>
      <c r="D7" s="12">
        <f>INDEX('3_s.bezr.Polska'!B3:G19,MATCH(4,B4:B20,0),2)</f>
        <v>4.3</v>
      </c>
      <c r="E7" s="50">
        <f>INDEX('3_s.bezr.Polska'!B3:G19,MATCH(4,B4:B20,0),3)</f>
        <v>4.2</v>
      </c>
      <c r="F7" s="49">
        <f>INDEX('3_s.bezr.Polska'!B3:G19,MATCH(4,B4:B20,0),4)</f>
        <v>9.9999999999999645E-2</v>
      </c>
      <c r="G7" s="50">
        <f>INDEX('3_s.bezr.Polska'!B3:G19,MATCH(4,B4:B20,0),5)</f>
        <v>5.0999999999999996</v>
      </c>
      <c r="H7" s="49">
        <f>INDEX('3_s.bezr.Polska'!B3:G19,MATCH(4,B4:B20,0),6)</f>
        <v>-0.79999999999999982</v>
      </c>
    </row>
    <row r="8" spans="1:8" x14ac:dyDescent="0.2">
      <c r="A8" s="3">
        <v>5</v>
      </c>
      <c r="B8" s="10">
        <f>RANK('3_s.bezr.Polska'!C7,'3_s.bezr.Polska'!$C$3:'3_s.bezr.Polska'!$C$19,1)+COUNTIF('3_s.bezr.Polska'!$C$3:'3_s.bezr.Polska'!C7,'3_s.bezr.Polska'!C7)-1</f>
        <v>4</v>
      </c>
      <c r="C8" s="8" t="str">
        <f>INDEX('3_s.bezr.Polska'!B3:G19,MATCH(5,B4:B20,0),1)</f>
        <v>DOLNOŚLĄSKIE</v>
      </c>
      <c r="D8" s="12">
        <f>INDEX('3_s.bezr.Polska'!B3:G19,MATCH(5,B4:B20,0),2)</f>
        <v>4.4000000000000004</v>
      </c>
      <c r="E8" s="50">
        <f>INDEX('3_s.bezr.Polska'!B3:G19,MATCH(5,B4:B20,0),3)</f>
        <v>4.4000000000000004</v>
      </c>
      <c r="F8" s="49">
        <f>INDEX('3_s.bezr.Polska'!B3:G19,MATCH(5,B4:B20,0),4)</f>
        <v>0</v>
      </c>
      <c r="G8" s="50">
        <f>INDEX('3_s.bezr.Polska'!B3:G19,MATCH(5,B4:B20,0),5)</f>
        <v>5</v>
      </c>
      <c r="H8" s="49">
        <f>INDEX('3_s.bezr.Polska'!B3:G19,MATCH(5,B4:B20,0),6)</f>
        <v>-0.59999999999999964</v>
      </c>
    </row>
    <row r="9" spans="1:8" x14ac:dyDescent="0.2">
      <c r="A9" s="3">
        <v>6</v>
      </c>
      <c r="B9" s="10">
        <f>RANK('3_s.bezr.Polska'!C8,'3_s.bezr.Polska'!$C$3:'3_s.bezr.Polska'!$C$19,1)+COUNTIF('3_s.bezr.Polska'!$C$3:'3_s.bezr.Polska'!C8,'3_s.bezr.Polska'!C8)-1</f>
        <v>9</v>
      </c>
      <c r="C9" s="8" t="str">
        <f>INDEX('3_s.bezr.Polska'!B3:G19,MATCH(6,B4:B20,0),1)</f>
        <v>MAŁOPOLSKIE</v>
      </c>
      <c r="D9" s="12">
        <f>INDEX('3_s.bezr.Polska'!B3:G19,MATCH(6,B4:B20,0),2)</f>
        <v>4.5</v>
      </c>
      <c r="E9" s="50">
        <f>INDEX('3_s.bezr.Polska'!B3:G19,MATCH(6,B4:B20,0),3)</f>
        <v>4.5</v>
      </c>
      <c r="F9" s="49">
        <f>INDEX('3_s.bezr.Polska'!B3:G19,MATCH(6,B4:B20,0),4)</f>
        <v>0</v>
      </c>
      <c r="G9" s="50">
        <f>INDEX('3_s.bezr.Polska'!B3:G19,MATCH(6,B4:B20,0),5)</f>
        <v>5.0999999999999996</v>
      </c>
      <c r="H9" s="49">
        <f>INDEX('3_s.bezr.Polska'!B3:G19,MATCH(6,B4:B20,0),6)</f>
        <v>-0.59999999999999964</v>
      </c>
    </row>
    <row r="10" spans="1:8" x14ac:dyDescent="0.2">
      <c r="A10" s="3">
        <v>7</v>
      </c>
      <c r="B10" s="10">
        <f>RANK('3_s.bezr.Polska'!C9,'3_s.bezr.Polska'!$C$3:'3_s.bezr.Polska'!$C$19,1)+COUNTIF('3_s.bezr.Polska'!$C$3:'3_s.bezr.Polska'!C9,'3_s.bezr.Polska'!C9)-1</f>
        <v>6</v>
      </c>
      <c r="C10" s="13" t="str">
        <f>INDEX('3_s.bezr.Polska'!B3:G19,MATCH(7,B4:B20,0),1)</f>
        <v>POMORSKIE</v>
      </c>
      <c r="D10" s="12">
        <f>INDEX('3_s.bezr.Polska'!B3:G19,MATCH(7,B4:B20,0),2)</f>
        <v>4.5</v>
      </c>
      <c r="E10" s="50">
        <f>INDEX('3_s.bezr.Polska'!B3:G19,MATCH(7,B4:B20,0),3)</f>
        <v>4.5</v>
      </c>
      <c r="F10" s="49">
        <f>INDEX('3_s.bezr.Polska'!B3:G19,MATCH(7,B4:B20,0),4)</f>
        <v>0</v>
      </c>
      <c r="G10" s="50">
        <f>INDEX('3_s.bezr.Polska'!B3:G19,MATCH(7,B4:B20,0),5)</f>
        <v>5.3</v>
      </c>
      <c r="H10" s="49">
        <f>INDEX('3_s.bezr.Polska'!B3:G19,MATCH(7,B4:B20,0),6)</f>
        <v>-0.79999999999999982</v>
      </c>
    </row>
    <row r="11" spans="1:8" ht="15" x14ac:dyDescent="0.25">
      <c r="A11" s="3">
        <v>8</v>
      </c>
      <c r="B11" s="34">
        <f>RANK('3_s.bezr.Polska'!C10,'3_s.bezr.Polska'!$C$3:'3_s.bezr.Polska'!$C$19,1)+COUNTIF('3_s.bezr.Polska'!$C$3:'3_s.bezr.Polska'!C10,'3_s.bezr.Polska'!C10)-1</f>
        <v>3</v>
      </c>
      <c r="C11" s="69" t="str">
        <f>INDEX('3_s.bezr.Polska'!B3:G19,MATCH(8,B4:B20,0),1)</f>
        <v>POLSKA</v>
      </c>
      <c r="D11" s="61">
        <f>INDEX('3_s.bezr.Polska'!B3:G19,MATCH(8,B4:B20,0),2)</f>
        <v>5.0999999999999996</v>
      </c>
      <c r="E11" s="80">
        <f>INDEX('3_s.bezr.Polska'!B3:G19,MATCH(8,B4:B20,0),3)</f>
        <v>5.0999999999999996</v>
      </c>
      <c r="F11" s="45">
        <f>INDEX('3_s.bezr.Polska'!B3:G19,MATCH(8,B4:B20,0),4)</f>
        <v>0</v>
      </c>
      <c r="G11" s="80">
        <f>INDEX('3_s.bezr.Polska'!B3:G19,MATCH(8,B4:B20,0),5)</f>
        <v>5.8</v>
      </c>
      <c r="H11" s="45">
        <f>INDEX('3_s.bezr.Polska'!B3:G19,MATCH(8,B4:B20,0),6)</f>
        <v>-0.70000000000000018</v>
      </c>
    </row>
    <row r="12" spans="1:8" x14ac:dyDescent="0.2">
      <c r="A12" s="3">
        <v>9</v>
      </c>
      <c r="B12" s="10">
        <f>RANK('3_s.bezr.Polska'!C11,'3_s.bezr.Polska'!$C$3:'3_s.bezr.Polska'!$C$19,1)+COUNTIF('3_s.bezr.Polska'!$C$3:'3_s.bezr.Polska'!C11,'3_s.bezr.Polska'!C11)-1</f>
        <v>10</v>
      </c>
      <c r="C12" s="8" t="str">
        <f>INDEX('3_s.bezr.Polska'!B3:G19,MATCH(9,B4:B20,0),1)</f>
        <v>ŁÓDZKIE</v>
      </c>
      <c r="D12" s="12">
        <f>INDEX('3_s.bezr.Polska'!B3:G19,MATCH(9,B4:B20,0),2)</f>
        <v>5.4</v>
      </c>
      <c r="E12" s="50">
        <f>INDEX('3_s.bezr.Polska'!B3:G19,MATCH(9,B4:B20,0),3)</f>
        <v>5.5</v>
      </c>
      <c r="F12" s="49">
        <f>INDEX('3_s.bezr.Polska'!B3:G19,MATCH(9,B4:B20,0),4)</f>
        <v>-9.9999999999999645E-2</v>
      </c>
      <c r="G12" s="50">
        <f>INDEX('3_s.bezr.Polska'!B3:G19,MATCH(9,B4:B20,0),5)</f>
        <v>6.2</v>
      </c>
      <c r="H12" s="49">
        <f>INDEX('3_s.bezr.Polska'!B3:G19,MATCH(9,B4:B20,0),6)</f>
        <v>-0.79999999999999982</v>
      </c>
    </row>
    <row r="13" spans="1:8" x14ac:dyDescent="0.2">
      <c r="A13" s="3">
        <v>10</v>
      </c>
      <c r="B13" s="10">
        <f>RANK('3_s.bezr.Polska'!C12,'3_s.bezr.Polska'!$C$3:'3_s.bezr.Polska'!$C$19,1)+COUNTIF('3_s.bezr.Polska'!$C$3:'3_s.bezr.Polska'!C12,'3_s.bezr.Polska'!C12)-1</f>
        <v>17</v>
      </c>
      <c r="C13" s="8" t="str">
        <f>INDEX('3_s.bezr.Polska'!B3:G19,MATCH(10,B4:B20,0),1)</f>
        <v>OPOLSKIE</v>
      </c>
      <c r="D13" s="12">
        <f>INDEX('3_s.bezr.Polska'!B3:G19,MATCH(10,B4:B20,0),2)</f>
        <v>5.9</v>
      </c>
      <c r="E13" s="50">
        <f>INDEX('3_s.bezr.Polska'!B3:G19,MATCH(10,B4:B20,0),3)</f>
        <v>6</v>
      </c>
      <c r="F13" s="49">
        <f>INDEX('3_s.bezr.Polska'!B3:G19,MATCH(10,B4:B20,0),4)</f>
        <v>-9.9999999999999645E-2</v>
      </c>
      <c r="G13" s="50">
        <f>INDEX('3_s.bezr.Polska'!B3:G19,MATCH(10,B4:B20,0),5)</f>
        <v>6.3</v>
      </c>
      <c r="H13" s="49">
        <f>INDEX('3_s.bezr.Polska'!B3:G19,MATCH(10,B4:B20,0),6)</f>
        <v>-0.39999999999999947</v>
      </c>
    </row>
    <row r="14" spans="1:8" x14ac:dyDescent="0.2">
      <c r="A14" s="3">
        <v>11</v>
      </c>
      <c r="B14" s="10">
        <f>RANK('3_s.bezr.Polska'!C13,'3_s.bezr.Polska'!$C$3:'3_s.bezr.Polska'!$C$19,1)+COUNTIF('3_s.bezr.Polska'!$C$3:'3_s.bezr.Polska'!C13,'3_s.bezr.Polska'!C13)-1</f>
        <v>13</v>
      </c>
      <c r="C14" s="8" t="str">
        <f>INDEX('3_s.bezr.Polska'!B3:G19,MATCH(11,B4:B20,0),1)</f>
        <v>ZACHODNIOPOMORSKIE</v>
      </c>
      <c r="D14" s="12">
        <f>INDEX('3_s.bezr.Polska'!B3:G19,MATCH(11,B4:B20,0),2)</f>
        <v>6.6</v>
      </c>
      <c r="E14" s="50">
        <f>INDEX('3_s.bezr.Polska'!B3:G19,MATCH(11,B4:B20,0),3)</f>
        <v>6.5</v>
      </c>
      <c r="F14" s="49">
        <f>INDEX('3_s.bezr.Polska'!B3:G19,MATCH(11,B4:B20,0),4)</f>
        <v>9.9999999999999645E-2</v>
      </c>
      <c r="G14" s="50">
        <f>INDEX('3_s.bezr.Polska'!B3:G19,MATCH(11,B4:B20,0),5)</f>
        <v>7.3</v>
      </c>
      <c r="H14" s="49">
        <f>INDEX('3_s.bezr.Polska'!B3:G19,MATCH(11,B4:B20,0),6)</f>
        <v>-0.70000000000000018</v>
      </c>
    </row>
    <row r="15" spans="1:8" x14ac:dyDescent="0.2">
      <c r="A15" s="3">
        <v>12</v>
      </c>
      <c r="B15" s="10">
        <f>RANK('3_s.bezr.Polska'!C14,'3_s.bezr.Polska'!$C$3:'3_s.bezr.Polska'!$C$19,1)+COUNTIF('3_s.bezr.Polska'!$C$3:'3_s.bezr.Polska'!C14,'3_s.bezr.Polska'!C14)-1</f>
        <v>7</v>
      </c>
      <c r="C15" s="8" t="str">
        <f>INDEX('3_s.bezr.Polska'!B3:G19,MATCH(12,B4:B20,0),1)</f>
        <v>KUJAWSKO-POMORSKIE</v>
      </c>
      <c r="D15" s="12">
        <f>INDEX('3_s.bezr.Polska'!B3:G19,MATCH(12,B4:B20,0),2)</f>
        <v>7.2</v>
      </c>
      <c r="E15" s="50">
        <f>INDEX('3_s.bezr.Polska'!B3:G19,MATCH(12,B4:B20,0),3)</f>
        <v>7.1</v>
      </c>
      <c r="F15" s="49">
        <f>INDEX('3_s.bezr.Polska'!B3:G19,MATCH(12,B4:B20,0),4)</f>
        <v>0.10000000000000053</v>
      </c>
      <c r="G15" s="50">
        <f>INDEX('3_s.bezr.Polska'!B3:G19,MATCH(12,B4:B20,0),5)</f>
        <v>8.1</v>
      </c>
      <c r="H15" s="49">
        <f>INDEX('3_s.bezr.Polska'!B3:G19,MATCH(12,B4:B20,0),6)</f>
        <v>-0.89999999999999947</v>
      </c>
    </row>
    <row r="16" spans="1:8" x14ac:dyDescent="0.2">
      <c r="A16" s="3">
        <v>13</v>
      </c>
      <c r="B16" s="10">
        <f>RANK('3_s.bezr.Polska'!C15,'3_s.bezr.Polska'!$C$3:'3_s.bezr.Polska'!$C$19,1)+COUNTIF('3_s.bezr.Polska'!$C$3:'3_s.bezr.Polska'!C15,'3_s.bezr.Polska'!C15)-1</f>
        <v>2</v>
      </c>
      <c r="C16" s="8" t="str">
        <f>INDEX('3_s.bezr.Polska'!B3:G19,MATCH(13,B4:B20,0),1)</f>
        <v>PODLASKIE</v>
      </c>
      <c r="D16" s="12">
        <f>INDEX('3_s.bezr.Polska'!B3:G19,MATCH(13,B4:B20,0),2)</f>
        <v>7.2</v>
      </c>
      <c r="E16" s="50">
        <f>INDEX('3_s.bezr.Polska'!B3:G19,MATCH(13,B4:B20,0),3)</f>
        <v>7.1</v>
      </c>
      <c r="F16" s="49">
        <f>INDEX('3_s.bezr.Polska'!B3:G19,MATCH(13,B4:B20,0),4)</f>
        <v>0.10000000000000053</v>
      </c>
      <c r="G16" s="50">
        <f>INDEX('3_s.bezr.Polska'!B3:G19,MATCH(13,B4:B20,0),5)</f>
        <v>7.9</v>
      </c>
      <c r="H16" s="49">
        <f>INDEX('3_s.bezr.Polska'!B3:G19,MATCH(13,B4:B20,0),6)</f>
        <v>-0.70000000000000018</v>
      </c>
    </row>
    <row r="17" spans="1:8" x14ac:dyDescent="0.2">
      <c r="A17" s="3">
        <v>14</v>
      </c>
      <c r="B17" s="10">
        <f>RANK('3_s.bezr.Polska'!C16,'3_s.bezr.Polska'!$C$3:'3_s.bezr.Polska'!$C$19,1)+COUNTIF('3_s.bezr.Polska'!$C$3:'3_s.bezr.Polska'!C16,'3_s.bezr.Polska'!C16)-1</f>
        <v>14</v>
      </c>
      <c r="C17" s="8" t="str">
        <f>INDEX('3_s.bezr.Polska'!B3:G19,MATCH(14,B4:B20,0),1)</f>
        <v>ŚWIĘTOKRZYSKIE</v>
      </c>
      <c r="D17" s="12">
        <f>INDEX('3_s.bezr.Polska'!B3:G19,MATCH(14,B4:B20,0),2)</f>
        <v>7.5</v>
      </c>
      <c r="E17" s="50">
        <f>INDEX('3_s.bezr.Polska'!B3:G19,MATCH(14,B4:B20,0),3)</f>
        <v>7.5</v>
      </c>
      <c r="F17" s="49">
        <f>INDEX('3_s.bezr.Polska'!B3:G19,MATCH(14,B4:B20,0),4)</f>
        <v>0</v>
      </c>
      <c r="G17" s="50">
        <f>INDEX('3_s.bezr.Polska'!B3:G19,MATCH(14,B4:B20,0),5)</f>
        <v>8.6</v>
      </c>
      <c r="H17" s="49">
        <f>INDEX('3_s.bezr.Polska'!B3:G19,MATCH(14,B4:B20,0),6)</f>
        <v>-1.0999999999999996</v>
      </c>
    </row>
    <row r="18" spans="1:8" x14ac:dyDescent="0.2">
      <c r="A18" s="3">
        <v>15</v>
      </c>
      <c r="B18" s="10">
        <f>RANK('3_s.bezr.Polska'!C17,'3_s.bezr.Polska'!$C$3:'3_s.bezr.Polska'!$C$19,1)+COUNTIF('3_s.bezr.Polska'!$C$3:'3_s.bezr.Polska'!C17,'3_s.bezr.Polska'!C17)-1</f>
        <v>16</v>
      </c>
      <c r="C18" s="8" t="str">
        <f>INDEX('3_s.bezr.Polska'!B3:G19,MATCH(15,B4:B20,0),1)</f>
        <v>LUBELSKIE</v>
      </c>
      <c r="D18" s="12">
        <f>INDEX('3_s.bezr.Polska'!B3:G19,MATCH(15,B4:B20,0),2)</f>
        <v>7.9</v>
      </c>
      <c r="E18" s="50">
        <f>INDEX('3_s.bezr.Polska'!B3:G19,MATCH(15,B4:B20,0),3)</f>
        <v>7.8</v>
      </c>
      <c r="F18" s="49">
        <f>INDEX('3_s.bezr.Polska'!B3:G19,MATCH(15,B4:B20,0),4)</f>
        <v>0.10000000000000053</v>
      </c>
      <c r="G18" s="50">
        <f>INDEX('3_s.bezr.Polska'!B3:G19,MATCH(15,B4:B20,0),5)</f>
        <v>8.6999999999999993</v>
      </c>
      <c r="H18" s="49">
        <f>INDEX('3_s.bezr.Polska'!B3:G19,MATCH(15,B4:B20,0),6)</f>
        <v>-0.79999999999999893</v>
      </c>
    </row>
    <row r="19" spans="1:8" x14ac:dyDescent="0.2">
      <c r="A19" s="3">
        <v>16</v>
      </c>
      <c r="B19" s="10">
        <f>RANK('3_s.bezr.Polska'!C18,'3_s.bezr.Polska'!$C$3:'3_s.bezr.Polska'!$C$19,1)+COUNTIF('3_s.bezr.Polska'!$C$3:'3_s.bezr.Polska'!C18,'3_s.bezr.Polska'!C18)-1</f>
        <v>1</v>
      </c>
      <c r="C19" s="8" t="str">
        <f>INDEX('3_s.bezr.Polska'!B3:G19,MATCH(16,B4:B20,0),1)</f>
        <v>WARMIŃSKO-MAZURSKIE</v>
      </c>
      <c r="D19" s="12">
        <f>INDEX('3_s.bezr.Polska'!B3:G19,MATCH(16,B4:B20,0),2)</f>
        <v>8.5</v>
      </c>
      <c r="E19" s="50">
        <f>INDEX('3_s.bezr.Polska'!B3:G19,MATCH(16,B4:B20,0),3)</f>
        <v>8.3000000000000007</v>
      </c>
      <c r="F19" s="49">
        <f>INDEX('3_s.bezr.Polska'!B3:G19,MATCH(16,B4:B20,0),4)</f>
        <v>0.19999999999999929</v>
      </c>
      <c r="G19" s="50">
        <f>INDEX('3_s.bezr.Polska'!B3:G19,MATCH(16,B4:B20,0),5)</f>
        <v>9</v>
      </c>
      <c r="H19" s="49">
        <f>INDEX('3_s.bezr.Polska'!B3:G19,MATCH(16,B4:B20,0),6)</f>
        <v>-0.5</v>
      </c>
    </row>
    <row r="20" spans="1:8" x14ac:dyDescent="0.2">
      <c r="A20" s="3">
        <v>17</v>
      </c>
      <c r="B20" s="10">
        <f>RANK('3_s.bezr.Polska'!C19,'3_s.bezr.Polska'!$C$3:'3_s.bezr.Polska'!$C$19,1)+COUNTIF('3_s.bezr.Polska'!$C$3:'3_s.bezr.Polska'!C19,'3_s.bezr.Polska'!C19)-1</f>
        <v>11</v>
      </c>
      <c r="C20" s="13" t="str">
        <f>INDEX('3_s.bezr.Polska'!B3:G19,MATCH(17,B4:B20,0),1)</f>
        <v>PODKARPACKIE</v>
      </c>
      <c r="D20" s="12">
        <f>INDEX('3_s.bezr.Polska'!B3:G19,MATCH(17,B4:B20,0),2)</f>
        <v>8.6999999999999993</v>
      </c>
      <c r="E20" s="50">
        <f>INDEX('3_s.bezr.Polska'!B3:G19,MATCH(17,B4:B20,0),3)</f>
        <v>8.6999999999999993</v>
      </c>
      <c r="F20" s="49">
        <f>INDEX('3_s.bezr.Polska'!B3:G19,MATCH(17,B4:B20,0),4)</f>
        <v>0</v>
      </c>
      <c r="G20" s="50">
        <f>INDEX('3_s.bezr.Polska'!B3:G19,MATCH(17,B4:B20,0),5)</f>
        <v>9.9</v>
      </c>
      <c r="H20" s="49">
        <f>INDEX('3_s.bezr.Polska'!B3:G19,MATCH(17,B4:B20,0),6)</f>
        <v>-1.2000000000000011</v>
      </c>
    </row>
    <row r="21" spans="1:8" x14ac:dyDescent="0.2">
      <c r="B21" s="81" t="s">
        <v>119</v>
      </c>
    </row>
    <row r="22" spans="1:8" x14ac:dyDescent="0.2">
      <c r="B22" s="81" t="s">
        <v>135</v>
      </c>
    </row>
    <row r="23" spans="1:8" x14ac:dyDescent="0.2">
      <c r="B23" s="82" t="s">
        <v>103</v>
      </c>
    </row>
  </sheetData>
  <hyperlinks>
    <hyperlink ref="B23" r:id="rId1" xr:uid="{B3C8AA6C-6FC5-4DE8-B074-C9B49ABCF065}"/>
  </hyperlinks>
  <pageMargins left="0" right="0" top="0.31496062992125984" bottom="0" header="0" footer="0"/>
  <pageSetup paperSize="9" scale="71" orientation="landscape" r:id="rId2"/>
  <drawing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theme="7" tint="0.59999389629810485"/>
    <pageSetUpPr fitToPage="1"/>
  </sheetPr>
  <dimension ref="A1:H31"/>
  <sheetViews>
    <sheetView zoomScale="80" zoomScaleNormal="80" workbookViewId="0">
      <selection activeCell="B1" sqref="B1"/>
    </sheetView>
  </sheetViews>
  <sheetFormatPr defaultRowHeight="14.25" x14ac:dyDescent="0.2"/>
  <cols>
    <col min="1" max="1" width="4.42578125" style="39" customWidth="1"/>
    <col min="2" max="2" width="31.5703125" style="3" customWidth="1"/>
    <col min="3" max="3" width="15.7109375" style="3" customWidth="1"/>
    <col min="4" max="4" width="16" style="3" customWidth="1"/>
    <col min="5" max="5" width="16.28515625" style="3" customWidth="1"/>
    <col min="6" max="6" width="15.5703125" style="3" customWidth="1"/>
    <col min="7" max="7" width="17.140625" style="3" customWidth="1"/>
    <col min="8" max="8" width="2.42578125" style="3" customWidth="1"/>
    <col min="9" max="9" width="10.140625" style="3" customWidth="1"/>
    <col min="10" max="16384" width="9.140625" style="3"/>
  </cols>
  <sheetData>
    <row r="1" spans="1:8" ht="16.5" customHeight="1" x14ac:dyDescent="0.2">
      <c r="B1" s="2" t="s">
        <v>90</v>
      </c>
    </row>
    <row r="2" spans="1:8" ht="71.25" x14ac:dyDescent="0.2">
      <c r="B2" s="6" t="s">
        <v>27</v>
      </c>
      <c r="C2" s="6" t="s">
        <v>122</v>
      </c>
      <c r="D2" s="7" t="s">
        <v>121</v>
      </c>
      <c r="E2" s="6" t="s">
        <v>75</v>
      </c>
      <c r="F2" s="7" t="s">
        <v>123</v>
      </c>
      <c r="G2" s="6" t="s">
        <v>76</v>
      </c>
    </row>
    <row r="3" spans="1:8" ht="15" x14ac:dyDescent="0.2">
      <c r="A3" s="39">
        <v>1</v>
      </c>
      <c r="B3" s="51" t="s">
        <v>33</v>
      </c>
      <c r="C3" s="52">
        <v>5.0999999999999996</v>
      </c>
      <c r="D3" s="53">
        <v>5.0999999999999996</v>
      </c>
      <c r="E3" s="54">
        <f>($C$3)-$D$3</f>
        <v>0</v>
      </c>
      <c r="F3" s="53">
        <v>5.8</v>
      </c>
      <c r="G3" s="52">
        <f>($C$3)-$F$3</f>
        <v>-0.70000000000000018</v>
      </c>
      <c r="H3" s="39"/>
    </row>
    <row r="4" spans="1:8" ht="15" x14ac:dyDescent="0.25">
      <c r="A4" s="39">
        <v>2</v>
      </c>
      <c r="B4" s="55" t="s">
        <v>42</v>
      </c>
      <c r="C4" s="56">
        <v>8.6999999999999993</v>
      </c>
      <c r="D4" s="53">
        <v>8.6999999999999993</v>
      </c>
      <c r="E4" s="56">
        <f>($C$4)-$D$4</f>
        <v>0</v>
      </c>
      <c r="F4" s="53">
        <v>9.9</v>
      </c>
      <c r="G4" s="56">
        <f>($C$4)-$F$4</f>
        <v>-1.2000000000000011</v>
      </c>
      <c r="H4" s="39"/>
    </row>
    <row r="5" spans="1:8" x14ac:dyDescent="0.2">
      <c r="A5" s="39">
        <v>3</v>
      </c>
      <c r="B5" s="47" t="s">
        <v>50</v>
      </c>
      <c r="C5" s="48">
        <v>15.8</v>
      </c>
      <c r="D5" s="57">
        <v>15.2</v>
      </c>
      <c r="E5" s="12">
        <f>($C$5)-$D$5</f>
        <v>0.60000000000000142</v>
      </c>
      <c r="F5" s="57" t="s">
        <v>104</v>
      </c>
      <c r="G5" s="12" t="e">
        <f>($C$5)-$F$5</f>
        <v>#VALUE!</v>
      </c>
      <c r="H5" s="39"/>
    </row>
    <row r="6" spans="1:8" x14ac:dyDescent="0.2">
      <c r="A6" s="39">
        <v>4</v>
      </c>
      <c r="B6" s="47" t="s">
        <v>51</v>
      </c>
      <c r="C6" s="48">
        <v>20.9</v>
      </c>
      <c r="D6" s="57">
        <v>20.6</v>
      </c>
      <c r="E6" s="12">
        <f>($C$6)-$D$6</f>
        <v>0.29999999999999716</v>
      </c>
      <c r="F6" s="57" t="s">
        <v>104</v>
      </c>
      <c r="G6" s="12" t="e">
        <f>($C$6)-$F$6</f>
        <v>#VALUE!</v>
      </c>
      <c r="H6" s="39"/>
    </row>
    <row r="7" spans="1:8" x14ac:dyDescent="0.2">
      <c r="A7" s="39">
        <v>5</v>
      </c>
      <c r="B7" s="47" t="s">
        <v>52</v>
      </c>
      <c r="C7" s="48">
        <v>4.7</v>
      </c>
      <c r="D7" s="57">
        <v>4.5999999999999996</v>
      </c>
      <c r="E7" s="12">
        <f>($C$7)-$D$7</f>
        <v>0.10000000000000053</v>
      </c>
      <c r="F7" s="57" t="s">
        <v>104</v>
      </c>
      <c r="G7" s="12" t="e">
        <f>($C$7)-$F$7</f>
        <v>#VALUE!</v>
      </c>
      <c r="H7" s="39"/>
    </row>
    <row r="8" spans="1:8" x14ac:dyDescent="0.2">
      <c r="A8" s="39">
        <v>6</v>
      </c>
      <c r="B8" s="47" t="s">
        <v>53</v>
      </c>
      <c r="C8" s="48">
        <v>11.5</v>
      </c>
      <c r="D8" s="57">
        <v>11.5</v>
      </c>
      <c r="E8" s="12">
        <f>($C$8)-$D$8</f>
        <v>0</v>
      </c>
      <c r="F8" s="57" t="s">
        <v>104</v>
      </c>
      <c r="G8" s="12" t="e">
        <f>($C$8)-$F$8</f>
        <v>#VALUE!</v>
      </c>
      <c r="H8" s="39"/>
    </row>
    <row r="9" spans="1:8" x14ac:dyDescent="0.2">
      <c r="A9" s="39">
        <v>7</v>
      </c>
      <c r="B9" s="47" t="s">
        <v>54</v>
      </c>
      <c r="C9" s="48">
        <v>12.7</v>
      </c>
      <c r="D9" s="57">
        <v>12.5</v>
      </c>
      <c r="E9" s="12">
        <f>($C$9)-$D$9</f>
        <v>0.19999999999999929</v>
      </c>
      <c r="F9" s="57" t="s">
        <v>104</v>
      </c>
      <c r="G9" s="12" t="e">
        <f>($C$9)-$F$9</f>
        <v>#VALUE!</v>
      </c>
      <c r="H9" s="39"/>
    </row>
    <row r="10" spans="1:8" x14ac:dyDescent="0.2">
      <c r="A10" s="39">
        <v>8</v>
      </c>
      <c r="B10" s="47" t="s">
        <v>55</v>
      </c>
      <c r="C10" s="48">
        <v>8.4</v>
      </c>
      <c r="D10" s="57">
        <v>8.1999999999999993</v>
      </c>
      <c r="E10" s="12">
        <f>($C$10)-$D$10</f>
        <v>0.20000000000000107</v>
      </c>
      <c r="F10" s="57" t="s">
        <v>104</v>
      </c>
      <c r="G10" s="12" t="e">
        <f>($C$10)-$F$10</f>
        <v>#VALUE!</v>
      </c>
      <c r="H10" s="39"/>
    </row>
    <row r="11" spans="1:8" x14ac:dyDescent="0.2">
      <c r="A11" s="39">
        <v>9</v>
      </c>
      <c r="B11" s="47" t="s">
        <v>56</v>
      </c>
      <c r="C11" s="48">
        <v>7.5</v>
      </c>
      <c r="D11" s="57">
        <v>7.1</v>
      </c>
      <c r="E11" s="12">
        <f>($C$11)-$D$11</f>
        <v>0.40000000000000036</v>
      </c>
      <c r="F11" s="57" t="s">
        <v>104</v>
      </c>
      <c r="G11" s="12" t="e">
        <f>($C$11)-$F$11</f>
        <v>#VALUE!</v>
      </c>
      <c r="H11" s="39"/>
    </row>
    <row r="12" spans="1:8" ht="15" x14ac:dyDescent="0.25">
      <c r="A12" s="39">
        <v>10</v>
      </c>
      <c r="B12" s="58" t="s">
        <v>57</v>
      </c>
      <c r="C12" s="59">
        <v>18.899999999999999</v>
      </c>
      <c r="D12" s="60">
        <v>18.3</v>
      </c>
      <c r="E12" s="61">
        <f>($C$12)-$D$12</f>
        <v>0.59999999999999787</v>
      </c>
      <c r="F12" s="57" t="s">
        <v>104</v>
      </c>
      <c r="G12" s="61" t="e">
        <f>($C$12)-$F$12</f>
        <v>#VALUE!</v>
      </c>
      <c r="H12" s="46"/>
    </row>
    <row r="13" spans="1:8" x14ac:dyDescent="0.2">
      <c r="A13" s="39">
        <v>11</v>
      </c>
      <c r="B13" s="47" t="s">
        <v>58</v>
      </c>
      <c r="C13" s="48">
        <v>15.1</v>
      </c>
      <c r="D13" s="57">
        <v>15.1</v>
      </c>
      <c r="E13" s="12">
        <f>($C$13)-$D$13</f>
        <v>0</v>
      </c>
      <c r="F13" s="57" t="s">
        <v>104</v>
      </c>
      <c r="G13" s="12" t="e">
        <f>($C$13)-$F$13</f>
        <v>#VALUE!</v>
      </c>
      <c r="H13" s="39"/>
    </row>
    <row r="14" spans="1:8" x14ac:dyDescent="0.2">
      <c r="A14" s="39">
        <v>12</v>
      </c>
      <c r="B14" s="47" t="s">
        <v>59</v>
      </c>
      <c r="C14" s="48">
        <v>11</v>
      </c>
      <c r="D14" s="57">
        <v>10.6</v>
      </c>
      <c r="E14" s="12">
        <f>($C$14)-$D$14</f>
        <v>0.40000000000000036</v>
      </c>
      <c r="F14" s="57" t="s">
        <v>104</v>
      </c>
      <c r="G14" s="12" t="e">
        <f>($C$14)-$F$14</f>
        <v>#VALUE!</v>
      </c>
      <c r="H14" s="39"/>
    </row>
    <row r="15" spans="1:8" x14ac:dyDescent="0.2">
      <c r="A15" s="39">
        <v>13</v>
      </c>
      <c r="B15" s="47" t="s">
        <v>60</v>
      </c>
      <c r="C15" s="48">
        <v>9.8000000000000007</v>
      </c>
      <c r="D15" s="57">
        <v>9.8000000000000007</v>
      </c>
      <c r="E15" s="12">
        <f>($C$15)-$D$15</f>
        <v>0</v>
      </c>
      <c r="F15" s="57" t="s">
        <v>104</v>
      </c>
      <c r="G15" s="12" t="e">
        <f>($C$15)-$F$15</f>
        <v>#VALUE!</v>
      </c>
      <c r="H15" s="39"/>
    </row>
    <row r="16" spans="1:8" x14ac:dyDescent="0.2">
      <c r="A16" s="39">
        <v>14</v>
      </c>
      <c r="B16" s="47" t="s">
        <v>61</v>
      </c>
      <c r="C16" s="48">
        <v>4.4000000000000004</v>
      </c>
      <c r="D16" s="57">
        <v>4.5</v>
      </c>
      <c r="E16" s="12">
        <f>($C$16)-$D$16</f>
        <v>-9.9999999999999645E-2</v>
      </c>
      <c r="F16" s="57" t="s">
        <v>104</v>
      </c>
      <c r="G16" s="12" t="e">
        <f>($C$16)-$F$16</f>
        <v>#VALUE!</v>
      </c>
      <c r="H16" s="39"/>
    </row>
    <row r="17" spans="1:8" x14ac:dyDescent="0.2">
      <c r="A17" s="39">
        <v>15</v>
      </c>
      <c r="B17" s="47" t="s">
        <v>62</v>
      </c>
      <c r="C17" s="48">
        <v>17.2</v>
      </c>
      <c r="D17" s="57">
        <v>17.3</v>
      </c>
      <c r="E17" s="12">
        <f>($C$17)-$D$17</f>
        <v>-0.10000000000000142</v>
      </c>
      <c r="F17" s="57" t="s">
        <v>104</v>
      </c>
      <c r="G17" s="12" t="e">
        <f>($C$17)-$F$17</f>
        <v>#VALUE!</v>
      </c>
      <c r="H17" s="39"/>
    </row>
    <row r="18" spans="1:8" x14ac:dyDescent="0.2">
      <c r="A18" s="39">
        <v>16</v>
      </c>
      <c r="B18" s="47" t="s">
        <v>63</v>
      </c>
      <c r="C18" s="48">
        <v>16.899999999999999</v>
      </c>
      <c r="D18" s="57">
        <v>16.5</v>
      </c>
      <c r="E18" s="12">
        <f>($C$18)-$D$18</f>
        <v>0.39999999999999858</v>
      </c>
      <c r="F18" s="57" t="s">
        <v>104</v>
      </c>
      <c r="G18" s="12" t="e">
        <f>($C$18)-$F$18</f>
        <v>#VALUE!</v>
      </c>
      <c r="H18" s="39"/>
    </row>
    <row r="19" spans="1:8" x14ac:dyDescent="0.2">
      <c r="A19" s="39">
        <v>17</v>
      </c>
      <c r="B19" s="47" t="s">
        <v>64</v>
      </c>
      <c r="C19" s="48">
        <v>14.4</v>
      </c>
      <c r="D19" s="57">
        <v>14.4</v>
      </c>
      <c r="E19" s="12">
        <f>($C$19)-$D$19</f>
        <v>0</v>
      </c>
      <c r="F19" s="57" t="s">
        <v>104</v>
      </c>
      <c r="G19" s="12" t="e">
        <f>($C$19)-$F$19</f>
        <v>#VALUE!</v>
      </c>
      <c r="H19" s="39"/>
    </row>
    <row r="20" spans="1:8" x14ac:dyDescent="0.2">
      <c r="A20" s="39">
        <v>18</v>
      </c>
      <c r="B20" s="47" t="s">
        <v>65</v>
      </c>
      <c r="C20" s="48">
        <v>11.4</v>
      </c>
      <c r="D20" s="57">
        <v>11.7</v>
      </c>
      <c r="E20" s="12">
        <f>($C$20)-$D$20</f>
        <v>-0.29999999999999893</v>
      </c>
      <c r="F20" s="57" t="s">
        <v>104</v>
      </c>
      <c r="G20" s="12" t="e">
        <f>($C$20)-$F$20</f>
        <v>#VALUE!</v>
      </c>
      <c r="H20" s="39"/>
    </row>
    <row r="21" spans="1:8" x14ac:dyDescent="0.2">
      <c r="A21" s="39">
        <v>19</v>
      </c>
      <c r="B21" s="47" t="s">
        <v>66</v>
      </c>
      <c r="C21" s="48">
        <v>8.6</v>
      </c>
      <c r="D21" s="57">
        <v>8.5</v>
      </c>
      <c r="E21" s="12">
        <f>($C$21)-$D$21</f>
        <v>9.9999999999999645E-2</v>
      </c>
      <c r="F21" s="57" t="s">
        <v>104</v>
      </c>
      <c r="G21" s="12" t="e">
        <f>($C$21)-$F$21</f>
        <v>#VALUE!</v>
      </c>
      <c r="H21" s="39"/>
    </row>
    <row r="22" spans="1:8" x14ac:dyDescent="0.2">
      <c r="A22" s="39">
        <v>20</v>
      </c>
      <c r="B22" s="47" t="s">
        <v>67</v>
      </c>
      <c r="C22" s="48">
        <v>7.7</v>
      </c>
      <c r="D22" s="57">
        <v>7.6</v>
      </c>
      <c r="E22" s="12">
        <f>($C$22)-$D$22</f>
        <v>0.10000000000000053</v>
      </c>
      <c r="F22" s="57" t="s">
        <v>104</v>
      </c>
      <c r="G22" s="12" t="e">
        <f>($C$22)-$F$22</f>
        <v>#VALUE!</v>
      </c>
      <c r="H22" s="39"/>
    </row>
    <row r="23" spans="1:8" x14ac:dyDescent="0.2">
      <c r="A23" s="39">
        <v>21</v>
      </c>
      <c r="B23" s="47" t="s">
        <v>68</v>
      </c>
      <c r="C23" s="48">
        <v>4.5999999999999996</v>
      </c>
      <c r="D23" s="57">
        <v>4.7</v>
      </c>
      <c r="E23" s="12">
        <f>($C$23)-$D$23</f>
        <v>-0.10000000000000053</v>
      </c>
      <c r="F23" s="57" t="s">
        <v>104</v>
      </c>
      <c r="G23" s="12" t="e">
        <f>($C$23)-$F$23</f>
        <v>#VALUE!</v>
      </c>
      <c r="H23" s="39"/>
    </row>
    <row r="24" spans="1:8" x14ac:dyDescent="0.2">
      <c r="A24" s="39">
        <v>22</v>
      </c>
      <c r="B24" s="47" t="s">
        <v>69</v>
      </c>
      <c r="C24" s="48">
        <v>17.7</v>
      </c>
      <c r="D24" s="57">
        <v>17.600000000000001</v>
      </c>
      <c r="E24" s="12">
        <f>($C$24)-$D$24</f>
        <v>9.9999999999997868E-2</v>
      </c>
      <c r="F24" s="57" t="s">
        <v>104</v>
      </c>
      <c r="G24" s="12" t="e">
        <f>($C$24)-$F$24</f>
        <v>#VALUE!</v>
      </c>
      <c r="H24" s="39"/>
    </row>
    <row r="25" spans="1:8" x14ac:dyDescent="0.2">
      <c r="A25" s="39">
        <v>23</v>
      </c>
      <c r="B25" s="47" t="s">
        <v>70</v>
      </c>
      <c r="C25" s="48">
        <v>7.2</v>
      </c>
      <c r="D25" s="57">
        <v>7.1</v>
      </c>
      <c r="E25" s="12">
        <f>($C$25)-$D$25</f>
        <v>0.10000000000000053</v>
      </c>
      <c r="F25" s="57" t="s">
        <v>104</v>
      </c>
      <c r="G25" s="12" t="e">
        <f>($C$25)-$F$25</f>
        <v>#VALUE!</v>
      </c>
      <c r="H25" s="39"/>
    </row>
    <row r="26" spans="1:8" x14ac:dyDescent="0.2">
      <c r="A26" s="39">
        <v>24</v>
      </c>
      <c r="B26" s="47" t="s">
        <v>71</v>
      </c>
      <c r="C26" s="62">
        <v>2.4</v>
      </c>
      <c r="D26" s="57">
        <v>2.4</v>
      </c>
      <c r="E26" s="12">
        <f>($C$26)-$D$26</f>
        <v>0</v>
      </c>
      <c r="F26" s="57" t="s">
        <v>104</v>
      </c>
      <c r="G26" s="12" t="e">
        <f>($C$26)-$F$26</f>
        <v>#VALUE!</v>
      </c>
      <c r="H26" s="39"/>
    </row>
    <row r="27" spans="1:8" x14ac:dyDescent="0.2">
      <c r="A27" s="39">
        <v>25</v>
      </c>
      <c r="B27" s="47" t="s">
        <v>72</v>
      </c>
      <c r="C27" s="48">
        <v>9.3000000000000007</v>
      </c>
      <c r="D27" s="57">
        <v>9.1999999999999993</v>
      </c>
      <c r="E27" s="12">
        <f>($C$27)-$D$27</f>
        <v>0.10000000000000142</v>
      </c>
      <c r="F27" s="57" t="s">
        <v>104</v>
      </c>
      <c r="G27" s="12" t="e">
        <f>($C$27)-$F$27</f>
        <v>#VALUE!</v>
      </c>
      <c r="H27" s="39"/>
    </row>
    <row r="28" spans="1:8" x14ac:dyDescent="0.2">
      <c r="A28" s="39">
        <v>26</v>
      </c>
      <c r="B28" s="47" t="s">
        <v>73</v>
      </c>
      <c r="C28" s="48">
        <v>4.3</v>
      </c>
      <c r="D28" s="57">
        <v>4.3</v>
      </c>
      <c r="E28" s="12">
        <f>($C$28)-$D$28</f>
        <v>0</v>
      </c>
      <c r="F28" s="57" t="s">
        <v>104</v>
      </c>
      <c r="G28" s="12" t="e">
        <f>($C$28)-$F$28</f>
        <v>#VALUE!</v>
      </c>
      <c r="H28" s="39"/>
    </row>
    <row r="29" spans="1:8" x14ac:dyDescent="0.2">
      <c r="A29" s="39">
        <v>27</v>
      </c>
      <c r="B29" s="47" t="s">
        <v>74</v>
      </c>
      <c r="C29" s="48">
        <v>6.8</v>
      </c>
      <c r="D29" s="63">
        <v>6.8</v>
      </c>
      <c r="E29" s="12">
        <f>($C$29)-$D$29</f>
        <v>0</v>
      </c>
      <c r="F29" s="57" t="s">
        <v>104</v>
      </c>
      <c r="G29" s="12" t="e">
        <f>($C$29)-$F$29</f>
        <v>#VALUE!</v>
      </c>
      <c r="H29" s="39"/>
    </row>
    <row r="30" spans="1:8" x14ac:dyDescent="0.2">
      <c r="B30" s="81" t="s">
        <v>92</v>
      </c>
      <c r="E30" s="46"/>
    </row>
    <row r="31" spans="1:8" x14ac:dyDescent="0.2">
      <c r="B31" s="81" t="s">
        <v>124</v>
      </c>
    </row>
  </sheetData>
  <printOptions horizontalCentered="1"/>
  <pageMargins left="0" right="0" top="0.70866141732283472" bottom="0" header="0" footer="0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theme="7" tint="-0.249977111117893"/>
  </sheetPr>
  <dimension ref="A1:H32"/>
  <sheetViews>
    <sheetView zoomScale="80" zoomScaleNormal="80" workbookViewId="0">
      <selection activeCell="B1" sqref="B1"/>
    </sheetView>
  </sheetViews>
  <sheetFormatPr defaultRowHeight="14.25" x14ac:dyDescent="0.2"/>
  <cols>
    <col min="1" max="1" width="4" style="39" customWidth="1"/>
    <col min="2" max="2" width="5.85546875" style="3" customWidth="1"/>
    <col min="3" max="3" width="31" style="3" customWidth="1"/>
    <col min="4" max="4" width="15.5703125" style="3" customWidth="1"/>
    <col min="5" max="5" width="15.28515625" style="3" customWidth="1"/>
    <col min="6" max="6" width="17.28515625" style="3" customWidth="1"/>
    <col min="7" max="7" width="15.7109375" style="3" customWidth="1"/>
    <col min="8" max="8" width="18.28515625" style="3" customWidth="1"/>
    <col min="9" max="17" width="9.140625" style="3"/>
    <col min="18" max="18" width="3.5703125" style="3" customWidth="1"/>
    <col min="19" max="16384" width="9.140625" style="3"/>
  </cols>
  <sheetData>
    <row r="1" spans="1:8" x14ac:dyDescent="0.2">
      <c r="B1" s="2" t="s">
        <v>90</v>
      </c>
    </row>
    <row r="2" spans="1:8" ht="15" x14ac:dyDescent="0.2">
      <c r="C2" s="31"/>
      <c r="D2" s="32"/>
    </row>
    <row r="3" spans="1:8" ht="71.25" x14ac:dyDescent="0.2">
      <c r="B3" s="33" t="s">
        <v>88</v>
      </c>
      <c r="C3" s="5" t="str">
        <f>T('4_s.bezr.pow.'!B2)</f>
        <v>powiaty</v>
      </c>
      <c r="D3" s="5" t="str">
        <f>T('4_s.bezr.pow.'!C2)</f>
        <v>Stopa bezrobocia stan na 30 XI '22 r. w proc.**</v>
      </c>
      <c r="E3" s="5" t="str">
        <f>T('4_s.bezr.pow.'!D2)</f>
        <v>Stopa bezrobocia stan na 31 X '22 r. w proc. **</v>
      </c>
      <c r="F3" s="5" t="str">
        <f>T('4_s.bezr.pow.'!E2)</f>
        <v>wzrost/spadek do poprzedniego miesiąca (pkt. proc.)</v>
      </c>
      <c r="G3" s="5" t="str">
        <f>T('4_s.bezr.pow.'!F2)</f>
        <v>Stopa bezrobocia stan na 30 XI '21 r. w proc.*</v>
      </c>
      <c r="H3" s="5" t="str">
        <f>T('4_s.bezr.pow.'!G2)</f>
        <v>wzrost/spadek do analogicznego okresu ubr. (pkt. proc.)</v>
      </c>
    </row>
    <row r="4" spans="1:8" x14ac:dyDescent="0.2">
      <c r="A4" s="39">
        <v>1</v>
      </c>
      <c r="B4" s="10">
        <f>RANK('4_s.bezr.pow.'!C3,'4_s.bezr.pow.'!$C$3:'4_s.bezr.pow.'!$C$29,1)+COUNTIF('4_s.bezr.pow.'!$C$3:'4_s.bezr.pow.'!C3,'4_s.bezr.pow.'!C3)-1</f>
        <v>6</v>
      </c>
      <c r="C4" s="64" t="str">
        <f>INDEX('4_s.bezr.pow.'!B3:G29,MATCH(1,B4:B30,0),1)</f>
        <v>Powiat m.Krosno</v>
      </c>
      <c r="D4" s="46">
        <f>INDEX('4_s.bezr.pow.'!B3:G29,MATCH(1,B4:B30,0),2)</f>
        <v>2.4</v>
      </c>
      <c r="E4" s="57">
        <f>INDEX('4_s.bezr.pow.'!B3:G29,MATCH(1,B4:B30,0),3)</f>
        <v>2.4</v>
      </c>
      <c r="F4" s="36">
        <f>INDEX('4_s.bezr.pow.'!B3:G29,MATCH(1,B4:B30,0),4)</f>
        <v>0</v>
      </c>
      <c r="G4" s="57" t="str">
        <f>INDEX('4_s.bezr.pow.'!B3:G29,MATCH(1,B4:B30,0),5)</f>
        <v>brak danych</v>
      </c>
      <c r="H4" s="36" t="e">
        <f>INDEX('4_s.bezr.pow.'!B3:G29,MATCH(1,B4:B30,0),6)</f>
        <v>#VALUE!</v>
      </c>
    </row>
    <row r="5" spans="1:8" x14ac:dyDescent="0.2">
      <c r="A5" s="39">
        <v>2</v>
      </c>
      <c r="B5" s="10">
        <f>RANK('4_s.bezr.pow.'!C4,'4_s.bezr.pow.'!$C$3:'4_s.bezr.pow.'!$C$29,1)+COUNTIF('4_s.bezr.pow.'!$C$3:'4_s.bezr.pow.'!C4,'4_s.bezr.pow.'!C4)-1</f>
        <v>13</v>
      </c>
      <c r="C5" s="8" t="str">
        <f>INDEX('4_s.bezr.pow.'!B3:G29,MATCH(2,B4:B30,0),1)</f>
        <v>Powiat m.Rzeszów</v>
      </c>
      <c r="D5" s="12">
        <f>INDEX('4_s.bezr.pow.'!B3:G29,MATCH(2,B4:B30,0),2)</f>
        <v>4.3</v>
      </c>
      <c r="E5" s="57">
        <f>INDEX('4_s.bezr.pow.'!B3:G29,MATCH(2,B4:B30,0),3)</f>
        <v>4.3</v>
      </c>
      <c r="F5" s="36">
        <f>INDEX('4_s.bezr.pow.'!B3:G29,MATCH(2,B4:B30,0),4)</f>
        <v>0</v>
      </c>
      <c r="G5" s="57" t="str">
        <f>INDEX('4_s.bezr.pow.'!B3:G29,MATCH(2,B4:B30,0),5)</f>
        <v>brak danych</v>
      </c>
      <c r="H5" s="36" t="e">
        <f>INDEX('4_s.bezr.pow.'!B3:G29,MATCH(2,B4:B30,0),6)</f>
        <v>#VALUE!</v>
      </c>
    </row>
    <row r="6" spans="1:8" x14ac:dyDescent="0.2">
      <c r="A6" s="39">
        <v>3</v>
      </c>
      <c r="B6" s="10">
        <f>RANK('4_s.bezr.pow.'!C5,'4_s.bezr.pow.'!$C$3:'4_s.bezr.pow.'!$C$29,1)+COUNTIF('4_s.bezr.pow.'!$C$3:'4_s.bezr.pow.'!C5,'4_s.bezr.pow.'!C5)-1</f>
        <v>22</v>
      </c>
      <c r="C6" s="8" t="str">
        <f>INDEX('4_s.bezr.pow.'!B3:G29,MATCH(3,B4:B30,0),1)</f>
        <v>Powiat mielecki</v>
      </c>
      <c r="D6" s="12">
        <f>INDEX('4_s.bezr.pow.'!B3:G29,MATCH(3,B4:B30,0),2)</f>
        <v>4.4000000000000004</v>
      </c>
      <c r="E6" s="57">
        <f>INDEX('4_s.bezr.pow.'!B3:G29,MATCH(3,B4:B30,0),3)</f>
        <v>4.5</v>
      </c>
      <c r="F6" s="36">
        <f>INDEX('4_s.bezr.pow.'!B3:G29,MATCH(3,B4:B30,0),4)</f>
        <v>-9.9999999999999645E-2</v>
      </c>
      <c r="G6" s="57" t="str">
        <f>INDEX('4_s.bezr.pow.'!B3:G29,MATCH(3,B4:B30,0),5)</f>
        <v>brak danych</v>
      </c>
      <c r="H6" s="36" t="e">
        <f>INDEX('4_s.bezr.pow.'!B3:G29,MATCH(3,B4:B30,0),6)</f>
        <v>#VALUE!</v>
      </c>
    </row>
    <row r="7" spans="1:8" x14ac:dyDescent="0.2">
      <c r="A7" s="39">
        <v>4</v>
      </c>
      <c r="B7" s="10">
        <f>RANK('4_s.bezr.pow.'!C6,'4_s.bezr.pow.'!$C$3:'4_s.bezr.pow.'!$C$29,1)+COUNTIF('4_s.bezr.pow.'!$C$3:'4_s.bezr.pow.'!C6,'4_s.bezr.pow.'!C6)-1</f>
        <v>27</v>
      </c>
      <c r="C7" s="8" t="str">
        <f>INDEX('4_s.bezr.pow.'!B3:G29,MATCH(4,B4:B30,0),1)</f>
        <v>Powiat stalowowolski</v>
      </c>
      <c r="D7" s="12">
        <f>INDEX('4_s.bezr.pow.'!B3:G29,MATCH(4,B4:B30,0),2)</f>
        <v>4.5999999999999996</v>
      </c>
      <c r="E7" s="57">
        <f>INDEX('4_s.bezr.pow.'!B3:G29,MATCH(4,B4:B30,0),3)</f>
        <v>4.7</v>
      </c>
      <c r="F7" s="36">
        <f>INDEX('4_s.bezr.pow.'!B3:G29,MATCH(4,B4:B30,0),4)</f>
        <v>-0.10000000000000053</v>
      </c>
      <c r="G7" s="57" t="str">
        <f>INDEX('4_s.bezr.pow.'!B3:G29,MATCH(4,B4:B30,0),5)</f>
        <v>brak danych</v>
      </c>
      <c r="H7" s="36" t="e">
        <f>INDEX('4_s.bezr.pow.'!B3:G29,MATCH(4,B4:B30,0),6)</f>
        <v>#VALUE!</v>
      </c>
    </row>
    <row r="8" spans="1:8" x14ac:dyDescent="0.2">
      <c r="A8" s="39">
        <v>5</v>
      </c>
      <c r="B8" s="10">
        <f>RANK('4_s.bezr.pow.'!C7,'4_s.bezr.pow.'!$C$3:'4_s.bezr.pow.'!$C$29,1)+COUNTIF('4_s.bezr.pow.'!$C$3:'4_s.bezr.pow.'!C7,'4_s.bezr.pow.'!C7)-1</f>
        <v>5</v>
      </c>
      <c r="C8" s="8" t="str">
        <f>INDEX('4_s.bezr.pow.'!B3:G29,MATCH(5,B4:B30,0),1)</f>
        <v>Powiat dębicki</v>
      </c>
      <c r="D8" s="12">
        <f>INDEX('4_s.bezr.pow.'!B3:G29,MATCH(5,B4:B30,0),2)</f>
        <v>4.7</v>
      </c>
      <c r="E8" s="57">
        <f>INDEX('4_s.bezr.pow.'!B3:G29,MATCH(5,B4:B30,0),3)</f>
        <v>4.5999999999999996</v>
      </c>
      <c r="F8" s="36">
        <f>INDEX('4_s.bezr.pow.'!B3:G29,MATCH(5,B4:B30,0),4)</f>
        <v>0.10000000000000053</v>
      </c>
      <c r="G8" s="57" t="str">
        <f>INDEX('4_s.bezr.pow.'!B3:G29,MATCH(5,B4:B30,0),5)</f>
        <v>brak danych</v>
      </c>
      <c r="H8" s="36" t="e">
        <f>INDEX('4_s.bezr.pow.'!B3:G29,MATCH(5,B4:B30,0),6)</f>
        <v>#VALUE!</v>
      </c>
    </row>
    <row r="9" spans="1:8" x14ac:dyDescent="0.2">
      <c r="A9" s="39">
        <v>6</v>
      </c>
      <c r="B9" s="10">
        <f>RANK('4_s.bezr.pow.'!C8,'4_s.bezr.pow.'!$C$3:'4_s.bezr.pow.'!$C$29,1)+COUNTIF('4_s.bezr.pow.'!$C$3:'4_s.bezr.pow.'!C8,'4_s.bezr.pow.'!C8)-1</f>
        <v>18</v>
      </c>
      <c r="C9" s="8" t="str">
        <f>INDEX('4_s.bezr.pow.'!B3:G29,MATCH(6,B4:B30,0),1)</f>
        <v>POLSKA</v>
      </c>
      <c r="D9" s="12">
        <f>INDEX('4_s.bezr.pow.'!B3:G29,MATCH(6,B4:B30,0),2)</f>
        <v>5.0999999999999996</v>
      </c>
      <c r="E9" s="57">
        <f>INDEX('4_s.bezr.pow.'!B3:G29,MATCH(6,B4:B30,0),3)</f>
        <v>5.0999999999999996</v>
      </c>
      <c r="F9" s="36">
        <f>INDEX('4_s.bezr.pow.'!B3:G29,MATCH(6,B4:B30,0),4)</f>
        <v>0</v>
      </c>
      <c r="G9" s="57">
        <f>INDEX('4_s.bezr.pow.'!B3:G29,MATCH(6,B4:B30,0),5)</f>
        <v>5.8</v>
      </c>
      <c r="H9" s="36">
        <f>INDEX('4_s.bezr.pow.'!B3:G29,MATCH(6,B4:B30,0),6)</f>
        <v>-0.70000000000000018</v>
      </c>
    </row>
    <row r="10" spans="1:8" x14ac:dyDescent="0.2">
      <c r="A10" s="39">
        <v>7</v>
      </c>
      <c r="B10" s="10">
        <f>RANK('4_s.bezr.pow.'!C9,'4_s.bezr.pow.'!$C$3:'4_s.bezr.pow.'!$C$29,1)+COUNTIF('4_s.bezr.pow.'!$C$3:'4_s.bezr.pow.'!C9,'4_s.bezr.pow.'!C9)-1</f>
        <v>19</v>
      </c>
      <c r="C10" s="13" t="str">
        <f>INDEX('4_s.bezr.pow.'!B3:G29,MATCH(7,B4:B30,0),1)</f>
        <v>Powiat m.Tarnobrzeg</v>
      </c>
      <c r="D10" s="12">
        <f>INDEX('4_s.bezr.pow.'!B3:G29,MATCH(7,B4:B30,0),2)</f>
        <v>6.8</v>
      </c>
      <c r="E10" s="57">
        <f>INDEX('4_s.bezr.pow.'!B3:G29,MATCH(7,B4:B30,0),3)</f>
        <v>6.8</v>
      </c>
      <c r="F10" s="36">
        <f>INDEX('4_s.bezr.pow.'!B3:G29,MATCH(7,B4:B30,0),4)</f>
        <v>0</v>
      </c>
      <c r="G10" s="57" t="str">
        <f>INDEX('4_s.bezr.pow.'!B3:G29,MATCH(7,B4:B30,0),5)</f>
        <v>brak danych</v>
      </c>
      <c r="H10" s="36" t="e">
        <f>INDEX('4_s.bezr.pow.'!B3:G29,MATCH(7,B4:B30,0),6)</f>
        <v>#VALUE!</v>
      </c>
    </row>
    <row r="11" spans="1:8" x14ac:dyDescent="0.2">
      <c r="A11" s="39">
        <v>8</v>
      </c>
      <c r="B11" s="10">
        <f>RANK('4_s.bezr.pow.'!C10,'4_s.bezr.pow.'!$C$3:'4_s.bezr.pow.'!$C$29,1)+COUNTIF('4_s.bezr.pow.'!$C$3:'4_s.bezr.pow.'!C10,'4_s.bezr.pow.'!C10)-1</f>
        <v>11</v>
      </c>
      <c r="C11" s="8" t="str">
        <f>INDEX('4_s.bezr.pow.'!B3:G29,MATCH(8,B4:B30,0),1)</f>
        <v>Powiat tarnobrzeski</v>
      </c>
      <c r="D11" s="12">
        <f>INDEX('4_s.bezr.pow.'!B3:G29,MATCH(8,B4:B30,0),2)</f>
        <v>7.2</v>
      </c>
      <c r="E11" s="57">
        <f>INDEX('4_s.bezr.pow.'!B3:G29,MATCH(8,B4:B30,0),3)</f>
        <v>7.1</v>
      </c>
      <c r="F11" s="36">
        <f>INDEX('4_s.bezr.pow.'!B3:G29,MATCH(8,B4:B30,0),4)</f>
        <v>0.10000000000000053</v>
      </c>
      <c r="G11" s="57" t="str">
        <f>INDEX('4_s.bezr.pow.'!B3:G29,MATCH(8,B4:B30,0),5)</f>
        <v>brak danych</v>
      </c>
      <c r="H11" s="36" t="e">
        <f>INDEX('4_s.bezr.pow.'!B3:G29,MATCH(8,B4:B30,0),6)</f>
        <v>#VALUE!</v>
      </c>
    </row>
    <row r="12" spans="1:8" x14ac:dyDescent="0.2">
      <c r="A12" s="39">
        <v>9</v>
      </c>
      <c r="B12" s="10">
        <f>RANK('4_s.bezr.pow.'!C11,'4_s.bezr.pow.'!$C$3:'4_s.bezr.pow.'!$C$29,1)+COUNTIF('4_s.bezr.pow.'!$C$3:'4_s.bezr.pow.'!C11,'4_s.bezr.pow.'!C11)-1</f>
        <v>9</v>
      </c>
      <c r="C12" s="8" t="str">
        <f>INDEX('4_s.bezr.pow.'!B3:G29,MATCH(9,B4:B30,0),1)</f>
        <v>Powiat krośnieński</v>
      </c>
      <c r="D12" s="12">
        <f>INDEX('4_s.bezr.pow.'!B3:G29,MATCH(9,B4:B30,0),2)</f>
        <v>7.5</v>
      </c>
      <c r="E12" s="57">
        <f>INDEX('4_s.bezr.pow.'!B3:G29,MATCH(9,B4:B30,0),3)</f>
        <v>7.1</v>
      </c>
      <c r="F12" s="36">
        <f>INDEX('4_s.bezr.pow.'!B3:G29,MATCH(9,B4:B30,0),4)</f>
        <v>0.40000000000000036</v>
      </c>
      <c r="G12" s="57" t="str">
        <f>INDEX('4_s.bezr.pow.'!B3:G29,MATCH(9,B4:B30,0),5)</f>
        <v>brak danych</v>
      </c>
      <c r="H12" s="36" t="e">
        <f>INDEX('4_s.bezr.pow.'!B3:G29,MATCH(9,B4:B30,0),6)</f>
        <v>#VALUE!</v>
      </c>
    </row>
    <row r="13" spans="1:8" x14ac:dyDescent="0.2">
      <c r="A13" s="39">
        <v>10</v>
      </c>
      <c r="B13" s="10">
        <f>RANK('4_s.bezr.pow.'!C12,'4_s.bezr.pow.'!$C$3:'4_s.bezr.pow.'!$C$29,1)+COUNTIF('4_s.bezr.pow.'!$C$3:'4_s.bezr.pow.'!C12,'4_s.bezr.pow.'!C12)-1</f>
        <v>26</v>
      </c>
      <c r="C13" s="8" t="str">
        <f>INDEX('4_s.bezr.pow.'!B3:G29,MATCH(10,B4:B30,0),1)</f>
        <v>Powiat sanocki</v>
      </c>
      <c r="D13" s="12">
        <f>INDEX('4_s.bezr.pow.'!B3:G29,MATCH(10,B4:B30,0),2)</f>
        <v>7.7</v>
      </c>
      <c r="E13" s="57">
        <f>INDEX('4_s.bezr.pow.'!B3:G29,MATCH(10,B4:B30,0),3)</f>
        <v>7.6</v>
      </c>
      <c r="F13" s="36">
        <f>INDEX('4_s.bezr.pow.'!B3:G29,MATCH(10,B4:B30,0),4)</f>
        <v>0.10000000000000053</v>
      </c>
      <c r="G13" s="57" t="str">
        <f>INDEX('4_s.bezr.pow.'!B3:G29,MATCH(10,B4:B30,0),5)</f>
        <v>brak danych</v>
      </c>
      <c r="H13" s="36" t="e">
        <f>INDEX('4_s.bezr.pow.'!B3:G29,MATCH(10,B4:B30,0),6)</f>
        <v>#VALUE!</v>
      </c>
    </row>
    <row r="14" spans="1:8" x14ac:dyDescent="0.2">
      <c r="A14" s="39">
        <v>11</v>
      </c>
      <c r="B14" s="10">
        <f>RANK('4_s.bezr.pow.'!C13,'4_s.bezr.pow.'!$C$3:'4_s.bezr.pow.'!$C$29,1)+COUNTIF('4_s.bezr.pow.'!$C$3:'4_s.bezr.pow.'!C13,'4_s.bezr.pow.'!C13)-1</f>
        <v>21</v>
      </c>
      <c r="C14" s="8" t="str">
        <f>INDEX('4_s.bezr.pow.'!B3:G29,MATCH(11,B4:B30,0),1)</f>
        <v>Powiat kolbuszowski</v>
      </c>
      <c r="D14" s="12">
        <f>INDEX('4_s.bezr.pow.'!B3:G29,MATCH(11,B4:B30,0),2)</f>
        <v>8.4</v>
      </c>
      <c r="E14" s="57">
        <f>INDEX('4_s.bezr.pow.'!B3:G29,MATCH(11,B4:B30,0),3)</f>
        <v>8.1999999999999993</v>
      </c>
      <c r="F14" s="36">
        <f>INDEX('4_s.bezr.pow.'!B3:G29,MATCH(11,B4:B30,0),4)</f>
        <v>0.20000000000000107</v>
      </c>
      <c r="G14" s="57" t="str">
        <f>INDEX('4_s.bezr.pow.'!B3:G29,MATCH(11,B4:B30,0),5)</f>
        <v>brak danych</v>
      </c>
      <c r="H14" s="36" t="e">
        <f>INDEX('4_s.bezr.pow.'!B3:G29,MATCH(11,B4:B30,0),6)</f>
        <v>#VALUE!</v>
      </c>
    </row>
    <row r="15" spans="1:8" x14ac:dyDescent="0.2">
      <c r="A15" s="39">
        <v>12</v>
      </c>
      <c r="B15" s="10">
        <f>RANK('4_s.bezr.pow.'!C14,'4_s.bezr.pow.'!$C$3:'4_s.bezr.pow.'!$C$29,1)+COUNTIF('4_s.bezr.pow.'!$C$3:'4_s.bezr.pow.'!C14,'4_s.bezr.pow.'!C14)-1</f>
        <v>16</v>
      </c>
      <c r="C15" s="65" t="str">
        <f>INDEX('4_s.bezr.pow.'!B3:G29,MATCH(12,B4:B30,0),1)</f>
        <v>Powiat rzeszowski</v>
      </c>
      <c r="D15" s="12">
        <f>INDEX('4_s.bezr.pow.'!B3:G29,MATCH(12,B4:B30,0),2)</f>
        <v>8.6</v>
      </c>
      <c r="E15" s="57">
        <f>INDEX('4_s.bezr.pow.'!B3:G29,MATCH(12,B4:B30,0),3)</f>
        <v>8.5</v>
      </c>
      <c r="F15" s="36">
        <f>INDEX('4_s.bezr.pow.'!B3:G29,MATCH(12,B4:B30,0),4)</f>
        <v>9.9999999999999645E-2</v>
      </c>
      <c r="G15" s="57" t="str">
        <f>INDEX('4_s.bezr.pow.'!B3:G29,MATCH(12,B4:B30,0),5)</f>
        <v>brak danych</v>
      </c>
      <c r="H15" s="36" t="e">
        <f>INDEX('4_s.bezr.pow.'!B3:G29,MATCH(12,B4:B30,0),6)</f>
        <v>#VALUE!</v>
      </c>
    </row>
    <row r="16" spans="1:8" x14ac:dyDescent="0.2">
      <c r="A16" s="39">
        <v>13</v>
      </c>
      <c r="B16" s="10">
        <f>RANK('4_s.bezr.pow.'!C15,'4_s.bezr.pow.'!$C$3:'4_s.bezr.pow.'!$C$29,1)+COUNTIF('4_s.bezr.pow.'!$C$3:'4_s.bezr.pow.'!C15,'4_s.bezr.pow.'!C15)-1</f>
        <v>15</v>
      </c>
      <c r="C16" s="8" t="str">
        <f>INDEX('4_s.bezr.pow.'!B3:G29,MATCH(13,B4:B30,0),1)</f>
        <v>PODKARPACKIE</v>
      </c>
      <c r="D16" s="12">
        <f>INDEX('4_s.bezr.pow.'!B3:G29,MATCH(13,B4:B30,0),2)</f>
        <v>8.6999999999999993</v>
      </c>
      <c r="E16" s="57">
        <f>INDEX('4_s.bezr.pow.'!B3:G29,MATCH(13,B4:B30,0),3)</f>
        <v>8.6999999999999993</v>
      </c>
      <c r="F16" s="36">
        <f>INDEX('4_s.bezr.pow.'!B3:G29,MATCH(13,B4:B30,0),4)</f>
        <v>0</v>
      </c>
      <c r="G16" s="57">
        <f>INDEX('4_s.bezr.pow.'!B3:G29,MATCH(13,B4:B30,0),5)</f>
        <v>9.9</v>
      </c>
      <c r="H16" s="36">
        <f>INDEX('4_s.bezr.pow.'!B3:G29,MATCH(13,B4:B30,0),6)</f>
        <v>-1.2000000000000011</v>
      </c>
    </row>
    <row r="17" spans="1:8" x14ac:dyDescent="0.2">
      <c r="A17" s="39">
        <v>14</v>
      </c>
      <c r="B17" s="10">
        <f>RANK('4_s.bezr.pow.'!C16,'4_s.bezr.pow.'!$C$3:'4_s.bezr.pow.'!$C$29,1)+COUNTIF('4_s.bezr.pow.'!$C$3:'4_s.bezr.pow.'!C16,'4_s.bezr.pow.'!C16)-1</f>
        <v>3</v>
      </c>
      <c r="C17" s="8" t="str">
        <f>INDEX('4_s.bezr.pow.'!B3:G29,MATCH(14,B4:B30,0),1)</f>
        <v>Powiat m.Przemyśl</v>
      </c>
      <c r="D17" s="12">
        <f>INDEX('4_s.bezr.pow.'!B3:G29,MATCH(14,B4:B30,0),2)</f>
        <v>9.3000000000000007</v>
      </c>
      <c r="E17" s="57">
        <f>INDEX('4_s.bezr.pow.'!B3:G29,MATCH(14,B4:B30,0),3)</f>
        <v>9.1999999999999993</v>
      </c>
      <c r="F17" s="36">
        <f>INDEX('4_s.bezr.pow.'!B3:G29,MATCH(14,B4:B30,0),4)</f>
        <v>0.10000000000000142</v>
      </c>
      <c r="G17" s="57" t="str">
        <f>INDEX('4_s.bezr.pow.'!B3:G29,MATCH(14,B4:B30,0),5)</f>
        <v>brak danych</v>
      </c>
      <c r="H17" s="36" t="e">
        <f>INDEX('4_s.bezr.pow.'!B3:G29,MATCH(14,B4:B30,0),6)</f>
        <v>#VALUE!</v>
      </c>
    </row>
    <row r="18" spans="1:8" x14ac:dyDescent="0.2">
      <c r="A18" s="39">
        <v>15</v>
      </c>
      <c r="B18" s="10">
        <f>RANK('4_s.bezr.pow.'!C17,'4_s.bezr.pow.'!$C$3:'4_s.bezr.pow.'!$C$29,1)+COUNTIF('4_s.bezr.pow.'!$C$3:'4_s.bezr.pow.'!C17,'4_s.bezr.pow.'!C17)-1</f>
        <v>24</v>
      </c>
      <c r="C18" s="8" t="str">
        <f>INDEX('4_s.bezr.pow.'!B3:G29,MATCH(15,B4:B30,0),1)</f>
        <v>Powiat łańcucki</v>
      </c>
      <c r="D18" s="12">
        <f>INDEX('4_s.bezr.pow.'!B3:G29,MATCH(15,B4:B30,0),2)</f>
        <v>9.8000000000000007</v>
      </c>
      <c r="E18" s="57">
        <f>INDEX('4_s.bezr.pow.'!B3:G29,MATCH(15,B4:B30,0),3)</f>
        <v>9.8000000000000007</v>
      </c>
      <c r="F18" s="36">
        <f>INDEX('4_s.bezr.pow.'!B3:G29,MATCH(15,B4:B30,0),4)</f>
        <v>0</v>
      </c>
      <c r="G18" s="57" t="str">
        <f>INDEX('4_s.bezr.pow.'!B3:G29,MATCH(15,B4:B30,0),5)</f>
        <v>brak danych</v>
      </c>
      <c r="H18" s="36" t="e">
        <f>INDEX('4_s.bezr.pow.'!B3:G29,MATCH(15,B4:B30,0),6)</f>
        <v>#VALUE!</v>
      </c>
    </row>
    <row r="19" spans="1:8" x14ac:dyDescent="0.2">
      <c r="A19" s="39">
        <v>16</v>
      </c>
      <c r="B19" s="10">
        <f>RANK('4_s.bezr.pow.'!C18,'4_s.bezr.pow.'!$C$3:'4_s.bezr.pow.'!$C$29,1)+COUNTIF('4_s.bezr.pow.'!$C$3:'4_s.bezr.pow.'!C18,'4_s.bezr.pow.'!C18)-1</f>
        <v>23</v>
      </c>
      <c r="C19" s="8" t="str">
        <f>INDEX('4_s.bezr.pow.'!B3:G29,MATCH(16,B4:B30,0),1)</f>
        <v>Powiat lubaczowski</v>
      </c>
      <c r="D19" s="12">
        <f>INDEX('4_s.bezr.pow.'!B3:G29,MATCH(16,B4:B30,0),2)</f>
        <v>11</v>
      </c>
      <c r="E19" s="57">
        <f>INDEX('4_s.bezr.pow.'!B3:G29,MATCH(16,B4:B30,0),3)</f>
        <v>10.6</v>
      </c>
      <c r="F19" s="36">
        <f>INDEX('4_s.bezr.pow.'!B3:G29,MATCH(16,B4:B30,0),4)</f>
        <v>0.40000000000000036</v>
      </c>
      <c r="G19" s="57" t="str">
        <f>INDEX('4_s.bezr.pow.'!B3:G29,MATCH(16,B4:B30,0),5)</f>
        <v>brak danych</v>
      </c>
      <c r="H19" s="36" t="e">
        <f>INDEX('4_s.bezr.pow.'!B3:G29,MATCH(16,B4:B30,0),6)</f>
        <v>#VALUE!</v>
      </c>
    </row>
    <row r="20" spans="1:8" x14ac:dyDescent="0.2">
      <c r="A20" s="39">
        <v>17</v>
      </c>
      <c r="B20" s="10">
        <f>RANK('4_s.bezr.pow.'!C19,'4_s.bezr.pow.'!$C$3:'4_s.bezr.pow.'!$C$29,1)+COUNTIF('4_s.bezr.pow.'!$C$3:'4_s.bezr.pow.'!C19,'4_s.bezr.pow.'!C19)-1</f>
        <v>20</v>
      </c>
      <c r="C20" s="8" t="str">
        <f>INDEX('4_s.bezr.pow.'!B3:G29,MATCH(17,B4:B30,0),1)</f>
        <v>Powiat ropczycko-sędziszowski</v>
      </c>
      <c r="D20" s="12">
        <f>INDEX('4_s.bezr.pow.'!B3:G29,MATCH(17,B4:B30,0),2)</f>
        <v>11.4</v>
      </c>
      <c r="E20" s="57">
        <f>INDEX('4_s.bezr.pow.'!B3:G29,MATCH(17,B4:B30,0),3)</f>
        <v>11.7</v>
      </c>
      <c r="F20" s="36">
        <f>INDEX('4_s.bezr.pow.'!B3:G29,MATCH(17,B4:B30,0),4)</f>
        <v>-0.29999999999999893</v>
      </c>
      <c r="G20" s="57" t="str">
        <f>INDEX('4_s.bezr.pow.'!B3:G29,MATCH(17,B4:B30,0),5)</f>
        <v>brak danych</v>
      </c>
      <c r="H20" s="36" t="e">
        <f>INDEX('4_s.bezr.pow.'!B3:G29,MATCH(17,B4:B30,0),6)</f>
        <v>#VALUE!</v>
      </c>
    </row>
    <row r="21" spans="1:8" x14ac:dyDescent="0.2">
      <c r="A21" s="39">
        <v>18</v>
      </c>
      <c r="B21" s="10">
        <f>RANK('4_s.bezr.pow.'!C20,'4_s.bezr.pow.'!$C$3:'4_s.bezr.pow.'!$C$29,1)+COUNTIF('4_s.bezr.pow.'!$C$3:'4_s.bezr.pow.'!C20,'4_s.bezr.pow.'!C20)-1</f>
        <v>17</v>
      </c>
      <c r="C21" s="8" t="str">
        <f>INDEX('4_s.bezr.pow.'!B3:G29,MATCH(18,B4:B30,0),1)</f>
        <v>Powiat jarosławski</v>
      </c>
      <c r="D21" s="12">
        <f>INDEX('4_s.bezr.pow.'!B3:G29,MATCH(18,B4:B30,0),2)</f>
        <v>11.5</v>
      </c>
      <c r="E21" s="57">
        <f>INDEX('4_s.bezr.pow.'!B3:G29,MATCH(18,B4:B30,0),3)</f>
        <v>11.5</v>
      </c>
      <c r="F21" s="36">
        <f>INDEX('4_s.bezr.pow.'!B3:G29,MATCH(18,B4:B30,0),4)</f>
        <v>0</v>
      </c>
      <c r="G21" s="57" t="str">
        <f>INDEX('4_s.bezr.pow.'!B3:G29,MATCH(18,B4:B30,0),5)</f>
        <v>brak danych</v>
      </c>
      <c r="H21" s="36" t="e">
        <f>INDEX('4_s.bezr.pow.'!B3:G29,MATCH(18,B4:B30,0),6)</f>
        <v>#VALUE!</v>
      </c>
    </row>
    <row r="22" spans="1:8" x14ac:dyDescent="0.2">
      <c r="A22" s="39">
        <v>19</v>
      </c>
      <c r="B22" s="10">
        <f>RANK('4_s.bezr.pow.'!C21,'4_s.bezr.pow.'!$C$3:'4_s.bezr.pow.'!$C$29,1)+COUNTIF('4_s.bezr.pow.'!$C$3:'4_s.bezr.pow.'!C21,'4_s.bezr.pow.'!C21)-1</f>
        <v>12</v>
      </c>
      <c r="C22" s="8" t="str">
        <f>INDEX('4_s.bezr.pow.'!B3:G29,MATCH(19,B4:B30,0),1)</f>
        <v>Powiat jasielski</v>
      </c>
      <c r="D22" s="12">
        <f>INDEX('4_s.bezr.pow.'!B3:G29,MATCH(19,B4:B30,0),2)</f>
        <v>12.7</v>
      </c>
      <c r="E22" s="57">
        <f>INDEX('4_s.bezr.pow.'!B3:G29,MATCH(19,B4:B30,0),3)</f>
        <v>12.5</v>
      </c>
      <c r="F22" s="36">
        <f>INDEX('4_s.bezr.pow.'!B3:G29,MATCH(19,B4:B30,0),4)</f>
        <v>0.19999999999999929</v>
      </c>
      <c r="G22" s="57" t="str">
        <f>INDEX('4_s.bezr.pow.'!B3:G29,MATCH(19,B4:B30,0),5)</f>
        <v>brak danych</v>
      </c>
      <c r="H22" s="36" t="e">
        <f>INDEX('4_s.bezr.pow.'!B3:G29,MATCH(19,B4:B30,0),6)</f>
        <v>#VALUE!</v>
      </c>
    </row>
    <row r="23" spans="1:8" x14ac:dyDescent="0.2">
      <c r="A23" s="39">
        <v>20</v>
      </c>
      <c r="B23" s="10">
        <f>RANK('4_s.bezr.pow.'!C22,'4_s.bezr.pow.'!$C$3:'4_s.bezr.pow.'!$C$29,1)+COUNTIF('4_s.bezr.pow.'!$C$3:'4_s.bezr.pow.'!C22,'4_s.bezr.pow.'!C22)-1</f>
        <v>10</v>
      </c>
      <c r="C23" s="8" t="str">
        <f>INDEX('4_s.bezr.pow.'!B3:G29,MATCH(20,B4:B30,0),1)</f>
        <v>Powiat przeworski</v>
      </c>
      <c r="D23" s="12">
        <f>INDEX('4_s.bezr.pow.'!B3:G29,MATCH(20,B4:B30,0),2)</f>
        <v>14.4</v>
      </c>
      <c r="E23" s="57">
        <f>INDEX('4_s.bezr.pow.'!B3:G29,MATCH(20,B4:B30,0),3)</f>
        <v>14.4</v>
      </c>
      <c r="F23" s="36">
        <f>INDEX('4_s.bezr.pow.'!B3:G29,MATCH(20,B4:B30,0),4)</f>
        <v>0</v>
      </c>
      <c r="G23" s="57" t="str">
        <f>INDEX('4_s.bezr.pow.'!B3:G29,MATCH(20,B4:B30,0),5)</f>
        <v>brak danych</v>
      </c>
      <c r="H23" s="36" t="e">
        <f>INDEX('4_s.bezr.pow.'!B3:G29,MATCH(20,B4:B30,0),6)</f>
        <v>#VALUE!</v>
      </c>
    </row>
    <row r="24" spans="1:8" x14ac:dyDescent="0.2">
      <c r="A24" s="39">
        <v>21</v>
      </c>
      <c r="B24" s="10">
        <f>RANK('4_s.bezr.pow.'!C23,'4_s.bezr.pow.'!$C$3:'4_s.bezr.pow.'!$C$29,1)+COUNTIF('4_s.bezr.pow.'!$C$3:'4_s.bezr.pow.'!C23,'4_s.bezr.pow.'!C23)-1</f>
        <v>4</v>
      </c>
      <c r="C24" s="8" t="str">
        <f>INDEX('4_s.bezr.pow.'!B3:G29,MATCH(21,B4:B30,0),1)</f>
        <v>Powiat leżajski</v>
      </c>
      <c r="D24" s="12">
        <f>INDEX('4_s.bezr.pow.'!B3:G29,MATCH(21,B4:B30,0),2)</f>
        <v>15.1</v>
      </c>
      <c r="E24" s="57">
        <f>INDEX('4_s.bezr.pow.'!B3:G29,MATCH(21,B4:B30,0),3)</f>
        <v>15.1</v>
      </c>
      <c r="F24" s="36">
        <f>INDEX('4_s.bezr.pow.'!B3:G29,MATCH(21,B4:B30,0),4)</f>
        <v>0</v>
      </c>
      <c r="G24" s="57" t="str">
        <f>INDEX('4_s.bezr.pow.'!B3:G29,MATCH(21,B4:B30,0),5)</f>
        <v>brak danych</v>
      </c>
      <c r="H24" s="36" t="e">
        <f>INDEX('4_s.bezr.pow.'!B3:G29,MATCH(21,B4:B30,0),6)</f>
        <v>#VALUE!</v>
      </c>
    </row>
    <row r="25" spans="1:8" x14ac:dyDescent="0.2">
      <c r="A25" s="39">
        <v>22</v>
      </c>
      <c r="B25" s="10">
        <f>RANK('4_s.bezr.pow.'!C24,'4_s.bezr.pow.'!$C$3:'4_s.bezr.pow.'!$C$29,1)+COUNTIF('4_s.bezr.pow.'!$C$3:'4_s.bezr.pow.'!C24,'4_s.bezr.pow.'!C24)-1</f>
        <v>25</v>
      </c>
      <c r="C25" s="8" t="str">
        <f>INDEX('4_s.bezr.pow.'!B3:G29,MATCH(22,B4:B30,0),1)</f>
        <v>Powiat bieszczadzki</v>
      </c>
      <c r="D25" s="12">
        <f>INDEX('4_s.bezr.pow.'!B3:G29,MATCH(22,B4:B30,0),2)</f>
        <v>15.8</v>
      </c>
      <c r="E25" s="57">
        <f>INDEX('4_s.bezr.pow.'!B3:G29,MATCH(22,B4:B30,0),3)</f>
        <v>15.2</v>
      </c>
      <c r="F25" s="36">
        <f>INDEX('4_s.bezr.pow.'!B3:G29,MATCH(22,B4:B30,0),4)</f>
        <v>0.60000000000000142</v>
      </c>
      <c r="G25" s="57" t="str">
        <f>INDEX('4_s.bezr.pow.'!B3:G29,MATCH(22,B4:B30,0),5)</f>
        <v>brak danych</v>
      </c>
      <c r="H25" s="36" t="e">
        <f>INDEX('4_s.bezr.pow.'!B3:G29,MATCH(22,B4:B30,0),6)</f>
        <v>#VALUE!</v>
      </c>
    </row>
    <row r="26" spans="1:8" x14ac:dyDescent="0.2">
      <c r="A26" s="39">
        <v>23</v>
      </c>
      <c r="B26" s="10">
        <f>RANK('4_s.bezr.pow.'!C25,'4_s.bezr.pow.'!$C$3:'4_s.bezr.pow.'!$C$29,1)+COUNTIF('4_s.bezr.pow.'!$C$3:'4_s.bezr.pow.'!C25,'4_s.bezr.pow.'!C25)-1</f>
        <v>8</v>
      </c>
      <c r="C26" s="8" t="str">
        <f>INDEX('4_s.bezr.pow.'!B3:G29,MATCH(23,B4:B30,0),1)</f>
        <v>Powiat przemyski</v>
      </c>
      <c r="D26" s="12">
        <f>INDEX('4_s.bezr.pow.'!B3:G29,MATCH(23,B4:B30,0),2)</f>
        <v>16.899999999999999</v>
      </c>
      <c r="E26" s="57">
        <f>INDEX('4_s.bezr.pow.'!B3:G29,MATCH(23,B4:B30,0),3)</f>
        <v>16.5</v>
      </c>
      <c r="F26" s="36">
        <f>INDEX('4_s.bezr.pow.'!B3:G29,MATCH(23,B4:B30,0),4)</f>
        <v>0.39999999999999858</v>
      </c>
      <c r="G26" s="57" t="str">
        <f>INDEX('4_s.bezr.pow.'!B3:G29,MATCH(23,B4:B30,0),5)</f>
        <v>brak danych</v>
      </c>
      <c r="H26" s="36" t="e">
        <f>INDEX('4_s.bezr.pow.'!B3:G29,MATCH(23,B4:B30,0),6)</f>
        <v>#VALUE!</v>
      </c>
    </row>
    <row r="27" spans="1:8" x14ac:dyDescent="0.2">
      <c r="A27" s="39">
        <v>24</v>
      </c>
      <c r="B27" s="10">
        <f>RANK('4_s.bezr.pow.'!C26,'4_s.bezr.pow.'!$C$3:'4_s.bezr.pow.'!$C$29,1)+COUNTIF('4_s.bezr.pow.'!$C$3:'4_s.bezr.pow.'!C26,'4_s.bezr.pow.'!C26)-1</f>
        <v>1</v>
      </c>
      <c r="C27" s="8" t="str">
        <f>INDEX('4_s.bezr.pow.'!B3:G29,MATCH(24,B4:B30,0),1)</f>
        <v>Powiat niżański</v>
      </c>
      <c r="D27" s="12">
        <f>INDEX('4_s.bezr.pow.'!B3:G29,MATCH(24,B4:B30,0),2)</f>
        <v>17.2</v>
      </c>
      <c r="E27" s="57">
        <f>INDEX('4_s.bezr.pow.'!B3:G29,MATCH(24,B4:B30,0),3)</f>
        <v>17.3</v>
      </c>
      <c r="F27" s="36">
        <f>INDEX('4_s.bezr.pow.'!B3:G29,MATCH(24,B4:B30,0),4)</f>
        <v>-0.10000000000000142</v>
      </c>
      <c r="G27" s="57" t="str">
        <f>INDEX('4_s.bezr.pow.'!B3:G29,MATCH(24,B4:B30,0),5)</f>
        <v>brak danych</v>
      </c>
      <c r="H27" s="36" t="e">
        <f>INDEX('4_s.bezr.pow.'!B3:G29,MATCH(24,B4:B30,0),6)</f>
        <v>#VALUE!</v>
      </c>
    </row>
    <row r="28" spans="1:8" x14ac:dyDescent="0.2">
      <c r="A28" s="39">
        <v>25</v>
      </c>
      <c r="B28" s="10">
        <f>RANK('4_s.bezr.pow.'!C27,'4_s.bezr.pow.'!$C$3:'4_s.bezr.pow.'!$C$29,1)+COUNTIF('4_s.bezr.pow.'!$C$3:'4_s.bezr.pow.'!C27,'4_s.bezr.pow.'!C27)-1</f>
        <v>14</v>
      </c>
      <c r="C28" s="8" t="str">
        <f>INDEX('4_s.bezr.pow.'!B3:G29,MATCH(25,B4:B30,0),1)</f>
        <v>Powiat strzyżowski</v>
      </c>
      <c r="D28" s="12">
        <f>INDEX('4_s.bezr.pow.'!B3:G29,MATCH(25,B4:B30,0),2)</f>
        <v>17.7</v>
      </c>
      <c r="E28" s="57">
        <f>INDEX('4_s.bezr.pow.'!B3:G29,MATCH(25,B4:B30,0),3)</f>
        <v>17.600000000000001</v>
      </c>
      <c r="F28" s="36">
        <f>INDEX('4_s.bezr.pow.'!B3:G29,MATCH(25,B4:B30,0),4)</f>
        <v>9.9999999999997868E-2</v>
      </c>
      <c r="G28" s="57" t="str">
        <f>INDEX('4_s.bezr.pow.'!B3:G29,MATCH(25,B4:B30,0),5)</f>
        <v>brak danych</v>
      </c>
      <c r="H28" s="36" t="e">
        <f>INDEX('4_s.bezr.pow.'!B3:G29,MATCH(25,B4:B30,0),6)</f>
        <v>#VALUE!</v>
      </c>
    </row>
    <row r="29" spans="1:8" ht="15" x14ac:dyDescent="0.25">
      <c r="A29" s="39">
        <v>26</v>
      </c>
      <c r="B29" s="34">
        <f>RANK('4_s.bezr.pow.'!C28,'4_s.bezr.pow.'!$C$3:'4_s.bezr.pow.'!$C$29,1)+COUNTIF('4_s.bezr.pow.'!$C$3:'4_s.bezr.pow.'!C28,'4_s.bezr.pow.'!C28)-1</f>
        <v>2</v>
      </c>
      <c r="C29" s="35" t="str">
        <f>INDEX('4_s.bezr.pow.'!B3:G29,MATCH(26,B4:B30,0),1)</f>
        <v>Powiat leski</v>
      </c>
      <c r="D29" s="61">
        <f>INDEX('4_s.bezr.pow.'!B3:G29,MATCH(26,B4:B30,0),2)</f>
        <v>18.899999999999999</v>
      </c>
      <c r="E29" s="60">
        <f>INDEX('4_s.bezr.pow.'!B3:G29,MATCH(26,B4:B30,0),3)</f>
        <v>18.3</v>
      </c>
      <c r="F29" s="66">
        <f>INDEX('4_s.bezr.pow.'!B3:G29,MATCH(26,B4:B30,0),4)</f>
        <v>0.59999999999999787</v>
      </c>
      <c r="G29" s="60" t="str">
        <f>INDEX('4_s.bezr.pow.'!B3:G29,MATCH(26,B4:B30,0),5)</f>
        <v>brak danych</v>
      </c>
      <c r="H29" s="66" t="e">
        <f>INDEX('4_s.bezr.pow.'!B3:G29,MATCH(26,B4:B30,0),6)</f>
        <v>#VALUE!</v>
      </c>
    </row>
    <row r="30" spans="1:8" x14ac:dyDescent="0.2">
      <c r="A30" s="39">
        <v>27</v>
      </c>
      <c r="B30" s="67">
        <f>RANK('4_s.bezr.pow.'!C29,'4_s.bezr.pow.'!$C$3:'4_s.bezr.pow.'!$C$29,1)+COUNTIF('4_s.bezr.pow.'!$C$3:'4_s.bezr.pow.'!C29,'4_s.bezr.pow.'!C29)-1</f>
        <v>7</v>
      </c>
      <c r="C30" s="68" t="str">
        <f>INDEX('4_s.bezr.pow.'!B3:G29,MATCH(27,B4:B30,0),1)</f>
        <v>Powiat brzozowski</v>
      </c>
      <c r="D30" s="12">
        <f>INDEX('4_s.bezr.pow.'!B3:G29,MATCH(27,B4:B30,0),2)</f>
        <v>20.9</v>
      </c>
      <c r="E30" s="57">
        <f>INDEX('4_s.bezr.pow.'!B3:G29,MATCH(27,B4:B30,0),3)</f>
        <v>20.6</v>
      </c>
      <c r="F30" s="12">
        <f>INDEX('4_s.bezr.pow.'!B3:G29,MATCH(27,B4:B30,0),4)</f>
        <v>0.29999999999999716</v>
      </c>
      <c r="G30" s="57" t="str">
        <f>INDEX('4_s.bezr.pow.'!B3:G29,MATCH(27,B4:B30,0),5)</f>
        <v>brak danych</v>
      </c>
      <c r="H30" s="12" t="e">
        <f>INDEX('4_s.bezr.pow.'!B3:G29,MATCH(27,B4:B30,0),6)</f>
        <v>#VALUE!</v>
      </c>
    </row>
    <row r="31" spans="1:8" x14ac:dyDescent="0.2">
      <c r="C31" s="81" t="s">
        <v>92</v>
      </c>
    </row>
    <row r="32" spans="1:8" x14ac:dyDescent="0.2">
      <c r="C32" s="81" t="s">
        <v>124</v>
      </c>
    </row>
  </sheetData>
  <pageMargins left="0" right="0" top="0.31496062992125984" bottom="0" header="0" footer="0"/>
  <pageSetup paperSize="9" scale="71" orientation="landscape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theme="7" tint="0.59999389629810485"/>
    <pageSetUpPr fitToPage="1"/>
  </sheetPr>
  <dimension ref="A1:M28"/>
  <sheetViews>
    <sheetView zoomScale="80" zoomScaleNormal="80" workbookViewId="0">
      <selection activeCell="B1" sqref="B1"/>
    </sheetView>
  </sheetViews>
  <sheetFormatPr defaultRowHeight="14.25" x14ac:dyDescent="0.2"/>
  <cols>
    <col min="1" max="1" width="3.7109375" style="3" customWidth="1"/>
    <col min="2" max="2" width="25.28515625" style="3" customWidth="1"/>
    <col min="3" max="3" width="18.140625" style="3" customWidth="1"/>
    <col min="4" max="4" width="17.85546875" style="3" customWidth="1"/>
    <col min="5" max="5" width="17.140625" style="3" customWidth="1"/>
    <col min="6" max="6" width="17.28515625" style="3" customWidth="1"/>
    <col min="7" max="7" width="17.5703125" style="3" customWidth="1"/>
    <col min="8" max="8" width="3" style="3" customWidth="1"/>
    <col min="9" max="9" width="24.5703125" style="3" customWidth="1"/>
    <col min="10" max="10" width="16" style="3" customWidth="1"/>
    <col min="11" max="11" width="17.42578125" style="3" customWidth="1"/>
    <col min="12" max="12" width="14.42578125" style="3" customWidth="1"/>
    <col min="13" max="14" width="3" style="3" customWidth="1"/>
    <col min="15" max="16384" width="9.140625" style="3"/>
  </cols>
  <sheetData>
    <row r="1" spans="1:12" x14ac:dyDescent="0.2">
      <c r="B1" s="2" t="s">
        <v>31</v>
      </c>
      <c r="I1" s="3" t="s">
        <v>86</v>
      </c>
    </row>
    <row r="2" spans="1:12" ht="86.25" customHeight="1" x14ac:dyDescent="0.2">
      <c r="B2" s="5" t="s">
        <v>27</v>
      </c>
      <c r="C2" s="6" t="s">
        <v>126</v>
      </c>
      <c r="D2" s="7" t="s">
        <v>108</v>
      </c>
      <c r="E2" s="6" t="s">
        <v>28</v>
      </c>
      <c r="F2" s="7" t="s">
        <v>125</v>
      </c>
      <c r="G2" s="6" t="s">
        <v>26</v>
      </c>
      <c r="I2" s="5" t="s">
        <v>27</v>
      </c>
      <c r="J2" s="6" t="str">
        <f>T('1_bezr.'!C2)</f>
        <v>liczba bezrobotnych ogółem stan na 30 XI '22 r.</v>
      </c>
      <c r="K2" s="6" t="str">
        <f>T(C2)</f>
        <v>liczba bezrobotnych zam. na wsi stan na 30 XI '22 r.</v>
      </c>
      <c r="L2" s="6" t="s">
        <v>96</v>
      </c>
    </row>
    <row r="3" spans="1:12" x14ac:dyDescent="0.2">
      <c r="A3" s="3">
        <v>1</v>
      </c>
      <c r="B3" s="8" t="s">
        <v>0</v>
      </c>
      <c r="C3" s="21">
        <v>673</v>
      </c>
      <c r="D3" s="9">
        <v>650</v>
      </c>
      <c r="E3" s="10">
        <f t="shared" ref="E3:E23" si="0">SUM(C3)-D3</f>
        <v>23</v>
      </c>
      <c r="F3" s="9">
        <v>732</v>
      </c>
      <c r="G3" s="10">
        <f t="shared" ref="G3:G23" si="1">SUM(C3)-F3</f>
        <v>-59</v>
      </c>
      <c r="H3" s="11"/>
      <c r="I3" s="8" t="s">
        <v>0</v>
      </c>
      <c r="J3" s="10">
        <f>SUM('1_bezr.'!C3)</f>
        <v>1070</v>
      </c>
      <c r="K3" s="10">
        <f>SUM(C3)</f>
        <v>673</v>
      </c>
      <c r="L3" s="12">
        <f t="shared" ref="L3:L23" si="2">SUM(K3)/J3*100</f>
        <v>62.89719626168224</v>
      </c>
    </row>
    <row r="4" spans="1:12" x14ac:dyDescent="0.2">
      <c r="A4" s="3">
        <v>2</v>
      </c>
      <c r="B4" s="8" t="s">
        <v>1</v>
      </c>
      <c r="C4" s="22">
        <v>3642</v>
      </c>
      <c r="D4" s="9">
        <v>3578</v>
      </c>
      <c r="E4" s="10">
        <f t="shared" si="0"/>
        <v>64</v>
      </c>
      <c r="F4" s="9">
        <v>3815</v>
      </c>
      <c r="G4" s="10">
        <f t="shared" si="1"/>
        <v>-173</v>
      </c>
      <c r="H4" s="11"/>
      <c r="I4" s="8" t="s">
        <v>1</v>
      </c>
      <c r="J4" s="10">
        <f>SUM('1_bezr.'!C4)</f>
        <v>3972</v>
      </c>
      <c r="K4" s="10">
        <f t="shared" ref="K4:K22" si="3">SUM(C4)</f>
        <v>3642</v>
      </c>
      <c r="L4" s="12">
        <f t="shared" si="2"/>
        <v>91.691842900302106</v>
      </c>
    </row>
    <row r="5" spans="1:12" x14ac:dyDescent="0.2">
      <c r="A5" s="3">
        <v>3</v>
      </c>
      <c r="B5" s="8" t="s">
        <v>2</v>
      </c>
      <c r="C5" s="23">
        <v>1464</v>
      </c>
      <c r="D5" s="9">
        <v>1442</v>
      </c>
      <c r="E5" s="10">
        <f t="shared" si="0"/>
        <v>22</v>
      </c>
      <c r="F5" s="9">
        <v>1556</v>
      </c>
      <c r="G5" s="10">
        <f t="shared" si="1"/>
        <v>-92</v>
      </c>
      <c r="H5" s="11"/>
      <c r="I5" s="8" t="s">
        <v>2</v>
      </c>
      <c r="J5" s="10">
        <f>SUM('1_bezr.'!C5)</f>
        <v>2411</v>
      </c>
      <c r="K5" s="10">
        <f t="shared" si="3"/>
        <v>1464</v>
      </c>
      <c r="L5" s="12">
        <f t="shared" si="2"/>
        <v>60.72169224388221</v>
      </c>
    </row>
    <row r="6" spans="1:12" x14ac:dyDescent="0.2">
      <c r="A6" s="3">
        <v>4</v>
      </c>
      <c r="B6" s="8" t="s">
        <v>3</v>
      </c>
      <c r="C6" s="23">
        <v>2898</v>
      </c>
      <c r="D6" s="9">
        <v>2875</v>
      </c>
      <c r="E6" s="10">
        <f t="shared" si="0"/>
        <v>23</v>
      </c>
      <c r="F6" s="9">
        <v>3313</v>
      </c>
      <c r="G6" s="10">
        <f t="shared" si="1"/>
        <v>-415</v>
      </c>
      <c r="H6" s="11"/>
      <c r="I6" s="8" t="s">
        <v>3</v>
      </c>
      <c r="J6" s="10">
        <f>SUM('1_bezr.'!C6)</f>
        <v>4641</v>
      </c>
      <c r="K6" s="10">
        <f t="shared" si="3"/>
        <v>2898</v>
      </c>
      <c r="L6" s="12">
        <f t="shared" si="2"/>
        <v>62.443438914027148</v>
      </c>
    </row>
    <row r="7" spans="1:12" x14ac:dyDescent="0.2">
      <c r="A7" s="3">
        <v>5</v>
      </c>
      <c r="B7" s="8" t="s">
        <v>4</v>
      </c>
      <c r="C7" s="23">
        <v>3432</v>
      </c>
      <c r="D7" s="9">
        <v>3362</v>
      </c>
      <c r="E7" s="10">
        <f t="shared" si="0"/>
        <v>70</v>
      </c>
      <c r="F7" s="9">
        <v>3767</v>
      </c>
      <c r="G7" s="10">
        <f t="shared" si="1"/>
        <v>-335</v>
      </c>
      <c r="H7" s="11"/>
      <c r="I7" s="8" t="s">
        <v>4</v>
      </c>
      <c r="J7" s="10">
        <f>SUM('1_bezr.'!C7)</f>
        <v>4859</v>
      </c>
      <c r="K7" s="10">
        <f t="shared" si="3"/>
        <v>3432</v>
      </c>
      <c r="L7" s="12">
        <f t="shared" si="2"/>
        <v>70.631817246346984</v>
      </c>
    </row>
    <row r="8" spans="1:12" x14ac:dyDescent="0.2">
      <c r="A8" s="3">
        <v>6</v>
      </c>
      <c r="B8" s="8" t="s">
        <v>5</v>
      </c>
      <c r="C8" s="23">
        <v>1361</v>
      </c>
      <c r="D8" s="9">
        <v>1329</v>
      </c>
      <c r="E8" s="10">
        <f t="shared" si="0"/>
        <v>32</v>
      </c>
      <c r="F8" s="9">
        <v>1505</v>
      </c>
      <c r="G8" s="10">
        <f t="shared" si="1"/>
        <v>-144</v>
      </c>
      <c r="H8" s="11"/>
      <c r="I8" s="8" t="s">
        <v>5</v>
      </c>
      <c r="J8" s="10">
        <f>SUM('1_bezr.'!C8)</f>
        <v>1563</v>
      </c>
      <c r="K8" s="10">
        <f t="shared" si="3"/>
        <v>1361</v>
      </c>
      <c r="L8" s="12">
        <f t="shared" si="2"/>
        <v>87.076135636596291</v>
      </c>
    </row>
    <row r="9" spans="1:12" x14ac:dyDescent="0.2">
      <c r="A9" s="3">
        <v>7</v>
      </c>
      <c r="B9" s="13" t="s">
        <v>6</v>
      </c>
      <c r="C9" s="24">
        <v>1736</v>
      </c>
      <c r="D9" s="9">
        <v>1656</v>
      </c>
      <c r="E9" s="10">
        <f t="shared" si="0"/>
        <v>80</v>
      </c>
      <c r="F9" s="9">
        <v>1824</v>
      </c>
      <c r="G9" s="10">
        <f t="shared" si="1"/>
        <v>-88</v>
      </c>
      <c r="H9" s="11"/>
      <c r="I9" s="13" t="s">
        <v>6</v>
      </c>
      <c r="J9" s="10">
        <f>SUM('1_bezr.'!C9)</f>
        <v>1933</v>
      </c>
      <c r="K9" s="10">
        <f t="shared" si="3"/>
        <v>1736</v>
      </c>
      <c r="L9" s="12">
        <f t="shared" si="2"/>
        <v>89.808587687532338</v>
      </c>
    </row>
    <row r="10" spans="1:12" x14ac:dyDescent="0.2">
      <c r="A10" s="3">
        <v>8</v>
      </c>
      <c r="B10" s="8" t="s">
        <v>7</v>
      </c>
      <c r="C10" s="25">
        <v>1376</v>
      </c>
      <c r="D10" s="9">
        <v>1318</v>
      </c>
      <c r="E10" s="10">
        <f t="shared" si="0"/>
        <v>58</v>
      </c>
      <c r="F10" s="9">
        <v>1382</v>
      </c>
      <c r="G10" s="10">
        <f>SUM(C10)-F10</f>
        <v>-6</v>
      </c>
      <c r="H10" s="11"/>
      <c r="I10" s="8" t="s">
        <v>7</v>
      </c>
      <c r="J10" s="10">
        <f>SUM('1_bezr.'!C10)</f>
        <v>1691</v>
      </c>
      <c r="K10" s="10">
        <f>SUM(C10)</f>
        <v>1376</v>
      </c>
      <c r="L10" s="12">
        <f t="shared" si="2"/>
        <v>81.371969248965115</v>
      </c>
    </row>
    <row r="11" spans="1:12" x14ac:dyDescent="0.2">
      <c r="A11" s="3">
        <v>9</v>
      </c>
      <c r="B11" s="8" t="s">
        <v>8</v>
      </c>
      <c r="C11" s="25">
        <v>2355</v>
      </c>
      <c r="D11" s="9">
        <v>2362</v>
      </c>
      <c r="E11" s="10">
        <f t="shared" si="0"/>
        <v>-7</v>
      </c>
      <c r="F11" s="9">
        <v>2798</v>
      </c>
      <c r="G11" s="10">
        <f t="shared" si="1"/>
        <v>-443</v>
      </c>
      <c r="H11" s="11"/>
      <c r="I11" s="8" t="s">
        <v>8</v>
      </c>
      <c r="J11" s="10">
        <f>SUM('1_bezr.'!C11)</f>
        <v>3124</v>
      </c>
      <c r="K11" s="10">
        <f t="shared" si="3"/>
        <v>2355</v>
      </c>
      <c r="L11" s="12">
        <f t="shared" si="2"/>
        <v>75.384122919334189</v>
      </c>
    </row>
    <row r="12" spans="1:12" x14ac:dyDescent="0.2">
      <c r="A12" s="3">
        <v>10</v>
      </c>
      <c r="B12" s="8" t="s">
        <v>9</v>
      </c>
      <c r="C12" s="25">
        <v>1196</v>
      </c>
      <c r="D12" s="9">
        <v>1143</v>
      </c>
      <c r="E12" s="10">
        <f t="shared" si="0"/>
        <v>53</v>
      </c>
      <c r="F12" s="9">
        <v>1293</v>
      </c>
      <c r="G12" s="10">
        <f t="shared" si="1"/>
        <v>-97</v>
      </c>
      <c r="H12" s="11"/>
      <c r="I12" s="8" t="s">
        <v>9</v>
      </c>
      <c r="J12" s="10">
        <f>SUM('1_bezr.'!C12)</f>
        <v>1797</v>
      </c>
      <c r="K12" s="10">
        <f t="shared" si="3"/>
        <v>1196</v>
      </c>
      <c r="L12" s="12">
        <f t="shared" si="2"/>
        <v>66.555370061213139</v>
      </c>
    </row>
    <row r="13" spans="1:12" x14ac:dyDescent="0.2">
      <c r="A13" s="3">
        <v>11</v>
      </c>
      <c r="B13" s="8" t="s">
        <v>10</v>
      </c>
      <c r="C13" s="25">
        <v>2023</v>
      </c>
      <c r="D13" s="9">
        <v>2025</v>
      </c>
      <c r="E13" s="10">
        <f t="shared" si="0"/>
        <v>-2</v>
      </c>
      <c r="F13" s="9">
        <v>2648</v>
      </c>
      <c r="G13" s="10">
        <f t="shared" si="1"/>
        <v>-625</v>
      </c>
      <c r="H13" s="11"/>
      <c r="I13" s="8" t="s">
        <v>10</v>
      </c>
      <c r="J13" s="10">
        <f>SUM('1_bezr.'!C13)</f>
        <v>2583</v>
      </c>
      <c r="K13" s="10">
        <f t="shared" si="3"/>
        <v>2023</v>
      </c>
      <c r="L13" s="12">
        <f t="shared" si="2"/>
        <v>78.319783197831981</v>
      </c>
    </row>
    <row r="14" spans="1:12" x14ac:dyDescent="0.2">
      <c r="A14" s="3">
        <v>12</v>
      </c>
      <c r="B14" s="8" t="s">
        <v>11</v>
      </c>
      <c r="C14" s="25">
        <v>1280</v>
      </c>
      <c r="D14" s="9">
        <v>1293</v>
      </c>
      <c r="E14" s="10">
        <f t="shared" si="0"/>
        <v>-13</v>
      </c>
      <c r="F14" s="9">
        <v>1431</v>
      </c>
      <c r="G14" s="10">
        <f t="shared" si="1"/>
        <v>-151</v>
      </c>
      <c r="H14" s="11"/>
      <c r="I14" s="8" t="s">
        <v>11</v>
      </c>
      <c r="J14" s="10">
        <f>SUM('1_bezr.'!C14)</f>
        <v>2542</v>
      </c>
      <c r="K14" s="10">
        <f t="shared" si="3"/>
        <v>1280</v>
      </c>
      <c r="L14" s="12">
        <f t="shared" si="2"/>
        <v>50.354051927616048</v>
      </c>
    </row>
    <row r="15" spans="1:12" x14ac:dyDescent="0.2">
      <c r="A15" s="3">
        <v>13</v>
      </c>
      <c r="B15" s="8" t="s">
        <v>12</v>
      </c>
      <c r="C15" s="25">
        <v>1952</v>
      </c>
      <c r="D15" s="9">
        <v>1987</v>
      </c>
      <c r="E15" s="10">
        <f t="shared" si="0"/>
        <v>-35</v>
      </c>
      <c r="F15" s="9">
        <v>2075</v>
      </c>
      <c r="G15" s="10">
        <f t="shared" si="1"/>
        <v>-123</v>
      </c>
      <c r="H15" s="11"/>
      <c r="I15" s="8" t="s">
        <v>12</v>
      </c>
      <c r="J15" s="10">
        <f>SUM('1_bezr.'!C15)</f>
        <v>3043</v>
      </c>
      <c r="K15" s="10">
        <f t="shared" si="3"/>
        <v>1952</v>
      </c>
      <c r="L15" s="12">
        <f t="shared" si="2"/>
        <v>64.147223135064081</v>
      </c>
    </row>
    <row r="16" spans="1:12" x14ac:dyDescent="0.2">
      <c r="A16" s="3">
        <v>14</v>
      </c>
      <c r="B16" s="8" t="s">
        <v>13</v>
      </c>
      <c r="C16" s="25">
        <v>2921</v>
      </c>
      <c r="D16" s="9">
        <v>2840</v>
      </c>
      <c r="E16" s="10">
        <f t="shared" si="0"/>
        <v>81</v>
      </c>
      <c r="F16" s="9">
        <v>3572</v>
      </c>
      <c r="G16" s="10">
        <f t="shared" si="1"/>
        <v>-651</v>
      </c>
      <c r="H16" s="11"/>
      <c r="I16" s="8" t="s">
        <v>13</v>
      </c>
      <c r="J16" s="10">
        <f>SUM('1_bezr.'!C16)</f>
        <v>2944</v>
      </c>
      <c r="K16" s="10">
        <f t="shared" si="3"/>
        <v>2921</v>
      </c>
      <c r="L16" s="12">
        <f t="shared" si="2"/>
        <v>99.21875</v>
      </c>
    </row>
    <row r="17" spans="1:13" x14ac:dyDescent="0.2">
      <c r="A17" s="3">
        <v>15</v>
      </c>
      <c r="B17" s="8" t="s">
        <v>14</v>
      </c>
      <c r="C17" s="25">
        <v>2666</v>
      </c>
      <c r="D17" s="9">
        <v>2655</v>
      </c>
      <c r="E17" s="10">
        <f t="shared" si="0"/>
        <v>11</v>
      </c>
      <c r="F17" s="9">
        <v>2826</v>
      </c>
      <c r="G17" s="10">
        <f t="shared" si="1"/>
        <v>-160</v>
      </c>
      <c r="H17" s="11"/>
      <c r="I17" s="8" t="s">
        <v>14</v>
      </c>
      <c r="J17" s="10">
        <f>SUM('1_bezr.'!C17)</f>
        <v>3482</v>
      </c>
      <c r="K17" s="10">
        <f t="shared" si="3"/>
        <v>2666</v>
      </c>
      <c r="L17" s="12">
        <f t="shared" si="2"/>
        <v>76.565192418150488</v>
      </c>
      <c r="M17" s="14"/>
    </row>
    <row r="18" spans="1:13" x14ac:dyDescent="0.2">
      <c r="A18" s="3">
        <v>16</v>
      </c>
      <c r="B18" s="8" t="s">
        <v>15</v>
      </c>
      <c r="C18" s="25">
        <v>1772</v>
      </c>
      <c r="D18" s="9">
        <v>1825</v>
      </c>
      <c r="E18" s="10">
        <f t="shared" si="0"/>
        <v>-53</v>
      </c>
      <c r="F18" s="9">
        <v>2070</v>
      </c>
      <c r="G18" s="10">
        <f t="shared" si="1"/>
        <v>-298</v>
      </c>
      <c r="H18" s="11"/>
      <c r="I18" s="8" t="s">
        <v>15</v>
      </c>
      <c r="J18" s="10">
        <f>SUM('1_bezr.'!C18)</f>
        <v>2764</v>
      </c>
      <c r="K18" s="10">
        <f t="shared" si="3"/>
        <v>1772</v>
      </c>
      <c r="L18" s="12">
        <f t="shared" si="2"/>
        <v>64.109985528219966</v>
      </c>
    </row>
    <row r="19" spans="1:13" x14ac:dyDescent="0.2">
      <c r="A19" s="3">
        <v>17</v>
      </c>
      <c r="B19" s="8" t="s">
        <v>16</v>
      </c>
      <c r="C19" s="25">
        <v>3904</v>
      </c>
      <c r="D19" s="9">
        <v>3864</v>
      </c>
      <c r="E19" s="10">
        <f t="shared" si="0"/>
        <v>40</v>
      </c>
      <c r="F19" s="9">
        <v>4582</v>
      </c>
      <c r="G19" s="10">
        <f t="shared" si="1"/>
        <v>-678</v>
      </c>
      <c r="H19" s="11"/>
      <c r="I19" s="8" t="s">
        <v>16</v>
      </c>
      <c r="J19" s="10">
        <f>SUM('1_bezr.'!C19)</f>
        <v>4933</v>
      </c>
      <c r="K19" s="10">
        <f t="shared" si="3"/>
        <v>3904</v>
      </c>
      <c r="L19" s="12">
        <f t="shared" si="2"/>
        <v>79.140482465031425</v>
      </c>
    </row>
    <row r="20" spans="1:13" x14ac:dyDescent="0.2">
      <c r="A20" s="3">
        <v>18</v>
      </c>
      <c r="B20" s="8" t="s">
        <v>17</v>
      </c>
      <c r="C20" s="25">
        <v>1515</v>
      </c>
      <c r="D20" s="9">
        <v>1475</v>
      </c>
      <c r="E20" s="10">
        <f t="shared" si="0"/>
        <v>40</v>
      </c>
      <c r="F20" s="9">
        <v>1445</v>
      </c>
      <c r="G20" s="10">
        <f t="shared" si="1"/>
        <v>70</v>
      </c>
      <c r="H20" s="11"/>
      <c r="I20" s="8" t="s">
        <v>17</v>
      </c>
      <c r="J20" s="10">
        <f>SUM('1_bezr.'!C20)</f>
        <v>2632</v>
      </c>
      <c r="K20" s="10">
        <f t="shared" si="3"/>
        <v>1515</v>
      </c>
      <c r="L20" s="12">
        <f t="shared" si="2"/>
        <v>57.560790273556229</v>
      </c>
    </row>
    <row r="21" spans="1:13" x14ac:dyDescent="0.2">
      <c r="A21" s="3">
        <v>19</v>
      </c>
      <c r="B21" s="8" t="s">
        <v>18</v>
      </c>
      <c r="C21" s="25">
        <v>732</v>
      </c>
      <c r="D21" s="9">
        <v>721</v>
      </c>
      <c r="E21" s="10">
        <f t="shared" si="0"/>
        <v>11</v>
      </c>
      <c r="F21" s="9">
        <v>876</v>
      </c>
      <c r="G21" s="10">
        <f t="shared" si="1"/>
        <v>-144</v>
      </c>
      <c r="H21" s="11"/>
      <c r="I21" s="8" t="s">
        <v>18</v>
      </c>
      <c r="J21" s="10">
        <f>SUM('1_bezr.'!C21)</f>
        <v>1828</v>
      </c>
      <c r="K21" s="10">
        <f t="shared" si="3"/>
        <v>732</v>
      </c>
      <c r="L21" s="12">
        <f t="shared" si="2"/>
        <v>40.043763676148799</v>
      </c>
    </row>
    <row r="22" spans="1:13" x14ac:dyDescent="0.2">
      <c r="A22" s="3">
        <v>20</v>
      </c>
      <c r="B22" s="8" t="s">
        <v>19</v>
      </c>
      <c r="C22" s="25">
        <v>2845</v>
      </c>
      <c r="D22" s="9">
        <v>2828</v>
      </c>
      <c r="E22" s="10">
        <f t="shared" si="0"/>
        <v>17</v>
      </c>
      <c r="F22" s="9">
        <v>3057</v>
      </c>
      <c r="G22" s="10">
        <f t="shared" si="1"/>
        <v>-212</v>
      </c>
      <c r="H22" s="11"/>
      <c r="I22" s="8" t="s">
        <v>19</v>
      </c>
      <c r="J22" s="10">
        <f>SUM('1_bezr.'!C22)</f>
        <v>3198</v>
      </c>
      <c r="K22" s="10">
        <f t="shared" si="3"/>
        <v>2845</v>
      </c>
      <c r="L22" s="12">
        <f t="shared" si="2"/>
        <v>88.961851156973097</v>
      </c>
    </row>
    <row r="23" spans="1:13" x14ac:dyDescent="0.2">
      <c r="A23" s="3">
        <v>21</v>
      </c>
      <c r="B23" s="8" t="s">
        <v>20</v>
      </c>
      <c r="C23" s="25">
        <v>1028</v>
      </c>
      <c r="D23" s="9">
        <v>1026</v>
      </c>
      <c r="E23" s="10">
        <f t="shared" si="0"/>
        <v>2</v>
      </c>
      <c r="F23" s="9">
        <v>1340</v>
      </c>
      <c r="G23" s="10">
        <f t="shared" si="1"/>
        <v>-312</v>
      </c>
      <c r="H23" s="11"/>
      <c r="I23" s="8" t="s">
        <v>20</v>
      </c>
      <c r="J23" s="10">
        <f>SUM('1_bezr.'!C23)</f>
        <v>1271</v>
      </c>
      <c r="K23" s="10">
        <f>SUM(C23)</f>
        <v>1028</v>
      </c>
      <c r="L23" s="12">
        <f t="shared" si="2"/>
        <v>80.881195908733289</v>
      </c>
    </row>
    <row r="24" spans="1:13" ht="15" x14ac:dyDescent="0.25">
      <c r="A24" s="3">
        <v>22</v>
      </c>
      <c r="B24" s="15" t="s">
        <v>25</v>
      </c>
      <c r="C24" s="16">
        <f>SUM(C3:C23)</f>
        <v>42771</v>
      </c>
      <c r="D24" s="17">
        <f>SUM(D3:D23)</f>
        <v>42254</v>
      </c>
      <c r="E24" s="16">
        <f>SUM(E3:E23)</f>
        <v>517</v>
      </c>
      <c r="F24" s="17">
        <f>SUM(F3:F23)</f>
        <v>47907</v>
      </c>
      <c r="G24" s="16">
        <f>SUM(G3:G23)</f>
        <v>-5136</v>
      </c>
      <c r="H24" s="11"/>
      <c r="I24" s="8" t="s">
        <v>21</v>
      </c>
      <c r="J24" s="10">
        <f>SUM('1_bezr.'!C24)</f>
        <v>699</v>
      </c>
      <c r="K24" s="18" t="s">
        <v>29</v>
      </c>
      <c r="L24" s="19" t="s">
        <v>29</v>
      </c>
    </row>
    <row r="25" spans="1:13" x14ac:dyDescent="0.2">
      <c r="C25" s="83"/>
      <c r="I25" s="8" t="s">
        <v>22</v>
      </c>
      <c r="J25" s="10">
        <f>SUM('1_bezr.'!C25)</f>
        <v>2436</v>
      </c>
      <c r="K25" s="18" t="s">
        <v>29</v>
      </c>
      <c r="L25" s="19" t="s">
        <v>29</v>
      </c>
    </row>
    <row r="26" spans="1:13" x14ac:dyDescent="0.2">
      <c r="I26" s="8" t="s">
        <v>23</v>
      </c>
      <c r="J26" s="10">
        <f>SUM('1_bezr.'!C26)</f>
        <v>5553</v>
      </c>
      <c r="K26" s="18" t="s">
        <v>29</v>
      </c>
      <c r="L26" s="19" t="s">
        <v>29</v>
      </c>
    </row>
    <row r="27" spans="1:13" x14ac:dyDescent="0.2">
      <c r="I27" s="8" t="s">
        <v>24</v>
      </c>
      <c r="J27" s="10">
        <f>SUM('1_bezr.'!C27)</f>
        <v>1062</v>
      </c>
      <c r="K27" s="18" t="s">
        <v>29</v>
      </c>
      <c r="L27" s="19" t="s">
        <v>29</v>
      </c>
    </row>
    <row r="28" spans="1:13" ht="15" x14ac:dyDescent="0.25">
      <c r="H28" s="11"/>
      <c r="I28" s="15" t="s">
        <v>25</v>
      </c>
      <c r="J28" s="16">
        <f>SUM(J3:J27)</f>
        <v>68031</v>
      </c>
      <c r="K28" s="16">
        <f>SUM(K3:K23)</f>
        <v>42771</v>
      </c>
      <c r="L28" s="20">
        <f>SUM(K28)/J28*100</f>
        <v>62.869868148344132</v>
      </c>
    </row>
  </sheetData>
  <printOptions horizontalCentered="1" verticalCentered="1"/>
  <pageMargins left="0" right="0" top="0" bottom="0" header="0" footer="0"/>
  <pageSetup paperSize="9" scale="7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22</vt:i4>
      </vt:variant>
    </vt:vector>
  </HeadingPairs>
  <TitlesOfParts>
    <vt:vector size="22" baseType="lpstr">
      <vt:lpstr>1_bezr.</vt:lpstr>
      <vt:lpstr>1_sort</vt:lpstr>
      <vt:lpstr>2_kob.</vt:lpstr>
      <vt:lpstr>2_sort</vt:lpstr>
      <vt:lpstr>3_s.bezr.Polska</vt:lpstr>
      <vt:lpstr>3_sort</vt:lpstr>
      <vt:lpstr>4_s.bezr.pow.</vt:lpstr>
      <vt:lpstr>4_sort</vt:lpstr>
      <vt:lpstr>5_bezr. na wsi</vt:lpstr>
      <vt:lpstr>5_sort</vt:lpstr>
      <vt:lpstr>6_długot.</vt:lpstr>
      <vt:lpstr>6_sort</vt:lpstr>
      <vt:lpstr>7_do 30 r.ż.</vt:lpstr>
      <vt:lpstr>7_sort</vt:lpstr>
      <vt:lpstr>8_pow. 50 r.ż.</vt:lpstr>
      <vt:lpstr>8_sort</vt:lpstr>
      <vt:lpstr>9_oferty p.</vt:lpstr>
      <vt:lpstr>9_sort</vt:lpstr>
      <vt:lpstr>10_oferty s.</vt:lpstr>
      <vt:lpstr>10_sort</vt:lpstr>
      <vt:lpstr>11_of st. k.</vt:lpstr>
      <vt:lpstr>11_sort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WUP</dc:creator>
  <cp:lastModifiedBy>Piotr Kocaj</cp:lastModifiedBy>
  <cp:lastPrinted>2023-02-02T06:58:47Z</cp:lastPrinted>
  <dcterms:created xsi:type="dcterms:W3CDTF">2016-08-02T05:46:03Z</dcterms:created>
  <dcterms:modified xsi:type="dcterms:W3CDTF">2023-02-02T10:19:48Z</dcterms:modified>
</cp:coreProperties>
</file>